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jalealsanjak/Library/CloudStorage/OneDrive-SharedLibraries-BOOZALLENHAMILTON/Precision Health - JPEO_DBPAO/"/>
    </mc:Choice>
  </mc:AlternateContent>
  <xr:revisionPtr revIDLastSave="0" documentId="13_ncr:1_{7AAE3DDD-5484-CA4D-95D1-344DB423F29A}" xr6:coauthVersionLast="47" xr6:coauthVersionMax="47" xr10:uidLastSave="{00000000-0000-0000-0000-000000000000}"/>
  <bookViews>
    <workbookView xWindow="0" yWindow="760" windowWidth="33600" windowHeight="19160" tabRatio="875" xr2:uid="{F443F18C-294A-3347-A53F-EA2747D47BA4}"/>
  </bookViews>
  <sheets>
    <sheet name="Est Annual Program Labor" sheetId="33" r:id="rId1"/>
    <sheet name="Est Per Base Labor" sheetId="21" r:id="rId2"/>
    <sheet name="Scenario 1 (Baseline)" sheetId="22" r:id="rId3"/>
    <sheet name="Scenario 2 (Increased WWS)" sheetId="23" r:id="rId4"/>
    <sheet name="Scenario 3 (Outbreak Tier 4)" sheetId="24" r:id="rId5"/>
    <sheet name="Scenario 4 (Outbreak Both)" sheetId="25" r:id="rId6"/>
    <sheet name="Summary" sheetId="19" r:id="rId7"/>
    <sheet name="Documentation" sheetId="31" r:id="rId8"/>
  </sheets>
  <definedNames>
    <definedName name="_xlnm.Print_Area" localSheetId="0">'Est Annual Program Labor'!#REF!</definedName>
    <definedName name="_xlnm.Print_Area" localSheetId="1">'Est Per Base Labor'!#REF!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3" l="1"/>
  <c r="M4" i="22"/>
  <c r="P9" i="22"/>
  <c r="C25" i="22"/>
  <c r="M8" i="22"/>
  <c r="M8" i="23"/>
  <c r="O8" i="24"/>
  <c r="O8" i="25"/>
  <c r="P6" i="25"/>
  <c r="L20" i="25"/>
  <c r="L18" i="25"/>
  <c r="L20" i="24"/>
  <c r="L18" i="24"/>
  <c r="J20" i="23"/>
  <c r="J18" i="23"/>
  <c r="L13" i="24"/>
  <c r="K13" i="24"/>
  <c r="J13" i="24"/>
  <c r="F5" i="19"/>
  <c r="P8" i="23"/>
  <c r="P6" i="23"/>
  <c r="P4" i="23"/>
  <c r="P3" i="23"/>
  <c r="M5" i="23"/>
  <c r="M6" i="23" s="1"/>
  <c r="M4" i="23"/>
  <c r="M6" i="22"/>
  <c r="M5" i="22"/>
  <c r="C15" i="23"/>
  <c r="C18" i="23" s="1"/>
  <c r="E19" i="23"/>
  <c r="F19" i="23" s="1"/>
  <c r="G49" i="24"/>
  <c r="C16" i="23" l="1"/>
  <c r="C17" i="23"/>
  <c r="E12" i="23" l="1"/>
  <c r="F12" i="23" s="1"/>
  <c r="E13" i="23"/>
  <c r="F13" i="23" s="1"/>
  <c r="E14" i="23"/>
  <c r="F14" i="23" s="1"/>
  <c r="C20" i="23"/>
  <c r="E21" i="23" s="1"/>
  <c r="F21" i="23" s="1"/>
  <c r="D16" i="21" l="1"/>
  <c r="D17" i="21"/>
  <c r="D14" i="21"/>
  <c r="F13" i="21"/>
  <c r="L29" i="33"/>
  <c r="L28" i="33"/>
  <c r="L27" i="33"/>
  <c r="L26" i="33"/>
  <c r="D10" i="21"/>
  <c r="E19" i="25"/>
  <c r="D8" i="21" l="1"/>
  <c r="L8" i="21" l="1"/>
  <c r="N8" i="21"/>
  <c r="J9" i="21"/>
  <c r="L9" i="21"/>
  <c r="N9" i="21"/>
  <c r="P9" i="21"/>
  <c r="L10" i="21"/>
  <c r="N10" i="21"/>
  <c r="L11" i="21"/>
  <c r="N11" i="21"/>
  <c r="P11" i="21"/>
  <c r="J12" i="21"/>
  <c r="L12" i="21"/>
  <c r="N12" i="21"/>
  <c r="P12" i="21"/>
  <c r="L13" i="21"/>
  <c r="N13" i="21"/>
  <c r="P13" i="21"/>
  <c r="J14" i="21"/>
  <c r="L14" i="21"/>
  <c r="N14" i="21"/>
  <c r="P14" i="21"/>
  <c r="J15" i="21"/>
  <c r="L15" i="21"/>
  <c r="N15" i="21"/>
  <c r="P15" i="21"/>
  <c r="J16" i="21"/>
  <c r="L16" i="21"/>
  <c r="N16" i="21"/>
  <c r="P16" i="21"/>
  <c r="L17" i="21"/>
  <c r="N17" i="21"/>
  <c r="L18" i="21"/>
  <c r="N18" i="21"/>
  <c r="J19" i="21"/>
  <c r="P19" i="21"/>
  <c r="L20" i="21"/>
  <c r="N20" i="21"/>
  <c r="R20" i="21"/>
  <c r="R19" i="21"/>
  <c r="R18" i="21"/>
  <c r="R17" i="21"/>
  <c r="R16" i="21"/>
  <c r="R15" i="21"/>
  <c r="R14" i="21"/>
  <c r="R13" i="21"/>
  <c r="R10" i="21"/>
  <c r="R9" i="21"/>
  <c r="R8" i="21"/>
  <c r="F19" i="21"/>
  <c r="D19" i="21"/>
  <c r="D18" i="21"/>
  <c r="D20" i="21"/>
  <c r="D15" i="21"/>
  <c r="D13" i="21"/>
  <c r="D12" i="21"/>
  <c r="D11" i="21"/>
  <c r="F20" i="21"/>
  <c r="F16" i="21"/>
  <c r="F15" i="21"/>
  <c r="F14" i="21"/>
  <c r="F12" i="21"/>
  <c r="F11" i="21"/>
  <c r="F9" i="21"/>
  <c r="F8" i="21"/>
  <c r="J13" i="21"/>
  <c r="J11" i="21"/>
  <c r="J10" i="21"/>
  <c r="F5" i="33"/>
  <c r="F10" i="21" s="1"/>
  <c r="J5" i="33"/>
  <c r="P10" i="21" s="1"/>
  <c r="I8" i="33"/>
  <c r="N19" i="21" s="1"/>
  <c r="H8" i="33"/>
  <c r="L19" i="21" s="1"/>
  <c r="D6" i="33"/>
  <c r="R11" i="21" s="1"/>
  <c r="D7" i="33"/>
  <c r="R12" i="21" s="1"/>
  <c r="R21" i="21" l="1"/>
  <c r="E13" i="33"/>
  <c r="D9" i="21" s="1"/>
  <c r="J9" i="33"/>
  <c r="J10" i="33" s="1"/>
  <c r="E19" i="22"/>
  <c r="I30" i="33"/>
  <c r="I31" i="33" s="1"/>
  <c r="H30" i="33"/>
  <c r="H31" i="33" s="1"/>
  <c r="D30" i="33"/>
  <c r="D31" i="33" s="1"/>
  <c r="J18" i="33"/>
  <c r="J19" i="33" s="1"/>
  <c r="I18" i="33"/>
  <c r="I19" i="33" s="1"/>
  <c r="H18" i="33"/>
  <c r="H19" i="33" s="1"/>
  <c r="G18" i="33"/>
  <c r="G19" i="33" s="1"/>
  <c r="F18" i="33"/>
  <c r="F19" i="33" s="1"/>
  <c r="D18" i="33"/>
  <c r="D19" i="33" s="1"/>
  <c r="K17" i="33"/>
  <c r="C17" i="33"/>
  <c r="K16" i="33"/>
  <c r="L16" i="33" s="1"/>
  <c r="C16" i="33"/>
  <c r="K15" i="33"/>
  <c r="C15" i="33"/>
  <c r="K14" i="33"/>
  <c r="L14" i="33" s="1"/>
  <c r="C14" i="33"/>
  <c r="C13" i="33"/>
  <c r="I9" i="33"/>
  <c r="I10" i="33" s="1"/>
  <c r="G9" i="33"/>
  <c r="G10" i="33" s="1"/>
  <c r="F9" i="33"/>
  <c r="F10" i="33" s="1"/>
  <c r="E9" i="33"/>
  <c r="D9" i="33"/>
  <c r="D10" i="33" s="1"/>
  <c r="C8" i="33"/>
  <c r="K7" i="33"/>
  <c r="K6" i="33"/>
  <c r="L6" i="33" s="1"/>
  <c r="C6" i="33"/>
  <c r="K5" i="33"/>
  <c r="C5" i="33"/>
  <c r="J8" i="21"/>
  <c r="F19" i="22"/>
  <c r="C15" i="25"/>
  <c r="C15" i="24"/>
  <c r="E38" i="25"/>
  <c r="F38" i="25" s="1"/>
  <c r="E37" i="25"/>
  <c r="C33" i="25"/>
  <c r="C32" i="25"/>
  <c r="F31" i="25"/>
  <c r="G31" i="25" s="1"/>
  <c r="F30" i="25"/>
  <c r="G30" i="25" s="1"/>
  <c r="F29" i="25"/>
  <c r="G29" i="25" s="1"/>
  <c r="F28" i="25"/>
  <c r="G28" i="25" s="1"/>
  <c r="F27" i="25"/>
  <c r="G27" i="25" s="1"/>
  <c r="F19" i="25"/>
  <c r="C9" i="25"/>
  <c r="E37" i="24"/>
  <c r="F37" i="24" s="1"/>
  <c r="E36" i="24"/>
  <c r="F36" i="24" s="1"/>
  <c r="C32" i="24"/>
  <c r="F31" i="24"/>
  <c r="F30" i="24"/>
  <c r="F29" i="24"/>
  <c r="F28" i="24"/>
  <c r="F27" i="24"/>
  <c r="E19" i="24"/>
  <c r="F19" i="24" s="1"/>
  <c r="C9" i="24"/>
  <c r="E37" i="23"/>
  <c r="F37" i="23" s="1"/>
  <c r="E36" i="23"/>
  <c r="F36" i="23" s="1"/>
  <c r="C32" i="23"/>
  <c r="F31" i="23"/>
  <c r="F30" i="23"/>
  <c r="F29" i="23"/>
  <c r="F28" i="23"/>
  <c r="F27" i="23"/>
  <c r="C11" i="21"/>
  <c r="C19" i="21"/>
  <c r="K19" i="21" s="1"/>
  <c r="C15" i="22"/>
  <c r="C16" i="22" s="1"/>
  <c r="E13" i="22" s="1"/>
  <c r="C20" i="21"/>
  <c r="E20" i="21" s="1"/>
  <c r="C18" i="21"/>
  <c r="S18" i="21" s="1"/>
  <c r="C17" i="21"/>
  <c r="C39" i="22" s="1"/>
  <c r="C40" i="22" s="1"/>
  <c r="C8" i="21"/>
  <c r="S8" i="21" s="1"/>
  <c r="E37" i="22"/>
  <c r="F37" i="22" s="1"/>
  <c r="E36" i="22"/>
  <c r="F36" i="22" s="1"/>
  <c r="C32" i="22"/>
  <c r="F31" i="22"/>
  <c r="F30" i="22"/>
  <c r="F29" i="22"/>
  <c r="F28" i="22"/>
  <c r="F27" i="22"/>
  <c r="C9" i="21"/>
  <c r="S9" i="21" s="1"/>
  <c r="C14" i="21"/>
  <c r="C16" i="21"/>
  <c r="S16" i="21" s="1"/>
  <c r="C15" i="21"/>
  <c r="Q15" i="21" s="1"/>
  <c r="C13" i="21"/>
  <c r="S13" i="21" s="1"/>
  <c r="C10" i="21"/>
  <c r="S10" i="21" s="1"/>
  <c r="C12" i="21"/>
  <c r="S12" i="21" s="1"/>
  <c r="K13" i="33" l="1"/>
  <c r="M13" i="33" s="1"/>
  <c r="E18" i="33"/>
  <c r="E19" i="33" s="1"/>
  <c r="M7" i="33"/>
  <c r="M15" i="33"/>
  <c r="M17" i="33"/>
  <c r="E19" i="21"/>
  <c r="S19" i="21"/>
  <c r="S15" i="21"/>
  <c r="Q14" i="21"/>
  <c r="S14" i="21"/>
  <c r="K11" i="21"/>
  <c r="S11" i="21"/>
  <c r="S17" i="21"/>
  <c r="G8" i="21"/>
  <c r="E8" i="21"/>
  <c r="S20" i="21"/>
  <c r="F17" i="21"/>
  <c r="G17" i="21" s="1"/>
  <c r="P17" i="21"/>
  <c r="Q17" i="21" s="1"/>
  <c r="P18" i="21"/>
  <c r="Q18" i="21" s="1"/>
  <c r="J18" i="21"/>
  <c r="K18" i="21" s="1"/>
  <c r="J17" i="21"/>
  <c r="K17" i="21" s="1"/>
  <c r="P8" i="21"/>
  <c r="P20" i="21"/>
  <c r="Q20" i="21" s="1"/>
  <c r="F18" i="21"/>
  <c r="E30" i="33"/>
  <c r="E31" i="33" s="1"/>
  <c r="E17" i="21"/>
  <c r="G34" i="25"/>
  <c r="G36" i="25"/>
  <c r="G35" i="25"/>
  <c r="G37" i="25"/>
  <c r="F37" i="25"/>
  <c r="E34" i="23"/>
  <c r="F34" i="23" s="1"/>
  <c r="E33" i="23"/>
  <c r="F33" i="23" s="1"/>
  <c r="E34" i="22"/>
  <c r="F34" i="22" s="1"/>
  <c r="E33" i="22"/>
  <c r="E12" i="22"/>
  <c r="F12" i="22" s="1"/>
  <c r="D21" i="33"/>
  <c r="D22" i="33" s="1"/>
  <c r="M16" i="33"/>
  <c r="M14" i="33"/>
  <c r="M6" i="33"/>
  <c r="K8" i="33"/>
  <c r="L8" i="33" s="1"/>
  <c r="H9" i="33"/>
  <c r="L7" i="33"/>
  <c r="G21" i="33"/>
  <c r="G22" i="33" s="1"/>
  <c r="M5" i="33"/>
  <c r="L5" i="33"/>
  <c r="E10" i="33"/>
  <c r="K30" i="33"/>
  <c r="K31" i="33" s="1"/>
  <c r="J30" i="33"/>
  <c r="J31" i="33" s="1"/>
  <c r="F30" i="33"/>
  <c r="F31" i="33" s="1"/>
  <c r="F21" i="33"/>
  <c r="F22" i="33" s="1"/>
  <c r="L17" i="33"/>
  <c r="L15" i="33"/>
  <c r="I21" i="33"/>
  <c r="I22" i="33" s="1"/>
  <c r="J21" i="33"/>
  <c r="J22" i="33" s="1"/>
  <c r="Q13" i="21"/>
  <c r="Q16" i="21"/>
  <c r="M18" i="21"/>
  <c r="I18" i="21"/>
  <c r="E11" i="21"/>
  <c r="Q11" i="21"/>
  <c r="Q19" i="21"/>
  <c r="K8" i="21"/>
  <c r="I8" i="21"/>
  <c r="O19" i="21"/>
  <c r="G10" i="21"/>
  <c r="G11" i="21"/>
  <c r="C17" i="22"/>
  <c r="M8" i="21"/>
  <c r="O8" i="21"/>
  <c r="G20" i="21"/>
  <c r="O18" i="21"/>
  <c r="M11" i="21"/>
  <c r="E18" i="21"/>
  <c r="O11" i="21"/>
  <c r="L21" i="21"/>
  <c r="I11" i="21"/>
  <c r="O17" i="21"/>
  <c r="M19" i="21"/>
  <c r="Q10" i="21"/>
  <c r="I20" i="21"/>
  <c r="M20" i="21"/>
  <c r="I19" i="21"/>
  <c r="I17" i="21"/>
  <c r="M17" i="21"/>
  <c r="G19" i="21"/>
  <c r="O20" i="21"/>
  <c r="F13" i="22"/>
  <c r="C18" i="22"/>
  <c r="E35" i="25"/>
  <c r="F35" i="25" s="1"/>
  <c r="E34" i="25"/>
  <c r="E34" i="24"/>
  <c r="F34" i="24" s="1"/>
  <c r="E33" i="24"/>
  <c r="G38" i="25"/>
  <c r="C40" i="25"/>
  <c r="C39" i="24"/>
  <c r="C40" i="24" s="1"/>
  <c r="E40" i="24" s="1"/>
  <c r="C39" i="23"/>
  <c r="C40" i="23" s="1"/>
  <c r="E40" i="23" s="1"/>
  <c r="F40" i="23" s="1"/>
  <c r="C18" i="25"/>
  <c r="O4" i="25" s="1"/>
  <c r="P5" i="25" s="1"/>
  <c r="U7" i="25" s="1"/>
  <c r="C17" i="25"/>
  <c r="C16" i="25"/>
  <c r="C18" i="24"/>
  <c r="O4" i="24" s="1"/>
  <c r="C17" i="24"/>
  <c r="C16" i="24"/>
  <c r="E36" i="25"/>
  <c r="F36" i="25" s="1"/>
  <c r="E35" i="24"/>
  <c r="E35" i="23"/>
  <c r="E35" i="22"/>
  <c r="G9" i="21"/>
  <c r="E9" i="21"/>
  <c r="O12" i="21"/>
  <c r="M12" i="21"/>
  <c r="K12" i="21"/>
  <c r="I12" i="21"/>
  <c r="G12" i="21"/>
  <c r="E12" i="21"/>
  <c r="O10" i="21"/>
  <c r="M10" i="21"/>
  <c r="K10" i="21"/>
  <c r="I10" i="21"/>
  <c r="E10" i="21"/>
  <c r="O13" i="21"/>
  <c r="M13" i="21"/>
  <c r="K13" i="21"/>
  <c r="I13" i="21"/>
  <c r="G13" i="21"/>
  <c r="E13" i="21"/>
  <c r="O15" i="21"/>
  <c r="M15" i="21"/>
  <c r="K15" i="21"/>
  <c r="I15" i="21"/>
  <c r="G15" i="21"/>
  <c r="E15" i="21"/>
  <c r="O14" i="21"/>
  <c r="M14" i="21"/>
  <c r="K14" i="21"/>
  <c r="I14" i="21"/>
  <c r="G14" i="21"/>
  <c r="E14" i="21"/>
  <c r="O16" i="21"/>
  <c r="M16" i="21"/>
  <c r="K16" i="21"/>
  <c r="I16" i="21"/>
  <c r="G16" i="21"/>
  <c r="E16" i="21"/>
  <c r="P5" i="24" l="1"/>
  <c r="P6" i="24" s="1"/>
  <c r="F34" i="25"/>
  <c r="L13" i="33"/>
  <c r="L18" i="33" s="1"/>
  <c r="K18" i="33"/>
  <c r="K19" i="33" s="1"/>
  <c r="E21" i="33"/>
  <c r="E22" i="33" s="1"/>
  <c r="M18" i="33"/>
  <c r="M8" i="33"/>
  <c r="M9" i="33" s="1"/>
  <c r="S21" i="21"/>
  <c r="S22" i="21" s="1"/>
  <c r="C42" i="22" s="1"/>
  <c r="E42" i="22" s="1"/>
  <c r="F42" i="22" s="1"/>
  <c r="E11" i="22"/>
  <c r="F11" i="22" s="1"/>
  <c r="C20" i="22"/>
  <c r="G18" i="21"/>
  <c r="G21" i="21" s="1"/>
  <c r="J20" i="21"/>
  <c r="K20" i="21" s="1"/>
  <c r="F21" i="21"/>
  <c r="D21" i="21"/>
  <c r="E21" i="21"/>
  <c r="C20" i="25"/>
  <c r="E40" i="22"/>
  <c r="F40" i="22" s="1"/>
  <c r="F33" i="22"/>
  <c r="Q5" i="25"/>
  <c r="Q6" i="25" s="1"/>
  <c r="V7" i="25" s="1"/>
  <c r="C41" i="25"/>
  <c r="E41" i="25" s="1"/>
  <c r="F41" i="25" s="1"/>
  <c r="G41" i="25"/>
  <c r="F33" i="24"/>
  <c r="E14" i="22"/>
  <c r="F14" i="22" s="1"/>
  <c r="K9" i="33"/>
  <c r="K10" i="33" s="1"/>
  <c r="H10" i="33"/>
  <c r="H21" i="33"/>
  <c r="H22" i="33" s="1"/>
  <c r="L9" i="33"/>
  <c r="L30" i="33"/>
  <c r="L31" i="33" s="1"/>
  <c r="G30" i="33"/>
  <c r="G31" i="33" s="1"/>
  <c r="N26" i="33"/>
  <c r="M26" i="33"/>
  <c r="M28" i="33"/>
  <c r="N28" i="33"/>
  <c r="N27" i="33"/>
  <c r="M27" i="33"/>
  <c r="Q5" i="24"/>
  <c r="Q6" i="24" s="1"/>
  <c r="V7" i="24" s="1"/>
  <c r="I9" i="21"/>
  <c r="I21" i="21" s="1"/>
  <c r="I22" i="21" s="1"/>
  <c r="H21" i="21"/>
  <c r="F40" i="24"/>
  <c r="E13" i="25"/>
  <c r="F13" i="25" s="1"/>
  <c r="E12" i="25"/>
  <c r="F12" i="25" s="1"/>
  <c r="E14" i="25"/>
  <c r="F14" i="25" s="1"/>
  <c r="E11" i="25"/>
  <c r="F11" i="25" s="1"/>
  <c r="E13" i="24"/>
  <c r="F13" i="24" s="1"/>
  <c r="E12" i="24"/>
  <c r="F12" i="24" s="1"/>
  <c r="C20" i="24"/>
  <c r="E14" i="24"/>
  <c r="F14" i="24" s="1"/>
  <c r="E11" i="24"/>
  <c r="F11" i="24" s="1"/>
  <c r="E11" i="23"/>
  <c r="F11" i="23" s="1"/>
  <c r="F35" i="24"/>
  <c r="F35" i="23"/>
  <c r="F35" i="22"/>
  <c r="E21" i="22" l="1"/>
  <c r="P6" i="22"/>
  <c r="E21" i="25"/>
  <c r="F21" i="25" s="1"/>
  <c r="J5" i="25"/>
  <c r="J5" i="24"/>
  <c r="J6" i="24" s="1"/>
  <c r="K5" i="24"/>
  <c r="K6" i="24" s="1"/>
  <c r="U7" i="24"/>
  <c r="O6" i="24"/>
  <c r="T7" i="24" s="1"/>
  <c r="C42" i="24"/>
  <c r="E42" i="24" s="1"/>
  <c r="F42" i="24" s="1"/>
  <c r="C43" i="25"/>
  <c r="E43" i="25" s="1"/>
  <c r="C42" i="23"/>
  <c r="E42" i="23" s="1"/>
  <c r="F42" i="23" s="1"/>
  <c r="J21" i="21"/>
  <c r="K5" i="25"/>
  <c r="O6" i="25"/>
  <c r="T7" i="25" s="1"/>
  <c r="E22" i="21"/>
  <c r="K21" i="33"/>
  <c r="K22" i="33" s="1"/>
  <c r="M21" i="33"/>
  <c r="L21" i="33"/>
  <c r="M29" i="33"/>
  <c r="M30" i="33" s="1"/>
  <c r="N29" i="33"/>
  <c r="N30" i="33" s="1"/>
  <c r="G22" i="21"/>
  <c r="C26" i="22" s="1"/>
  <c r="F26" i="22" s="1"/>
  <c r="C26" i="24"/>
  <c r="F26" i="24" s="1"/>
  <c r="C26" i="23"/>
  <c r="F26" i="23" s="1"/>
  <c r="C26" i="25"/>
  <c r="F26" i="25" s="1"/>
  <c r="G26" i="25" s="1"/>
  <c r="C25" i="25"/>
  <c r="C25" i="24"/>
  <c r="C25" i="23"/>
  <c r="E21" i="24"/>
  <c r="F21" i="24" s="1"/>
  <c r="K9" i="21"/>
  <c r="F21" i="22" l="1"/>
  <c r="C4" i="19" s="1"/>
  <c r="C13" i="19" s="1"/>
  <c r="J5" i="22"/>
  <c r="J6" i="22" s="1"/>
  <c r="J8" i="22" s="1"/>
  <c r="F14" i="19"/>
  <c r="C5" i="19"/>
  <c r="C14" i="19" s="1"/>
  <c r="J5" i="23"/>
  <c r="J6" i="23" s="1"/>
  <c r="J8" i="23" s="1"/>
  <c r="L6" i="24"/>
  <c r="F6" i="19"/>
  <c r="F15" i="19" s="1"/>
  <c r="J8" i="24"/>
  <c r="J6" i="25"/>
  <c r="J8" i="25" s="1"/>
  <c r="K6" i="25"/>
  <c r="K8" i="25" s="1"/>
  <c r="F43" i="25"/>
  <c r="G43" i="25"/>
  <c r="F4" i="19"/>
  <c r="F13" i="19" s="1"/>
  <c r="F7" i="19"/>
  <c r="F16" i="19" s="1"/>
  <c r="K21" i="21"/>
  <c r="F25" i="22"/>
  <c r="F25" i="23"/>
  <c r="F25" i="24"/>
  <c r="F25" i="25"/>
  <c r="M9" i="21"/>
  <c r="M21" i="21" s="1"/>
  <c r="M22" i="21" s="1"/>
  <c r="C6" i="19" l="1"/>
  <c r="C15" i="19" s="1"/>
  <c r="K8" i="24"/>
  <c r="L6" i="25"/>
  <c r="K22" i="21"/>
  <c r="C45" i="25" s="1"/>
  <c r="E45" i="25" s="1"/>
  <c r="G25" i="25"/>
  <c r="L8" i="24" l="1"/>
  <c r="L8" i="25"/>
  <c r="C7" i="19"/>
  <c r="C16" i="19" s="1"/>
  <c r="C44" i="24"/>
  <c r="E44" i="24" s="1"/>
  <c r="F44" i="24" s="1"/>
  <c r="C44" i="23"/>
  <c r="E44" i="23" s="1"/>
  <c r="F44" i="23" s="1"/>
  <c r="G45" i="25"/>
  <c r="F45" i="25"/>
  <c r="C44" i="22"/>
  <c r="E44" i="22" s="1"/>
  <c r="F44" i="22" s="1"/>
  <c r="O9" i="21"/>
  <c r="O21" i="21" s="1"/>
  <c r="N21" i="21"/>
  <c r="O22" i="21" l="1"/>
  <c r="C41" i="24" l="1"/>
  <c r="E41" i="24" s="1"/>
  <c r="P21" i="21"/>
  <c r="Q9" i="21"/>
  <c r="Q21" i="21" l="1"/>
  <c r="Q22" i="21" s="1"/>
  <c r="F41" i="24"/>
  <c r="C41" i="23"/>
  <c r="E41" i="23" s="1"/>
  <c r="F41" i="23" s="1"/>
  <c r="C42" i="25"/>
  <c r="E42" i="25" s="1"/>
  <c r="C41" i="22"/>
  <c r="E41" i="22" s="1"/>
  <c r="C43" i="24" l="1"/>
  <c r="E43" i="24" s="1"/>
  <c r="F43" i="24" s="1"/>
  <c r="G45" i="24" s="1"/>
  <c r="C43" i="23"/>
  <c r="E43" i="23" s="1"/>
  <c r="F43" i="23" s="1"/>
  <c r="G45" i="23" s="1"/>
  <c r="C44" i="25"/>
  <c r="E44" i="25" s="1"/>
  <c r="E51" i="25" s="1"/>
  <c r="C43" i="22"/>
  <c r="E43" i="22" s="1"/>
  <c r="F42" i="25"/>
  <c r="G42" i="25"/>
  <c r="F41" i="22"/>
  <c r="F45" i="23" l="1"/>
  <c r="F48" i="23" s="1"/>
  <c r="G48" i="23" s="1"/>
  <c r="E50" i="25"/>
  <c r="E54" i="25" s="1"/>
  <c r="E55" i="25"/>
  <c r="E46" i="25"/>
  <c r="F45" i="24"/>
  <c r="F44" i="25"/>
  <c r="F46" i="25" s="1"/>
  <c r="E45" i="24"/>
  <c r="E45" i="23"/>
  <c r="G44" i="25"/>
  <c r="H46" i="25" s="1"/>
  <c r="F43" i="22"/>
  <c r="G45" i="22" s="1"/>
  <c r="E45" i="22"/>
  <c r="G49" i="23" l="1"/>
  <c r="J13" i="23" s="1"/>
  <c r="J14" i="23" s="1"/>
  <c r="J16" i="23" s="1"/>
  <c r="D5" i="19"/>
  <c r="E5" i="19" s="1"/>
  <c r="G46" i="25"/>
  <c r="G51" i="25"/>
  <c r="G55" i="25" s="1"/>
  <c r="E56" i="25"/>
  <c r="E58" i="25" s="1"/>
  <c r="E60" i="25" s="1"/>
  <c r="F48" i="24"/>
  <c r="G48" i="24" s="1"/>
  <c r="G50" i="25"/>
  <c r="G54" i="25" s="1"/>
  <c r="G56" i="25" s="1"/>
  <c r="G58" i="25" s="1"/>
  <c r="G60" i="25" s="1"/>
  <c r="K13" i="25" s="1"/>
  <c r="K14" i="25" s="1"/>
  <c r="H55" i="25"/>
  <c r="F45" i="22"/>
  <c r="F48" i="22" l="1"/>
  <c r="G48" i="22" s="1"/>
  <c r="G49" i="22" s="1"/>
  <c r="J13" i="22" s="1"/>
  <c r="J14" i="22" s="1"/>
  <c r="J18" i="22" s="1"/>
  <c r="K16" i="25"/>
  <c r="V4" i="25" s="1"/>
  <c r="J13" i="25"/>
  <c r="J14" i="25" s="1"/>
  <c r="D6" i="19"/>
  <c r="D15" i="19" s="1"/>
  <c r="E15" i="19" s="1"/>
  <c r="H15" i="19" s="1"/>
  <c r="D14" i="19"/>
  <c r="E14" i="19" s="1"/>
  <c r="H14" i="19" s="1"/>
  <c r="J16" i="22" l="1"/>
  <c r="D4" i="19"/>
  <c r="E4" i="19" s="1"/>
  <c r="J16" i="25"/>
  <c r="U4" i="25" s="1"/>
  <c r="U5" i="25" s="1"/>
  <c r="L14" i="25"/>
  <c r="L16" i="25" s="1"/>
  <c r="T4" i="25" s="1"/>
  <c r="E6" i="19"/>
  <c r="J14" i="24"/>
  <c r="K14" i="24"/>
  <c r="K16" i="24" s="1"/>
  <c r="V4" i="24" s="1"/>
  <c r="V5" i="24" s="1"/>
  <c r="H56" i="25"/>
  <c r="H58" i="25" s="1"/>
  <c r="H60" i="25" s="1"/>
  <c r="L13" i="25" s="1"/>
  <c r="H54" i="25"/>
  <c r="V8" i="25"/>
  <c r="V9" i="25" s="1"/>
  <c r="P3" i="22" l="1"/>
  <c r="J20" i="22"/>
  <c r="P4" i="22"/>
  <c r="P7" i="22"/>
  <c r="P8" i="22" s="1"/>
  <c r="P7" i="23"/>
  <c r="D13" i="19"/>
  <c r="E13" i="19" s="1"/>
  <c r="H13" i="19" s="1"/>
  <c r="T5" i="25"/>
  <c r="T8" i="25"/>
  <c r="T9" i="25" s="1"/>
  <c r="V8" i="24"/>
  <c r="V9" i="24" s="1"/>
  <c r="J16" i="24"/>
  <c r="U4" i="24" s="1"/>
  <c r="U5" i="24" s="1"/>
  <c r="L14" i="24"/>
  <c r="L16" i="24" s="1"/>
  <c r="T4" i="24" s="1"/>
  <c r="T5" i="24" s="1"/>
  <c r="U8" i="25"/>
  <c r="U9" i="25" s="1"/>
  <c r="D7" i="19"/>
  <c r="E7" i="19" s="1"/>
  <c r="V5" i="25"/>
  <c r="U8" i="24" l="1"/>
  <c r="U9" i="24" s="1"/>
  <c r="T8" i="24"/>
  <c r="T9" i="24" s="1"/>
  <c r="D16" i="19"/>
  <c r="E16" i="19" s="1"/>
  <c r="H16" i="19" s="1"/>
</calcChain>
</file>

<file path=xl/sharedStrings.xml><?xml version="1.0" encoding="utf-8"?>
<sst xmlns="http://schemas.openxmlformats.org/spreadsheetml/2006/main" count="793" uniqueCount="238">
  <si>
    <t>Estimate of Phase 3 annual hours by labor category and task, based on Phase 2 level of effort and expected efficiencies for Phase 3</t>
  </si>
  <si>
    <t>Name</t>
  </si>
  <si>
    <t>Rate (Per Hour)</t>
  </si>
  <si>
    <t>Project Management</t>
  </si>
  <si>
    <t>Base &amp; Site Selection</t>
  </si>
  <si>
    <t>Base Onboarding and Training</t>
  </si>
  <si>
    <t>Resource and Vendor Management</t>
  </si>
  <si>
    <t>Surveillance and Reporting</t>
  </si>
  <si>
    <t>Data Management Hours</t>
  </si>
  <si>
    <t>Ongoing Support</t>
  </si>
  <si>
    <t>Total Hours</t>
  </si>
  <si>
    <t>Full Time Equivalent</t>
  </si>
  <si>
    <t>Total Cost</t>
  </si>
  <si>
    <t>Contractor Project Coordinator</t>
  </si>
  <si>
    <t>Contractor Deputy PM</t>
  </si>
  <si>
    <t>Contractor PM</t>
  </si>
  <si>
    <t>Contractor Developer</t>
  </si>
  <si>
    <t>Subtotal</t>
  </si>
  <si>
    <t>FTEs</t>
  </si>
  <si>
    <t>Base Selection</t>
  </si>
  <si>
    <t>Government Scientist</t>
  </si>
  <si>
    <t>Contractor Scientist</t>
  </si>
  <si>
    <t>Government Supply Chain Lead</t>
  </si>
  <si>
    <t>Total</t>
  </si>
  <si>
    <t>Total FTEs</t>
  </si>
  <si>
    <t>Testing</t>
  </si>
  <si>
    <t>Government PM</t>
  </si>
  <si>
    <t>Low Rank Airmen</t>
  </si>
  <si>
    <t>Base Leaders (Maj)</t>
  </si>
  <si>
    <t>Site POC (Captain)</t>
  </si>
  <si>
    <t>Estimate of Phase 3 hours by base or test or week/base, based on Phase 2 level of effort and expected efficiencies for Phase 3</t>
  </si>
  <si>
    <t>Govt Fringe &amp; Overhead</t>
  </si>
  <si>
    <t>Number of Bases to be onboarded</t>
  </si>
  <si>
    <t>82 minus 20 onboarded in Phase 2</t>
  </si>
  <si>
    <t>Surveillance and Reporting, and Data Management, are combined in the scenario tabs as "Data Management and Reporting"</t>
  </si>
  <si>
    <t xml:space="preserve">Values in body of table are:     </t>
  </si>
  <si>
    <t>Per Base</t>
  </si>
  <si>
    <t>Per Test</t>
  </si>
  <si>
    <t>Weekly</t>
  </si>
  <si>
    <t>Weekly/Base</t>
  </si>
  <si>
    <t>Base Selection (Per Base)</t>
  </si>
  <si>
    <t>Base Onboarding and Training (Per Base)</t>
  </si>
  <si>
    <t>Testing (Per Test)</t>
  </si>
  <si>
    <t>Resource and Vendor Management (Per Week)</t>
  </si>
  <si>
    <t>Surveillance and Reporting (Per Week)</t>
  </si>
  <si>
    <t>Data Management Hours (Per Week)</t>
  </si>
  <si>
    <t>Data Management (Per Week)</t>
  </si>
  <si>
    <t>Ongoing Support (Per Week Per Base)</t>
  </si>
  <si>
    <t>Contractor Developer*</t>
  </si>
  <si>
    <t>Totals</t>
  </si>
  <si>
    <t>Model Inputs:</t>
  </si>
  <si>
    <t xml:space="preserve">Values in Model Inputs are:     </t>
  </si>
  <si>
    <t>Base Parameters</t>
  </si>
  <si>
    <t>Monthly Breakdown (Tier 4 Surveillance)</t>
  </si>
  <si>
    <t>Loss of Work</t>
  </si>
  <si>
    <t>Air Force Annual</t>
  </si>
  <si>
    <t>Scenario</t>
  </si>
  <si>
    <t>Parameter Adjustments</t>
  </si>
  <si>
    <t>Parameters</t>
  </si>
  <si>
    <t>Value</t>
  </si>
  <si>
    <t>Cost Type</t>
  </si>
  <si>
    <t>Monthly Cost</t>
  </si>
  <si>
    <t>Yearly Cost</t>
  </si>
  <si>
    <t>Expense</t>
  </si>
  <si>
    <t>Yearly Total Cost Difference</t>
  </si>
  <si>
    <t>Wastewater testing once a week; default Tier 4 testing levels</t>
  </si>
  <si>
    <t>Default Parameters</t>
  </si>
  <si>
    <t>Number of Bases</t>
  </si>
  <si>
    <t>NA</t>
  </si>
  <si>
    <t>Number of Months</t>
  </si>
  <si>
    <t>Cost of Lost Work per PCR Test</t>
  </si>
  <si>
    <t>Monthly PCR Tests Could Add to WWS @ Breakeven with Tier 4 (Per Base)</t>
  </si>
  <si>
    <t>Cost Per Month</t>
  </si>
  <si>
    <t>Monthly Cost of Lost Work</t>
  </si>
  <si>
    <t>Tier 4 Surveillance</t>
  </si>
  <si>
    <t>Cost Per Year</t>
  </si>
  <si>
    <t>Yearly Cost of Lost Work</t>
  </si>
  <si>
    <t>Yearly Total Cost Difference with Loss of Work</t>
  </si>
  <si>
    <t>Number of PCR Tests (Non Outbreak)</t>
  </si>
  <si>
    <t>Annual, All Bases - Tier 4</t>
  </si>
  <si>
    <t>Yearly Cost of Lost Work, All Bases</t>
  </si>
  <si>
    <t>Monthly PCR Tests Could Add to WWS @ Breakeven, with Loss of Work (Per Base)</t>
  </si>
  <si>
    <t>Number of PCR Tests (Outbreak)</t>
  </si>
  <si>
    <t>N/A</t>
  </si>
  <si>
    <t>Testing Time (Minutes per Patient)</t>
  </si>
  <si>
    <t>VARIABLE</t>
  </si>
  <si>
    <t xml:space="preserve">See Loss of Work </t>
  </si>
  <si>
    <t>Monthly Breakdown (WWS) - All Bases</t>
  </si>
  <si>
    <t>Sample Time (Lab Tech Minutes)</t>
  </si>
  <si>
    <t>Sample Time (Nurse Minutes)</t>
  </si>
  <si>
    <t>Data Management and Reporting (Nurse Minutes)</t>
  </si>
  <si>
    <t>Data Management and Reporting (Lab Tech Minutes)</t>
  </si>
  <si>
    <t>Benefit Salary Adjustment</t>
  </si>
  <si>
    <t>Average Salary Including Benefits (Nurse)</t>
  </si>
  <si>
    <t>Annual, All Bases - WWS</t>
  </si>
  <si>
    <t>Average Salary Including Benefits (Lab Tech)</t>
  </si>
  <si>
    <t>Average AF Salary Including Benefits (for Patients)</t>
  </si>
  <si>
    <t>Annual Difference Per Base</t>
  </si>
  <si>
    <t>Cost per PCR Test</t>
  </si>
  <si>
    <t>Total Cost Per PCR Test</t>
  </si>
  <si>
    <t>Annual Difference, All Bases</t>
  </si>
  <si>
    <t>Wastewater Surveillance</t>
  </si>
  <si>
    <t>FIXED</t>
  </si>
  <si>
    <t>Android Device Cost</t>
  </si>
  <si>
    <t>Thermocycler Cost</t>
  </si>
  <si>
    <t>Cooker and Cooking Container</t>
  </si>
  <si>
    <t>Biomeme Sample Preparation Tray</t>
  </si>
  <si>
    <t>DynaMag-50 Magnet</t>
  </si>
  <si>
    <t>Wastewater Tests Per Month</t>
  </si>
  <si>
    <t>M1 Sample Prep Cartridge Kit</t>
  </si>
  <si>
    <t>Go-Strips</t>
  </si>
  <si>
    <t>Materials Cost Per Wastewater Test</t>
  </si>
  <si>
    <t xml:space="preserve">Supply Shipping (Boxes) </t>
  </si>
  <si>
    <t xml:space="preserve">Supply Shipping (Fedex) </t>
  </si>
  <si>
    <t>Labor Hours Per Test</t>
  </si>
  <si>
    <t>Hourly Wage</t>
  </si>
  <si>
    <t xml:space="preserve">Site Testing Labor </t>
  </si>
  <si>
    <t xml:space="preserve">Data Management and Reporting </t>
  </si>
  <si>
    <t>Program Management</t>
  </si>
  <si>
    <t>Vendor Management</t>
  </si>
  <si>
    <t>Yearly Cost w/o Fixed Costs</t>
  </si>
  <si>
    <t>Per base:</t>
  </si>
  <si>
    <t>Annual for 82 bases (accounting for 20 already onboarded):</t>
  </si>
  <si>
    <t>Monthly per base for 82 bases (accounting for 20 already onboarded):</t>
  </si>
  <si>
    <t>Wastewater testing twice weekly, rather than once weekly, at every base</t>
  </si>
  <si>
    <t>We double the number of wastewater tests a month to model a situation where one test a week isn't considered enough.</t>
  </si>
  <si>
    <t>Average Salary (Nurse)</t>
  </si>
  <si>
    <t>Average Salary (Lab Tech)</t>
  </si>
  <si>
    <t>Average AF Salary (for Patients)</t>
  </si>
  <si>
    <t>Non-Outbreak</t>
  </si>
  <si>
    <t>Outbreak</t>
  </si>
  <si>
    <t>Non-outbreak</t>
  </si>
  <si>
    <t>Weekly wastewater testing; two 2-month outbreaks detected per year</t>
  </si>
  <si>
    <t>To account for there being their being an outbreak enviornment for 4 months out of the year, we double the amount of Tier 4 testing for just those four months out of the year</t>
  </si>
  <si>
    <t>Yearly Total Cost Difference (Tier 4 - WWS)</t>
  </si>
  <si>
    <t>Yearly Costs w/o Fixed Costs</t>
  </si>
  <si>
    <t>Area or building specific weekly wastewater test (5 areas/buildings); two 2-month outbreaks detected per year</t>
  </si>
  <si>
    <t>To account for a situation where the response to an outbreak is to start doing wastewater testing at multiple base sub-locations, we multiply the number of wastewater tests given a month by 5.</t>
  </si>
  <si>
    <t>Cost of Lost Work Per PCR Test</t>
  </si>
  <si>
    <t>To account for there being their being an outbreak environment for 4 months out of the year, we double the amount of Tier 4 testing for just those four months out of the year</t>
  </si>
  <si>
    <t>Monthly Cost (non-outbreak)</t>
  </si>
  <si>
    <t>Outbreak Monthly</t>
  </si>
  <si>
    <t>Wastewater Tests Per Month (Non-Outbreak)</t>
  </si>
  <si>
    <t>Wastewater Tests Per Month (Outbreak)</t>
  </si>
  <si>
    <t xml:space="preserve">Ongoing Support </t>
  </si>
  <si>
    <t>Outbreak Monthly Costs w/o Fixed Costs</t>
  </si>
  <si>
    <t>WWS Monthly and Annual, Accounting for Onboarded and Non-Onboarded Bases:</t>
  </si>
  <si>
    <t>Bases</t>
  </si>
  <si>
    <t>Monthly total for onboarded bases:</t>
  </si>
  <si>
    <t>Monthly total for other bases:</t>
  </si>
  <si>
    <t>Months:</t>
  </si>
  <si>
    <t>Total Year</t>
  </si>
  <si>
    <t>Annual total for all onboarded bases:</t>
  </si>
  <si>
    <t>Annual total for all other bases:</t>
  </si>
  <si>
    <t>Total Year:</t>
  </si>
  <si>
    <t>Annual per base for all bases:</t>
  </si>
  <si>
    <t>Per base per month for all bases:</t>
  </si>
  <si>
    <t>Annual Costs per Base</t>
  </si>
  <si>
    <t>Tier 4</t>
  </si>
  <si>
    <t>WWS</t>
  </si>
  <si>
    <t>Difference
(Tier 4 - WWS)</t>
  </si>
  <si>
    <t>Cost of Lost Work</t>
  </si>
  <si>
    <t>Scenario 1</t>
  </si>
  <si>
    <t>Scenario 2</t>
  </si>
  <si>
    <t>Scenario 3</t>
  </si>
  <si>
    <t>Scenario 4</t>
  </si>
  <si>
    <t>Number of Bases:</t>
  </si>
  <si>
    <t>Annual Costs, All Bases</t>
  </si>
  <si>
    <t>Diff w/Cost of Lost Work</t>
  </si>
  <si>
    <t>Parameter Documentation</t>
  </si>
  <si>
    <t>Summary Documentation</t>
  </si>
  <si>
    <t>Assumptions</t>
  </si>
  <si>
    <t>Scenarios</t>
  </si>
  <si>
    <t>Parameter</t>
  </si>
  <si>
    <t>Description</t>
  </si>
  <si>
    <t>Source</t>
  </si>
  <si>
    <t>Summary Metric</t>
  </si>
  <si>
    <t>Assumption</t>
  </si>
  <si>
    <t>Rationale</t>
  </si>
  <si>
    <t>Scenario #</t>
  </si>
  <si>
    <t>Tier 4 Parameters</t>
  </si>
  <si>
    <t>The amount of money an Airman gets paid (salary plus benefits) to get clinically tested for COVID-19, including travel to and from the clinical testing site.</t>
  </si>
  <si>
    <t>There are negligible, if any, startup costs to Tier 4 PCR Surveillance.</t>
  </si>
  <si>
    <t>The bases shouldn't need to buy anything for Tier 4 because they would already have it from earlier in the pandemic.</t>
  </si>
  <si>
    <t>General surveillance, no outbreak protocol.</t>
  </si>
  <si>
    <t>293 PCR tests per week
1 WWS test per week</t>
  </si>
  <si>
    <t>The number of PCR tests given in a month that isn't considered an outbreak. This will be on the lower end of the range of PCR tests given per month that we calculated from the Tier 4 Surveillance Plan.</t>
  </si>
  <si>
    <t>Tier 4 PCR Surveillance Plan (low end of estimate)</t>
  </si>
  <si>
    <t>Total cost of having Airmen leave work to get tested per month</t>
  </si>
  <si>
    <t>There is minimal loss of work under WWS</t>
  </si>
  <si>
    <t>One of the main draws of WWS is that there is minimized loss of work for Air Force staff. Staff time to administer the program and conduct tests is included. There is no time required for other Airmen to "get tested" as in Tier 4 surveillance.</t>
  </si>
  <si>
    <t xml:space="preserve">General surveillance, but with increased WWS testing. </t>
  </si>
  <si>
    <t>293 PCR tests per week
2 WWS test per week</t>
  </si>
  <si>
    <t>The number of PCR tests given in a month that is an outbreak. This will be on the higher end of the range of PCR tests given per month that we calculated from the Tier 4 Surveillance Plan.</t>
  </si>
  <si>
    <t>Tier 4 PCR Surveillance Plan (high end of estimate)</t>
  </si>
  <si>
    <t>Total cost of having Airmen leave work to get tested per year</t>
  </si>
  <si>
    <t>4 months out of the year are considered an outbreak. Response is to increase PCR testing for those months.</t>
  </si>
  <si>
    <t>Non-Outbreak:
293 PCR tests per week
1 WWS test per week
Outbreak:
586 PCR tests per week
1 WWS test per week</t>
  </si>
  <si>
    <t>The amount of time a person is out of work to get a COVID-19 nasal swab PCR test</t>
  </si>
  <si>
    <t>Estimate</t>
  </si>
  <si>
    <t>The yearly difference in cost between the programs</t>
  </si>
  <si>
    <t>4 months out of the year are considered an outbreak. Response is to increasing PCR and WWS testing for those months.</t>
  </si>
  <si>
    <t>Non-Outbreak:
293 PCR tests per week
1 WWS test per week
Outbreak:
586 PCR tests per week
5 WWS test per week</t>
  </si>
  <si>
    <t>The amount of time a Lab Tech spends on the sampling process per PCR test</t>
  </si>
  <si>
    <t>Using the difference in cost (Tier 4 - WWS) how many PCR test could be bought to support WWS</t>
  </si>
  <si>
    <t>The amount of time a nurse spends on the sampling process per PCR test</t>
  </si>
  <si>
    <t>Using the difference in cost (Tier 4 - WWS), plus the value of the loss of work, how many PCR tests could be bought to support WWS (includes loss of work on the additional tests)?</t>
  </si>
  <si>
    <t>The amount of time a nurse spends on the Data Management and Reporting process per PCR test</t>
  </si>
  <si>
    <t>The amount of time a lab tech spends on the Data Management and Reporting process per PCR test</t>
  </si>
  <si>
    <t>A percentage increase to Air Force salaries to account for the benefits staff are recieving through employment</t>
  </si>
  <si>
    <t>Common practice; consistent with BLS data</t>
  </si>
  <si>
    <t>An Air Force Nurse salary</t>
  </si>
  <si>
    <t>Salary.com</t>
  </si>
  <si>
    <t>An Air Force Lab Tech salary</t>
  </si>
  <si>
    <t>Indeed.com</t>
  </si>
  <si>
    <t>The average salary of an Airman</t>
  </si>
  <si>
    <t>Glassdoor.com</t>
  </si>
  <si>
    <t>The material cost of a PCR Test</t>
  </si>
  <si>
    <t>The total material and labor cost associated with the a singular PCR test</t>
  </si>
  <si>
    <t>Calculation - Material cost of a PCR test plus the cost of labor per PCR test.</t>
  </si>
  <si>
    <t>WWS Parameters</t>
  </si>
  <si>
    <t>The cost of choosing which bases are included in the WWS program</t>
  </si>
  <si>
    <t>The cost of onboarding and training a base for the WWS program</t>
  </si>
  <si>
    <t>Device Cost</t>
  </si>
  <si>
    <t>The number of WWS tests conducted in a non-outbreak month</t>
  </si>
  <si>
    <t>Phase 2 testing cadence</t>
  </si>
  <si>
    <t>The number of WWS tests conducted in a outbreak month</t>
  </si>
  <si>
    <t>Material Cost</t>
  </si>
  <si>
    <t>Number of hours it takes to take and process a WWS test</t>
  </si>
  <si>
    <t>The wage of a Low Ranking Airman</t>
  </si>
  <si>
    <t>Airforce.com</t>
  </si>
  <si>
    <t>The cost associated with collecting, managing and reporting the results from WWS tests</t>
  </si>
  <si>
    <t>The cost of providing as-needed help and guidance to base or other personnel involved in WWS</t>
  </si>
  <si>
    <t>The cost of working with vendors to make sure each base has the neccessary supplies</t>
  </si>
  <si>
    <t>Program Coordination and Oversight</t>
  </si>
  <si>
    <t>The cost of coordinated activities across the WWS program</t>
  </si>
  <si>
    <t>DoD SME</t>
  </si>
  <si>
    <t>Technical and pricing SME for pilot study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</si>
</sst>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quot;$&quot;#,##0.00"/>
    <numFmt numFmtId="165" formatCode="_([$$-409]* #,##0.00_);_([$$-409]* \(#,##0.00\);_([$$-409]* &quot;-&quot;??_);_(@_)"/>
    <numFmt numFmtId="166" formatCode="&quot;$&quot;#,##0"/>
    <numFmt numFmtId="167" formatCode="_(* #,##0_);_(* \(#,##0\);_(* &quot;-&quot;??_);_(@_)"/>
  </numFmts>
  <fonts count="21" x14ac:knownFonts="1">
    <font>
      <sz val="12"/>
      <color theme="1"/>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
      <sz val="11"/>
      <color rgb="FF000000"/>
      <name val="Calibri"/>
      <family val="2"/>
      <charset val="1"/>
    </font>
    <font>
      <sz val="12"/>
      <color rgb="FF000000"/>
      <name val="Calibri"/>
      <family val="2"/>
      <scheme val="minor"/>
    </font>
    <font>
      <b/>
      <sz val="11"/>
      <color rgb="FF444444"/>
      <name val="Calibri"/>
      <family val="2"/>
      <charset val="1"/>
    </font>
    <font>
      <sz val="12"/>
      <color rgb="FF000000"/>
      <name val="Calibri"/>
      <family val="2"/>
      <charset val="1"/>
    </font>
    <font>
      <sz val="12"/>
      <color rgb="FF000000"/>
      <name val="Calibri"/>
      <family val="2"/>
    </font>
    <font>
      <sz val="11"/>
      <color rgb="FF000000"/>
      <name val="Calibri"/>
      <family val="2"/>
    </font>
    <font>
      <b/>
      <sz val="11"/>
      <color rgb="FF000000"/>
      <name val="Calibri"/>
      <family val="2"/>
      <charset val="1"/>
    </font>
    <font>
      <sz val="12"/>
      <color rgb="FF00B0F0"/>
      <name val="Calibri"/>
      <family val="2"/>
      <scheme val="minor"/>
    </font>
    <font>
      <b/>
      <sz val="12"/>
      <color rgb="FFFF0000"/>
      <name val="Calibri"/>
      <family val="2"/>
      <scheme val="minor"/>
    </font>
    <font>
      <sz val="12"/>
      <color rgb="FFFFFFFF"/>
      <name val="Calibri"/>
      <family val="2"/>
      <scheme val="minor"/>
    </font>
    <font>
      <strike/>
      <sz val="12"/>
      <color theme="1"/>
      <name val="Calibri"/>
      <family val="2"/>
      <scheme val="minor"/>
    </font>
    <font>
      <sz val="12"/>
      <name val="Calibri"/>
      <family val="2"/>
      <scheme val="minor"/>
    </font>
    <font>
      <b/>
      <sz val="12"/>
      <color rgb="FF000000"/>
      <name val="Calibri"/>
      <family val="2"/>
      <scheme val="minor"/>
    </font>
    <font>
      <b/>
      <sz val="12"/>
      <color rgb="FFFFFFFF"/>
      <name val="Calibri"/>
      <family val="2"/>
      <scheme val="minor"/>
    </font>
    <font>
      <b/>
      <sz val="12"/>
      <color rgb="FF00B0F0"/>
      <name val="Calibri"/>
      <family val="2"/>
      <scheme val="minor"/>
    </font>
    <font>
      <b/>
      <sz val="12"/>
      <color theme="0"/>
      <name val="Calibri"/>
      <family val="2"/>
      <scheme val="minor"/>
    </font>
    <font>
      <sz val="12"/>
      <color theme="0"/>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0000"/>
        <bgColor indexed="64"/>
      </patternFill>
    </fill>
    <fill>
      <patternFill patternType="solid">
        <fgColor theme="9" tint="0.59999389629810485"/>
        <bgColor indexed="64"/>
      </patternFill>
    </fill>
  </fills>
  <borders count="9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style="medium">
        <color rgb="FF000000"/>
      </top>
      <bottom style="medium">
        <color rgb="FF000000"/>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indexed="64"/>
      </top>
      <bottom style="medium">
        <color indexed="64"/>
      </bottom>
      <diagonal/>
    </border>
    <border>
      <left style="medium">
        <color rgb="FF000000"/>
      </left>
      <right style="thin">
        <color rgb="FF000000"/>
      </right>
      <top style="medium">
        <color rgb="FF000000"/>
      </top>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style="medium">
        <color rgb="FF000000"/>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indexed="64"/>
      </left>
      <right/>
      <top style="thin">
        <color indexed="64"/>
      </top>
      <bottom style="medium">
        <color indexed="64"/>
      </bottom>
      <diagonal/>
    </border>
    <border>
      <left style="thin">
        <color rgb="FF000000"/>
      </left>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style="medium">
        <color rgb="FF000000"/>
      </top>
      <bottom style="thin">
        <color rgb="FF000000"/>
      </bottom>
      <diagonal/>
    </border>
    <border>
      <left style="medium">
        <color indexed="64"/>
      </left>
      <right style="thin">
        <color indexed="64"/>
      </right>
      <top/>
      <bottom style="medium">
        <color indexed="64"/>
      </bottom>
      <diagonal/>
    </border>
    <border>
      <left/>
      <right style="thin">
        <color rgb="FF000000"/>
      </right>
      <top/>
      <bottom style="medium">
        <color rgb="FF000000"/>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top style="thin">
        <color rgb="FF000000"/>
      </top>
      <bottom style="thin">
        <color rgb="FF000000"/>
      </bottom>
      <diagonal/>
    </border>
    <border>
      <left style="medium">
        <color rgb="FF000000"/>
      </left>
      <right style="thin">
        <color rgb="FF000000"/>
      </right>
      <top/>
      <bottom/>
      <diagonal/>
    </border>
    <border>
      <left style="thin">
        <color rgb="FF000000"/>
      </left>
      <right/>
      <top style="medium">
        <color rgb="FF000000"/>
      </top>
      <bottom/>
      <diagonal/>
    </border>
    <border>
      <left style="thin">
        <color rgb="FF000000"/>
      </left>
      <right/>
      <top/>
      <bottom/>
      <diagonal/>
    </border>
    <border>
      <left style="thin">
        <color rgb="FF000000"/>
      </left>
      <right/>
      <top/>
      <bottom style="medium">
        <color rgb="FF000000"/>
      </bottom>
      <diagonal/>
    </border>
    <border>
      <left style="thin">
        <color rgb="FF000000"/>
      </left>
      <right style="medium">
        <color rgb="FF000000"/>
      </right>
      <top style="thin">
        <color rgb="FF000000"/>
      </top>
      <bottom/>
      <diagonal/>
    </border>
    <border>
      <left/>
      <right style="medium">
        <color rgb="FF000000"/>
      </right>
      <top style="thin">
        <color rgb="FF000000"/>
      </top>
      <bottom style="medium">
        <color rgb="FF000000"/>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375">
    <xf numFmtId="0" fontId="0" fillId="0" borderId="0" xfId="0"/>
    <xf numFmtId="0" fontId="0" fillId="0" borderId="3" xfId="0" applyBorder="1"/>
    <xf numFmtId="0" fontId="0" fillId="2" borderId="3" xfId="0" applyFill="1" applyBorder="1"/>
    <xf numFmtId="0" fontId="0" fillId="0" borderId="4" xfId="0" applyBorder="1"/>
    <xf numFmtId="0" fontId="0" fillId="0" borderId="6" xfId="0" applyBorder="1"/>
    <xf numFmtId="0" fontId="0" fillId="2" borderId="7" xfId="0" applyFill="1" applyBorder="1"/>
    <xf numFmtId="0" fontId="0" fillId="2" borderId="15" xfId="0" applyFill="1" applyBorder="1"/>
    <xf numFmtId="0" fontId="0" fillId="2" borderId="9" xfId="0" applyFill="1" applyBorder="1"/>
    <xf numFmtId="164" fontId="0" fillId="0" borderId="3" xfId="1" applyNumberFormat="1" applyFont="1" applyBorder="1"/>
    <xf numFmtId="164" fontId="0" fillId="0" borderId="0" xfId="0" applyNumberFormat="1"/>
    <xf numFmtId="164" fontId="0" fillId="2" borderId="5" xfId="0" applyNumberFormat="1" applyFill="1" applyBorder="1"/>
    <xf numFmtId="164" fontId="0" fillId="2" borderId="16" xfId="0" applyNumberFormat="1" applyFill="1" applyBorder="1"/>
    <xf numFmtId="164" fontId="0" fillId="0" borderId="5" xfId="0" applyNumberFormat="1" applyBorder="1"/>
    <xf numFmtId="164" fontId="0" fillId="2" borderId="3" xfId="0" applyNumberFormat="1" applyFill="1" applyBorder="1"/>
    <xf numFmtId="164" fontId="0" fillId="2" borderId="9" xfId="0" applyNumberFormat="1" applyFill="1" applyBorder="1"/>
    <xf numFmtId="164" fontId="0" fillId="0" borderId="3" xfId="0" applyNumberFormat="1" applyBorder="1"/>
    <xf numFmtId="164" fontId="0" fillId="0" borderId="7" xfId="0" applyNumberFormat="1" applyBorder="1"/>
    <xf numFmtId="2" fontId="0" fillId="0" borderId="3" xfId="0" applyNumberFormat="1" applyBorder="1"/>
    <xf numFmtId="2" fontId="0" fillId="2" borderId="3" xfId="0" applyNumberFormat="1" applyFill="1" applyBorder="1"/>
    <xf numFmtId="0" fontId="0" fillId="3" borderId="3" xfId="0" applyFill="1" applyBorder="1"/>
    <xf numFmtId="164" fontId="0" fillId="3" borderId="3" xfId="0" applyNumberFormat="1" applyFill="1" applyBorder="1"/>
    <xf numFmtId="164" fontId="0" fillId="3" borderId="5" xfId="0" applyNumberFormat="1" applyFill="1" applyBorder="1"/>
    <xf numFmtId="0" fontId="0" fillId="0" borderId="21" xfId="0" applyBorder="1"/>
    <xf numFmtId="0" fontId="0" fillId="0" borderId="23" xfId="0" applyBorder="1"/>
    <xf numFmtId="0" fontId="0" fillId="0" borderId="25" xfId="0" applyBorder="1"/>
    <xf numFmtId="0" fontId="1" fillId="0" borderId="10" xfId="0" applyFont="1" applyBorder="1" applyAlignment="1">
      <alignment horizontal="center" vertical="center"/>
    </xf>
    <xf numFmtId="0" fontId="1" fillId="0" borderId="13" xfId="0" applyFont="1" applyBorder="1" applyAlignment="1">
      <alignment horizontal="center" vertical="center"/>
    </xf>
    <xf numFmtId="164" fontId="1" fillId="0" borderId="13" xfId="0" applyNumberFormat="1" applyFont="1" applyBorder="1" applyAlignment="1">
      <alignment horizontal="center" vertical="center"/>
    </xf>
    <xf numFmtId="164" fontId="1" fillId="0" borderId="11" xfId="0" applyNumberFormat="1" applyFont="1" applyBorder="1" applyAlignment="1">
      <alignment horizontal="center" vertical="center"/>
    </xf>
    <xf numFmtId="0" fontId="1" fillId="0" borderId="10" xfId="0" applyFont="1" applyBorder="1" applyAlignment="1">
      <alignment horizontal="center" vertical="top"/>
    </xf>
    <xf numFmtId="0" fontId="1" fillId="0" borderId="13" xfId="0" applyFont="1" applyBorder="1" applyAlignment="1">
      <alignment horizontal="center" vertical="top"/>
    </xf>
    <xf numFmtId="164" fontId="1" fillId="0" borderId="13" xfId="0" applyNumberFormat="1" applyFont="1" applyBorder="1" applyAlignment="1">
      <alignment horizontal="center" vertical="top"/>
    </xf>
    <xf numFmtId="164" fontId="1" fillId="0" borderId="11" xfId="0" applyNumberFormat="1" applyFont="1" applyBorder="1" applyAlignment="1">
      <alignment horizontal="center" vertical="top"/>
    </xf>
    <xf numFmtId="164" fontId="0" fillId="0" borderId="26" xfId="0" applyNumberFormat="1" applyBorder="1"/>
    <xf numFmtId="164" fontId="0" fillId="0" borderId="24" xfId="0" applyNumberFormat="1" applyBorder="1"/>
    <xf numFmtId="164" fontId="0" fillId="0" borderId="25" xfId="0" applyNumberFormat="1" applyBorder="1"/>
    <xf numFmtId="165" fontId="0" fillId="0" borderId="0" xfId="0" applyNumberFormat="1"/>
    <xf numFmtId="0" fontId="0" fillId="0" borderId="24" xfId="0" applyBorder="1"/>
    <xf numFmtId="0" fontId="0" fillId="0" borderId="40" xfId="0" applyBorder="1"/>
    <xf numFmtId="164" fontId="0" fillId="0" borderId="41" xfId="0" applyNumberFormat="1" applyBorder="1"/>
    <xf numFmtId="164" fontId="0" fillId="3" borderId="13" xfId="0" applyNumberFormat="1" applyFill="1" applyBorder="1"/>
    <xf numFmtId="164" fontId="5" fillId="0" borderId="17" xfId="0" applyNumberFormat="1" applyFont="1" applyBorder="1"/>
    <xf numFmtId="0" fontId="0" fillId="0" borderId="43" xfId="0" applyBorder="1"/>
    <xf numFmtId="0" fontId="5" fillId="3" borderId="3" xfId="0" applyFont="1" applyFill="1" applyBorder="1"/>
    <xf numFmtId="164" fontId="0" fillId="0" borderId="17" xfId="0" applyNumberFormat="1" applyBorder="1"/>
    <xf numFmtId="0" fontId="0" fillId="0" borderId="17" xfId="0" applyBorder="1"/>
    <xf numFmtId="164" fontId="0" fillId="0" borderId="31" xfId="0" applyNumberFormat="1" applyBorder="1"/>
    <xf numFmtId="164" fontId="0" fillId="3" borderId="24" xfId="0" applyNumberFormat="1" applyFill="1" applyBorder="1"/>
    <xf numFmtId="0" fontId="0" fillId="0" borderId="45" xfId="0" applyBorder="1"/>
    <xf numFmtId="0" fontId="1" fillId="0" borderId="0" xfId="0" applyFont="1"/>
    <xf numFmtId="0" fontId="0" fillId="0" borderId="37" xfId="0" applyBorder="1"/>
    <xf numFmtId="0" fontId="0" fillId="0" borderId="28" xfId="0" applyBorder="1" applyAlignment="1">
      <alignment vertical="center" wrapText="1"/>
    </xf>
    <xf numFmtId="0" fontId="0" fillId="0" borderId="0" xfId="0" applyAlignment="1">
      <alignment vertical="center" wrapText="1"/>
    </xf>
    <xf numFmtId="0" fontId="0" fillId="0" borderId="34" xfId="0" applyBorder="1"/>
    <xf numFmtId="0" fontId="0" fillId="0" borderId="18" xfId="0" applyBorder="1" applyAlignment="1">
      <alignment horizontal="center" vertical="center" indent="1"/>
    </xf>
    <xf numFmtId="0" fontId="0" fillId="0" borderId="0" xfId="0" applyAlignment="1">
      <alignment horizontal="center"/>
    </xf>
    <xf numFmtId="0" fontId="1" fillId="0" borderId="0" xfId="0" applyFont="1" applyAlignment="1">
      <alignment horizontal="center"/>
    </xf>
    <xf numFmtId="164" fontId="0" fillId="0" borderId="0" xfId="1" applyNumberFormat="1" applyFont="1" applyFill="1" applyBorder="1" applyAlignment="1">
      <alignment horizontal="right"/>
    </xf>
    <xf numFmtId="1" fontId="0" fillId="0" borderId="0" xfId="0" applyNumberFormat="1"/>
    <xf numFmtId="0" fontId="1" fillId="0" borderId="21" xfId="0" applyFont="1" applyBorder="1" applyAlignment="1">
      <alignment horizontal="center" vertical="center"/>
    </xf>
    <xf numFmtId="0" fontId="1" fillId="0" borderId="22" xfId="0" applyFont="1" applyBorder="1" applyAlignment="1">
      <alignment horizontal="center"/>
    </xf>
    <xf numFmtId="0" fontId="1" fillId="0" borderId="30" xfId="0" applyFont="1" applyBorder="1" applyAlignment="1">
      <alignment horizontal="center"/>
    </xf>
    <xf numFmtId="165" fontId="6" fillId="3" borderId="32" xfId="0" quotePrefix="1" applyNumberFormat="1" applyFont="1" applyFill="1" applyBorder="1"/>
    <xf numFmtId="165" fontId="6" fillId="3" borderId="38" xfId="0" quotePrefix="1" applyNumberFormat="1" applyFont="1" applyFill="1" applyBorder="1"/>
    <xf numFmtId="165" fontId="0" fillId="3" borderId="17" xfId="0" applyNumberFormat="1" applyFill="1" applyBorder="1"/>
    <xf numFmtId="164" fontId="5" fillId="3" borderId="3" xfId="0" applyNumberFormat="1" applyFont="1" applyFill="1" applyBorder="1"/>
    <xf numFmtId="164" fontId="5" fillId="3" borderId="5" xfId="0" applyNumberFormat="1" applyFont="1" applyFill="1" applyBorder="1"/>
    <xf numFmtId="0" fontId="5" fillId="0" borderId="37" xfId="0" applyFont="1" applyBorder="1"/>
    <xf numFmtId="0" fontId="5" fillId="0" borderId="23" xfId="0" applyFont="1" applyBorder="1"/>
    <xf numFmtId="0" fontId="5" fillId="0" borderId="25" xfId="0" applyFont="1" applyBorder="1"/>
    <xf numFmtId="164" fontId="5" fillId="0" borderId="24" xfId="0" applyNumberFormat="1" applyFont="1" applyBorder="1"/>
    <xf numFmtId="164" fontId="5" fillId="0" borderId="17" xfId="1" applyNumberFormat="1" applyFont="1" applyFill="1" applyBorder="1" applyAlignment="1">
      <alignment horizontal="right"/>
    </xf>
    <xf numFmtId="0" fontId="0" fillId="0" borderId="0" xfId="0" applyAlignment="1">
      <alignment horizontal="center" wrapText="1"/>
    </xf>
    <xf numFmtId="166" fontId="0" fillId="0" borderId="0" xfId="0" applyNumberFormat="1"/>
    <xf numFmtId="2" fontId="0" fillId="0" borderId="0" xfId="0" applyNumberFormat="1"/>
    <xf numFmtId="2" fontId="1" fillId="0" borderId="0" xfId="0" applyNumberFormat="1" applyFont="1"/>
    <xf numFmtId="164" fontId="0" fillId="0" borderId="19" xfId="0" applyNumberFormat="1" applyBorder="1"/>
    <xf numFmtId="164" fontId="5" fillId="0" borderId="0" xfId="0" applyNumberFormat="1" applyFont="1"/>
    <xf numFmtId="1" fontId="5" fillId="0" borderId="0" xfId="0" applyNumberFormat="1" applyFont="1"/>
    <xf numFmtId="2" fontId="0" fillId="0" borderId="17" xfId="0" applyNumberFormat="1" applyBorder="1"/>
    <xf numFmtId="0" fontId="0" fillId="0" borderId="51" xfId="0" applyBorder="1"/>
    <xf numFmtId="164" fontId="0" fillId="0" borderId="52" xfId="0" applyNumberFormat="1" applyBorder="1"/>
    <xf numFmtId="0" fontId="0" fillId="0" borderId="53" xfId="0" applyBorder="1"/>
    <xf numFmtId="164" fontId="0" fillId="3" borderId="17" xfId="0" applyNumberFormat="1" applyFill="1" applyBorder="1"/>
    <xf numFmtId="164" fontId="0" fillId="3" borderId="54" xfId="0" applyNumberFormat="1" applyFill="1" applyBorder="1"/>
    <xf numFmtId="0" fontId="0" fillId="0" borderId="55" xfId="0" applyBorder="1"/>
    <xf numFmtId="164" fontId="0" fillId="3" borderId="56" xfId="0" applyNumberFormat="1" applyFill="1" applyBorder="1"/>
    <xf numFmtId="164" fontId="0" fillId="3" borderId="57" xfId="0" applyNumberFormat="1" applyFill="1" applyBorder="1"/>
    <xf numFmtId="0" fontId="0" fillId="0" borderId="0" xfId="0" applyAlignment="1">
      <alignment wrapText="1"/>
    </xf>
    <xf numFmtId="2" fontId="0" fillId="0" borderId="31" xfId="0" applyNumberFormat="1" applyBorder="1"/>
    <xf numFmtId="2" fontId="0" fillId="0" borderId="19" xfId="0" applyNumberFormat="1" applyBorder="1"/>
    <xf numFmtId="164" fontId="0" fillId="0" borderId="20" xfId="0" applyNumberFormat="1" applyBorder="1"/>
    <xf numFmtId="0" fontId="0" fillId="0" borderId="18" xfId="0" applyBorder="1" applyAlignment="1">
      <alignment horizontal="center" wrapText="1"/>
    </xf>
    <xf numFmtId="164" fontId="0" fillId="0" borderId="19" xfId="0" applyNumberFormat="1" applyBorder="1" applyAlignment="1">
      <alignment horizontal="center" wrapText="1"/>
    </xf>
    <xf numFmtId="2" fontId="0" fillId="0" borderId="19" xfId="0" applyNumberFormat="1" applyBorder="1" applyAlignment="1">
      <alignment horizontal="center" wrapText="1"/>
    </xf>
    <xf numFmtId="2" fontId="0" fillId="0" borderId="20" xfId="0" applyNumberFormat="1" applyBorder="1" applyAlignment="1">
      <alignment horizontal="center" wrapText="1"/>
    </xf>
    <xf numFmtId="0" fontId="0" fillId="0" borderId="10" xfId="0" applyBorder="1"/>
    <xf numFmtId="164" fontId="0" fillId="0" borderId="17" xfId="1" applyNumberFormat="1" applyFont="1" applyBorder="1"/>
    <xf numFmtId="164" fontId="0" fillId="2" borderId="17" xfId="0" applyNumberFormat="1" applyFill="1" applyBorder="1"/>
    <xf numFmtId="2" fontId="0" fillId="2" borderId="17" xfId="0" applyNumberFormat="1" applyFill="1" applyBorder="1"/>
    <xf numFmtId="164" fontId="5" fillId="3" borderId="17" xfId="0" applyNumberFormat="1" applyFont="1" applyFill="1" applyBorder="1"/>
    <xf numFmtId="0" fontId="1" fillId="0" borderId="61" xfId="0" applyFont="1" applyBorder="1" applyAlignment="1">
      <alignment horizontal="center" vertical="center"/>
    </xf>
    <xf numFmtId="0" fontId="1" fillId="0" borderId="62" xfId="0" applyFont="1" applyBorder="1" applyAlignment="1">
      <alignment horizontal="center" vertical="center"/>
    </xf>
    <xf numFmtId="164" fontId="1" fillId="0" borderId="62" xfId="0" applyNumberFormat="1" applyFont="1" applyBorder="1" applyAlignment="1">
      <alignment horizontal="center" vertical="center"/>
    </xf>
    <xf numFmtId="164" fontId="1" fillId="0" borderId="63" xfId="0" applyNumberFormat="1" applyFont="1" applyBorder="1" applyAlignment="1">
      <alignment horizontal="center" vertical="center"/>
    </xf>
    <xf numFmtId="164" fontId="0" fillId="0" borderId="21" xfId="0" applyNumberFormat="1" applyBorder="1"/>
    <xf numFmtId="164" fontId="0" fillId="0" borderId="23" xfId="0" applyNumberFormat="1" applyBorder="1"/>
    <xf numFmtId="164" fontId="0" fillId="2" borderId="24" xfId="0" applyNumberFormat="1" applyFill="1" applyBorder="1"/>
    <xf numFmtId="164" fontId="5" fillId="3" borderId="24" xfId="0" applyNumberFormat="1" applyFont="1" applyFill="1" applyBorder="1"/>
    <xf numFmtId="0" fontId="0" fillId="2" borderId="31" xfId="0" applyFill="1" applyBorder="1"/>
    <xf numFmtId="0" fontId="1" fillId="0" borderId="64" xfId="0" applyFont="1" applyBorder="1" applyAlignment="1">
      <alignment horizontal="center" vertical="center"/>
    </xf>
    <xf numFmtId="0" fontId="1" fillId="0" borderId="65" xfId="0" applyFont="1" applyBorder="1" applyAlignment="1">
      <alignment horizontal="center" vertical="center"/>
    </xf>
    <xf numFmtId="164" fontId="1" fillId="0" borderId="65" xfId="0" applyNumberFormat="1" applyFont="1" applyBorder="1" applyAlignment="1">
      <alignment horizontal="center" vertical="center"/>
    </xf>
    <xf numFmtId="164" fontId="1" fillId="0" borderId="66" xfId="0" applyNumberFormat="1" applyFont="1" applyBorder="1" applyAlignment="1">
      <alignment horizontal="center" vertical="center"/>
    </xf>
    <xf numFmtId="0" fontId="0" fillId="0" borderId="13" xfId="0" applyBorder="1"/>
    <xf numFmtId="164" fontId="0" fillId="3" borderId="11" xfId="0" applyNumberFormat="1" applyFill="1" applyBorder="1"/>
    <xf numFmtId="0" fontId="1" fillId="0" borderId="64" xfId="0" applyFont="1" applyBorder="1" applyAlignment="1">
      <alignment horizontal="center" vertical="top"/>
    </xf>
    <xf numFmtId="0" fontId="1" fillId="0" borderId="65" xfId="0" applyFont="1" applyBorder="1" applyAlignment="1">
      <alignment horizontal="center" vertical="top"/>
    </xf>
    <xf numFmtId="164" fontId="1" fillId="0" borderId="65" xfId="0" applyNumberFormat="1" applyFont="1" applyBorder="1" applyAlignment="1">
      <alignment horizontal="center" vertical="top"/>
    </xf>
    <xf numFmtId="164" fontId="1" fillId="0" borderId="66" xfId="0" applyNumberFormat="1" applyFont="1" applyBorder="1" applyAlignment="1">
      <alignment horizontal="center" vertical="top"/>
    </xf>
    <xf numFmtId="0" fontId="0" fillId="2" borderId="13" xfId="0" applyFill="1" applyBorder="1"/>
    <xf numFmtId="164" fontId="0" fillId="2" borderId="13" xfId="0" applyNumberFormat="1" applyFill="1" applyBorder="1"/>
    <xf numFmtId="164" fontId="0" fillId="2" borderId="11" xfId="0" applyNumberFormat="1" applyFill="1" applyBorder="1"/>
    <xf numFmtId="0" fontId="1" fillId="0" borderId="48" xfId="0" applyFont="1" applyBorder="1" applyAlignment="1">
      <alignment horizontal="center" vertical="center"/>
    </xf>
    <xf numFmtId="0" fontId="1" fillId="0" borderId="58" xfId="0" applyFont="1" applyBorder="1" applyAlignment="1">
      <alignment horizontal="center" vertical="center"/>
    </xf>
    <xf numFmtId="164" fontId="1" fillId="0" borderId="58" xfId="0" applyNumberFormat="1" applyFont="1" applyBorder="1" applyAlignment="1">
      <alignment horizontal="center" vertical="center"/>
    </xf>
    <xf numFmtId="164" fontId="0" fillId="0" borderId="22" xfId="0" applyNumberFormat="1" applyBorder="1"/>
    <xf numFmtId="0" fontId="0" fillId="3" borderId="24" xfId="0" applyFill="1" applyBorder="1"/>
    <xf numFmtId="164" fontId="0" fillId="0" borderId="30" xfId="0" applyNumberFormat="1" applyBorder="1" applyAlignment="1">
      <alignment horizontal="right" vertical="center"/>
    </xf>
    <xf numFmtId="0" fontId="0" fillId="0" borderId="30" xfId="0" applyBorder="1" applyAlignment="1">
      <alignment horizontal="left" vertical="center"/>
    </xf>
    <xf numFmtId="164" fontId="0" fillId="0" borderId="13" xfId="0" applyNumberFormat="1" applyBorder="1" applyAlignment="1">
      <alignment horizontal="center" vertical="center"/>
    </xf>
    <xf numFmtId="164" fontId="0" fillId="0" borderId="13" xfId="0" applyNumberFormat="1" applyBorder="1" applyAlignment="1">
      <alignment horizontal="right" vertical="center"/>
    </xf>
    <xf numFmtId="164" fontId="0" fillId="0" borderId="11" xfId="0" applyNumberFormat="1" applyBorder="1" applyAlignment="1">
      <alignment horizontal="right" vertical="center"/>
    </xf>
    <xf numFmtId="0" fontId="0" fillId="0" borderId="13" xfId="0" applyBorder="1" applyAlignment="1">
      <alignment horizontal="left" vertical="center"/>
    </xf>
    <xf numFmtId="164" fontId="0" fillId="0" borderId="22" xfId="0" applyNumberFormat="1" applyBorder="1" applyAlignment="1">
      <alignment horizontal="right" vertical="center"/>
    </xf>
    <xf numFmtId="2" fontId="0" fillId="0" borderId="30" xfId="0" applyNumberFormat="1" applyBorder="1"/>
    <xf numFmtId="164" fontId="0" fillId="0" borderId="30" xfId="0" applyNumberFormat="1" applyBorder="1"/>
    <xf numFmtId="164" fontId="1" fillId="0" borderId="0" xfId="0" applyNumberFormat="1" applyFont="1"/>
    <xf numFmtId="2" fontId="0" fillId="0" borderId="0" xfId="0" applyNumberFormat="1" applyAlignment="1">
      <alignment horizontal="right"/>
    </xf>
    <xf numFmtId="164" fontId="0" fillId="0" borderId="0" xfId="0" applyNumberFormat="1" applyAlignment="1">
      <alignment horizontal="right"/>
    </xf>
    <xf numFmtId="2" fontId="11" fillId="0" borderId="0" xfId="0" applyNumberFormat="1" applyFont="1"/>
    <xf numFmtId="2" fontId="3" fillId="0" borderId="0" xfId="0" applyNumberFormat="1" applyFont="1"/>
    <xf numFmtId="0" fontId="0" fillId="0" borderId="18" xfId="0" applyBorder="1"/>
    <xf numFmtId="0" fontId="0" fillId="0" borderId="60" xfId="0" applyBorder="1" applyAlignment="1">
      <alignment horizontal="center" wrapText="1"/>
    </xf>
    <xf numFmtId="164" fontId="3" fillId="3" borderId="19" xfId="0" applyNumberFormat="1" applyFont="1" applyFill="1" applyBorder="1"/>
    <xf numFmtId="0" fontId="0" fillId="3" borderId="60" xfId="0" applyFill="1" applyBorder="1"/>
    <xf numFmtId="0" fontId="0" fillId="0" borderId="20" xfId="0" applyBorder="1" applyAlignment="1">
      <alignment horizontal="center"/>
    </xf>
    <xf numFmtId="2" fontId="0" fillId="0" borderId="70" xfId="0" applyNumberFormat="1" applyBorder="1" applyAlignment="1">
      <alignment horizontal="center" wrapText="1"/>
    </xf>
    <xf numFmtId="167" fontId="0" fillId="0" borderId="32" xfId="3" applyNumberFormat="1" applyFont="1" applyBorder="1"/>
    <xf numFmtId="167" fontId="0" fillId="0" borderId="17" xfId="3" applyNumberFormat="1" applyFont="1" applyBorder="1"/>
    <xf numFmtId="167" fontId="0" fillId="0" borderId="33" xfId="3" applyNumberFormat="1" applyFont="1" applyBorder="1"/>
    <xf numFmtId="167" fontId="0" fillId="0" borderId="19" xfId="3" applyNumberFormat="1" applyFont="1" applyBorder="1"/>
    <xf numFmtId="2" fontId="0" fillId="0" borderId="72" xfId="0" applyNumberFormat="1" applyBorder="1"/>
    <xf numFmtId="0" fontId="1" fillId="0" borderId="73" xfId="0" applyFont="1" applyBorder="1"/>
    <xf numFmtId="167" fontId="1" fillId="0" borderId="74" xfId="3" applyNumberFormat="1" applyFont="1" applyBorder="1"/>
    <xf numFmtId="2" fontId="1" fillId="0" borderId="74" xfId="0" applyNumberFormat="1" applyFont="1" applyBorder="1"/>
    <xf numFmtId="164" fontId="1" fillId="0" borderId="75" xfId="0" applyNumberFormat="1" applyFont="1" applyBorder="1"/>
    <xf numFmtId="0" fontId="1" fillId="0" borderId="18" xfId="0" applyFont="1" applyBorder="1"/>
    <xf numFmtId="164" fontId="12" fillId="3" borderId="19" xfId="0" applyNumberFormat="1" applyFont="1" applyFill="1" applyBorder="1"/>
    <xf numFmtId="167" fontId="1" fillId="0" borderId="19" xfId="3" applyNumberFormat="1" applyFont="1" applyBorder="1"/>
    <xf numFmtId="2" fontId="1" fillId="0" borderId="19" xfId="0" applyNumberFormat="1" applyFont="1" applyBorder="1"/>
    <xf numFmtId="164" fontId="1" fillId="0" borderId="20" xfId="0" applyNumberFormat="1" applyFont="1" applyBorder="1"/>
    <xf numFmtId="0" fontId="0" fillId="0" borderId="23" xfId="0" applyBorder="1" applyAlignment="1">
      <alignment horizontal="center" vertical="center"/>
    </xf>
    <xf numFmtId="164" fontId="0" fillId="0" borderId="23" xfId="0" applyNumberFormat="1" applyBorder="1" applyAlignment="1">
      <alignment horizontal="center" vertical="center"/>
    </xf>
    <xf numFmtId="0" fontId="9" fillId="0" borderId="23" xfId="0" applyFont="1" applyBorder="1" applyAlignment="1">
      <alignment horizontal="center" vertical="center"/>
    </xf>
    <xf numFmtId="0" fontId="0" fillId="0" borderId="21" xfId="0" applyBorder="1" applyAlignment="1">
      <alignment horizontal="center" vertical="center"/>
    </xf>
    <xf numFmtId="0" fontId="1" fillId="0" borderId="45" xfId="0" applyFont="1" applyBorder="1" applyAlignment="1">
      <alignment horizontal="center"/>
    </xf>
    <xf numFmtId="0" fontId="1" fillId="0" borderId="45" xfId="0" applyFont="1" applyBorder="1" applyAlignment="1">
      <alignment horizontal="center" wrapText="1"/>
    </xf>
    <xf numFmtId="164" fontId="12" fillId="0" borderId="0" xfId="0" applyNumberFormat="1" applyFont="1"/>
    <xf numFmtId="167" fontId="1" fillId="0" borderId="0" xfId="3" applyNumberFormat="1" applyFont="1"/>
    <xf numFmtId="0" fontId="0" fillId="0" borderId="24" xfId="0" applyBorder="1" applyAlignment="1">
      <alignment vertical="top" wrapText="1"/>
    </xf>
    <xf numFmtId="0" fontId="8" fillId="0" borderId="24" xfId="0" applyFont="1" applyBorder="1" applyAlignment="1">
      <alignment vertical="top" wrapText="1"/>
    </xf>
    <xf numFmtId="8" fontId="0" fillId="0" borderId="24" xfId="0" applyNumberFormat="1" applyBorder="1" applyAlignment="1">
      <alignment vertical="top" wrapText="1"/>
    </xf>
    <xf numFmtId="0" fontId="0" fillId="0" borderId="26" xfId="0" applyBorder="1" applyAlignment="1">
      <alignment vertical="top" wrapText="1"/>
    </xf>
    <xf numFmtId="0" fontId="0" fillId="0" borderId="25" xfId="0" applyBorder="1" applyAlignment="1">
      <alignment horizontal="center" vertical="center"/>
    </xf>
    <xf numFmtId="0" fontId="0" fillId="0" borderId="17" xfId="0" applyBorder="1" applyAlignment="1">
      <alignment horizontal="left" vertical="top" wrapText="1"/>
    </xf>
    <xf numFmtId="0" fontId="0" fillId="0" borderId="18" xfId="0" applyBorder="1" applyAlignment="1">
      <alignment horizontal="center" vertical="center"/>
    </xf>
    <xf numFmtId="0" fontId="0" fillId="0" borderId="19" xfId="0" applyBorder="1" applyAlignment="1">
      <alignment vertical="top" wrapText="1"/>
    </xf>
    <xf numFmtId="0" fontId="0" fillId="0" borderId="20" xfId="0" applyBorder="1" applyAlignment="1">
      <alignment vertical="top" wrapText="1"/>
    </xf>
    <xf numFmtId="0" fontId="0" fillId="0" borderId="30" xfId="0" applyBorder="1" applyAlignment="1">
      <alignment horizontal="left" vertical="top" wrapText="1"/>
    </xf>
    <xf numFmtId="0" fontId="8" fillId="0" borderId="17" xfId="0" applyFont="1" applyBorder="1" applyAlignment="1">
      <alignment horizontal="left" vertical="top"/>
    </xf>
    <xf numFmtId="0" fontId="0" fillId="0" borderId="31" xfId="0" applyBorder="1" applyAlignment="1">
      <alignment horizontal="left" vertical="top" wrapText="1"/>
    </xf>
    <xf numFmtId="0" fontId="0" fillId="0" borderId="73" xfId="0" applyBorder="1"/>
    <xf numFmtId="164" fontId="3" fillId="3" borderId="74" xfId="0" applyNumberFormat="1" applyFont="1" applyFill="1" applyBorder="1"/>
    <xf numFmtId="2" fontId="0" fillId="0" borderId="74" xfId="0" applyNumberFormat="1" applyBorder="1"/>
    <xf numFmtId="164" fontId="0" fillId="0" borderId="75" xfId="0" applyNumberFormat="1" applyBorder="1"/>
    <xf numFmtId="43" fontId="0" fillId="0" borderId="74" xfId="3" applyFont="1" applyBorder="1"/>
    <xf numFmtId="43" fontId="1" fillId="0" borderId="19" xfId="3" applyFont="1" applyBorder="1"/>
    <xf numFmtId="0" fontId="0" fillId="3" borderId="19" xfId="0" applyFill="1" applyBorder="1"/>
    <xf numFmtId="43" fontId="0" fillId="0" borderId="19" xfId="3" applyFont="1" applyBorder="1"/>
    <xf numFmtId="0" fontId="0" fillId="0" borderId="22" xfId="0" applyBorder="1" applyAlignment="1">
      <alignment horizontal="left" vertical="top" wrapText="1"/>
    </xf>
    <xf numFmtId="9" fontId="0" fillId="0" borderId="0" xfId="2" applyFont="1"/>
    <xf numFmtId="166" fontId="0" fillId="0" borderId="0" xfId="1" applyNumberFormat="1" applyFont="1"/>
    <xf numFmtId="164" fontId="0" fillId="0" borderId="0" xfId="3" applyNumberFormat="1" applyFont="1"/>
    <xf numFmtId="0" fontId="5" fillId="0" borderId="0" xfId="0" applyFont="1" applyAlignment="1">
      <alignment horizontal="center"/>
    </xf>
    <xf numFmtId="164" fontId="7" fillId="0" borderId="0" xfId="0" applyNumberFormat="1" applyFont="1"/>
    <xf numFmtId="164" fontId="5" fillId="0" borderId="0" xfId="1" applyNumberFormat="1" applyFont="1" applyFill="1" applyBorder="1" applyAlignment="1">
      <alignment horizontal="right"/>
    </xf>
    <xf numFmtId="0" fontId="5" fillId="0" borderId="23" xfId="0" applyFont="1" applyBorder="1" applyAlignment="1">
      <alignment horizontal="left" vertical="top" wrapText="1"/>
    </xf>
    <xf numFmtId="0" fontId="5" fillId="0" borderId="37" xfId="0" applyFont="1" applyBorder="1" applyAlignment="1">
      <alignment horizontal="left"/>
    </xf>
    <xf numFmtId="165" fontId="10" fillId="0" borderId="0" xfId="0" quotePrefix="1" applyNumberFormat="1" applyFont="1"/>
    <xf numFmtId="0" fontId="13" fillId="0" borderId="0" xfId="0" applyFont="1" applyAlignment="1">
      <alignment horizontal="center"/>
    </xf>
    <xf numFmtId="0" fontId="5" fillId="0" borderId="25" xfId="0" applyFont="1" applyBorder="1" applyAlignment="1">
      <alignment wrapText="1"/>
    </xf>
    <xf numFmtId="0" fontId="5" fillId="0" borderId="23" xfId="0" applyFont="1" applyBorder="1" applyAlignment="1">
      <alignment horizontal="left"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164" fontId="4" fillId="0" borderId="0" xfId="0" quotePrefix="1" applyNumberFormat="1" applyFont="1"/>
    <xf numFmtId="165" fontId="6" fillId="0" borderId="0" xfId="0" quotePrefix="1" applyNumberFormat="1" applyFont="1"/>
    <xf numFmtId="0" fontId="5" fillId="0" borderId="37" xfId="0" applyFont="1" applyBorder="1" applyAlignment="1">
      <alignment horizontal="left" wrapText="1"/>
    </xf>
    <xf numFmtId="0" fontId="5" fillId="0" borderId="23" xfId="0" applyFont="1" applyBorder="1" applyAlignment="1">
      <alignment vertical="top" wrapText="1"/>
    </xf>
    <xf numFmtId="164" fontId="1" fillId="0" borderId="59" xfId="0" applyNumberFormat="1" applyFont="1" applyBorder="1" applyAlignment="1">
      <alignment horizontal="center" vertical="center"/>
    </xf>
    <xf numFmtId="164" fontId="1" fillId="0" borderId="58" xfId="0" applyNumberFormat="1" applyFont="1" applyBorder="1" applyAlignment="1">
      <alignment horizontal="center" vertical="center" wrapText="1"/>
    </xf>
    <xf numFmtId="0" fontId="14" fillId="0" borderId="0" xfId="0" applyFont="1"/>
    <xf numFmtId="164" fontId="14" fillId="0" borderId="0" xfId="0" applyNumberFormat="1" applyFont="1"/>
    <xf numFmtId="164" fontId="0" fillId="0" borderId="78" xfId="0" applyNumberFormat="1" applyBorder="1"/>
    <xf numFmtId="164" fontId="0" fillId="0" borderId="40" xfId="0" applyNumberFormat="1" applyBorder="1"/>
    <xf numFmtId="164" fontId="0" fillId="0" borderId="79" xfId="0" applyNumberFormat="1" applyBorder="1"/>
    <xf numFmtId="164" fontId="0" fillId="0" borderId="44" xfId="0" applyNumberFormat="1" applyBorder="1"/>
    <xf numFmtId="164" fontId="0" fillId="0" borderId="71" xfId="0" applyNumberFormat="1" applyBorder="1"/>
    <xf numFmtId="164" fontId="0" fillId="0" borderId="80" xfId="0" applyNumberFormat="1" applyBorder="1"/>
    <xf numFmtId="0" fontId="0" fillId="3" borderId="40" xfId="0" applyFill="1" applyBorder="1"/>
    <xf numFmtId="164" fontId="5" fillId="3" borderId="0" xfId="0" applyNumberFormat="1" applyFont="1" applyFill="1"/>
    <xf numFmtId="164" fontId="0" fillId="3" borderId="41" xfId="0" applyNumberFormat="1" applyFill="1" applyBorder="1"/>
    <xf numFmtId="0" fontId="0" fillId="3" borderId="53" xfId="0" applyFill="1" applyBorder="1"/>
    <xf numFmtId="9" fontId="0" fillId="0" borderId="0" xfId="2" applyFont="1" applyBorder="1"/>
    <xf numFmtId="164" fontId="0" fillId="4" borderId="26" xfId="0" applyNumberFormat="1" applyFill="1" applyBorder="1"/>
    <xf numFmtId="164" fontId="0" fillId="4" borderId="0" xfId="0" applyNumberFormat="1" applyFill="1"/>
    <xf numFmtId="164" fontId="0" fillId="4" borderId="17" xfId="0" applyNumberFormat="1" applyFill="1" applyBorder="1"/>
    <xf numFmtId="164" fontId="0" fillId="4" borderId="30" xfId="0" applyNumberFormat="1" applyFill="1" applyBorder="1"/>
    <xf numFmtId="164" fontId="0" fillId="4" borderId="49" xfId="0" applyNumberFormat="1" applyFill="1" applyBorder="1"/>
    <xf numFmtId="1" fontId="5" fillId="4" borderId="17" xfId="1" applyNumberFormat="1" applyFont="1" applyFill="1" applyBorder="1" applyAlignment="1">
      <alignment horizontal="right"/>
    </xf>
    <xf numFmtId="1" fontId="0" fillId="4" borderId="24" xfId="0" applyNumberFormat="1" applyFill="1" applyBorder="1"/>
    <xf numFmtId="164" fontId="5" fillId="4" borderId="17" xfId="0" applyNumberFormat="1" applyFont="1" applyFill="1" applyBorder="1" applyAlignment="1">
      <alignment horizontal="right"/>
    </xf>
    <xf numFmtId="164" fontId="5" fillId="4" borderId="17" xfId="0" applyNumberFormat="1" applyFont="1" applyFill="1" applyBorder="1"/>
    <xf numFmtId="164" fontId="5" fillId="4" borderId="24" xfId="0" applyNumberFormat="1" applyFont="1" applyFill="1" applyBorder="1"/>
    <xf numFmtId="164" fontId="0" fillId="4" borderId="24" xfId="0" applyNumberFormat="1" applyFill="1" applyBorder="1"/>
    <xf numFmtId="1" fontId="5" fillId="4" borderId="31" xfId="1" applyNumberFormat="1" applyFont="1" applyFill="1" applyBorder="1" applyAlignment="1">
      <alignment horizontal="right"/>
    </xf>
    <xf numFmtId="1" fontId="0" fillId="4" borderId="26" xfId="0" applyNumberFormat="1" applyFill="1" applyBorder="1"/>
    <xf numFmtId="1" fontId="5" fillId="4" borderId="26" xfId="1" applyNumberFormat="1" applyFont="1" applyFill="1" applyBorder="1" applyAlignment="1">
      <alignment horizontal="right"/>
    </xf>
    <xf numFmtId="164" fontId="0" fillId="4" borderId="5" xfId="0" applyNumberFormat="1" applyFill="1" applyBorder="1"/>
    <xf numFmtId="164" fontId="5" fillId="4" borderId="38" xfId="1" applyNumberFormat="1" applyFont="1" applyFill="1" applyBorder="1" applyAlignment="1">
      <alignment horizontal="right"/>
    </xf>
    <xf numFmtId="1" fontId="5" fillId="4" borderId="24" xfId="1" applyNumberFormat="1" applyFont="1" applyFill="1" applyBorder="1" applyAlignment="1">
      <alignment horizontal="right"/>
    </xf>
    <xf numFmtId="164" fontId="15" fillId="4" borderId="24" xfId="0" applyNumberFormat="1" applyFont="1" applyFill="1" applyBorder="1"/>
    <xf numFmtId="1" fontId="15" fillId="4" borderId="24" xfId="1" applyNumberFormat="1" applyFont="1" applyFill="1" applyBorder="1" applyAlignment="1">
      <alignment horizontal="right"/>
    </xf>
    <xf numFmtId="0" fontId="0" fillId="0" borderId="0" xfId="0" applyAlignment="1">
      <alignment horizontal="right"/>
    </xf>
    <xf numFmtId="164" fontId="0" fillId="0" borderId="50" xfId="0" applyNumberFormat="1" applyBorder="1"/>
    <xf numFmtId="166" fontId="0" fillId="4" borderId="3" xfId="0" applyNumberFormat="1" applyFill="1" applyBorder="1"/>
    <xf numFmtId="166" fontId="0" fillId="4" borderId="5" xfId="0" applyNumberFormat="1" applyFill="1" applyBorder="1"/>
    <xf numFmtId="166" fontId="0" fillId="4" borderId="7" xfId="0" applyNumberFormat="1" applyFill="1" applyBorder="1"/>
    <xf numFmtId="166" fontId="0" fillId="4" borderId="89" xfId="0" applyNumberFormat="1" applyFill="1" applyBorder="1"/>
    <xf numFmtId="164" fontId="0" fillId="0" borderId="0" xfId="0" applyNumberFormat="1" applyAlignment="1">
      <alignment horizontal="center"/>
    </xf>
    <xf numFmtId="0" fontId="0" fillId="0" borderId="84" xfId="0" applyBorder="1"/>
    <xf numFmtId="164" fontId="0" fillId="0" borderId="85" xfId="0" applyNumberFormat="1" applyBorder="1"/>
    <xf numFmtId="164" fontId="0" fillId="0" borderId="74" xfId="0" applyNumberFormat="1" applyBorder="1"/>
    <xf numFmtId="164" fontId="0" fillId="4" borderId="75" xfId="0" applyNumberFormat="1" applyFill="1" applyBorder="1"/>
    <xf numFmtId="0" fontId="0" fillId="0" borderId="82" xfId="0" applyBorder="1"/>
    <xf numFmtId="0" fontId="1" fillId="0" borderId="39" xfId="0" applyFont="1" applyBorder="1"/>
    <xf numFmtId="165" fontId="5" fillId="4" borderId="31" xfId="0" applyNumberFormat="1" applyFont="1" applyFill="1" applyBorder="1"/>
    <xf numFmtId="164" fontId="5" fillId="0" borderId="31" xfId="0" applyNumberFormat="1" applyFont="1" applyBorder="1"/>
    <xf numFmtId="164" fontId="5" fillId="0" borderId="26" xfId="0" applyNumberFormat="1" applyFont="1" applyBorder="1"/>
    <xf numFmtId="0" fontId="0" fillId="0" borderId="25" xfId="0" applyBorder="1" applyAlignment="1">
      <alignment horizontal="center" vertical="center" wrapText="1"/>
    </xf>
    <xf numFmtId="164" fontId="0" fillId="0" borderId="32" xfId="0" applyNumberFormat="1" applyBorder="1" applyAlignment="1">
      <alignment horizontal="center"/>
    </xf>
    <xf numFmtId="164" fontId="0" fillId="0" borderId="38" xfId="0" applyNumberFormat="1" applyBorder="1" applyAlignment="1">
      <alignment horizontal="center"/>
    </xf>
    <xf numFmtId="0" fontId="0" fillId="3" borderId="37" xfId="0" applyFill="1" applyBorder="1"/>
    <xf numFmtId="165" fontId="5" fillId="2" borderId="17" xfId="0" applyNumberFormat="1" applyFont="1" applyFill="1" applyBorder="1"/>
    <xf numFmtId="165" fontId="10" fillId="2" borderId="32" xfId="0" quotePrefix="1" applyNumberFormat="1" applyFont="1" applyFill="1" applyBorder="1"/>
    <xf numFmtId="165" fontId="10" fillId="2" borderId="38" xfId="0" quotePrefix="1" applyNumberFormat="1" applyFont="1" applyFill="1" applyBorder="1"/>
    <xf numFmtId="164" fontId="0" fillId="4" borderId="31" xfId="0" applyNumberFormat="1" applyFill="1" applyBorder="1"/>
    <xf numFmtId="164" fontId="0" fillId="4" borderId="83" xfId="0" applyNumberFormat="1" applyFill="1" applyBorder="1"/>
    <xf numFmtId="0" fontId="0" fillId="2" borderId="37" xfId="0" applyFill="1" applyBorder="1"/>
    <xf numFmtId="0" fontId="1" fillId="0" borderId="22" xfId="0" applyFont="1" applyBorder="1" applyAlignment="1">
      <alignment horizontal="center" vertical="center"/>
    </xf>
    <xf numFmtId="164" fontId="5" fillId="4" borderId="26" xfId="0" applyNumberFormat="1" applyFont="1" applyFill="1" applyBorder="1"/>
    <xf numFmtId="164" fontId="18" fillId="0" borderId="19" xfId="0" applyNumberFormat="1" applyFont="1" applyBorder="1"/>
    <xf numFmtId="2" fontId="18" fillId="0" borderId="19" xfId="0" applyNumberFormat="1" applyFont="1" applyBorder="1"/>
    <xf numFmtId="2" fontId="11" fillId="0" borderId="19" xfId="0" applyNumberFormat="1" applyFont="1" applyBorder="1"/>
    <xf numFmtId="164" fontId="18" fillId="0" borderId="20" xfId="0" applyNumberFormat="1" applyFont="1" applyBorder="1"/>
    <xf numFmtId="0" fontId="19" fillId="2" borderId="86" xfId="0" applyFont="1" applyFill="1" applyBorder="1" applyAlignment="1">
      <alignment horizontal="center"/>
    </xf>
    <xf numFmtId="0" fontId="19" fillId="2" borderId="87" xfId="0" applyFont="1" applyFill="1" applyBorder="1" applyAlignment="1">
      <alignment horizontal="center"/>
    </xf>
    <xf numFmtId="0" fontId="19" fillId="2" borderId="87" xfId="0" applyFont="1" applyFill="1" applyBorder="1" applyAlignment="1">
      <alignment horizontal="center" wrapText="1"/>
    </xf>
    <xf numFmtId="0" fontId="19" fillId="2" borderId="88" xfId="0" applyFont="1" applyFill="1" applyBorder="1" applyAlignment="1">
      <alignment horizontal="center" wrapText="1"/>
    </xf>
    <xf numFmtId="0" fontId="20" fillId="0" borderId="0" xfId="0" applyFont="1"/>
    <xf numFmtId="0" fontId="19" fillId="0" borderId="62" xfId="0" applyFont="1" applyBorder="1" applyAlignment="1">
      <alignment horizontal="center" wrapText="1"/>
    </xf>
    <xf numFmtId="166" fontId="20" fillId="0" borderId="62" xfId="0" applyNumberFormat="1" applyFont="1" applyBorder="1"/>
    <xf numFmtId="0" fontId="1" fillId="0" borderId="45" xfId="0" applyFont="1" applyBorder="1"/>
    <xf numFmtId="0" fontId="1" fillId="0" borderId="24" xfId="0" applyFont="1" applyBorder="1" applyAlignment="1">
      <alignment horizontal="center"/>
    </xf>
    <xf numFmtId="0" fontId="0" fillId="0" borderId="34" xfId="0" applyBorder="1" applyAlignment="1">
      <alignment horizontal="center" vertical="center"/>
    </xf>
    <xf numFmtId="0" fontId="0" fillId="0" borderId="33" xfId="0" applyBorder="1" applyAlignment="1">
      <alignment horizontal="left" vertical="top" wrapText="1"/>
    </xf>
    <xf numFmtId="0" fontId="0" fillId="0" borderId="95" xfId="0" applyBorder="1" applyAlignment="1">
      <alignment vertical="top" wrapText="1"/>
    </xf>
    <xf numFmtId="164" fontId="0" fillId="0" borderId="37" xfId="0" applyNumberFormat="1" applyBorder="1" applyAlignment="1">
      <alignment horizontal="center" vertical="center"/>
    </xf>
    <xf numFmtId="0" fontId="0" fillId="0" borderId="32" xfId="0" applyBorder="1" applyAlignment="1">
      <alignment horizontal="left" vertical="top"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21" xfId="0" applyBorder="1" applyAlignment="1">
      <alignment horizontal="center" vertical="center" wrapText="1"/>
    </xf>
    <xf numFmtId="0" fontId="8" fillId="0" borderId="22" xfId="0" applyFont="1" applyBorder="1" applyAlignment="1">
      <alignment vertical="top" wrapText="1"/>
    </xf>
    <xf numFmtId="0" fontId="8" fillId="0" borderId="17" xfId="0" applyFont="1" applyBorder="1" applyAlignment="1">
      <alignment horizontal="left" vertical="top" wrapText="1"/>
    </xf>
    <xf numFmtId="0" fontId="8" fillId="0" borderId="31" xfId="0" applyFont="1" applyBorder="1" applyAlignment="1">
      <alignment vertical="top" wrapText="1"/>
    </xf>
    <xf numFmtId="0" fontId="8" fillId="0" borderId="96" xfId="0" applyFont="1" applyBorder="1" applyAlignment="1">
      <alignment vertical="top" wrapText="1"/>
    </xf>
    <xf numFmtId="0" fontId="1" fillId="0" borderId="35" xfId="0" applyFont="1" applyBorder="1" applyAlignment="1">
      <alignment horizontal="center"/>
    </xf>
    <xf numFmtId="0" fontId="1" fillId="0" borderId="39" xfId="0" applyFont="1" applyBorder="1" applyAlignment="1">
      <alignment horizontal="center"/>
    </xf>
    <xf numFmtId="0" fontId="1" fillId="0" borderId="36"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1" fillId="0" borderId="46" xfId="0" applyFont="1" applyBorder="1" applyAlignment="1">
      <alignment horizontal="center"/>
    </xf>
    <xf numFmtId="164" fontId="18" fillId="0" borderId="18" xfId="0" applyNumberFormat="1" applyFont="1" applyBorder="1" applyAlignment="1">
      <alignment horizontal="center"/>
    </xf>
    <xf numFmtId="164" fontId="18" fillId="0" borderId="19" xfId="0" applyNumberFormat="1" applyFont="1" applyBorder="1" applyAlignment="1">
      <alignment horizontal="center"/>
    </xf>
    <xf numFmtId="164" fontId="0" fillId="0" borderId="42" xfId="0" applyNumberFormat="1" applyBorder="1" applyAlignment="1">
      <alignment horizontal="center"/>
    </xf>
    <xf numFmtId="164" fontId="0" fillId="0" borderId="41" xfId="0" applyNumberFormat="1" applyBorder="1" applyAlignment="1">
      <alignment horizontal="center"/>
    </xf>
    <xf numFmtId="0" fontId="1" fillId="0" borderId="12" xfId="0" applyFont="1" applyBorder="1" applyAlignment="1">
      <alignment horizontal="center"/>
    </xf>
    <xf numFmtId="0" fontId="1" fillId="0" borderId="14" xfId="0" applyFont="1" applyBorder="1" applyAlignment="1">
      <alignment horizontal="center"/>
    </xf>
    <xf numFmtId="0" fontId="1" fillId="0" borderId="8" xfId="0" applyFont="1" applyBorder="1" applyAlignment="1">
      <alignment horizontal="center"/>
    </xf>
    <xf numFmtId="0" fontId="1" fillId="0" borderId="0" xfId="0" applyFont="1" applyAlignment="1">
      <alignment horizontal="center"/>
    </xf>
    <xf numFmtId="0" fontId="1" fillId="0" borderId="67" xfId="0" applyFont="1" applyBorder="1" applyAlignment="1">
      <alignment horizontal="center"/>
    </xf>
    <xf numFmtId="0" fontId="0" fillId="0" borderId="68" xfId="0" applyBorder="1" applyAlignment="1">
      <alignment horizontal="center"/>
    </xf>
    <xf numFmtId="0" fontId="0" fillId="0" borderId="69"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37"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32" xfId="0" applyBorder="1" applyAlignment="1">
      <alignment horizontal="center" vertical="center" wrapText="1"/>
    </xf>
    <xf numFmtId="0" fontId="0" fillId="0" borderId="38" xfId="0" applyBorder="1" applyAlignment="1">
      <alignment horizontal="center" vertical="center" wrapText="1"/>
    </xf>
    <xf numFmtId="0" fontId="0" fillId="0" borderId="17" xfId="0" applyBorder="1" applyAlignment="1">
      <alignment horizontal="center" vertical="center" wrapText="1"/>
    </xf>
    <xf numFmtId="0" fontId="0" fillId="0" borderId="24" xfId="0" applyBorder="1" applyAlignment="1">
      <alignment horizontal="center" vertical="center" wrapText="1"/>
    </xf>
    <xf numFmtId="0" fontId="0" fillId="0" borderId="31" xfId="0" applyBorder="1" applyAlignment="1">
      <alignment horizontal="center" vertical="center" wrapText="1"/>
    </xf>
    <xf numFmtId="0" fontId="0" fillId="0" borderId="26" xfId="0" applyBorder="1" applyAlignment="1">
      <alignment horizontal="center" vertical="center" wrapText="1"/>
    </xf>
    <xf numFmtId="0" fontId="1" fillId="0" borderId="68" xfId="0" applyFont="1" applyBorder="1" applyAlignment="1">
      <alignment horizontal="center"/>
    </xf>
    <xf numFmtId="0" fontId="1" fillId="0" borderId="69" xfId="0" applyFont="1" applyBorder="1" applyAlignment="1">
      <alignment horizontal="center"/>
    </xf>
    <xf numFmtId="0" fontId="17" fillId="3" borderId="18" xfId="0" applyFont="1" applyFill="1" applyBorder="1" applyAlignment="1">
      <alignment horizontal="center"/>
    </xf>
    <xf numFmtId="0" fontId="17" fillId="3" borderId="20" xfId="0" applyFont="1" applyFill="1" applyBorder="1" applyAlignment="1">
      <alignment horizontal="center"/>
    </xf>
    <xf numFmtId="0" fontId="17" fillId="3" borderId="77" xfId="0" applyFont="1" applyFill="1" applyBorder="1" applyAlignment="1">
      <alignment horizontal="center"/>
    </xf>
    <xf numFmtId="0" fontId="17" fillId="3" borderId="50" xfId="0" applyFont="1" applyFill="1" applyBorder="1" applyAlignment="1">
      <alignment horizontal="center"/>
    </xf>
    <xf numFmtId="0" fontId="0" fillId="0" borderId="14" xfId="0" applyBorder="1" applyAlignment="1">
      <alignment horizontal="center"/>
    </xf>
    <xf numFmtId="0" fontId="0" fillId="0" borderId="8" xfId="0" applyBorder="1" applyAlignment="1">
      <alignment horizontal="center"/>
    </xf>
    <xf numFmtId="0" fontId="1" fillId="0" borderId="1" xfId="0" applyFont="1" applyBorder="1" applyAlignment="1">
      <alignment horizontal="center"/>
    </xf>
    <xf numFmtId="0" fontId="1" fillId="0" borderId="47" xfId="0" applyFont="1" applyBorder="1" applyAlignment="1">
      <alignment horizontal="center"/>
    </xf>
    <xf numFmtId="0" fontId="1" fillId="0" borderId="2" xfId="0" applyFont="1" applyBorder="1" applyAlignment="1">
      <alignment horizontal="center"/>
    </xf>
    <xf numFmtId="0" fontId="0" fillId="0" borderId="70" xfId="0" applyBorder="1" applyAlignment="1">
      <alignment horizontal="center"/>
    </xf>
    <xf numFmtId="0" fontId="0" fillId="0" borderId="39" xfId="0" applyBorder="1" applyAlignment="1">
      <alignment horizontal="center"/>
    </xf>
    <xf numFmtId="0" fontId="0" fillId="0" borderId="36" xfId="0" applyBorder="1" applyAlignment="1">
      <alignment horizontal="center"/>
    </xf>
    <xf numFmtId="0" fontId="0" fillId="0" borderId="48" xfId="0" applyBorder="1" applyAlignment="1">
      <alignment horizontal="center" vertical="center" wrapText="1"/>
    </xf>
    <xf numFmtId="0" fontId="0" fillId="0" borderId="91" xfId="0" applyBorder="1" applyAlignment="1">
      <alignment horizontal="center" vertical="center" wrapText="1"/>
    </xf>
    <xf numFmtId="0" fontId="0" fillId="0" borderId="73" xfId="0" applyBorder="1" applyAlignment="1">
      <alignment horizontal="center" vertical="center" wrapText="1"/>
    </xf>
    <xf numFmtId="0" fontId="0" fillId="0" borderId="92" xfId="0" applyBorder="1" applyAlignment="1">
      <alignment horizontal="center" vertical="center" wrapText="1"/>
    </xf>
    <xf numFmtId="0" fontId="0" fillId="0" borderId="28" xfId="0" applyBorder="1" applyAlignment="1">
      <alignment horizontal="center" vertical="center" wrapText="1"/>
    </xf>
    <xf numFmtId="0" fontId="0" fillId="0" borderId="46" xfId="0" applyBorder="1" applyAlignment="1">
      <alignment horizontal="center" vertical="center" wrapText="1"/>
    </xf>
    <xf numFmtId="0" fontId="0" fillId="0" borderId="93" xfId="0" applyBorder="1" applyAlignment="1">
      <alignment horizontal="center" vertical="center" wrapText="1"/>
    </xf>
    <xf numFmtId="0" fontId="0" fillId="0" borderId="0" xfId="0" applyAlignment="1">
      <alignment horizontal="center" vertical="center" wrapText="1"/>
    </xf>
    <xf numFmtId="0" fontId="0" fillId="0" borderId="29" xfId="0" applyBorder="1" applyAlignment="1">
      <alignment horizontal="center" vertical="center" wrapText="1"/>
    </xf>
    <xf numFmtId="0" fontId="0" fillId="0" borderId="94" xfId="0" applyBorder="1" applyAlignment="1">
      <alignment horizontal="center" vertical="center" wrapText="1"/>
    </xf>
    <xf numFmtId="0" fontId="0" fillId="0" borderId="82" xfId="0" applyBorder="1" applyAlignment="1">
      <alignment horizontal="center" vertical="center" wrapText="1"/>
    </xf>
    <xf numFmtId="0" fontId="0" fillId="0" borderId="76" xfId="0" applyBorder="1" applyAlignment="1">
      <alignment horizontal="center" vertical="center" wrapText="1"/>
    </xf>
    <xf numFmtId="164" fontId="17" fillId="3" borderId="81" xfId="0" applyNumberFormat="1" applyFont="1" applyFill="1" applyBorder="1" applyAlignment="1">
      <alignment horizontal="center"/>
    </xf>
    <xf numFmtId="164" fontId="17" fillId="3" borderId="82" xfId="0" applyNumberFormat="1" applyFont="1" applyFill="1" applyBorder="1" applyAlignment="1">
      <alignment horizontal="center"/>
    </xf>
    <xf numFmtId="164" fontId="17" fillId="3" borderId="76" xfId="0" applyNumberFormat="1" applyFont="1" applyFill="1" applyBorder="1" applyAlignment="1">
      <alignment horizontal="center"/>
    </xf>
    <xf numFmtId="0" fontId="17" fillId="3" borderId="90" xfId="0" applyFont="1" applyFill="1" applyBorder="1" applyAlignment="1">
      <alignment horizontal="center"/>
    </xf>
    <xf numFmtId="0" fontId="16" fillId="0" borderId="35" xfId="0" applyFont="1" applyBorder="1" applyAlignment="1">
      <alignment horizontal="center"/>
    </xf>
    <xf numFmtId="0" fontId="16" fillId="0" borderId="39" xfId="0" applyFont="1" applyBorder="1" applyAlignment="1">
      <alignment horizontal="center"/>
    </xf>
    <xf numFmtId="0" fontId="16" fillId="0" borderId="36" xfId="0" applyFont="1" applyBorder="1" applyAlignment="1">
      <alignment horizontal="center"/>
    </xf>
    <xf numFmtId="164" fontId="17" fillId="3" borderId="27" xfId="0" applyNumberFormat="1" applyFont="1" applyFill="1" applyBorder="1" applyAlignment="1">
      <alignment horizontal="center"/>
    </xf>
    <xf numFmtId="164" fontId="17" fillId="3" borderId="28" xfId="0" applyNumberFormat="1" applyFont="1" applyFill="1" applyBorder="1" applyAlignment="1">
      <alignment horizontal="center"/>
    </xf>
    <xf numFmtId="164" fontId="17" fillId="3" borderId="46" xfId="0" applyNumberFormat="1" applyFont="1" applyFill="1" applyBorder="1" applyAlignment="1">
      <alignment horizontal="center"/>
    </xf>
    <xf numFmtId="0" fontId="17" fillId="3" borderId="23" xfId="0" applyFont="1" applyFill="1" applyBorder="1" applyAlignment="1">
      <alignment horizontal="center"/>
    </xf>
    <xf numFmtId="0" fontId="17" fillId="3" borderId="17" xfId="0" applyFont="1" applyFill="1" applyBorder="1" applyAlignment="1">
      <alignment horizontal="center"/>
    </xf>
    <xf numFmtId="0" fontId="17" fillId="3" borderId="24" xfId="0" applyFont="1" applyFill="1" applyBorder="1" applyAlignment="1">
      <alignment horizontal="center"/>
    </xf>
    <xf numFmtId="0" fontId="1" fillId="0" borderId="35" xfId="0" applyFont="1" applyBorder="1" applyAlignment="1">
      <alignment horizontal="center" vertical="center"/>
    </xf>
    <xf numFmtId="0" fontId="1" fillId="0" borderId="39" xfId="0" applyFont="1" applyBorder="1" applyAlignment="1">
      <alignment horizontal="center" vertical="center"/>
    </xf>
    <xf numFmtId="0" fontId="1" fillId="0" borderId="36" xfId="0" applyFont="1" applyBorder="1" applyAlignment="1">
      <alignment horizontal="center" vertical="center"/>
    </xf>
    <xf numFmtId="0" fontId="1" fillId="0" borderId="18" xfId="0" applyFont="1" applyBorder="1" applyAlignment="1">
      <alignment horizontal="center"/>
    </xf>
    <xf numFmtId="0" fontId="1" fillId="0" borderId="20" xfId="0" applyFont="1" applyBorder="1" applyAlignment="1">
      <alignment horizontal="center"/>
    </xf>
    <xf numFmtId="0" fontId="1" fillId="0" borderId="19" xfId="0" applyFont="1" applyBorder="1" applyAlignment="1">
      <alignment horizontal="center"/>
    </xf>
    <xf numFmtId="166" fontId="0" fillId="0" borderId="17" xfId="0" applyNumberFormat="1" applyBorder="1"/>
    <xf numFmtId="166" fontId="0" fillId="0" borderId="31" xfId="0" applyNumberFormat="1" applyBorder="1"/>
    <xf numFmtId="166" fontId="0" fillId="0" borderId="38" xfId="0" applyNumberFormat="1" applyBorder="1"/>
    <xf numFmtId="166" fontId="0" fillId="0" borderId="20" xfId="0" applyNumberFormat="1" applyBorder="1"/>
    <xf numFmtId="166" fontId="1" fillId="0" borderId="20" xfId="0" applyNumberFormat="1" applyFont="1" applyBorder="1"/>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63013-C85C-424D-AF58-4B852570C2BE}">
  <sheetPr>
    <pageSetUpPr fitToPage="1"/>
  </sheetPr>
  <dimension ref="B1:T32"/>
  <sheetViews>
    <sheetView tabSelected="1" zoomScale="80" zoomScaleNormal="80" zoomScalePageLayoutView="90" workbookViewId="0">
      <selection activeCell="L17" sqref="L17"/>
    </sheetView>
  </sheetViews>
  <sheetFormatPr baseColWidth="10" defaultColWidth="8.83203125" defaultRowHeight="16" x14ac:dyDescent="0.2"/>
  <cols>
    <col min="1" max="1" width="1.1640625" customWidth="1"/>
    <col min="2" max="2" width="33.5" customWidth="1"/>
    <col min="3" max="3" width="15.6640625" style="9" customWidth="1"/>
    <col min="4" max="4" width="13.83203125" style="74" customWidth="1"/>
    <col min="5" max="5" width="13.83203125" style="9" customWidth="1"/>
    <col min="6" max="6" width="13.83203125" style="74" customWidth="1"/>
    <col min="7" max="7" width="13.6640625" style="9" customWidth="1"/>
    <col min="8" max="8" width="13.6640625" style="74" customWidth="1"/>
    <col min="9" max="9" width="13.6640625" style="9" customWidth="1"/>
    <col min="10" max="10" width="13.6640625" style="74" customWidth="1"/>
    <col min="11" max="11" width="13.6640625" style="9" customWidth="1"/>
    <col min="12" max="12" width="13.6640625" style="74" customWidth="1"/>
    <col min="13" max="13" width="13.6640625" style="9" customWidth="1"/>
    <col min="14" max="14" width="13.6640625" style="74" customWidth="1"/>
    <col min="15" max="15" width="13.6640625" style="9" customWidth="1"/>
    <col min="16" max="16" width="13.6640625" style="74" customWidth="1"/>
    <col min="17" max="17" width="13.6640625" style="9" customWidth="1"/>
    <col min="18" max="18" width="17.1640625" style="74" customWidth="1"/>
    <col min="19" max="19" width="9.1640625" customWidth="1"/>
    <col min="20" max="20" width="9.1640625" bestFit="1" customWidth="1"/>
    <col min="21" max="21" width="21.1640625" customWidth="1"/>
    <col min="22" max="22" width="34.33203125" bestFit="1" customWidth="1"/>
    <col min="23" max="23" width="11.83203125" customWidth="1"/>
    <col min="24" max="24" width="30.5" bestFit="1" customWidth="1"/>
    <col min="25" max="25" width="23.1640625" bestFit="1" customWidth="1"/>
    <col min="27" max="27" width="14.83203125" bestFit="1" customWidth="1"/>
  </cols>
  <sheetData>
    <row r="1" spans="2:14" x14ac:dyDescent="0.2">
      <c r="B1" s="49" t="s">
        <v>0</v>
      </c>
    </row>
    <row r="2" spans="2:14" ht="17" thickBot="1" x14ac:dyDescent="0.25">
      <c r="F2" s="138"/>
      <c r="G2" s="74"/>
      <c r="I2" s="139"/>
      <c r="L2" s="138"/>
      <c r="M2"/>
    </row>
    <row r="3" spans="2:14" ht="17" thickBot="1" x14ac:dyDescent="0.25">
      <c r="B3" s="297"/>
      <c r="C3" s="298"/>
      <c r="D3" s="298"/>
      <c r="E3" s="298"/>
      <c r="F3" s="298"/>
      <c r="G3" s="298"/>
      <c r="H3" s="298"/>
      <c r="I3" s="298"/>
      <c r="J3" s="298"/>
      <c r="K3" s="298"/>
      <c r="L3" s="298"/>
      <c r="M3" s="299"/>
    </row>
    <row r="4" spans="2:14" ht="52" thickBot="1" x14ac:dyDescent="0.25">
      <c r="B4" s="92" t="s">
        <v>1</v>
      </c>
      <c r="C4" s="143" t="s">
        <v>2</v>
      </c>
      <c r="D4" s="143" t="s">
        <v>3</v>
      </c>
      <c r="E4" s="94" t="s">
        <v>4</v>
      </c>
      <c r="F4" s="94" t="s">
        <v>5</v>
      </c>
      <c r="G4" s="94" t="s">
        <v>6</v>
      </c>
      <c r="H4" s="94" t="s">
        <v>7</v>
      </c>
      <c r="I4" s="94" t="s">
        <v>8</v>
      </c>
      <c r="J4" s="93" t="s">
        <v>9</v>
      </c>
      <c r="K4" s="94" t="s">
        <v>10</v>
      </c>
      <c r="L4" s="147" t="s">
        <v>11</v>
      </c>
      <c r="M4" s="146" t="s">
        <v>12</v>
      </c>
    </row>
    <row r="5" spans="2:14" x14ac:dyDescent="0.2">
      <c r="B5" s="50" t="s">
        <v>13</v>
      </c>
      <c r="C5" s="370">
        <f>250000/2080</f>
        <v>120.19230769230769</v>
      </c>
      <c r="D5" s="148">
        <v>0</v>
      </c>
      <c r="E5" s="148">
        <v>520</v>
      </c>
      <c r="F5" s="148">
        <f>372-38</f>
        <v>334</v>
      </c>
      <c r="G5" s="148">
        <v>0</v>
      </c>
      <c r="H5" s="148">
        <v>0</v>
      </c>
      <c r="I5" s="148">
        <v>533</v>
      </c>
      <c r="J5" s="148">
        <f>2080*1.5</f>
        <v>3120</v>
      </c>
      <c r="K5" s="148">
        <f>SUM(D5:J5)</f>
        <v>4507</v>
      </c>
      <c r="L5" s="152">
        <f>K5/(40*52)</f>
        <v>2.1668269230769233</v>
      </c>
      <c r="M5" s="372">
        <f>C5*K5</f>
        <v>541706.73076923075</v>
      </c>
      <c r="N5" s="140"/>
    </row>
    <row r="6" spans="2:14" x14ac:dyDescent="0.2">
      <c r="B6" s="23" t="s">
        <v>14</v>
      </c>
      <c r="C6" s="370">
        <f>300000/2080</f>
        <v>144.23076923076923</v>
      </c>
      <c r="D6" s="149">
        <f>0.5*2080</f>
        <v>1040</v>
      </c>
      <c r="E6" s="149">
        <v>0</v>
      </c>
      <c r="F6" s="149">
        <v>93</v>
      </c>
      <c r="G6" s="148">
        <v>0</v>
      </c>
      <c r="H6" s="148">
        <v>267</v>
      </c>
      <c r="I6" s="148">
        <v>0</v>
      </c>
      <c r="J6" s="149">
        <v>0</v>
      </c>
      <c r="K6" s="148">
        <f>SUM(D6:J6)</f>
        <v>1400</v>
      </c>
      <c r="L6" s="152">
        <f>K6/(40*52)</f>
        <v>0.67307692307692313</v>
      </c>
      <c r="M6" s="372">
        <f>C6*K6</f>
        <v>201923.07692307691</v>
      </c>
      <c r="N6" s="140"/>
    </row>
    <row r="7" spans="2:14" x14ac:dyDescent="0.2">
      <c r="B7" s="23" t="s">
        <v>15</v>
      </c>
      <c r="C7" s="370">
        <f>400000/2080</f>
        <v>192.30769230769232</v>
      </c>
      <c r="D7" s="149">
        <f>0.75*2080</f>
        <v>1560</v>
      </c>
      <c r="E7" s="149">
        <v>0</v>
      </c>
      <c r="F7" s="149">
        <v>93</v>
      </c>
      <c r="G7" s="148">
        <v>208</v>
      </c>
      <c r="H7" s="148">
        <v>267</v>
      </c>
      <c r="I7" s="148">
        <v>533</v>
      </c>
      <c r="J7" s="149">
        <v>0</v>
      </c>
      <c r="K7" s="148">
        <f>SUM(D7:J7)</f>
        <v>2661</v>
      </c>
      <c r="L7" s="152">
        <f>K7/(40*52)</f>
        <v>1.2793269230769231</v>
      </c>
      <c r="M7" s="372">
        <f>C7*K7</f>
        <v>511730.76923076925</v>
      </c>
      <c r="N7" s="140"/>
    </row>
    <row r="8" spans="2:14" ht="17" thickBot="1" x14ac:dyDescent="0.25">
      <c r="B8" s="53" t="s">
        <v>16</v>
      </c>
      <c r="C8" s="371">
        <f>250000/2080</f>
        <v>120.19230769230769</v>
      </c>
      <c r="D8" s="150">
        <v>0</v>
      </c>
      <c r="E8" s="150">
        <v>0</v>
      </c>
      <c r="F8" s="150">
        <v>0</v>
      </c>
      <c r="G8" s="148">
        <v>0</v>
      </c>
      <c r="H8" s="148">
        <f>0.5*(2080+(1560*3))</f>
        <v>3380</v>
      </c>
      <c r="I8" s="148">
        <f>0.5*(2080+(1560*3))</f>
        <v>3380</v>
      </c>
      <c r="J8" s="150">
        <v>0</v>
      </c>
      <c r="K8" s="148">
        <f>SUM(D8:J8)</f>
        <v>6760</v>
      </c>
      <c r="L8" s="152">
        <f>K8/(40*52)</f>
        <v>3.25</v>
      </c>
      <c r="M8" s="372">
        <f>C8*K8</f>
        <v>812500</v>
      </c>
      <c r="N8" s="141"/>
    </row>
    <row r="9" spans="2:14" ht="17" thickBot="1" x14ac:dyDescent="0.25">
      <c r="B9" s="142" t="s">
        <v>17</v>
      </c>
      <c r="C9" s="145"/>
      <c r="D9" s="151">
        <f t="shared" ref="D9:M9" si="0">SUM(D5:D8)</f>
        <v>2600</v>
      </c>
      <c r="E9" s="151">
        <f t="shared" si="0"/>
        <v>520</v>
      </c>
      <c r="F9" s="151">
        <f t="shared" si="0"/>
        <v>520</v>
      </c>
      <c r="G9" s="151">
        <f t="shared" si="0"/>
        <v>208</v>
      </c>
      <c r="H9" s="151">
        <f t="shared" si="0"/>
        <v>3914</v>
      </c>
      <c r="I9" s="151">
        <f t="shared" si="0"/>
        <v>4446</v>
      </c>
      <c r="J9" s="151">
        <f t="shared" si="0"/>
        <v>3120</v>
      </c>
      <c r="K9" s="151">
        <f t="shared" si="0"/>
        <v>15328</v>
      </c>
      <c r="L9" s="90">
        <f t="shared" si="0"/>
        <v>7.3692307692307697</v>
      </c>
      <c r="M9" s="373">
        <f t="shared" si="0"/>
        <v>2067860.576923077</v>
      </c>
      <c r="N9" s="140"/>
    </row>
    <row r="10" spans="2:14" ht="17" thickBot="1" x14ac:dyDescent="0.25">
      <c r="B10" s="142" t="s">
        <v>18</v>
      </c>
      <c r="C10" s="188"/>
      <c r="D10" s="189">
        <f>D9/2080</f>
        <v>1.25</v>
      </c>
      <c r="E10" s="189">
        <f t="shared" ref="E10:K10" si="1">E9/2080</f>
        <v>0.25</v>
      </c>
      <c r="F10" s="189">
        <f t="shared" si="1"/>
        <v>0.25</v>
      </c>
      <c r="G10" s="189">
        <f t="shared" si="1"/>
        <v>0.1</v>
      </c>
      <c r="H10" s="189">
        <f t="shared" si="1"/>
        <v>1.8817307692307692</v>
      </c>
      <c r="I10" s="189">
        <f t="shared" si="1"/>
        <v>2.1375000000000002</v>
      </c>
      <c r="J10" s="189">
        <f t="shared" si="1"/>
        <v>1.5</v>
      </c>
      <c r="K10" s="189">
        <f t="shared" si="1"/>
        <v>7.3692307692307688</v>
      </c>
      <c r="L10" s="90"/>
      <c r="M10" s="91"/>
      <c r="N10" s="140"/>
    </row>
    <row r="11" spans="2:14" ht="17" thickBot="1" x14ac:dyDescent="0.25">
      <c r="B11" s="300"/>
      <c r="C11" s="301"/>
      <c r="D11" s="301"/>
      <c r="E11" s="301"/>
      <c r="F11" s="301"/>
      <c r="G11" s="301"/>
      <c r="H11" s="301"/>
      <c r="I11" s="301"/>
      <c r="J11" s="301"/>
      <c r="K11" s="301"/>
      <c r="L11" s="301"/>
      <c r="M11" s="302"/>
      <c r="N11" s="140"/>
    </row>
    <row r="12" spans="2:14" ht="52" thickBot="1" x14ac:dyDescent="0.25">
      <c r="B12" s="92" t="s">
        <v>1</v>
      </c>
      <c r="C12" s="143" t="s">
        <v>2</v>
      </c>
      <c r="D12" s="143" t="s">
        <v>3</v>
      </c>
      <c r="E12" s="94" t="s">
        <v>19</v>
      </c>
      <c r="F12" s="94" t="s">
        <v>5</v>
      </c>
      <c r="G12" s="94" t="s">
        <v>6</v>
      </c>
      <c r="H12" s="94" t="s">
        <v>7</v>
      </c>
      <c r="I12" s="94" t="s">
        <v>8</v>
      </c>
      <c r="J12" s="93" t="s">
        <v>9</v>
      </c>
      <c r="K12" s="94" t="s">
        <v>10</v>
      </c>
      <c r="L12" s="147" t="s">
        <v>11</v>
      </c>
      <c r="M12" s="146" t="s">
        <v>12</v>
      </c>
      <c r="N12" s="140"/>
    </row>
    <row r="13" spans="2:14" x14ac:dyDescent="0.2">
      <c r="B13" s="50" t="s">
        <v>20</v>
      </c>
      <c r="C13" s="44">
        <f>450000/2080</f>
        <v>216.34615384615384</v>
      </c>
      <c r="D13" s="148">
        <v>0</v>
      </c>
      <c r="E13" s="148">
        <f>2080*0.1</f>
        <v>208</v>
      </c>
      <c r="F13" s="148">
        <v>0</v>
      </c>
      <c r="G13" s="148">
        <v>117</v>
      </c>
      <c r="H13" s="148">
        <v>0</v>
      </c>
      <c r="I13" s="148">
        <v>0</v>
      </c>
      <c r="J13" s="148">
        <v>0</v>
      </c>
      <c r="K13" s="148">
        <f>SUM(E13:J13)</f>
        <v>325</v>
      </c>
      <c r="L13" s="152">
        <f>K13/(40*52)</f>
        <v>0.15625</v>
      </c>
      <c r="M13" s="372">
        <f>K13*C13</f>
        <v>70312.5</v>
      </c>
      <c r="N13" s="140"/>
    </row>
    <row r="14" spans="2:14" x14ac:dyDescent="0.2">
      <c r="B14" s="53" t="s">
        <v>20</v>
      </c>
      <c r="C14" s="370">
        <f>350000/2080</f>
        <v>168.26923076923077</v>
      </c>
      <c r="D14" s="150">
        <v>0</v>
      </c>
      <c r="E14" s="150">
        <v>0</v>
      </c>
      <c r="F14" s="150">
        <v>62</v>
      </c>
      <c r="G14" s="148">
        <v>0</v>
      </c>
      <c r="H14" s="148">
        <v>0</v>
      </c>
      <c r="I14" s="148">
        <v>0</v>
      </c>
      <c r="J14" s="148">
        <v>0</v>
      </c>
      <c r="K14" s="150">
        <f>SUM(E14:J14)</f>
        <v>62</v>
      </c>
      <c r="L14" s="152">
        <f>K14/(40*52)</f>
        <v>2.9807692307692309E-2</v>
      </c>
      <c r="M14" s="372">
        <f>K14*C14</f>
        <v>10432.692307692309</v>
      </c>
      <c r="N14" s="140"/>
    </row>
    <row r="15" spans="2:14" x14ac:dyDescent="0.2">
      <c r="B15" s="23" t="s">
        <v>21</v>
      </c>
      <c r="C15" s="370">
        <f>350000/2080</f>
        <v>168.26923076923077</v>
      </c>
      <c r="D15" s="150">
        <v>0</v>
      </c>
      <c r="E15" s="149">
        <v>0</v>
      </c>
      <c r="F15" s="149">
        <v>62</v>
      </c>
      <c r="G15" s="148">
        <v>117</v>
      </c>
      <c r="H15" s="148">
        <v>0</v>
      </c>
      <c r="I15" s="148">
        <v>0</v>
      </c>
      <c r="J15" s="148">
        <v>0</v>
      </c>
      <c r="K15" s="149">
        <f>SUM(E15:J15)</f>
        <v>179</v>
      </c>
      <c r="L15" s="152">
        <f>K15/(40*52)</f>
        <v>8.6057692307692307E-2</v>
      </c>
      <c r="M15" s="372">
        <f>K15*C15</f>
        <v>30120.192307692309</v>
      </c>
      <c r="N15" s="140"/>
    </row>
    <row r="16" spans="2:14" x14ac:dyDescent="0.2">
      <c r="B16" s="23" t="s">
        <v>20</v>
      </c>
      <c r="C16" s="370">
        <f>350000/2080</f>
        <v>168.26923076923077</v>
      </c>
      <c r="D16" s="150">
        <v>0</v>
      </c>
      <c r="E16" s="149">
        <v>0</v>
      </c>
      <c r="F16" s="149">
        <v>62</v>
      </c>
      <c r="G16" s="148">
        <v>0</v>
      </c>
      <c r="H16" s="148">
        <v>0</v>
      </c>
      <c r="I16" s="148">
        <v>0</v>
      </c>
      <c r="J16" s="148">
        <v>0</v>
      </c>
      <c r="K16" s="149">
        <f>SUM(E16:J16)</f>
        <v>62</v>
      </c>
      <c r="L16" s="152">
        <f>K16/(40*52)</f>
        <v>2.9807692307692309E-2</v>
      </c>
      <c r="M16" s="372">
        <f>K16*C16</f>
        <v>10432.692307692309</v>
      </c>
      <c r="N16" s="140"/>
    </row>
    <row r="17" spans="2:20" ht="17" thickBot="1" x14ac:dyDescent="0.25">
      <c r="B17" s="23" t="s">
        <v>22</v>
      </c>
      <c r="C17" s="370">
        <f>300000/2080</f>
        <v>144.23076923076923</v>
      </c>
      <c r="D17" s="150">
        <v>0</v>
      </c>
      <c r="E17" s="149">
        <v>0</v>
      </c>
      <c r="F17" s="149">
        <v>62</v>
      </c>
      <c r="G17" s="148">
        <v>2080</v>
      </c>
      <c r="H17" s="148">
        <v>0</v>
      </c>
      <c r="I17" s="148">
        <v>0</v>
      </c>
      <c r="J17" s="148">
        <v>0</v>
      </c>
      <c r="K17" s="149">
        <f>SUM(E17:J17)</f>
        <v>2142</v>
      </c>
      <c r="L17" s="152">
        <f>K17/(40*52)</f>
        <v>1.0298076923076922</v>
      </c>
      <c r="M17" s="372">
        <f>K17*C17</f>
        <v>308942.30769230769</v>
      </c>
      <c r="N17" s="140"/>
    </row>
    <row r="18" spans="2:20" ht="17" thickBot="1" x14ac:dyDescent="0.25">
      <c r="B18" s="142" t="s">
        <v>17</v>
      </c>
      <c r="C18" s="144"/>
      <c r="D18" s="151">
        <f t="shared" ref="D18:M18" si="2">SUM(D13:D17)</f>
        <v>0</v>
      </c>
      <c r="E18" s="151">
        <f t="shared" si="2"/>
        <v>208</v>
      </c>
      <c r="F18" s="151">
        <f t="shared" si="2"/>
        <v>248</v>
      </c>
      <c r="G18" s="151">
        <f t="shared" si="2"/>
        <v>2314</v>
      </c>
      <c r="H18" s="151">
        <f t="shared" si="2"/>
        <v>0</v>
      </c>
      <c r="I18" s="151">
        <f t="shared" si="2"/>
        <v>0</v>
      </c>
      <c r="J18" s="151">
        <f t="shared" si="2"/>
        <v>0</v>
      </c>
      <c r="K18" s="151">
        <f t="shared" si="2"/>
        <v>2770</v>
      </c>
      <c r="L18" s="90">
        <f t="shared" si="2"/>
        <v>1.3317307692307692</v>
      </c>
      <c r="M18" s="373">
        <f t="shared" si="2"/>
        <v>430240.38461538462</v>
      </c>
      <c r="N18" s="140"/>
    </row>
    <row r="19" spans="2:20" s="9" customFormat="1" ht="17" thickBot="1" x14ac:dyDescent="0.25">
      <c r="B19" s="182" t="s">
        <v>18</v>
      </c>
      <c r="C19" s="183"/>
      <c r="D19" s="186">
        <f>D18/2080</f>
        <v>0</v>
      </c>
      <c r="E19" s="186">
        <f t="shared" ref="E19:K19" si="3">E18/2080</f>
        <v>0.1</v>
      </c>
      <c r="F19" s="186">
        <f t="shared" si="3"/>
        <v>0.11923076923076924</v>
      </c>
      <c r="G19" s="186">
        <f t="shared" si="3"/>
        <v>1.1125</v>
      </c>
      <c r="H19" s="186">
        <f t="shared" si="3"/>
        <v>0</v>
      </c>
      <c r="I19" s="186">
        <f t="shared" si="3"/>
        <v>0</v>
      </c>
      <c r="J19" s="186">
        <f t="shared" si="3"/>
        <v>0</v>
      </c>
      <c r="K19" s="186">
        <f t="shared" si="3"/>
        <v>1.3317307692307692</v>
      </c>
      <c r="L19" s="184"/>
      <c r="M19" s="185"/>
      <c r="N19" s="140"/>
      <c r="P19" s="74"/>
      <c r="R19" s="74"/>
      <c r="S19"/>
      <c r="T19"/>
    </row>
    <row r="20" spans="2:20" s="9" customFormat="1" ht="17" thickBot="1" x14ac:dyDescent="0.25">
      <c r="B20" s="297"/>
      <c r="C20" s="298"/>
      <c r="D20" s="298"/>
      <c r="E20" s="298"/>
      <c r="F20" s="298"/>
      <c r="G20" s="298"/>
      <c r="H20" s="298"/>
      <c r="I20" s="298"/>
      <c r="J20" s="298"/>
      <c r="K20" s="298"/>
      <c r="L20" s="298"/>
      <c r="M20" s="299"/>
      <c r="N20" s="140"/>
      <c r="P20" s="74"/>
      <c r="R20" s="74"/>
      <c r="S20"/>
      <c r="T20"/>
    </row>
    <row r="21" spans="2:20" s="9" customFormat="1" ht="17" thickBot="1" x14ac:dyDescent="0.25">
      <c r="B21" s="153" t="s">
        <v>23</v>
      </c>
      <c r="C21" s="144"/>
      <c r="D21" s="154">
        <f t="shared" ref="D21:M21" si="4">D9+D18</f>
        <v>2600</v>
      </c>
      <c r="E21" s="154">
        <f t="shared" si="4"/>
        <v>728</v>
      </c>
      <c r="F21" s="154">
        <f t="shared" si="4"/>
        <v>768</v>
      </c>
      <c r="G21" s="154">
        <f t="shared" si="4"/>
        <v>2522</v>
      </c>
      <c r="H21" s="154">
        <f t="shared" si="4"/>
        <v>3914</v>
      </c>
      <c r="I21" s="154">
        <f t="shared" si="4"/>
        <v>4446</v>
      </c>
      <c r="J21" s="154">
        <f t="shared" si="4"/>
        <v>3120</v>
      </c>
      <c r="K21" s="154">
        <f t="shared" si="4"/>
        <v>18098</v>
      </c>
      <c r="L21" s="155">
        <f t="shared" si="4"/>
        <v>8.700961538461538</v>
      </c>
      <c r="M21" s="156">
        <f t="shared" si="4"/>
        <v>2498100.9615384615</v>
      </c>
      <c r="N21" s="140"/>
      <c r="P21" s="74"/>
      <c r="R21" s="74"/>
      <c r="S21"/>
      <c r="T21"/>
    </row>
    <row r="22" spans="2:20" s="9" customFormat="1" ht="17" thickBot="1" x14ac:dyDescent="0.25">
      <c r="B22" s="157" t="s">
        <v>24</v>
      </c>
      <c r="C22" s="183"/>
      <c r="D22" s="187">
        <f>D21/2080</f>
        <v>1.25</v>
      </c>
      <c r="E22" s="187">
        <f t="shared" ref="E22:K22" si="5">E21/2080</f>
        <v>0.35</v>
      </c>
      <c r="F22" s="187">
        <f t="shared" si="5"/>
        <v>0.36923076923076925</v>
      </c>
      <c r="G22" s="187">
        <f t="shared" si="5"/>
        <v>1.2124999999999999</v>
      </c>
      <c r="H22" s="187">
        <f t="shared" si="5"/>
        <v>1.8817307692307692</v>
      </c>
      <c r="I22" s="187">
        <f t="shared" si="5"/>
        <v>2.1375000000000002</v>
      </c>
      <c r="J22" s="187">
        <f t="shared" si="5"/>
        <v>1.5</v>
      </c>
      <c r="K22" s="187">
        <f t="shared" si="5"/>
        <v>8.700961538461538</v>
      </c>
      <c r="L22" s="160"/>
      <c r="M22" s="161"/>
      <c r="N22" s="140"/>
      <c r="P22" s="74"/>
      <c r="R22" s="74"/>
      <c r="S22"/>
      <c r="T22"/>
    </row>
    <row r="23" spans="2:20" s="9" customFormat="1" ht="17" thickBot="1" x14ac:dyDescent="0.25">
      <c r="B23" s="49"/>
      <c r="C23" s="137"/>
      <c r="D23" s="169"/>
      <c r="E23" s="169"/>
      <c r="F23" s="169"/>
      <c r="G23" s="169"/>
      <c r="H23" s="169"/>
      <c r="I23" s="169"/>
      <c r="J23" s="169"/>
      <c r="K23" s="169"/>
      <c r="L23" s="75"/>
      <c r="M23" s="137"/>
      <c r="N23" s="74"/>
      <c r="P23" s="74"/>
      <c r="R23" s="74"/>
      <c r="S23"/>
      <c r="T23"/>
    </row>
    <row r="24" spans="2:20" s="9" customFormat="1" ht="17" thickBot="1" x14ac:dyDescent="0.25">
      <c r="B24" s="297"/>
      <c r="C24" s="298"/>
      <c r="D24" s="298"/>
      <c r="E24" s="298"/>
      <c r="F24" s="298"/>
      <c r="G24" s="298"/>
      <c r="H24" s="298"/>
      <c r="I24" s="298"/>
      <c r="J24" s="298"/>
      <c r="K24" s="298"/>
      <c r="L24" s="298"/>
      <c r="M24" s="298"/>
      <c r="N24" s="299"/>
      <c r="P24" s="74"/>
      <c r="R24" s="74"/>
      <c r="S24"/>
      <c r="T24"/>
    </row>
    <row r="25" spans="2:20" s="9" customFormat="1" ht="52" thickBot="1" x14ac:dyDescent="0.25">
      <c r="B25" s="92" t="s">
        <v>1</v>
      </c>
      <c r="C25" s="143" t="s">
        <v>2</v>
      </c>
      <c r="D25" s="143" t="s">
        <v>3</v>
      </c>
      <c r="E25" s="94" t="s">
        <v>19</v>
      </c>
      <c r="F25" s="94" t="s">
        <v>5</v>
      </c>
      <c r="G25" s="94" t="s">
        <v>6</v>
      </c>
      <c r="H25" s="94" t="s">
        <v>7</v>
      </c>
      <c r="I25" s="94" t="s">
        <v>8</v>
      </c>
      <c r="J25" s="93" t="s">
        <v>9</v>
      </c>
      <c r="K25" s="94" t="s">
        <v>25</v>
      </c>
      <c r="L25" s="94" t="s">
        <v>10</v>
      </c>
      <c r="M25" s="147" t="s">
        <v>11</v>
      </c>
      <c r="N25" s="146" t="s">
        <v>12</v>
      </c>
      <c r="P25" s="74"/>
      <c r="R25" s="74"/>
      <c r="S25"/>
      <c r="T25"/>
    </row>
    <row r="26" spans="2:20" s="9" customFormat="1" x14ac:dyDescent="0.2">
      <c r="B26" s="50" t="s">
        <v>26</v>
      </c>
      <c r="C26" s="370">
        <v>87.94</v>
      </c>
      <c r="D26" s="148">
        <v>0</v>
      </c>
      <c r="E26" s="148">
        <v>93</v>
      </c>
      <c r="F26" s="148">
        <v>62</v>
      </c>
      <c r="G26" s="148">
        <v>0</v>
      </c>
      <c r="H26" s="148">
        <v>711</v>
      </c>
      <c r="I26" s="148">
        <v>0</v>
      </c>
      <c r="J26" s="148">
        <v>0</v>
      </c>
      <c r="K26" s="148">
        <v>0</v>
      </c>
      <c r="L26" s="148">
        <f>SUM(E26:K26)</f>
        <v>866</v>
      </c>
      <c r="M26" s="152">
        <f>L26/(40*52)</f>
        <v>0.41634615384615387</v>
      </c>
      <c r="N26" s="372">
        <f>L26*C26</f>
        <v>76156.039999999994</v>
      </c>
      <c r="P26" s="74"/>
      <c r="R26" s="74"/>
      <c r="S26"/>
      <c r="T26"/>
    </row>
    <row r="27" spans="2:20" s="9" customFormat="1" x14ac:dyDescent="0.2">
      <c r="B27" s="53" t="s">
        <v>27</v>
      </c>
      <c r="C27" s="370">
        <v>13.19</v>
      </c>
      <c r="D27" s="150">
        <v>0</v>
      </c>
      <c r="E27" s="148">
        <v>0</v>
      </c>
      <c r="F27" s="148">
        <v>0</v>
      </c>
      <c r="G27" s="148">
        <v>0</v>
      </c>
      <c r="H27" s="148">
        <v>0</v>
      </c>
      <c r="I27" s="148">
        <v>0</v>
      </c>
      <c r="J27" s="148">
        <v>0</v>
      </c>
      <c r="K27" s="148">
        <v>25584</v>
      </c>
      <c r="L27" s="148">
        <f t="shared" ref="L27:L29" si="6">SUM(E27:K27)</f>
        <v>25584</v>
      </c>
      <c r="M27" s="152">
        <f>L27/(40*52)</f>
        <v>12.3</v>
      </c>
      <c r="N27" s="372">
        <f>L27*C27</f>
        <v>337452.95999999996</v>
      </c>
      <c r="P27" s="74"/>
      <c r="R27" s="74"/>
      <c r="S27"/>
      <c r="T27"/>
    </row>
    <row r="28" spans="2:20" s="9" customFormat="1" x14ac:dyDescent="0.2">
      <c r="B28" s="23" t="s">
        <v>28</v>
      </c>
      <c r="C28" s="370">
        <v>57.38</v>
      </c>
      <c r="D28" s="149">
        <v>0</v>
      </c>
      <c r="E28" s="148">
        <v>93</v>
      </c>
      <c r="F28" s="148">
        <v>0</v>
      </c>
      <c r="G28" s="148">
        <v>0</v>
      </c>
      <c r="H28" s="148">
        <v>0</v>
      </c>
      <c r="I28" s="148">
        <v>0</v>
      </c>
      <c r="J28" s="148">
        <v>0</v>
      </c>
      <c r="K28" s="148">
        <v>0</v>
      </c>
      <c r="L28" s="148">
        <f t="shared" si="6"/>
        <v>93</v>
      </c>
      <c r="M28" s="152">
        <f>L28/(40*52)</f>
        <v>4.4711538461538462E-2</v>
      </c>
      <c r="N28" s="372">
        <f>L28*C28</f>
        <v>5336.34</v>
      </c>
      <c r="P28" s="74"/>
      <c r="R28" s="74"/>
      <c r="S28"/>
      <c r="T28"/>
    </row>
    <row r="29" spans="2:20" s="9" customFormat="1" ht="17" thickBot="1" x14ac:dyDescent="0.25">
      <c r="B29" s="23" t="s">
        <v>29</v>
      </c>
      <c r="C29" s="370">
        <v>49.28</v>
      </c>
      <c r="D29" s="149">
        <v>0</v>
      </c>
      <c r="E29" s="148">
        <v>124</v>
      </c>
      <c r="F29" s="148">
        <v>372</v>
      </c>
      <c r="G29" s="148">
        <v>0</v>
      </c>
      <c r="H29" s="148">
        <v>0</v>
      </c>
      <c r="I29" s="148">
        <v>0</v>
      </c>
      <c r="J29" s="148">
        <v>0</v>
      </c>
      <c r="K29" s="148">
        <v>0</v>
      </c>
      <c r="L29" s="148">
        <f t="shared" si="6"/>
        <v>496</v>
      </c>
      <c r="M29" s="152">
        <f>L29/(40*52)</f>
        <v>0.23846153846153847</v>
      </c>
      <c r="N29" s="372">
        <f>L29*C29</f>
        <v>24442.880000000001</v>
      </c>
      <c r="P29" s="74"/>
      <c r="R29" s="74"/>
      <c r="S29"/>
      <c r="T29"/>
    </row>
    <row r="30" spans="2:20" s="9" customFormat="1" ht="17" thickBot="1" x14ac:dyDescent="0.25">
      <c r="B30" s="157" t="s">
        <v>23</v>
      </c>
      <c r="C30" s="158"/>
      <c r="D30" s="159">
        <f t="shared" ref="D30:N30" si="7">SUM(D26:D29)</f>
        <v>0</v>
      </c>
      <c r="E30" s="159">
        <f t="shared" si="7"/>
        <v>310</v>
      </c>
      <c r="F30" s="159">
        <f t="shared" si="7"/>
        <v>434</v>
      </c>
      <c r="G30" s="159">
        <f t="shared" si="7"/>
        <v>0</v>
      </c>
      <c r="H30" s="159">
        <f t="shared" si="7"/>
        <v>711</v>
      </c>
      <c r="I30" s="159">
        <f t="shared" si="7"/>
        <v>0</v>
      </c>
      <c r="J30" s="159">
        <f t="shared" si="7"/>
        <v>0</v>
      </c>
      <c r="K30" s="159">
        <f>SUM(K26:K29)</f>
        <v>25584</v>
      </c>
      <c r="L30" s="159">
        <f t="shared" si="7"/>
        <v>27039</v>
      </c>
      <c r="M30" s="160">
        <f t="shared" si="7"/>
        <v>12.999519230769231</v>
      </c>
      <c r="N30" s="374">
        <f t="shared" si="7"/>
        <v>443388.22</v>
      </c>
      <c r="P30" s="74"/>
      <c r="R30" s="74"/>
      <c r="S30"/>
      <c r="T30"/>
    </row>
    <row r="31" spans="2:20" s="9" customFormat="1" ht="17" thickBot="1" x14ac:dyDescent="0.25">
      <c r="B31" s="157" t="s">
        <v>18</v>
      </c>
      <c r="C31" s="158"/>
      <c r="D31" s="187">
        <f>D30/2080</f>
        <v>0</v>
      </c>
      <c r="E31" s="187">
        <f t="shared" ref="E31:L31" si="8">E30/2080</f>
        <v>0.14903846153846154</v>
      </c>
      <c r="F31" s="187">
        <f t="shared" si="8"/>
        <v>0.20865384615384616</v>
      </c>
      <c r="G31" s="187">
        <f t="shared" si="8"/>
        <v>0</v>
      </c>
      <c r="H31" s="187">
        <f t="shared" si="8"/>
        <v>0.34182692307692308</v>
      </c>
      <c r="I31" s="187">
        <f t="shared" si="8"/>
        <v>0</v>
      </c>
      <c r="J31" s="187">
        <f t="shared" si="8"/>
        <v>0</v>
      </c>
      <c r="K31" s="187">
        <f>K30/2080</f>
        <v>12.3</v>
      </c>
      <c r="L31" s="187">
        <f t="shared" si="8"/>
        <v>12.999519230769231</v>
      </c>
      <c r="M31" s="160"/>
      <c r="N31" s="161"/>
      <c r="P31" s="74"/>
      <c r="R31" s="74"/>
      <c r="S31"/>
      <c r="T31"/>
    </row>
    <row r="32" spans="2:20" s="9" customFormat="1" x14ac:dyDescent="0.2">
      <c r="B32" s="49"/>
      <c r="C32" s="137"/>
      <c r="D32" s="169"/>
      <c r="E32" s="169"/>
      <c r="F32" s="169"/>
      <c r="G32" s="169"/>
      <c r="H32" s="169"/>
      <c r="I32" s="169"/>
      <c r="J32" s="169"/>
      <c r="K32" s="169"/>
      <c r="L32" s="75"/>
      <c r="M32" s="137"/>
      <c r="N32" s="74"/>
      <c r="P32" s="74"/>
      <c r="R32" s="74"/>
      <c r="S32"/>
      <c r="T32"/>
    </row>
  </sheetData>
  <mergeCells count="4">
    <mergeCell ref="B3:M3"/>
    <mergeCell ref="B11:M11"/>
    <mergeCell ref="B20:M20"/>
    <mergeCell ref="B24:N24"/>
  </mergeCells>
  <pageMargins left="0.7" right="0.7" top="0.75" bottom="0.75" header="0.3" footer="0.3"/>
  <pageSetup scale="56" orientation="landscape" r:id="rId1"/>
  <headerFooter>
    <oddHeader>&amp;R&amp;"Calibri"&amp;10&amp;K000000 Booz Allen Hamilton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67C37-BD66-46E2-AA0D-EFF6A0162793}">
  <sheetPr>
    <pageSetUpPr fitToPage="1"/>
  </sheetPr>
  <dimension ref="B1:S24"/>
  <sheetViews>
    <sheetView zoomScale="80" zoomScaleNormal="80" zoomScalePageLayoutView="90" workbookViewId="0">
      <selection activeCell="P7" sqref="P7"/>
    </sheetView>
  </sheetViews>
  <sheetFormatPr baseColWidth="10" defaultColWidth="8.83203125" defaultRowHeight="16" x14ac:dyDescent="0.2"/>
  <cols>
    <col min="1" max="1" width="1.33203125" customWidth="1"/>
    <col min="2" max="2" width="33.5" customWidth="1"/>
    <col min="3" max="3" width="15.6640625" style="9" customWidth="1"/>
    <col min="4" max="4" width="13.83203125" style="74" customWidth="1"/>
    <col min="5" max="5" width="13.83203125" style="9" customWidth="1"/>
    <col min="6" max="6" width="13.83203125" style="74" customWidth="1"/>
    <col min="7" max="7" width="13.6640625" style="9" customWidth="1"/>
    <col min="8" max="8" width="13.6640625" style="74" customWidth="1"/>
    <col min="9" max="9" width="13.6640625" style="9" customWidth="1"/>
    <col min="10" max="10" width="13.6640625" style="74" customWidth="1"/>
    <col min="11" max="11" width="13.6640625" style="9" customWidth="1"/>
    <col min="12" max="12" width="13.6640625" style="74" customWidth="1"/>
    <col min="13" max="13" width="13.6640625" style="9" customWidth="1"/>
    <col min="14" max="14" width="13.6640625" style="74" customWidth="1"/>
    <col min="15" max="15" width="13.6640625" style="9" customWidth="1"/>
    <col min="16" max="16" width="13.6640625" style="74" customWidth="1"/>
    <col min="17" max="17" width="13.6640625" style="9" customWidth="1"/>
    <col min="18" max="18" width="17.1640625" style="74" customWidth="1"/>
    <col min="19" max="19" width="14.83203125" customWidth="1"/>
    <col min="20" max="20" width="9.1640625" bestFit="1" customWidth="1"/>
    <col min="21" max="21" width="21.1640625" customWidth="1"/>
    <col min="22" max="22" width="34.33203125" bestFit="1" customWidth="1"/>
    <col min="23" max="23" width="11.83203125" customWidth="1"/>
    <col min="24" max="24" width="30.5" bestFit="1" customWidth="1"/>
    <col min="25" max="25" width="23.1640625" bestFit="1" customWidth="1"/>
    <col min="27" max="27" width="14.83203125" bestFit="1" customWidth="1"/>
  </cols>
  <sheetData>
    <row r="1" spans="2:19" x14ac:dyDescent="0.2">
      <c r="B1" s="49" t="s">
        <v>30</v>
      </c>
    </row>
    <row r="2" spans="2:19" x14ac:dyDescent="0.2">
      <c r="B2" s="49"/>
    </row>
    <row r="3" spans="2:19" x14ac:dyDescent="0.2">
      <c r="B3" t="s">
        <v>31</v>
      </c>
      <c r="C3" s="224">
        <v>0.35</v>
      </c>
    </row>
    <row r="4" spans="2:19" x14ac:dyDescent="0.2">
      <c r="B4" t="s">
        <v>32</v>
      </c>
      <c r="C4" s="74">
        <v>62</v>
      </c>
      <c r="D4" s="74" t="s">
        <v>33</v>
      </c>
      <c r="E4" s="168"/>
      <c r="L4" s="74" t="s">
        <v>34</v>
      </c>
    </row>
    <row r="5" spans="2:19" x14ac:dyDescent="0.2">
      <c r="C5" s="74"/>
      <c r="E5" s="168"/>
    </row>
    <row r="6" spans="2:19" ht="16.5" customHeight="1" thickBot="1" x14ac:dyDescent="0.25">
      <c r="D6" s="138" t="s">
        <v>35</v>
      </c>
      <c r="E6" s="9" t="s">
        <v>36</v>
      </c>
      <c r="G6" s="9" t="s">
        <v>36</v>
      </c>
      <c r="I6" s="9" t="s">
        <v>37</v>
      </c>
      <c r="K6" s="9" t="s">
        <v>38</v>
      </c>
      <c r="M6" s="9" t="s">
        <v>38</v>
      </c>
      <c r="O6" s="9" t="s">
        <v>38</v>
      </c>
      <c r="Q6" s="9" t="s">
        <v>39</v>
      </c>
      <c r="S6" t="s">
        <v>38</v>
      </c>
    </row>
    <row r="7" spans="2:19" s="88" customFormat="1" ht="68.25" customHeight="1" thickBot="1" x14ac:dyDescent="0.25">
      <c r="B7" s="92" t="s">
        <v>1</v>
      </c>
      <c r="C7" s="93" t="s">
        <v>2</v>
      </c>
      <c r="D7" s="94" t="s">
        <v>40</v>
      </c>
      <c r="E7" s="93" t="s">
        <v>40</v>
      </c>
      <c r="F7" s="94" t="s">
        <v>41</v>
      </c>
      <c r="G7" s="93" t="s">
        <v>41</v>
      </c>
      <c r="H7" s="94" t="s">
        <v>42</v>
      </c>
      <c r="I7" s="93" t="s">
        <v>42</v>
      </c>
      <c r="J7" s="94" t="s">
        <v>43</v>
      </c>
      <c r="K7" s="93" t="s">
        <v>43</v>
      </c>
      <c r="L7" s="94" t="s">
        <v>44</v>
      </c>
      <c r="M7" s="93" t="s">
        <v>44</v>
      </c>
      <c r="N7" s="94" t="s">
        <v>45</v>
      </c>
      <c r="O7" s="93" t="s">
        <v>46</v>
      </c>
      <c r="P7" s="94" t="s">
        <v>47</v>
      </c>
      <c r="Q7" s="93" t="s">
        <v>47</v>
      </c>
      <c r="R7" s="94" t="s">
        <v>3</v>
      </c>
      <c r="S7" s="95" t="s">
        <v>3</v>
      </c>
    </row>
    <row r="8" spans="2:19" x14ac:dyDescent="0.2">
      <c r="B8" s="22" t="s">
        <v>26</v>
      </c>
      <c r="C8" s="136">
        <f>(135500/2080) + ((135500/2080)*C3)</f>
        <v>87.944711538461547</v>
      </c>
      <c r="D8" s="135">
        <f>'Est Annual Program Labor'!E26/C4</f>
        <v>1.5</v>
      </c>
      <c r="E8" s="136">
        <f>D8*C8</f>
        <v>131.91706730769232</v>
      </c>
      <c r="F8" s="135">
        <f>'Est Annual Program Labor'!F26/C4</f>
        <v>1</v>
      </c>
      <c r="G8" s="136">
        <f>F8*C8</f>
        <v>87.944711538461547</v>
      </c>
      <c r="H8" s="135">
        <v>0</v>
      </c>
      <c r="I8" s="136">
        <f>C8*H8</f>
        <v>0</v>
      </c>
      <c r="J8" s="135">
        <f>'Est Annual Program Labor'!G26/52</f>
        <v>0</v>
      </c>
      <c r="K8" s="136">
        <f>J8*C8</f>
        <v>0</v>
      </c>
      <c r="L8" s="135">
        <f>'Est Annual Program Labor'!H26/52</f>
        <v>13.673076923076923</v>
      </c>
      <c r="M8" s="136">
        <f>L8*C8</f>
        <v>1202.4748058431953</v>
      </c>
      <c r="N8" s="135">
        <f>'Est Annual Program Labor'!I26/52</f>
        <v>0</v>
      </c>
      <c r="O8" s="136">
        <f>C8*N8</f>
        <v>0</v>
      </c>
      <c r="P8" s="135">
        <f>'Est Annual Program Labor'!J26/52</f>
        <v>0</v>
      </c>
      <c r="Q8" s="136">
        <v>0</v>
      </c>
      <c r="R8" s="135">
        <f>'Est Annual Program Labor'!D26</f>
        <v>0</v>
      </c>
      <c r="S8" s="126">
        <f t="shared" ref="S8:S20" si="0">C8*R8</f>
        <v>0</v>
      </c>
    </row>
    <row r="9" spans="2:19" x14ac:dyDescent="0.2">
      <c r="B9" s="23" t="s">
        <v>20</v>
      </c>
      <c r="C9" s="44">
        <f>450000/2080</f>
        <v>216.34615384615384</v>
      </c>
      <c r="D9" s="79">
        <f>'Est Annual Program Labor'!E13/C4</f>
        <v>3.3548387096774195</v>
      </c>
      <c r="E9" s="44">
        <f t="shared" ref="E9:E20" si="1">D9*C9</f>
        <v>725.80645161290329</v>
      </c>
      <c r="F9" s="79">
        <f>'Est Annual Program Labor'!F13/C4</f>
        <v>0</v>
      </c>
      <c r="G9" s="44">
        <f t="shared" ref="G9:G20" si="2">F9*C9</f>
        <v>0</v>
      </c>
      <c r="H9" s="79">
        <v>0</v>
      </c>
      <c r="I9" s="44">
        <f t="shared" ref="I9:I20" si="3">C9*H9</f>
        <v>0</v>
      </c>
      <c r="J9" s="79">
        <f>'Est Annual Program Labor'!G13/52</f>
        <v>2.25</v>
      </c>
      <c r="K9" s="44">
        <f t="shared" ref="K9:K16" si="4">J9*C9</f>
        <v>486.77884615384613</v>
      </c>
      <c r="L9" s="79">
        <f>'Est Annual Program Labor'!H13/52</f>
        <v>0</v>
      </c>
      <c r="M9" s="44">
        <f t="shared" ref="M9:M20" si="5">L9*C9</f>
        <v>0</v>
      </c>
      <c r="N9" s="79">
        <f>'Est Annual Program Labor'!I13/52</f>
        <v>0</v>
      </c>
      <c r="O9" s="44">
        <f t="shared" ref="O9:O20" si="6">C9*N9</f>
        <v>0</v>
      </c>
      <c r="P9" s="79">
        <f>'Est Annual Program Labor'!J13/52</f>
        <v>0</v>
      </c>
      <c r="Q9" s="44">
        <f t="shared" ref="Q9" si="7">P9*M9</f>
        <v>0</v>
      </c>
      <c r="R9" s="79">
        <f>'Est Annual Program Labor'!D13</f>
        <v>0</v>
      </c>
      <c r="S9" s="34">
        <f t="shared" si="0"/>
        <v>0</v>
      </c>
    </row>
    <row r="10" spans="2:19" x14ac:dyDescent="0.2">
      <c r="B10" s="23" t="s">
        <v>13</v>
      </c>
      <c r="C10" s="44">
        <f>250000/2080</f>
        <v>120.19230769230769</v>
      </c>
      <c r="D10" s="79">
        <f>'Est Annual Program Labor'!E5/C4</f>
        <v>8.387096774193548</v>
      </c>
      <c r="E10" s="44">
        <f t="shared" si="1"/>
        <v>1008.0645161290322</v>
      </c>
      <c r="F10" s="79">
        <f>'Est Annual Program Labor'!F5/C4</f>
        <v>5.387096774193548</v>
      </c>
      <c r="G10" s="44">
        <f>F10*C10</f>
        <v>647.4875930521091</v>
      </c>
      <c r="H10" s="79">
        <v>0</v>
      </c>
      <c r="I10" s="44">
        <f t="shared" si="3"/>
        <v>0</v>
      </c>
      <c r="J10" s="79">
        <f>'Est Annual Program Labor'!G5</f>
        <v>0</v>
      </c>
      <c r="K10" s="44">
        <f t="shared" si="4"/>
        <v>0</v>
      </c>
      <c r="L10" s="79">
        <f>'Est Annual Program Labor'!H5/52</f>
        <v>0</v>
      </c>
      <c r="M10" s="44">
        <f t="shared" si="5"/>
        <v>0</v>
      </c>
      <c r="N10" s="79">
        <f>'Est Annual Program Labor'!I5/52</f>
        <v>10.25</v>
      </c>
      <c r="O10" s="44">
        <f t="shared" si="6"/>
        <v>1231.9711538461538</v>
      </c>
      <c r="P10" s="79">
        <f>'Est Annual Program Labor'!J5/52/82</f>
        <v>0.73170731707317072</v>
      </c>
      <c r="Q10" s="44">
        <f>C10*P10</f>
        <v>87.945590994371486</v>
      </c>
      <c r="R10" s="79">
        <f>'Est Annual Program Labor'!D5</f>
        <v>0</v>
      </c>
      <c r="S10" s="34">
        <f t="shared" si="0"/>
        <v>0</v>
      </c>
    </row>
    <row r="11" spans="2:19" ht="21.75" customHeight="1" x14ac:dyDescent="0.2">
      <c r="B11" s="23" t="s">
        <v>14</v>
      </c>
      <c r="C11" s="44">
        <f>300000/2080</f>
        <v>144.23076923076923</v>
      </c>
      <c r="D11" s="79">
        <f>'Est Annual Program Labor'!E6/C4</f>
        <v>0</v>
      </c>
      <c r="E11" s="44">
        <f t="shared" si="1"/>
        <v>0</v>
      </c>
      <c r="F11" s="79">
        <f>'Est Annual Program Labor'!F6/C4</f>
        <v>1.5</v>
      </c>
      <c r="G11" s="44">
        <f>F11*C11</f>
        <v>216.34615384615384</v>
      </c>
      <c r="H11" s="79">
        <v>0</v>
      </c>
      <c r="I11" s="44">
        <f t="shared" si="3"/>
        <v>0</v>
      </c>
      <c r="J11" s="79">
        <f>'Est Annual Program Labor'!G6</f>
        <v>0</v>
      </c>
      <c r="K11" s="44">
        <f t="shared" si="4"/>
        <v>0</v>
      </c>
      <c r="L11" s="79">
        <f>'Est Annual Program Labor'!H6/52</f>
        <v>5.134615384615385</v>
      </c>
      <c r="M11" s="44">
        <f t="shared" si="5"/>
        <v>740.56952662721892</v>
      </c>
      <c r="N11" s="79">
        <f>'Est Annual Program Labor'!I6/52</f>
        <v>0</v>
      </c>
      <c r="O11" s="44">
        <f t="shared" si="6"/>
        <v>0</v>
      </c>
      <c r="P11" s="79">
        <f>'Est Annual Program Labor'!J6/52</f>
        <v>0</v>
      </c>
      <c r="Q11" s="44">
        <f t="shared" ref="Q11:Q20" si="8">P11*C11</f>
        <v>0</v>
      </c>
      <c r="R11" s="79">
        <f>'Est Annual Program Labor'!D6/52</f>
        <v>20</v>
      </c>
      <c r="S11" s="34">
        <f t="shared" si="0"/>
        <v>2884.6153846153848</v>
      </c>
    </row>
    <row r="12" spans="2:19" x14ac:dyDescent="0.2">
      <c r="B12" s="23" t="s">
        <v>15</v>
      </c>
      <c r="C12" s="44">
        <f>400000/2080</f>
        <v>192.30769230769232</v>
      </c>
      <c r="D12" s="79">
        <f>'Est Annual Program Labor'!E7/C4</f>
        <v>0</v>
      </c>
      <c r="E12" s="44">
        <f t="shared" si="1"/>
        <v>0</v>
      </c>
      <c r="F12" s="79">
        <f>'Est Annual Program Labor'!F7/C4</f>
        <v>1.5</v>
      </c>
      <c r="G12" s="44">
        <f t="shared" si="2"/>
        <v>288.46153846153845</v>
      </c>
      <c r="H12" s="79">
        <v>0</v>
      </c>
      <c r="I12" s="44">
        <f t="shared" si="3"/>
        <v>0</v>
      </c>
      <c r="J12" s="79">
        <f>'Est Annual Program Labor'!G7 /52</f>
        <v>4</v>
      </c>
      <c r="K12" s="44">
        <f t="shared" si="4"/>
        <v>769.23076923076928</v>
      </c>
      <c r="L12" s="79">
        <f>'Est Annual Program Labor'!H7/52</f>
        <v>5.134615384615385</v>
      </c>
      <c r="M12" s="44">
        <f t="shared" si="5"/>
        <v>987.42603550295871</v>
      </c>
      <c r="N12" s="79">
        <f>'Est Annual Program Labor'!I7/52</f>
        <v>10.25</v>
      </c>
      <c r="O12" s="44">
        <f t="shared" si="6"/>
        <v>1971.1538461538462</v>
      </c>
      <c r="P12" s="79">
        <f>'Est Annual Program Labor'!J7/52</f>
        <v>0</v>
      </c>
      <c r="Q12" s="44">
        <v>0</v>
      </c>
      <c r="R12" s="79">
        <f>'Est Annual Program Labor'!D7/52</f>
        <v>30</v>
      </c>
      <c r="S12" s="34">
        <f t="shared" si="0"/>
        <v>5769.2307692307695</v>
      </c>
    </row>
    <row r="13" spans="2:19" ht="21.75" customHeight="1" x14ac:dyDescent="0.2">
      <c r="B13" s="23" t="s">
        <v>20</v>
      </c>
      <c r="C13" s="44">
        <f>350000/2080</f>
        <v>168.26923076923077</v>
      </c>
      <c r="D13" s="79">
        <f>'Est Annual Program Labor'!E14/C4</f>
        <v>0</v>
      </c>
      <c r="E13" s="44">
        <f t="shared" si="1"/>
        <v>0</v>
      </c>
      <c r="F13" s="79">
        <f>'Est Annual Program Labor'!F14/C4</f>
        <v>1</v>
      </c>
      <c r="G13" s="44">
        <f t="shared" si="2"/>
        <v>168.26923076923077</v>
      </c>
      <c r="H13" s="79">
        <v>0</v>
      </c>
      <c r="I13" s="44">
        <f t="shared" si="3"/>
        <v>0</v>
      </c>
      <c r="J13" s="79">
        <f>'Est Annual Program Labor'!G14</f>
        <v>0</v>
      </c>
      <c r="K13" s="44">
        <f t="shared" si="4"/>
        <v>0</v>
      </c>
      <c r="L13" s="79">
        <f>'Est Annual Program Labor'!H14/52</f>
        <v>0</v>
      </c>
      <c r="M13" s="44">
        <f t="shared" si="5"/>
        <v>0</v>
      </c>
      <c r="N13" s="79">
        <f>'Est Annual Program Labor'!I14/52</f>
        <v>0</v>
      </c>
      <c r="O13" s="44">
        <f t="shared" si="6"/>
        <v>0</v>
      </c>
      <c r="P13" s="79">
        <f>'Est Annual Program Labor'!J14/52</f>
        <v>0</v>
      </c>
      <c r="Q13" s="44">
        <f t="shared" si="8"/>
        <v>0</v>
      </c>
      <c r="R13" s="79">
        <f>'Est Annual Program Labor'!D14</f>
        <v>0</v>
      </c>
      <c r="S13" s="34">
        <f t="shared" si="0"/>
        <v>0</v>
      </c>
    </row>
    <row r="14" spans="2:19" ht="31.5" customHeight="1" x14ac:dyDescent="0.2">
      <c r="B14" s="23" t="s">
        <v>21</v>
      </c>
      <c r="C14" s="44">
        <f t="shared" ref="C14:C15" si="9">350000/2080</f>
        <v>168.26923076923077</v>
      </c>
      <c r="D14" s="79">
        <f>'Est Annual Program Labor'!E15/C4</f>
        <v>0</v>
      </c>
      <c r="E14" s="44">
        <f t="shared" si="1"/>
        <v>0</v>
      </c>
      <c r="F14" s="79">
        <f>'Est Annual Program Labor'!F15/C4</f>
        <v>1</v>
      </c>
      <c r="G14" s="44">
        <f t="shared" si="2"/>
        <v>168.26923076923077</v>
      </c>
      <c r="H14" s="79">
        <v>0</v>
      </c>
      <c r="I14" s="44">
        <f t="shared" si="3"/>
        <v>0</v>
      </c>
      <c r="J14" s="79">
        <f>'Est Annual Program Labor'!G15/52</f>
        <v>2.25</v>
      </c>
      <c r="K14" s="44">
        <f t="shared" si="4"/>
        <v>378.60576923076923</v>
      </c>
      <c r="L14" s="79">
        <f>'Est Annual Program Labor'!H15/52</f>
        <v>0</v>
      </c>
      <c r="M14" s="44">
        <f t="shared" si="5"/>
        <v>0</v>
      </c>
      <c r="N14" s="79">
        <f>'Est Annual Program Labor'!I15/52</f>
        <v>0</v>
      </c>
      <c r="O14" s="44">
        <f t="shared" si="6"/>
        <v>0</v>
      </c>
      <c r="P14" s="79">
        <f>'Est Annual Program Labor'!J15/52</f>
        <v>0</v>
      </c>
      <c r="Q14" s="44">
        <f t="shared" si="8"/>
        <v>0</v>
      </c>
      <c r="R14" s="79">
        <f>'Est Annual Program Labor'!D15</f>
        <v>0</v>
      </c>
      <c r="S14" s="34">
        <f t="shared" si="0"/>
        <v>0</v>
      </c>
    </row>
    <row r="15" spans="2:19" ht="15.75" customHeight="1" x14ac:dyDescent="0.2">
      <c r="B15" s="23" t="s">
        <v>20</v>
      </c>
      <c r="C15" s="44">
        <f t="shared" si="9"/>
        <v>168.26923076923077</v>
      </c>
      <c r="D15" s="79">
        <f>'Est Annual Program Labor'!E16/C4</f>
        <v>0</v>
      </c>
      <c r="E15" s="44">
        <f t="shared" si="1"/>
        <v>0</v>
      </c>
      <c r="F15" s="79">
        <f>'Est Annual Program Labor'!F16/C4</f>
        <v>1</v>
      </c>
      <c r="G15" s="44">
        <f t="shared" si="2"/>
        <v>168.26923076923077</v>
      </c>
      <c r="H15" s="79">
        <v>0</v>
      </c>
      <c r="I15" s="44">
        <f t="shared" si="3"/>
        <v>0</v>
      </c>
      <c r="J15" s="79">
        <f>'Est Annual Program Labor'!G16/52</f>
        <v>0</v>
      </c>
      <c r="K15" s="44">
        <f t="shared" si="4"/>
        <v>0</v>
      </c>
      <c r="L15" s="79">
        <f>'Est Annual Program Labor'!H16/52</f>
        <v>0</v>
      </c>
      <c r="M15" s="44">
        <f t="shared" si="5"/>
        <v>0</v>
      </c>
      <c r="N15" s="79">
        <f>'Est Annual Program Labor'!I16/52</f>
        <v>0</v>
      </c>
      <c r="O15" s="44">
        <f t="shared" si="6"/>
        <v>0</v>
      </c>
      <c r="P15" s="79">
        <f>'Est Annual Program Labor'!J16/52</f>
        <v>0</v>
      </c>
      <c r="Q15" s="44">
        <f t="shared" si="8"/>
        <v>0</v>
      </c>
      <c r="R15" s="79">
        <f>'Est Annual Program Labor'!D16</f>
        <v>0</v>
      </c>
      <c r="S15" s="34">
        <f t="shared" si="0"/>
        <v>0</v>
      </c>
    </row>
    <row r="16" spans="2:19" x14ac:dyDescent="0.2">
      <c r="B16" s="23" t="s">
        <v>22</v>
      </c>
      <c r="C16" s="44">
        <f>300000/2080</f>
        <v>144.23076923076923</v>
      </c>
      <c r="D16" s="79">
        <f>'Est Annual Program Labor'!E17/C4</f>
        <v>0</v>
      </c>
      <c r="E16" s="44">
        <f t="shared" si="1"/>
        <v>0</v>
      </c>
      <c r="F16" s="79">
        <f>'Est Annual Program Labor'!F17/C4</f>
        <v>1</v>
      </c>
      <c r="G16" s="44">
        <f t="shared" si="2"/>
        <v>144.23076923076923</v>
      </c>
      <c r="H16" s="79">
        <v>0</v>
      </c>
      <c r="I16" s="44">
        <f t="shared" si="3"/>
        <v>0</v>
      </c>
      <c r="J16" s="79">
        <f>'Est Annual Program Labor'!G17/52</f>
        <v>40</v>
      </c>
      <c r="K16" s="44">
        <f t="shared" si="4"/>
        <v>5769.2307692307695</v>
      </c>
      <c r="L16" s="79">
        <f>'Est Annual Program Labor'!H17/52</f>
        <v>0</v>
      </c>
      <c r="M16" s="44">
        <f t="shared" si="5"/>
        <v>0</v>
      </c>
      <c r="N16" s="79">
        <f>'Est Annual Program Labor'!I17/52</f>
        <v>0</v>
      </c>
      <c r="O16" s="44">
        <f t="shared" si="6"/>
        <v>0</v>
      </c>
      <c r="P16" s="79">
        <f>'Est Annual Program Labor'!J17/52</f>
        <v>0</v>
      </c>
      <c r="Q16" s="44">
        <f t="shared" si="8"/>
        <v>0</v>
      </c>
      <c r="R16" s="79">
        <f>'Est Annual Program Labor'!D17</f>
        <v>0</v>
      </c>
      <c r="S16" s="34">
        <f t="shared" si="0"/>
        <v>0</v>
      </c>
    </row>
    <row r="17" spans="2:19" x14ac:dyDescent="0.2">
      <c r="B17" s="23" t="s">
        <v>27</v>
      </c>
      <c r="C17" s="44">
        <f>9.7 + 9.7*C3</f>
        <v>13.094999999999999</v>
      </c>
      <c r="D17" s="79">
        <f>'Est Annual Program Labor'!E27/C4</f>
        <v>0</v>
      </c>
      <c r="E17" s="44">
        <f t="shared" si="1"/>
        <v>0</v>
      </c>
      <c r="F17" s="79">
        <f>'Est Annual Program Labor'!F27/C4</f>
        <v>0</v>
      </c>
      <c r="G17" s="44">
        <f t="shared" si="2"/>
        <v>0</v>
      </c>
      <c r="H17" s="79">
        <v>6</v>
      </c>
      <c r="I17" s="44">
        <f t="shared" si="3"/>
        <v>78.569999999999993</v>
      </c>
      <c r="J17" s="79">
        <f>'Est Annual Program Labor'!G27/52</f>
        <v>0</v>
      </c>
      <c r="K17" s="44">
        <f>J17*C17</f>
        <v>0</v>
      </c>
      <c r="L17" s="79">
        <f>'Est Annual Program Labor'!H27/52</f>
        <v>0</v>
      </c>
      <c r="M17" s="44">
        <f t="shared" si="5"/>
        <v>0</v>
      </c>
      <c r="N17" s="79">
        <f>'Est Annual Program Labor'!I27/52</f>
        <v>0</v>
      </c>
      <c r="O17" s="44">
        <f t="shared" si="6"/>
        <v>0</v>
      </c>
      <c r="P17" s="79">
        <f>'Est Annual Program Labor'!J27/52</f>
        <v>0</v>
      </c>
      <c r="Q17" s="44">
        <f t="shared" si="8"/>
        <v>0</v>
      </c>
      <c r="R17" s="79">
        <f>'Est Annual Program Labor'!D27</f>
        <v>0</v>
      </c>
      <c r="S17" s="34">
        <f t="shared" si="0"/>
        <v>0</v>
      </c>
    </row>
    <row r="18" spans="2:19" x14ac:dyDescent="0.2">
      <c r="B18" s="23" t="s">
        <v>28</v>
      </c>
      <c r="C18" s="44">
        <f xml:space="preserve"> 42.5 + 42.5*C3</f>
        <v>57.375</v>
      </c>
      <c r="D18" s="79">
        <f>'Est Annual Program Labor'!E28/C4</f>
        <v>1.5</v>
      </c>
      <c r="E18" s="44">
        <f t="shared" si="1"/>
        <v>86.0625</v>
      </c>
      <c r="F18" s="79">
        <f>'Est Annual Program Labor'!F28/C4</f>
        <v>0</v>
      </c>
      <c r="G18" s="44">
        <f t="shared" si="2"/>
        <v>0</v>
      </c>
      <c r="H18" s="79">
        <v>0</v>
      </c>
      <c r="I18" s="44">
        <f t="shared" si="3"/>
        <v>0</v>
      </c>
      <c r="J18" s="79">
        <f>'Est Annual Program Labor'!G28/52</f>
        <v>0</v>
      </c>
      <c r="K18" s="44">
        <f>J18*C18</f>
        <v>0</v>
      </c>
      <c r="L18" s="79">
        <f>'Est Annual Program Labor'!H28/52</f>
        <v>0</v>
      </c>
      <c r="M18" s="44">
        <f t="shared" si="5"/>
        <v>0</v>
      </c>
      <c r="N18" s="79">
        <f>'Est Annual Program Labor'!I28/52</f>
        <v>0</v>
      </c>
      <c r="O18" s="44">
        <f t="shared" si="6"/>
        <v>0</v>
      </c>
      <c r="P18" s="79">
        <f>'Est Annual Program Labor'!J28/52</f>
        <v>0</v>
      </c>
      <c r="Q18" s="44">
        <f t="shared" si="8"/>
        <v>0</v>
      </c>
      <c r="R18" s="79">
        <f>'Est Annual Program Labor'!D28</f>
        <v>0</v>
      </c>
      <c r="S18" s="34">
        <f t="shared" si="0"/>
        <v>0</v>
      </c>
    </row>
    <row r="19" spans="2:19" x14ac:dyDescent="0.2">
      <c r="B19" s="23" t="s">
        <v>48</v>
      </c>
      <c r="C19" s="44">
        <f>250000/2080</f>
        <v>120.19230769230769</v>
      </c>
      <c r="D19" s="79">
        <f>'Est Annual Program Labor'!E8</f>
        <v>0</v>
      </c>
      <c r="E19" s="44">
        <f t="shared" si="1"/>
        <v>0</v>
      </c>
      <c r="F19" s="79">
        <f>'Est Annual Program Labor'!F8</f>
        <v>0</v>
      </c>
      <c r="G19" s="44">
        <f t="shared" si="2"/>
        <v>0</v>
      </c>
      <c r="H19" s="79">
        <v>0</v>
      </c>
      <c r="I19" s="44">
        <f t="shared" si="3"/>
        <v>0</v>
      </c>
      <c r="J19" s="79">
        <f>'Est Annual Program Labor'!G8/52</f>
        <v>0</v>
      </c>
      <c r="K19" s="44">
        <f>J19*C19</f>
        <v>0</v>
      </c>
      <c r="L19" s="79">
        <f>'Est Annual Program Labor'!H8/52</f>
        <v>65</v>
      </c>
      <c r="M19" s="44">
        <f t="shared" si="5"/>
        <v>7812.5</v>
      </c>
      <c r="N19" s="79">
        <f>'Est Annual Program Labor'!I8/52</f>
        <v>65</v>
      </c>
      <c r="O19" s="44">
        <f t="shared" si="6"/>
        <v>7812.5</v>
      </c>
      <c r="P19" s="79">
        <f>'Est Annual Program Labor'!J8/52</f>
        <v>0</v>
      </c>
      <c r="Q19" s="44">
        <f t="shared" si="8"/>
        <v>0</v>
      </c>
      <c r="R19" s="79">
        <f>'Est Annual Program Labor'!D8</f>
        <v>0</v>
      </c>
      <c r="S19" s="34">
        <f t="shared" si="0"/>
        <v>0</v>
      </c>
    </row>
    <row r="20" spans="2:19" ht="17" thickBot="1" x14ac:dyDescent="0.25">
      <c r="B20" s="24" t="s">
        <v>29</v>
      </c>
      <c r="C20" s="46">
        <f>36.5+36.5*C3</f>
        <v>49.274999999999999</v>
      </c>
      <c r="D20" s="89">
        <f>'Est Annual Program Labor'!E29/C4</f>
        <v>2</v>
      </c>
      <c r="E20" s="46">
        <f t="shared" si="1"/>
        <v>98.55</v>
      </c>
      <c r="F20" s="89">
        <f>'Est Annual Program Labor'!F29/C4</f>
        <v>6</v>
      </c>
      <c r="G20" s="46">
        <f t="shared" si="2"/>
        <v>295.64999999999998</v>
      </c>
      <c r="H20" s="89">
        <v>0</v>
      </c>
      <c r="I20" s="46">
        <f t="shared" si="3"/>
        <v>0</v>
      </c>
      <c r="J20" s="89">
        <f>'Est Annual Program Labor'!G29/52</f>
        <v>0</v>
      </c>
      <c r="K20" s="46">
        <f>J20*C20</f>
        <v>0</v>
      </c>
      <c r="L20" s="89">
        <f>'Est Annual Program Labor'!H29/52</f>
        <v>0</v>
      </c>
      <c r="M20" s="46">
        <f t="shared" si="5"/>
        <v>0</v>
      </c>
      <c r="N20" s="89">
        <f>'Est Annual Program Labor'!I29/52</f>
        <v>0</v>
      </c>
      <c r="O20" s="46">
        <f t="shared" si="6"/>
        <v>0</v>
      </c>
      <c r="P20" s="89">
        <f>'Est Annual Program Labor'!J29/52</f>
        <v>0</v>
      </c>
      <c r="Q20" s="46">
        <f t="shared" si="8"/>
        <v>0</v>
      </c>
      <c r="R20" s="89">
        <f>'Est Annual Program Labor'!D29</f>
        <v>0</v>
      </c>
      <c r="S20" s="33">
        <f t="shared" si="0"/>
        <v>0</v>
      </c>
    </row>
    <row r="21" spans="2:19" ht="17" thickBot="1" x14ac:dyDescent="0.25">
      <c r="C21" s="35" t="s">
        <v>49</v>
      </c>
      <c r="D21" s="89">
        <f t="shared" ref="D21:I21" si="10">SUM(D8:D20)</f>
        <v>16.741935483870968</v>
      </c>
      <c r="E21" s="46">
        <f t="shared" si="10"/>
        <v>2050.4005350496277</v>
      </c>
      <c r="F21" s="89">
        <f t="shared" si="10"/>
        <v>19.387096774193548</v>
      </c>
      <c r="G21" s="46">
        <f t="shared" si="10"/>
        <v>2184.9284584367242</v>
      </c>
      <c r="H21" s="89">
        <f t="shared" si="10"/>
        <v>6</v>
      </c>
      <c r="I21" s="46">
        <f t="shared" si="10"/>
        <v>78.569999999999993</v>
      </c>
      <c r="J21" s="89">
        <f t="shared" ref="J21:S21" si="11">SUM(J8:J20)</f>
        <v>48.5</v>
      </c>
      <c r="K21" s="46">
        <f t="shared" si="11"/>
        <v>7403.8461538461543</v>
      </c>
      <c r="L21" s="89">
        <f t="shared" si="11"/>
        <v>88.942307692307693</v>
      </c>
      <c r="M21" s="46">
        <f t="shared" si="11"/>
        <v>10742.970367973372</v>
      </c>
      <c r="N21" s="89">
        <f t="shared" si="11"/>
        <v>85.5</v>
      </c>
      <c r="O21" s="46">
        <f>SUM(O8:O20)</f>
        <v>11015.625</v>
      </c>
      <c r="P21" s="89">
        <f t="shared" si="11"/>
        <v>0.73170731707317072</v>
      </c>
      <c r="Q21" s="46">
        <f>SUM(Q8:Q20)</f>
        <v>87.945590994371486</v>
      </c>
      <c r="R21" s="89">
        <f t="shared" si="11"/>
        <v>50</v>
      </c>
      <c r="S21" s="33">
        <f t="shared" si="11"/>
        <v>8653.8461538461543</v>
      </c>
    </row>
    <row r="22" spans="2:19" ht="17" thickBot="1" x14ac:dyDescent="0.25">
      <c r="C22" s="303" t="s">
        <v>50</v>
      </c>
      <c r="D22" s="304"/>
      <c r="E22" s="272">
        <f>E21</f>
        <v>2050.4005350496277</v>
      </c>
      <c r="F22" s="273"/>
      <c r="G22" s="272">
        <f>G21</f>
        <v>2184.9284584367242</v>
      </c>
      <c r="H22" s="272"/>
      <c r="I22" s="272">
        <f>I21</f>
        <v>78.569999999999993</v>
      </c>
      <c r="J22" s="273"/>
      <c r="K22" s="272">
        <f>K21/82</f>
        <v>90.290806754221393</v>
      </c>
      <c r="L22" s="272"/>
      <c r="M22" s="272">
        <f>M21/82</f>
        <v>131.01183375577284</v>
      </c>
      <c r="N22" s="272"/>
      <c r="O22" s="272">
        <f>O21/82</f>
        <v>134.33689024390245</v>
      </c>
      <c r="P22" s="273"/>
      <c r="Q22" s="272">
        <f>Q21</f>
        <v>87.945590994371486</v>
      </c>
      <c r="R22" s="274"/>
      <c r="S22" s="275">
        <f>S21/82</f>
        <v>105.53470919324579</v>
      </c>
    </row>
    <row r="23" spans="2:19" x14ac:dyDescent="0.2">
      <c r="B23" s="74"/>
      <c r="D23" s="138" t="s">
        <v>51</v>
      </c>
      <c r="E23" s="9" t="s">
        <v>36</v>
      </c>
      <c r="G23" s="9" t="s">
        <v>36</v>
      </c>
      <c r="I23" s="9" t="s">
        <v>37</v>
      </c>
      <c r="K23" s="9" t="s">
        <v>39</v>
      </c>
      <c r="M23" s="9" t="s">
        <v>39</v>
      </c>
      <c r="O23" s="9" t="s">
        <v>39</v>
      </c>
      <c r="Q23" s="9" t="s">
        <v>39</v>
      </c>
      <c r="S23" s="9" t="s">
        <v>39</v>
      </c>
    </row>
    <row r="24" spans="2:19" x14ac:dyDescent="0.2">
      <c r="I24" s="74"/>
      <c r="J24" s="9"/>
      <c r="K24" s="74"/>
      <c r="L24" s="9"/>
      <c r="M24" s="74"/>
      <c r="N24" s="9"/>
      <c r="O24" s="74"/>
      <c r="P24" s="9"/>
      <c r="Q24" s="74"/>
      <c r="R24"/>
    </row>
  </sheetData>
  <mergeCells count="1">
    <mergeCell ref="C22:D22"/>
  </mergeCells>
  <pageMargins left="0.7" right="0.7" top="0.75" bottom="0.75" header="0.3" footer="0.3"/>
  <pageSetup scale="56" orientation="landscape" r:id="rId1"/>
  <headerFooter>
    <oddHeader>&amp;R&amp;"Calibri"&amp;10&amp;K000000 Booz Allen Hamilton Internal&amp;1#_x000D_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A0AAB-CD01-4DF1-AD39-7367B546D74F}">
  <dimension ref="B1:W55"/>
  <sheetViews>
    <sheetView topLeftCell="A6" zoomScale="88" zoomScaleNormal="60" workbookViewId="0">
      <selection activeCell="C44" sqref="C44"/>
    </sheetView>
  </sheetViews>
  <sheetFormatPr baseColWidth="10" defaultColWidth="10.5" defaultRowHeight="16" x14ac:dyDescent="0.2"/>
  <cols>
    <col min="1" max="1" width="2.5" customWidth="1"/>
    <col min="2" max="2" width="43" bestFit="1" customWidth="1"/>
    <col min="3" max="4" width="16" customWidth="1"/>
    <col min="5" max="5" width="17" style="9" customWidth="1"/>
    <col min="6" max="6" width="17.1640625" style="9" customWidth="1"/>
    <col min="7" max="7" width="27.1640625" customWidth="1"/>
    <col min="8" max="8" width="3.1640625" customWidth="1"/>
    <col min="9" max="9" width="34.1640625" customWidth="1"/>
    <col min="10" max="10" width="19.6640625" customWidth="1"/>
    <col min="11" max="11" width="2.83203125" customWidth="1"/>
    <col min="12" max="12" width="60.33203125" bestFit="1" customWidth="1"/>
    <col min="13" max="13" width="25.6640625" customWidth="1"/>
    <col min="14" max="14" width="3.83203125" customWidth="1"/>
    <col min="15" max="15" width="53.6640625" customWidth="1"/>
    <col min="16" max="16" width="23" customWidth="1"/>
    <col min="17" max="17" width="2.6640625" customWidth="1"/>
    <col min="18" max="18" width="28.33203125" customWidth="1"/>
    <col min="19" max="19" width="11.6640625" customWidth="1"/>
    <col min="20" max="25" width="9"/>
  </cols>
  <sheetData>
    <row r="1" spans="2:22" ht="17" thickBot="1" x14ac:dyDescent="0.25">
      <c r="I1" s="255"/>
      <c r="J1" s="256"/>
    </row>
    <row r="2" spans="2:22" ht="17" thickBot="1" x14ac:dyDescent="0.25">
      <c r="B2" s="311" t="s">
        <v>52</v>
      </c>
      <c r="C2" s="312"/>
      <c r="D2" s="312"/>
      <c r="E2" s="312"/>
      <c r="F2" s="313"/>
      <c r="I2" s="297" t="s">
        <v>53</v>
      </c>
      <c r="J2" s="299"/>
      <c r="L2" s="297" t="s">
        <v>54</v>
      </c>
      <c r="M2" s="299"/>
      <c r="N2" s="55"/>
      <c r="O2" s="327" t="s">
        <v>55</v>
      </c>
      <c r="P2" s="328"/>
      <c r="R2" s="54" t="s">
        <v>56</v>
      </c>
      <c r="S2" s="314" t="s">
        <v>57</v>
      </c>
      <c r="T2" s="314"/>
      <c r="U2" s="314"/>
      <c r="V2" s="315"/>
    </row>
    <row r="3" spans="2:22" ht="17" thickBot="1" x14ac:dyDescent="0.25">
      <c r="B3" s="116" t="s">
        <v>58</v>
      </c>
      <c r="C3" s="117" t="s">
        <v>59</v>
      </c>
      <c r="D3" s="117" t="s">
        <v>60</v>
      </c>
      <c r="E3" s="118" t="s">
        <v>61</v>
      </c>
      <c r="F3" s="119" t="s">
        <v>62</v>
      </c>
      <c r="I3" s="263"/>
      <c r="J3" s="262" t="s">
        <v>23</v>
      </c>
      <c r="L3" s="59" t="s">
        <v>63</v>
      </c>
      <c r="M3" s="270" t="s">
        <v>23</v>
      </c>
      <c r="O3" s="198" t="s">
        <v>64</v>
      </c>
      <c r="P3" s="240">
        <f>J8-J16</f>
        <v>12546957.355930107</v>
      </c>
      <c r="R3" s="316" t="s">
        <v>65</v>
      </c>
      <c r="S3" s="319" t="s">
        <v>66</v>
      </c>
      <c r="T3" s="319"/>
      <c r="U3" s="319"/>
      <c r="V3" s="320"/>
    </row>
    <row r="4" spans="2:22" ht="34" x14ac:dyDescent="0.2">
      <c r="B4" s="96" t="s">
        <v>67</v>
      </c>
      <c r="C4" s="114">
        <v>82</v>
      </c>
      <c r="D4" s="120"/>
      <c r="E4" s="121" t="s">
        <v>68</v>
      </c>
      <c r="F4" s="122" t="s">
        <v>68</v>
      </c>
      <c r="I4" s="23" t="s">
        <v>69</v>
      </c>
      <c r="J4" s="37">
        <v>12</v>
      </c>
      <c r="L4" s="68" t="s">
        <v>70</v>
      </c>
      <c r="M4" s="70">
        <f>(C10*(C18/124800))</f>
        <v>19.471153846153847</v>
      </c>
      <c r="N4" s="56"/>
      <c r="O4" s="197" t="s">
        <v>71</v>
      </c>
      <c r="P4" s="241">
        <f>P3/C20/12/82</f>
        <v>204.38896968848363</v>
      </c>
      <c r="R4" s="317"/>
      <c r="S4" s="321"/>
      <c r="T4" s="321"/>
      <c r="U4" s="321"/>
      <c r="V4" s="322"/>
    </row>
    <row r="5" spans="2:22" ht="17" thickBot="1" x14ac:dyDescent="0.25">
      <c r="B5" s="6"/>
      <c r="C5" s="7"/>
      <c r="D5" s="7"/>
      <c r="E5" s="14"/>
      <c r="F5" s="11"/>
      <c r="I5" s="23" t="s">
        <v>72</v>
      </c>
      <c r="J5" s="34">
        <f>E21</f>
        <v>18279.044471153848</v>
      </c>
      <c r="L5" s="68" t="s">
        <v>73</v>
      </c>
      <c r="M5" s="70">
        <f>(C10*C8*(C18/124800))</f>
        <v>5705.0480769230771</v>
      </c>
      <c r="N5" s="196"/>
      <c r="O5" s="329" t="s">
        <v>54</v>
      </c>
      <c r="P5" s="330"/>
      <c r="R5" s="317"/>
      <c r="S5" s="321"/>
      <c r="T5" s="321"/>
      <c r="U5" s="321"/>
      <c r="V5" s="322"/>
    </row>
    <row r="6" spans="2:22" ht="17.25" customHeight="1" thickBot="1" x14ac:dyDescent="0.25">
      <c r="B6" s="311" t="s">
        <v>74</v>
      </c>
      <c r="C6" s="325"/>
      <c r="D6" s="325"/>
      <c r="E6" s="325"/>
      <c r="F6" s="326"/>
      <c r="I6" s="24" t="s">
        <v>75</v>
      </c>
      <c r="J6" s="225">
        <f>J5*J4</f>
        <v>219348.53365384619</v>
      </c>
      <c r="L6" s="69" t="s">
        <v>76</v>
      </c>
      <c r="M6" s="271">
        <f>M5*12</f>
        <v>68460.576923076922</v>
      </c>
      <c r="N6" s="196"/>
      <c r="O6" s="68" t="s">
        <v>76</v>
      </c>
      <c r="P6" s="242">
        <f>M6*82</f>
        <v>5613767.307692308</v>
      </c>
      <c r="R6" s="318"/>
      <c r="S6" s="323"/>
      <c r="T6" s="323"/>
      <c r="U6" s="323"/>
      <c r="V6" s="324"/>
    </row>
    <row r="7" spans="2:22" ht="16.5" customHeight="1" thickBot="1" x14ac:dyDescent="0.25">
      <c r="B7" s="110" t="s">
        <v>58</v>
      </c>
      <c r="C7" s="111" t="s">
        <v>59</v>
      </c>
      <c r="D7" s="111" t="s">
        <v>60</v>
      </c>
      <c r="E7" s="112" t="s">
        <v>61</v>
      </c>
      <c r="F7" s="113" t="s">
        <v>62</v>
      </c>
      <c r="N7" s="78"/>
      <c r="O7" s="68" t="s">
        <v>77</v>
      </c>
      <c r="P7" s="242">
        <f>P6+P3</f>
        <v>18160724.663622417</v>
      </c>
      <c r="S7" s="51"/>
      <c r="T7" s="51"/>
      <c r="U7" s="51"/>
      <c r="V7" s="51"/>
    </row>
    <row r="8" spans="2:22" ht="35" thickBot="1" x14ac:dyDescent="0.25">
      <c r="B8" s="96" t="s">
        <v>78</v>
      </c>
      <c r="C8" s="114">
        <v>293</v>
      </c>
      <c r="D8" s="114"/>
      <c r="E8" s="40"/>
      <c r="F8" s="115"/>
      <c r="I8" s="244" t="s">
        <v>79</v>
      </c>
      <c r="J8" s="226">
        <f>J6*82</f>
        <v>17986579.759615388</v>
      </c>
      <c r="L8" t="s">
        <v>80</v>
      </c>
      <c r="M8" s="226">
        <f>M6*82</f>
        <v>5613767.307692308</v>
      </c>
      <c r="N8" s="194"/>
      <c r="O8" s="201" t="s">
        <v>81</v>
      </c>
      <c r="P8" s="243">
        <f>P7/(M4+C20)/82/12</f>
        <v>225.46669806447017</v>
      </c>
      <c r="S8" s="52"/>
      <c r="T8" s="52"/>
      <c r="U8" s="52"/>
      <c r="V8" s="52"/>
    </row>
    <row r="9" spans="2:22" ht="17" thickBot="1" x14ac:dyDescent="0.25">
      <c r="B9" s="3" t="s">
        <v>82</v>
      </c>
      <c r="C9" s="1" t="s">
        <v>83</v>
      </c>
      <c r="D9" s="1"/>
      <c r="E9" s="20"/>
      <c r="F9" s="21"/>
      <c r="N9" s="195"/>
      <c r="O9" s="195"/>
      <c r="P9">
        <f>P7/C20/82/12</f>
        <v>295.83680708372498</v>
      </c>
      <c r="Q9" s="36"/>
      <c r="S9" s="52"/>
      <c r="T9" s="52"/>
      <c r="U9" s="52"/>
      <c r="V9" s="52"/>
    </row>
    <row r="10" spans="2:22" ht="17" thickBot="1" x14ac:dyDescent="0.25">
      <c r="B10" s="3" t="s">
        <v>84</v>
      </c>
      <c r="C10" s="1">
        <v>30</v>
      </c>
      <c r="D10" s="1" t="s">
        <v>85</v>
      </c>
      <c r="E10" s="305" t="s">
        <v>86</v>
      </c>
      <c r="F10" s="306"/>
      <c r="I10" s="297" t="s">
        <v>87</v>
      </c>
      <c r="J10" s="299"/>
      <c r="N10" s="77"/>
      <c r="O10" s="77"/>
      <c r="P10" s="77"/>
      <c r="Q10" s="36"/>
      <c r="S10" s="52"/>
      <c r="T10" s="52"/>
      <c r="U10" s="52"/>
      <c r="V10" s="52"/>
    </row>
    <row r="11" spans="2:22" x14ac:dyDescent="0.2">
      <c r="B11" s="3" t="s">
        <v>88</v>
      </c>
      <c r="C11" s="1">
        <v>10</v>
      </c>
      <c r="D11" s="38" t="s">
        <v>85</v>
      </c>
      <c r="E11" s="41">
        <f>C11* C8* (C17/124800)</f>
        <v>1307.4068509615383</v>
      </c>
      <c r="F11" s="39">
        <f>E11*12</f>
        <v>15688.882211538461</v>
      </c>
      <c r="I11" s="269"/>
      <c r="J11" s="262" t="s">
        <v>23</v>
      </c>
      <c r="L11" s="9"/>
      <c r="N11" s="77"/>
      <c r="O11" s="77"/>
    </row>
    <row r="12" spans="2:22" x14ac:dyDescent="0.2">
      <c r="B12" s="3" t="s">
        <v>89</v>
      </c>
      <c r="C12" s="1">
        <v>5</v>
      </c>
      <c r="D12" s="38" t="s">
        <v>85</v>
      </c>
      <c r="E12" s="41">
        <f>C12*C8*(C16/124800)</f>
        <v>1030.078125</v>
      </c>
      <c r="F12" s="39">
        <f t="shared" ref="F12:F14" si="0">E12*12</f>
        <v>12360.9375</v>
      </c>
      <c r="I12" s="23" t="s">
        <v>69</v>
      </c>
      <c r="J12" s="37">
        <v>12</v>
      </c>
      <c r="L12" s="9"/>
      <c r="N12" s="77"/>
      <c r="O12" s="77"/>
      <c r="P12" s="77"/>
    </row>
    <row r="13" spans="2:22" x14ac:dyDescent="0.2">
      <c r="B13" s="3" t="s">
        <v>90</v>
      </c>
      <c r="C13" s="1">
        <v>5</v>
      </c>
      <c r="D13" s="38" t="s">
        <v>85</v>
      </c>
      <c r="E13" s="41">
        <f>C13*C8*(C16/124800)</f>
        <v>1030.078125</v>
      </c>
      <c r="F13" s="39">
        <f t="shared" si="0"/>
        <v>12360.9375</v>
      </c>
      <c r="I13" s="23" t="s">
        <v>72</v>
      </c>
      <c r="J13" s="34">
        <f>G49</f>
        <v>5528.0715484606517</v>
      </c>
      <c r="L13" s="9"/>
      <c r="N13" s="77"/>
      <c r="O13" s="77"/>
      <c r="P13" s="77"/>
    </row>
    <row r="14" spans="2:22" ht="17" thickBot="1" x14ac:dyDescent="0.25">
      <c r="B14" s="3" t="s">
        <v>91</v>
      </c>
      <c r="C14" s="1">
        <v>2</v>
      </c>
      <c r="D14" s="38" t="s">
        <v>85</v>
      </c>
      <c r="E14" s="41">
        <f>C14*C8*(C17/124800)</f>
        <v>261.48137019230768</v>
      </c>
      <c r="F14" s="39">
        <f t="shared" si="0"/>
        <v>3137.7764423076924</v>
      </c>
      <c r="I14" s="251" t="s">
        <v>75</v>
      </c>
      <c r="J14" s="225">
        <f>J13*J12</f>
        <v>66336.85858152782</v>
      </c>
      <c r="N14" s="78"/>
      <c r="O14" s="78"/>
      <c r="P14" s="78"/>
    </row>
    <row r="15" spans="2:22" x14ac:dyDescent="0.2">
      <c r="B15" s="3" t="s">
        <v>92</v>
      </c>
      <c r="C15" s="1">
        <f>'Est Per Base Labor'!C3</f>
        <v>0.35</v>
      </c>
      <c r="D15" s="220"/>
      <c r="E15" s="221"/>
      <c r="F15" s="222"/>
      <c r="N15" s="78"/>
      <c r="O15" s="78"/>
      <c r="P15" s="78"/>
      <c r="R15" s="9"/>
    </row>
    <row r="16" spans="2:22" x14ac:dyDescent="0.2">
      <c r="B16" s="3" t="s">
        <v>93</v>
      </c>
      <c r="C16" s="15">
        <f>65000+(65000*C15)</f>
        <v>87750</v>
      </c>
      <c r="D16" s="1" t="s">
        <v>85</v>
      </c>
      <c r="E16" s="40"/>
      <c r="F16" s="21"/>
      <c r="I16" s="244" t="s">
        <v>94</v>
      </c>
      <c r="J16" s="226">
        <f t="shared" ref="J16" si="1">J14*82</f>
        <v>5439622.4036852811</v>
      </c>
    </row>
    <row r="17" spans="2:18" x14ac:dyDescent="0.2">
      <c r="B17" s="3" t="s">
        <v>95</v>
      </c>
      <c r="C17" s="15">
        <f>(41250 + 41250*C15)</f>
        <v>55687.5</v>
      </c>
      <c r="D17" s="1" t="s">
        <v>85</v>
      </c>
      <c r="E17" s="20"/>
      <c r="F17" s="21"/>
      <c r="N17" s="72"/>
      <c r="O17" s="72"/>
      <c r="P17" s="72"/>
      <c r="R17" s="9"/>
    </row>
    <row r="18" spans="2:18" x14ac:dyDescent="0.2">
      <c r="B18" s="3" t="s">
        <v>96</v>
      </c>
      <c r="C18" s="15">
        <f>60000 + 60000*C15</f>
        <v>81000</v>
      </c>
      <c r="D18" s="1" t="s">
        <v>85</v>
      </c>
      <c r="E18" s="20"/>
      <c r="F18" s="21"/>
      <c r="I18" s="244" t="s">
        <v>97</v>
      </c>
      <c r="J18" s="226">
        <f>J6-J14</f>
        <v>153011.67507231835</v>
      </c>
      <c r="N18" s="58"/>
      <c r="O18" s="58"/>
      <c r="P18" s="58"/>
    </row>
    <row r="19" spans="2:18" x14ac:dyDescent="0.2">
      <c r="B19" s="3" t="s">
        <v>98</v>
      </c>
      <c r="C19" s="15">
        <v>50</v>
      </c>
      <c r="D19" s="15" t="s">
        <v>85</v>
      </c>
      <c r="E19" s="9">
        <f>C19*C8</f>
        <v>14650</v>
      </c>
      <c r="F19" s="15">
        <f>E19*12</f>
        <v>175800</v>
      </c>
      <c r="N19" s="58"/>
      <c r="O19" s="58"/>
      <c r="P19" s="58"/>
    </row>
    <row r="20" spans="2:18" x14ac:dyDescent="0.2">
      <c r="B20" s="3" t="s">
        <v>99</v>
      </c>
      <c r="C20" s="15">
        <f>(1*C19) +(C11*1 * (C17/124800)) + (C12*1*(C16/124800))+(C13*1*(C16/124800))+(C14*1*(C17/124800))</f>
        <v>62.385817307692307</v>
      </c>
      <c r="D20" s="43"/>
      <c r="E20" s="20"/>
      <c r="F20" s="21"/>
      <c r="I20" s="244" t="s">
        <v>100</v>
      </c>
      <c r="J20" s="226">
        <f>J8-J16</f>
        <v>12546957.355930107</v>
      </c>
      <c r="N20" s="58"/>
      <c r="O20" s="58"/>
      <c r="P20" s="58"/>
      <c r="Q20" s="9"/>
    </row>
    <row r="21" spans="2:18" x14ac:dyDescent="0.2">
      <c r="B21" s="3" t="s">
        <v>12</v>
      </c>
      <c r="C21" s="2"/>
      <c r="D21" s="2"/>
      <c r="E21" s="15">
        <f>C20*C8</f>
        <v>18279.044471153848</v>
      </c>
      <c r="F21" s="239">
        <f>E21*12</f>
        <v>219348.53365384619</v>
      </c>
      <c r="Q21" s="9"/>
    </row>
    <row r="22" spans="2:18" ht="17" thickBot="1" x14ac:dyDescent="0.25">
      <c r="B22" s="6"/>
      <c r="C22" s="7"/>
      <c r="D22" s="7"/>
      <c r="E22" s="14"/>
      <c r="F22" s="11"/>
      <c r="N22" s="58"/>
      <c r="O22" s="58"/>
      <c r="P22" s="58"/>
    </row>
    <row r="23" spans="2:18" ht="17" thickBot="1" x14ac:dyDescent="0.25">
      <c r="B23" s="307" t="s">
        <v>101</v>
      </c>
      <c r="C23" s="308"/>
      <c r="D23" s="308"/>
      <c r="E23" s="308"/>
      <c r="F23" s="309"/>
    </row>
    <row r="24" spans="2:18" ht="17" thickBot="1" x14ac:dyDescent="0.25">
      <c r="B24" s="101" t="s">
        <v>58</v>
      </c>
      <c r="C24" s="102" t="s">
        <v>59</v>
      </c>
      <c r="D24" s="102" t="s">
        <v>60</v>
      </c>
      <c r="E24" s="103" t="s">
        <v>61</v>
      </c>
      <c r="F24" s="104" t="s">
        <v>62</v>
      </c>
      <c r="L24" s="9"/>
    </row>
    <row r="25" spans="2:18" x14ac:dyDescent="0.2">
      <c r="B25" s="105" t="s">
        <v>40</v>
      </c>
      <c r="C25" s="128">
        <f>'Est Per Base Labor'!E22</f>
        <v>2050.4005350496277</v>
      </c>
      <c r="D25" s="129" t="s">
        <v>102</v>
      </c>
      <c r="E25" s="128"/>
      <c r="F25" s="134">
        <f>C25</f>
        <v>2050.4005350496277</v>
      </c>
    </row>
    <row r="26" spans="2:18" x14ac:dyDescent="0.2">
      <c r="B26" s="106" t="s">
        <v>41</v>
      </c>
      <c r="C26" s="97">
        <f>'Est Per Base Labor'!G22</f>
        <v>2184.9284584367242</v>
      </c>
      <c r="D26" s="97" t="s">
        <v>102</v>
      </c>
      <c r="E26" s="98"/>
      <c r="F26" s="34">
        <f>C26</f>
        <v>2184.9284584367242</v>
      </c>
    </row>
    <row r="27" spans="2:18" x14ac:dyDescent="0.2">
      <c r="B27" s="23" t="s">
        <v>103</v>
      </c>
      <c r="C27" s="44">
        <v>600</v>
      </c>
      <c r="D27" s="97" t="s">
        <v>102</v>
      </c>
      <c r="E27" s="98"/>
      <c r="F27" s="34">
        <f t="shared" ref="F27:F31" si="2">C27</f>
        <v>600</v>
      </c>
    </row>
    <row r="28" spans="2:18" x14ac:dyDescent="0.2">
      <c r="B28" s="23" t="s">
        <v>104</v>
      </c>
      <c r="C28" s="44">
        <v>9950</v>
      </c>
      <c r="D28" s="97" t="s">
        <v>102</v>
      </c>
      <c r="E28" s="98"/>
      <c r="F28" s="34">
        <f t="shared" si="2"/>
        <v>9950</v>
      </c>
      <c r="L28" s="9"/>
      <c r="M28" s="9"/>
    </row>
    <row r="29" spans="2:18" x14ac:dyDescent="0.2">
      <c r="B29" s="23" t="s">
        <v>105</v>
      </c>
      <c r="C29" s="44">
        <v>271.88</v>
      </c>
      <c r="D29" s="97" t="s">
        <v>102</v>
      </c>
      <c r="E29" s="98"/>
      <c r="F29" s="34">
        <f t="shared" si="2"/>
        <v>271.88</v>
      </c>
    </row>
    <row r="30" spans="2:18" x14ac:dyDescent="0.2">
      <c r="B30" s="23" t="s">
        <v>106</v>
      </c>
      <c r="C30" s="44">
        <v>200</v>
      </c>
      <c r="D30" s="97" t="s">
        <v>102</v>
      </c>
      <c r="E30" s="98"/>
      <c r="F30" s="34">
        <f t="shared" si="2"/>
        <v>200</v>
      </c>
    </row>
    <row r="31" spans="2:18" x14ac:dyDescent="0.2">
      <c r="B31" s="23" t="s">
        <v>107</v>
      </c>
      <c r="C31" s="44">
        <v>960</v>
      </c>
      <c r="D31" s="97" t="s">
        <v>102</v>
      </c>
      <c r="E31" s="98"/>
      <c r="F31" s="34">
        <f t="shared" si="2"/>
        <v>960</v>
      </c>
      <c r="L31" s="9"/>
    </row>
    <row r="32" spans="2:18" ht="15.75" customHeight="1" x14ac:dyDescent="0.2">
      <c r="B32" s="23" t="s">
        <v>108</v>
      </c>
      <c r="C32" s="79">
        <f>(52/12)</f>
        <v>4.333333333333333</v>
      </c>
      <c r="D32" s="99"/>
      <c r="E32" s="98"/>
      <c r="F32" s="107"/>
      <c r="M32" s="49"/>
    </row>
    <row r="33" spans="2:23" ht="15.75" customHeight="1" x14ac:dyDescent="0.2">
      <c r="B33" s="23" t="s">
        <v>109</v>
      </c>
      <c r="C33" s="44">
        <v>45</v>
      </c>
      <c r="D33" s="44" t="s">
        <v>85</v>
      </c>
      <c r="E33" s="44">
        <f>C33*C32</f>
        <v>195</v>
      </c>
      <c r="F33" s="34">
        <f>E33*12</f>
        <v>2340</v>
      </c>
      <c r="L33" s="9"/>
    </row>
    <row r="34" spans="2:23" x14ac:dyDescent="0.2">
      <c r="B34" s="23" t="s">
        <v>110</v>
      </c>
      <c r="C34" s="44">
        <v>300</v>
      </c>
      <c r="D34" s="44" t="s">
        <v>85</v>
      </c>
      <c r="E34" s="44">
        <f>C34*C32</f>
        <v>1300</v>
      </c>
      <c r="F34" s="34">
        <f>E34*12</f>
        <v>15600</v>
      </c>
    </row>
    <row r="35" spans="2:23" x14ac:dyDescent="0.2">
      <c r="B35" s="23" t="s">
        <v>111</v>
      </c>
      <c r="C35" s="44">
        <v>54.41</v>
      </c>
      <c r="D35" s="44" t="s">
        <v>85</v>
      </c>
      <c r="E35" s="44">
        <f>C32*C35</f>
        <v>235.77666666666664</v>
      </c>
      <c r="F35" s="34">
        <f>E35*12</f>
        <v>2829.3199999999997</v>
      </c>
      <c r="L35" s="193"/>
    </row>
    <row r="36" spans="2:23" x14ac:dyDescent="0.2">
      <c r="B36" s="23" t="s">
        <v>112</v>
      </c>
      <c r="C36" s="44">
        <v>22.66</v>
      </c>
      <c r="D36" s="44" t="s">
        <v>85</v>
      </c>
      <c r="E36" s="44">
        <f>C36</f>
        <v>22.66</v>
      </c>
      <c r="F36" s="34">
        <f>E36*12</f>
        <v>271.92</v>
      </c>
    </row>
    <row r="37" spans="2:23" x14ac:dyDescent="0.2">
      <c r="B37" s="23" t="s">
        <v>113</v>
      </c>
      <c r="C37" s="44">
        <v>34.659999999999997</v>
      </c>
      <c r="D37" s="44" t="s">
        <v>85</v>
      </c>
      <c r="E37" s="44">
        <f t="shared" ref="E37" si="3">C37</f>
        <v>34.659999999999997</v>
      </c>
      <c r="F37" s="34">
        <f t="shared" ref="F37:F44" si="4">E37*12</f>
        <v>415.91999999999996</v>
      </c>
    </row>
    <row r="38" spans="2:23" x14ac:dyDescent="0.2">
      <c r="B38" s="23" t="s">
        <v>114</v>
      </c>
      <c r="C38" s="79">
        <v>6</v>
      </c>
      <c r="D38" s="100"/>
      <c r="E38" s="100"/>
      <c r="F38" s="108"/>
    </row>
    <row r="39" spans="2:23" x14ac:dyDescent="0.2">
      <c r="B39" s="23" t="s">
        <v>115</v>
      </c>
      <c r="C39" s="44">
        <f>'Est Per Base Labor'!C17</f>
        <v>13.094999999999999</v>
      </c>
      <c r="D39" s="44" t="s">
        <v>85</v>
      </c>
      <c r="E39" s="83"/>
      <c r="F39" s="47"/>
    </row>
    <row r="40" spans="2:23" x14ac:dyDescent="0.2">
      <c r="B40" s="23" t="s">
        <v>116</v>
      </c>
      <c r="C40" s="44">
        <f>C38*C39</f>
        <v>78.569999999999993</v>
      </c>
      <c r="D40" s="44" t="s">
        <v>85</v>
      </c>
      <c r="E40" s="44">
        <f>C40*C32</f>
        <v>340.46999999999997</v>
      </c>
      <c r="F40" s="34">
        <f t="shared" si="4"/>
        <v>4085.6399999999994</v>
      </c>
    </row>
    <row r="41" spans="2:23" x14ac:dyDescent="0.2">
      <c r="B41" s="23" t="s">
        <v>117</v>
      </c>
      <c r="C41" s="44">
        <f>'Est Per Base Labor'!M22 +'Est Per Base Labor'!O22</f>
        <v>265.34872399967526</v>
      </c>
      <c r="D41" s="44" t="s">
        <v>85</v>
      </c>
      <c r="E41" s="44">
        <f>C41*4.33</f>
        <v>1148.9599749185938</v>
      </c>
      <c r="F41" s="34">
        <f t="shared" si="4"/>
        <v>13787.519699023127</v>
      </c>
      <c r="M41" s="56"/>
    </row>
    <row r="42" spans="2:23" x14ac:dyDescent="0.2">
      <c r="B42" s="23" t="s">
        <v>118</v>
      </c>
      <c r="C42" s="44">
        <f>'Est Per Base Labor'!S22</f>
        <v>105.53470919324579</v>
      </c>
      <c r="D42" s="44" t="s">
        <v>85</v>
      </c>
      <c r="E42" s="44">
        <f>C42*4.33</f>
        <v>456.9652908067543</v>
      </c>
      <c r="F42" s="34">
        <f>E42*12</f>
        <v>5483.583489681052</v>
      </c>
    </row>
    <row r="43" spans="2:23" ht="17" thickBot="1" x14ac:dyDescent="0.25">
      <c r="B43" s="23" t="s">
        <v>9</v>
      </c>
      <c r="C43" s="44">
        <f>'Est Per Base Labor'!Q22</f>
        <v>87.945590994371486</v>
      </c>
      <c r="D43" s="44" t="s">
        <v>85</v>
      </c>
      <c r="E43" s="44">
        <f>C43*4.33</f>
        <v>380.80440900562854</v>
      </c>
      <c r="F43" s="34">
        <f t="shared" si="4"/>
        <v>4569.6529080675427</v>
      </c>
      <c r="S43" s="9"/>
    </row>
    <row r="44" spans="2:23" x14ac:dyDescent="0.2">
      <c r="B44" s="23" t="s">
        <v>119</v>
      </c>
      <c r="C44" s="44">
        <f>'Est Per Base Labor'!K22</f>
        <v>90.290806754221393</v>
      </c>
      <c r="D44" s="44" t="s">
        <v>85</v>
      </c>
      <c r="E44" s="44">
        <f>C44*4.33</f>
        <v>390.95919324577864</v>
      </c>
      <c r="F44" s="218">
        <f t="shared" si="4"/>
        <v>4691.5103189493439</v>
      </c>
      <c r="G44" s="42" t="s">
        <v>120</v>
      </c>
      <c r="S44" s="9"/>
    </row>
    <row r="45" spans="2:23" ht="17" thickBot="1" x14ac:dyDescent="0.25">
      <c r="B45" s="24" t="s">
        <v>23</v>
      </c>
      <c r="C45" s="109"/>
      <c r="D45" s="109"/>
      <c r="E45" s="46">
        <f>SUM(E33:E44)</f>
        <v>4506.2555346434219</v>
      </c>
      <c r="F45" s="219">
        <f>SUM(F25:F44)</f>
        <v>70292.275409207403</v>
      </c>
      <c r="G45" s="214">
        <f>SUM(F33:F44)</f>
        <v>54075.066415721063</v>
      </c>
    </row>
    <row r="46" spans="2:23" x14ac:dyDescent="0.2">
      <c r="N46" s="49"/>
      <c r="O46" s="49"/>
      <c r="P46" s="49"/>
      <c r="Q46" s="310"/>
      <c r="R46" s="310"/>
      <c r="S46" s="310"/>
      <c r="T46" s="310"/>
      <c r="U46" s="310"/>
      <c r="V46" s="310"/>
      <c r="W46" s="310"/>
    </row>
    <row r="47" spans="2:23" ht="16" customHeight="1" x14ac:dyDescent="0.2">
      <c r="G47" t="s">
        <v>121</v>
      </c>
      <c r="I47" s="9"/>
    </row>
    <row r="48" spans="2:23" ht="16" customHeight="1" x14ac:dyDescent="0.2">
      <c r="C48" s="191"/>
      <c r="E48" s="244" t="s">
        <v>122</v>
      </c>
      <c r="F48" s="226">
        <f>(F45*62)+(G45*20)</f>
        <v>5439622.4036852811</v>
      </c>
      <c r="G48" s="226">
        <f>F48/82</f>
        <v>66336.85858152782</v>
      </c>
    </row>
    <row r="49" spans="3:23" ht="16" customHeight="1" x14ac:dyDescent="0.2">
      <c r="F49" s="244" t="s">
        <v>123</v>
      </c>
      <c r="G49" s="9">
        <f>G48/12</f>
        <v>5528.0715484606517</v>
      </c>
    </row>
    <row r="50" spans="3:23" ht="16" customHeight="1" x14ac:dyDescent="0.2">
      <c r="C50" s="9"/>
    </row>
    <row r="51" spans="3:23" ht="16" customHeight="1" x14ac:dyDescent="0.2"/>
    <row r="52" spans="3:23" ht="15.75" customHeight="1" x14ac:dyDescent="0.2"/>
    <row r="53" spans="3:23" ht="16" customHeight="1" x14ac:dyDescent="0.2">
      <c r="C53" s="9"/>
    </row>
    <row r="54" spans="3:23" ht="16" customHeight="1" x14ac:dyDescent="0.2"/>
    <row r="55" spans="3:23" x14ac:dyDescent="0.2">
      <c r="N55" s="56"/>
      <c r="O55" s="56"/>
      <c r="P55" s="56"/>
      <c r="Q55" s="56"/>
      <c r="R55" s="56"/>
      <c r="S55" s="56"/>
      <c r="T55" s="56"/>
      <c r="U55" s="56"/>
      <c r="V55" s="56"/>
      <c r="W55" s="56"/>
    </row>
  </sheetData>
  <mergeCells count="13">
    <mergeCell ref="E10:F10"/>
    <mergeCell ref="B23:F23"/>
    <mergeCell ref="Q46:W46"/>
    <mergeCell ref="I10:J10"/>
    <mergeCell ref="B2:F2"/>
    <mergeCell ref="S2:V2"/>
    <mergeCell ref="R3:R6"/>
    <mergeCell ref="S3:V6"/>
    <mergeCell ref="B6:F6"/>
    <mergeCell ref="O2:P2"/>
    <mergeCell ref="O5:P5"/>
    <mergeCell ref="L2:M2"/>
    <mergeCell ref="I2:J2"/>
  </mergeCells>
  <pageMargins left="0.7" right="0.7" top="0.75" bottom="0.75" header="0.3" footer="0.3"/>
  <pageSetup orientation="portrait" r:id="rId1"/>
  <headerFooter>
    <oddHeader>&amp;R&amp;"Calibri"&amp;10&amp;K000000 Booz Allen Hamilton Internal&amp;1#_x000D_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F508D-A09D-464E-8266-901DF41D0895}">
  <dimension ref="B1:W51"/>
  <sheetViews>
    <sheetView zoomScale="60" zoomScaleNormal="60" workbookViewId="0">
      <selection activeCell="L24" sqref="L24"/>
    </sheetView>
  </sheetViews>
  <sheetFormatPr baseColWidth="10" defaultColWidth="10.5" defaultRowHeight="16" x14ac:dyDescent="0.2"/>
  <cols>
    <col min="1" max="1" width="2.83203125" customWidth="1"/>
    <col min="2" max="2" width="43" bestFit="1" customWidth="1"/>
    <col min="3" max="4" width="16" customWidth="1"/>
    <col min="5" max="5" width="12" style="9" bestFit="1" customWidth="1"/>
    <col min="6" max="6" width="16.1640625" style="9" customWidth="1"/>
    <col min="7" max="7" width="26.83203125" bestFit="1" customWidth="1"/>
    <col min="8" max="8" width="2.6640625" customWidth="1"/>
    <col min="9" max="9" width="34.1640625" customWidth="1"/>
    <col min="10" max="10" width="19.6640625" customWidth="1"/>
    <col min="11" max="11" width="2.83203125" customWidth="1"/>
    <col min="12" max="12" width="60.33203125" bestFit="1" customWidth="1"/>
    <col min="13" max="13" width="15.6640625" customWidth="1"/>
    <col min="14" max="14" width="3.1640625" customWidth="1"/>
    <col min="15" max="15" width="50.6640625" customWidth="1"/>
    <col min="16" max="16" width="27.1640625" customWidth="1"/>
    <col min="17" max="17" width="4.1640625" customWidth="1"/>
    <col min="18" max="18" width="28.33203125" customWidth="1"/>
    <col min="19" max="30" width="9"/>
  </cols>
  <sheetData>
    <row r="1" spans="2:22" ht="17" thickBot="1" x14ac:dyDescent="0.25">
      <c r="I1" s="255"/>
      <c r="J1" s="256"/>
    </row>
    <row r="2" spans="2:22" ht="17" thickBot="1" x14ac:dyDescent="0.25">
      <c r="B2" s="307" t="s">
        <v>52</v>
      </c>
      <c r="C2" s="331"/>
      <c r="D2" s="331"/>
      <c r="E2" s="331"/>
      <c r="F2" s="332"/>
      <c r="I2" s="297" t="s">
        <v>53</v>
      </c>
      <c r="J2" s="299"/>
      <c r="L2" s="297" t="s">
        <v>54</v>
      </c>
      <c r="M2" s="299"/>
      <c r="N2" s="55"/>
      <c r="O2" s="327" t="s">
        <v>55</v>
      </c>
      <c r="P2" s="328"/>
      <c r="R2" s="54" t="s">
        <v>56</v>
      </c>
      <c r="S2" s="314" t="s">
        <v>57</v>
      </c>
      <c r="T2" s="314"/>
      <c r="U2" s="314"/>
      <c r="V2" s="315"/>
    </row>
    <row r="3" spans="2:22" ht="17" x14ac:dyDescent="0.2">
      <c r="B3" s="29" t="s">
        <v>58</v>
      </c>
      <c r="C3" s="30" t="s">
        <v>59</v>
      </c>
      <c r="D3" s="30" t="s">
        <v>60</v>
      </c>
      <c r="E3" s="31" t="s">
        <v>61</v>
      </c>
      <c r="F3" s="32" t="s">
        <v>62</v>
      </c>
      <c r="I3" s="263"/>
      <c r="J3" s="262" t="s">
        <v>23</v>
      </c>
      <c r="L3" s="59" t="s">
        <v>63</v>
      </c>
      <c r="M3" s="270" t="s">
        <v>23</v>
      </c>
      <c r="N3" s="56"/>
      <c r="O3" s="208" t="s">
        <v>64</v>
      </c>
      <c r="P3" s="240">
        <f>J8-J16</f>
        <v>10508850.635930108</v>
      </c>
      <c r="R3" s="316" t="s">
        <v>124</v>
      </c>
      <c r="S3" s="319" t="s">
        <v>125</v>
      </c>
      <c r="T3" s="319"/>
      <c r="U3" s="319"/>
      <c r="V3" s="320"/>
    </row>
    <row r="4" spans="2:22" ht="32.25" customHeight="1" x14ac:dyDescent="0.2">
      <c r="B4" s="3" t="s">
        <v>67</v>
      </c>
      <c r="C4" s="1">
        <v>82</v>
      </c>
      <c r="D4" s="2"/>
      <c r="E4" s="13" t="s">
        <v>68</v>
      </c>
      <c r="F4" s="10" t="s">
        <v>68</v>
      </c>
      <c r="I4" s="23" t="s">
        <v>69</v>
      </c>
      <c r="J4" s="37">
        <v>12</v>
      </c>
      <c r="L4" s="68" t="s">
        <v>70</v>
      </c>
      <c r="M4" s="70">
        <f>(C10*(C18/124800))</f>
        <v>19.471153846153847</v>
      </c>
      <c r="N4" s="196"/>
      <c r="O4" s="209" t="s">
        <v>71</v>
      </c>
      <c r="P4" s="241">
        <f>P3/C20/12/82</f>
        <v>171.18836807656442</v>
      </c>
      <c r="R4" s="317"/>
      <c r="S4" s="321"/>
      <c r="T4" s="321"/>
      <c r="U4" s="321"/>
      <c r="V4" s="322"/>
    </row>
    <row r="5" spans="2:22" ht="17" thickBot="1" x14ac:dyDescent="0.25">
      <c r="B5" s="6"/>
      <c r="C5" s="7"/>
      <c r="D5" s="7"/>
      <c r="E5" s="14"/>
      <c r="F5" s="11"/>
      <c r="I5" s="23" t="s">
        <v>72</v>
      </c>
      <c r="J5" s="34">
        <f>E21</f>
        <v>18279.044471153848</v>
      </c>
      <c r="L5" s="68" t="s">
        <v>73</v>
      </c>
      <c r="M5" s="70">
        <f>(C10*C8*(C18/124800))</f>
        <v>5705.0480769230771</v>
      </c>
      <c r="N5" s="196"/>
      <c r="O5" s="329" t="s">
        <v>54</v>
      </c>
      <c r="P5" s="330"/>
      <c r="R5" s="317"/>
      <c r="S5" s="321"/>
      <c r="T5" s="321"/>
      <c r="U5" s="321"/>
      <c r="V5" s="322"/>
    </row>
    <row r="6" spans="2:22" ht="17.25" customHeight="1" thickBot="1" x14ac:dyDescent="0.25">
      <c r="B6" s="307" t="s">
        <v>74</v>
      </c>
      <c r="C6" s="308"/>
      <c r="D6" s="308"/>
      <c r="E6" s="308"/>
      <c r="F6" s="309"/>
      <c r="I6" s="24" t="s">
        <v>75</v>
      </c>
      <c r="J6" s="225">
        <f>J5*J4</f>
        <v>219348.53365384619</v>
      </c>
      <c r="L6" s="69" t="s">
        <v>76</v>
      </c>
      <c r="M6" s="271">
        <f>M5*12</f>
        <v>68460.576923076922</v>
      </c>
      <c r="N6" s="196"/>
      <c r="O6" s="68" t="s">
        <v>76</v>
      </c>
      <c r="P6" s="234">
        <f>M6*82</f>
        <v>5613767.307692308</v>
      </c>
      <c r="R6" s="318"/>
      <c r="S6" s="323"/>
      <c r="T6" s="323"/>
      <c r="U6" s="323"/>
      <c r="V6" s="324"/>
    </row>
    <row r="7" spans="2:22" ht="16.5" customHeight="1" x14ac:dyDescent="0.2">
      <c r="B7" s="25" t="s">
        <v>58</v>
      </c>
      <c r="C7" s="26" t="s">
        <v>59</v>
      </c>
      <c r="D7" s="26" t="s">
        <v>60</v>
      </c>
      <c r="E7" s="27" t="s">
        <v>61</v>
      </c>
      <c r="F7" s="28" t="s">
        <v>62</v>
      </c>
      <c r="N7" s="78"/>
      <c r="O7" s="68" t="s">
        <v>77</v>
      </c>
      <c r="P7" s="234">
        <f>P6+P3</f>
        <v>16122617.943622416</v>
      </c>
      <c r="S7" s="51"/>
      <c r="T7" s="51"/>
      <c r="U7" s="51"/>
      <c r="V7" s="51"/>
    </row>
    <row r="8" spans="2:22" ht="35" thickBot="1" x14ac:dyDescent="0.25">
      <c r="B8" s="3" t="s">
        <v>78</v>
      </c>
      <c r="C8" s="1">
        <v>293</v>
      </c>
      <c r="D8" s="1"/>
      <c r="E8" s="20"/>
      <c r="F8" s="21"/>
      <c r="I8" s="244" t="s">
        <v>79</v>
      </c>
      <c r="J8" s="226">
        <f>J6*82</f>
        <v>17986579.759615388</v>
      </c>
      <c r="L8" t="s">
        <v>80</v>
      </c>
      <c r="M8" s="226">
        <f>M6*82</f>
        <v>5613767.307692308</v>
      </c>
      <c r="N8" s="194"/>
      <c r="O8" s="201" t="s">
        <v>81</v>
      </c>
      <c r="P8" s="243">
        <f>P7/(M4+C20)/82/12</f>
        <v>200.16345708852614</v>
      </c>
      <c r="S8" s="52"/>
      <c r="T8" s="52"/>
      <c r="U8" s="52"/>
      <c r="V8" s="52"/>
    </row>
    <row r="9" spans="2:22" ht="17" thickBot="1" x14ac:dyDescent="0.25">
      <c r="B9" s="3" t="s">
        <v>82</v>
      </c>
      <c r="C9" s="1" t="s">
        <v>83</v>
      </c>
      <c r="D9" s="1"/>
      <c r="E9" s="20"/>
      <c r="F9" s="21"/>
      <c r="N9" s="195"/>
      <c r="O9" s="195"/>
      <c r="P9" s="195"/>
      <c r="Q9" s="36"/>
      <c r="S9" s="52"/>
      <c r="T9" s="52"/>
      <c r="U9" s="52"/>
      <c r="V9" s="52"/>
    </row>
    <row r="10" spans="2:22" ht="17" thickBot="1" x14ac:dyDescent="0.25">
      <c r="B10" s="3" t="s">
        <v>84</v>
      </c>
      <c r="C10" s="1">
        <v>30</v>
      </c>
      <c r="D10" s="1" t="s">
        <v>85</v>
      </c>
      <c r="E10" s="305" t="s">
        <v>86</v>
      </c>
      <c r="F10" s="306"/>
      <c r="I10" s="297" t="s">
        <v>87</v>
      </c>
      <c r="J10" s="299"/>
      <c r="N10" s="77"/>
      <c r="O10" s="77"/>
      <c r="P10" s="77"/>
      <c r="Q10" s="36"/>
      <c r="S10" s="52"/>
      <c r="T10" s="52"/>
      <c r="U10" s="52"/>
      <c r="V10" s="52"/>
    </row>
    <row r="11" spans="2:22" x14ac:dyDescent="0.2">
      <c r="B11" s="3" t="s">
        <v>88</v>
      </c>
      <c r="C11" s="1">
        <v>10</v>
      </c>
      <c r="D11" s="38" t="s">
        <v>85</v>
      </c>
      <c r="E11" s="41">
        <f>C11* C8* (C17/124800)</f>
        <v>1307.4068509615383</v>
      </c>
      <c r="F11" s="39">
        <f>E11*12</f>
        <v>15688.882211538461</v>
      </c>
      <c r="I11" s="269"/>
      <c r="J11" s="262" t="s">
        <v>23</v>
      </c>
      <c r="N11" s="77"/>
      <c r="O11" s="77"/>
      <c r="P11" s="77"/>
    </row>
    <row r="12" spans="2:22" x14ac:dyDescent="0.2">
      <c r="B12" s="3" t="s">
        <v>89</v>
      </c>
      <c r="C12" s="1">
        <v>5</v>
      </c>
      <c r="D12" s="38" t="s">
        <v>85</v>
      </c>
      <c r="E12" s="41">
        <f>C12*C8*(C16/124800)</f>
        <v>1030.078125</v>
      </c>
      <c r="F12" s="39">
        <f t="shared" ref="F12:F14" si="0">E12*12</f>
        <v>12360.9375</v>
      </c>
      <c r="I12" s="23" t="s">
        <v>69</v>
      </c>
      <c r="J12" s="37">
        <v>12</v>
      </c>
      <c r="N12" s="77"/>
      <c r="O12" s="77"/>
      <c r="P12" s="77"/>
    </row>
    <row r="13" spans="2:22" x14ac:dyDescent="0.2">
      <c r="B13" s="3" t="s">
        <v>90</v>
      </c>
      <c r="C13" s="1">
        <v>5</v>
      </c>
      <c r="D13" s="38" t="s">
        <v>85</v>
      </c>
      <c r="E13" s="41">
        <f>C13*C8*(C16/124800)</f>
        <v>1030.078125</v>
      </c>
      <c r="F13" s="39">
        <f t="shared" si="0"/>
        <v>12360.9375</v>
      </c>
      <c r="I13" s="23" t="s">
        <v>72</v>
      </c>
      <c r="J13" s="34">
        <f>G49</f>
        <v>7599.3182151273168</v>
      </c>
      <c r="N13" s="77"/>
      <c r="O13" s="77"/>
      <c r="P13" s="77"/>
    </row>
    <row r="14" spans="2:22" ht="17" thickBot="1" x14ac:dyDescent="0.25">
      <c r="B14" s="3" t="s">
        <v>91</v>
      </c>
      <c r="C14" s="1">
        <v>2</v>
      </c>
      <c r="D14" s="38" t="s">
        <v>85</v>
      </c>
      <c r="E14" s="41">
        <f>C14*C8*(C17/124800)</f>
        <v>261.48137019230768</v>
      </c>
      <c r="F14" s="39">
        <f t="shared" si="0"/>
        <v>3137.7764423076924</v>
      </c>
      <c r="I14" s="251" t="s">
        <v>75</v>
      </c>
      <c r="J14" s="225">
        <f>J13*J12</f>
        <v>91191.818581527798</v>
      </c>
      <c r="N14" s="78"/>
      <c r="O14" s="78"/>
      <c r="P14" s="78"/>
    </row>
    <row r="15" spans="2:22" x14ac:dyDescent="0.2">
      <c r="B15" s="3" t="s">
        <v>92</v>
      </c>
      <c r="C15" s="1">
        <f>'Est Per Base Labor'!C3</f>
        <v>0.35</v>
      </c>
      <c r="D15" s="220"/>
      <c r="E15" s="221"/>
      <c r="F15" s="222"/>
      <c r="N15" s="78"/>
      <c r="O15" s="78"/>
      <c r="P15" s="78"/>
    </row>
    <row r="16" spans="2:22" x14ac:dyDescent="0.2">
      <c r="B16" s="3" t="s">
        <v>126</v>
      </c>
      <c r="C16" s="15">
        <f>65000+(65000*C15)</f>
        <v>87750</v>
      </c>
      <c r="D16" s="1" t="s">
        <v>85</v>
      </c>
      <c r="E16" s="40"/>
      <c r="F16" s="21"/>
      <c r="I16" s="244" t="s">
        <v>94</v>
      </c>
      <c r="J16" s="226">
        <f t="shared" ref="J16" si="1">J14*82</f>
        <v>7477729.1236852799</v>
      </c>
      <c r="L16" s="9"/>
    </row>
    <row r="17" spans="2:16" x14ac:dyDescent="0.2">
      <c r="B17" s="3" t="s">
        <v>127</v>
      </c>
      <c r="C17" s="15">
        <f>(41250 + 41250*C15)</f>
        <v>55687.5</v>
      </c>
      <c r="D17" s="1" t="s">
        <v>85</v>
      </c>
      <c r="E17" s="20"/>
      <c r="F17" s="21"/>
      <c r="M17" s="9"/>
      <c r="N17" s="72"/>
      <c r="O17" s="72"/>
      <c r="P17" s="72"/>
    </row>
    <row r="18" spans="2:16" x14ac:dyDescent="0.2">
      <c r="B18" s="3" t="s">
        <v>128</v>
      </c>
      <c r="C18" s="15">
        <f>60000 + 60000*C15</f>
        <v>81000</v>
      </c>
      <c r="D18" s="1" t="s">
        <v>85</v>
      </c>
      <c r="E18" s="20"/>
      <c r="F18" s="21"/>
      <c r="I18" s="244" t="s">
        <v>97</v>
      </c>
      <c r="J18" s="226">
        <f>J6-J14</f>
        <v>128156.71507231839</v>
      </c>
      <c r="L18" s="9"/>
    </row>
    <row r="19" spans="2:16" x14ac:dyDescent="0.2">
      <c r="B19" s="3" t="s">
        <v>98</v>
      </c>
      <c r="C19" s="15">
        <v>50</v>
      </c>
      <c r="D19" s="15" t="s">
        <v>85</v>
      </c>
      <c r="E19" s="9">
        <f>C19*C8</f>
        <v>14650</v>
      </c>
      <c r="F19" s="15">
        <f>E19*12</f>
        <v>175800</v>
      </c>
    </row>
    <row r="20" spans="2:16" x14ac:dyDescent="0.2">
      <c r="B20" s="3" t="s">
        <v>99</v>
      </c>
      <c r="C20" s="15">
        <f>(1*C19) +(C11*1 * (C17/124800)) + (C12*1*(C16/124800))+(C13*1*(C16/124800))+(C14*1*(C17/124800))</f>
        <v>62.385817307692307</v>
      </c>
      <c r="D20" s="43"/>
      <c r="E20" s="20"/>
      <c r="F20" s="21"/>
      <c r="I20" s="244" t="s">
        <v>100</v>
      </c>
      <c r="J20" s="226">
        <f>J8-J16</f>
        <v>10508850.635930108</v>
      </c>
    </row>
    <row r="21" spans="2:16" x14ac:dyDescent="0.2">
      <c r="B21" s="3" t="s">
        <v>12</v>
      </c>
      <c r="C21" s="2"/>
      <c r="D21" s="2"/>
      <c r="E21" s="15">
        <f>C20*C8</f>
        <v>18279.044471153848</v>
      </c>
      <c r="F21" s="239">
        <f>E21*12</f>
        <v>219348.53365384619</v>
      </c>
      <c r="N21" s="58"/>
      <c r="O21" s="58"/>
      <c r="P21" s="58"/>
    </row>
    <row r="22" spans="2:16" ht="17" thickBot="1" x14ac:dyDescent="0.25">
      <c r="B22" s="6"/>
      <c r="C22" s="7"/>
      <c r="D22" s="7"/>
      <c r="E22" s="14"/>
      <c r="F22" s="11"/>
      <c r="N22" s="58"/>
      <c r="O22" s="58"/>
      <c r="P22" s="58"/>
    </row>
    <row r="23" spans="2:16" ht="17" thickBot="1" x14ac:dyDescent="0.25">
      <c r="B23" s="307" t="s">
        <v>101</v>
      </c>
      <c r="C23" s="308"/>
      <c r="D23" s="308"/>
      <c r="E23" s="308"/>
      <c r="F23" s="309"/>
      <c r="N23" s="58"/>
      <c r="O23" s="58"/>
      <c r="P23" s="58"/>
    </row>
    <row r="24" spans="2:16" ht="17" thickBot="1" x14ac:dyDescent="0.25">
      <c r="B24" s="25" t="s">
        <v>58</v>
      </c>
      <c r="C24" s="26" t="s">
        <v>59</v>
      </c>
      <c r="D24" s="26" t="s">
        <v>60</v>
      </c>
      <c r="E24" s="27" t="s">
        <v>61</v>
      </c>
      <c r="F24" s="28" t="s">
        <v>62</v>
      </c>
    </row>
    <row r="25" spans="2:16" ht="17" thickBot="1" x14ac:dyDescent="0.25">
      <c r="B25" s="76" t="s">
        <v>40</v>
      </c>
      <c r="C25" s="131">
        <f>'Est Per Base Labor'!E21</f>
        <v>2050.4005350496277</v>
      </c>
      <c r="D25" s="133" t="s">
        <v>102</v>
      </c>
      <c r="E25" s="130"/>
      <c r="F25" s="132">
        <f>C25</f>
        <v>2050.4005350496277</v>
      </c>
    </row>
    <row r="26" spans="2:16" ht="17" thickBot="1" x14ac:dyDescent="0.25">
      <c r="B26" s="76" t="s">
        <v>41</v>
      </c>
      <c r="C26" s="8">
        <f>'Est Per Base Labor'!G21</f>
        <v>2184.9284584367242</v>
      </c>
      <c r="D26" s="8" t="s">
        <v>102</v>
      </c>
      <c r="E26" s="13"/>
      <c r="F26" s="12">
        <f>C26</f>
        <v>2184.9284584367242</v>
      </c>
      <c r="L26" s="9"/>
      <c r="M26" s="56"/>
    </row>
    <row r="27" spans="2:16" x14ac:dyDescent="0.2">
      <c r="B27" s="3" t="s">
        <v>103</v>
      </c>
      <c r="C27" s="15">
        <v>600</v>
      </c>
      <c r="D27" s="8" t="s">
        <v>102</v>
      </c>
      <c r="E27" s="13"/>
      <c r="F27" s="12">
        <f t="shared" ref="F27:F31" si="2">C27</f>
        <v>600</v>
      </c>
    </row>
    <row r="28" spans="2:16" x14ac:dyDescent="0.2">
      <c r="B28" s="3" t="s">
        <v>104</v>
      </c>
      <c r="C28" s="15">
        <v>9950</v>
      </c>
      <c r="D28" s="8" t="s">
        <v>102</v>
      </c>
      <c r="E28" s="13"/>
      <c r="F28" s="12">
        <f t="shared" si="2"/>
        <v>9950</v>
      </c>
    </row>
    <row r="29" spans="2:16" x14ac:dyDescent="0.2">
      <c r="B29" s="3" t="s">
        <v>105</v>
      </c>
      <c r="C29" s="15">
        <v>271.88</v>
      </c>
      <c r="D29" s="8" t="s">
        <v>102</v>
      </c>
      <c r="E29" s="13"/>
      <c r="F29" s="12">
        <f t="shared" si="2"/>
        <v>271.88</v>
      </c>
    </row>
    <row r="30" spans="2:16" x14ac:dyDescent="0.2">
      <c r="B30" s="3" t="s">
        <v>106</v>
      </c>
      <c r="C30" s="15">
        <v>200</v>
      </c>
      <c r="D30" s="8" t="s">
        <v>102</v>
      </c>
      <c r="E30" s="13"/>
      <c r="F30" s="12">
        <f t="shared" si="2"/>
        <v>200</v>
      </c>
    </row>
    <row r="31" spans="2:16" ht="15.75" customHeight="1" x14ac:dyDescent="0.2">
      <c r="B31" s="3" t="s">
        <v>107</v>
      </c>
      <c r="C31" s="15">
        <v>960</v>
      </c>
      <c r="D31" s="8" t="s">
        <v>102</v>
      </c>
      <c r="E31" s="13"/>
      <c r="F31" s="12">
        <f t="shared" si="2"/>
        <v>960</v>
      </c>
    </row>
    <row r="32" spans="2:16" x14ac:dyDescent="0.2">
      <c r="B32" s="3" t="s">
        <v>108</v>
      </c>
      <c r="C32" s="17">
        <f>(52/12)*2</f>
        <v>8.6666666666666661</v>
      </c>
      <c r="D32" s="18"/>
      <c r="E32" s="13"/>
      <c r="F32" s="10"/>
    </row>
    <row r="33" spans="2:23" x14ac:dyDescent="0.2">
      <c r="B33" s="23" t="s">
        <v>109</v>
      </c>
      <c r="C33" s="44">
        <v>45</v>
      </c>
      <c r="D33" s="44" t="s">
        <v>85</v>
      </c>
      <c r="E33" s="44">
        <f>C33*C32</f>
        <v>390</v>
      </c>
      <c r="F33" s="34">
        <f>E33*12</f>
        <v>4680</v>
      </c>
    </row>
    <row r="34" spans="2:23" x14ac:dyDescent="0.2">
      <c r="B34" s="23" t="s">
        <v>110</v>
      </c>
      <c r="C34" s="44">
        <v>300</v>
      </c>
      <c r="D34" s="44" t="s">
        <v>85</v>
      </c>
      <c r="E34" s="44">
        <f>C34*C32</f>
        <v>2600</v>
      </c>
      <c r="F34" s="34">
        <f>E34*12</f>
        <v>31200</v>
      </c>
    </row>
    <row r="35" spans="2:23" x14ac:dyDescent="0.2">
      <c r="B35" s="3" t="s">
        <v>111</v>
      </c>
      <c r="C35" s="15">
        <v>54.41</v>
      </c>
      <c r="D35" s="15" t="s">
        <v>85</v>
      </c>
      <c r="E35" s="15">
        <f>C32*C35</f>
        <v>471.55333333333328</v>
      </c>
      <c r="F35" s="12">
        <f>E35*12</f>
        <v>5658.6399999999994</v>
      </c>
    </row>
    <row r="36" spans="2:23" x14ac:dyDescent="0.2">
      <c r="B36" s="3" t="s">
        <v>112</v>
      </c>
      <c r="C36" s="15">
        <v>22.66</v>
      </c>
      <c r="D36" s="15" t="s">
        <v>85</v>
      </c>
      <c r="E36" s="15">
        <f>C36</f>
        <v>22.66</v>
      </c>
      <c r="F36" s="12">
        <f>E36*12</f>
        <v>271.92</v>
      </c>
    </row>
    <row r="37" spans="2:23" x14ac:dyDescent="0.2">
      <c r="B37" s="3" t="s">
        <v>113</v>
      </c>
      <c r="C37" s="15">
        <v>34.659999999999997</v>
      </c>
      <c r="D37" s="15" t="s">
        <v>85</v>
      </c>
      <c r="E37" s="15">
        <f t="shared" ref="E37" si="3">C37</f>
        <v>34.659999999999997</v>
      </c>
      <c r="F37" s="12">
        <f t="shared" ref="F37" si="4">E37*12</f>
        <v>415.91999999999996</v>
      </c>
    </row>
    <row r="38" spans="2:23" x14ac:dyDescent="0.2">
      <c r="B38" s="3" t="s">
        <v>114</v>
      </c>
      <c r="C38" s="17">
        <v>6</v>
      </c>
      <c r="D38" s="65"/>
      <c r="E38" s="65"/>
      <c r="F38" s="66"/>
    </row>
    <row r="39" spans="2:23" x14ac:dyDescent="0.2">
      <c r="B39" s="3" t="s">
        <v>115</v>
      </c>
      <c r="C39" s="15">
        <f>'Est Per Base Labor'!C17</f>
        <v>13.094999999999999</v>
      </c>
      <c r="D39" s="15" t="s">
        <v>85</v>
      </c>
      <c r="E39" s="15"/>
      <c r="F39" s="12"/>
    </row>
    <row r="40" spans="2:23" x14ac:dyDescent="0.2">
      <c r="B40" s="23" t="s">
        <v>116</v>
      </c>
      <c r="C40" s="44">
        <f>C38*C39</f>
        <v>78.569999999999993</v>
      </c>
      <c r="D40" s="44" t="s">
        <v>85</v>
      </c>
      <c r="E40" s="44">
        <f>C40*C32</f>
        <v>680.93999999999994</v>
      </c>
      <c r="F40" s="12">
        <f>E40*12</f>
        <v>8171.2799999999988</v>
      </c>
    </row>
    <row r="41" spans="2:23" x14ac:dyDescent="0.2">
      <c r="B41" s="3" t="s">
        <v>117</v>
      </c>
      <c r="C41" s="15">
        <f>'Est Per Base Labor'!M22 +'Est Per Base Labor'!O22</f>
        <v>265.34872399967526</v>
      </c>
      <c r="D41" s="15" t="s">
        <v>85</v>
      </c>
      <c r="E41" s="15">
        <f>C41*4.33</f>
        <v>1148.9599749185938</v>
      </c>
      <c r="F41" s="12">
        <f>E41*12</f>
        <v>13787.519699023127</v>
      </c>
    </row>
    <row r="42" spans="2:23" x14ac:dyDescent="0.2">
      <c r="B42" s="23" t="s">
        <v>118</v>
      </c>
      <c r="C42" s="44">
        <f>'Est Per Base Labor'!S22</f>
        <v>105.53470919324579</v>
      </c>
      <c r="D42" s="44" t="s">
        <v>85</v>
      </c>
      <c r="E42" s="44">
        <f>C42*4.33</f>
        <v>456.9652908067543</v>
      </c>
      <c r="F42" s="34">
        <f>E42*12</f>
        <v>5483.583489681052</v>
      </c>
      <c r="N42" s="49"/>
      <c r="O42" s="49"/>
      <c r="P42" s="49"/>
      <c r="Q42" s="310"/>
      <c r="R42" s="310"/>
      <c r="S42" s="310"/>
      <c r="T42" s="310"/>
      <c r="U42" s="310"/>
      <c r="V42" s="310"/>
      <c r="W42" s="310"/>
    </row>
    <row r="43" spans="2:23" ht="16" customHeight="1" thickBot="1" x14ac:dyDescent="0.25">
      <c r="B43" s="3" t="s">
        <v>9</v>
      </c>
      <c r="C43" s="15">
        <f>'Est Per Base Labor'!Q22</f>
        <v>87.945590994371486</v>
      </c>
      <c r="D43" s="15" t="s">
        <v>85</v>
      </c>
      <c r="E43" s="15">
        <f>C43*4.33</f>
        <v>380.80440900562854</v>
      </c>
      <c r="F43" s="12">
        <f>E43*12</f>
        <v>4569.6529080675427</v>
      </c>
    </row>
    <row r="44" spans="2:23" ht="16" customHeight="1" x14ac:dyDescent="0.2">
      <c r="B44" s="3" t="s">
        <v>119</v>
      </c>
      <c r="C44" s="15">
        <f>'Est Per Base Labor'!K22</f>
        <v>90.290806754221393</v>
      </c>
      <c r="D44" s="15" t="s">
        <v>85</v>
      </c>
      <c r="E44" s="15">
        <f>C44*4.33</f>
        <v>390.95919324577864</v>
      </c>
      <c r="F44" s="215">
        <f>E44*12</f>
        <v>4691.5103189493439</v>
      </c>
      <c r="G44" s="42" t="s">
        <v>120</v>
      </c>
    </row>
    <row r="45" spans="2:23" ht="16" customHeight="1" thickBot="1" x14ac:dyDescent="0.25">
      <c r="B45" s="4" t="s">
        <v>23</v>
      </c>
      <c r="C45" s="5"/>
      <c r="D45" s="5"/>
      <c r="E45" s="16">
        <f>SUM(E33:E44)</f>
        <v>6577.5022013100879</v>
      </c>
      <c r="F45" s="216">
        <f>SUM(F25:F44)</f>
        <v>95147.235409207409</v>
      </c>
      <c r="G45" s="214">
        <f>SUM(F33:F44)</f>
        <v>78930.026415721048</v>
      </c>
    </row>
    <row r="46" spans="2:23" ht="16" customHeight="1" x14ac:dyDescent="0.2"/>
    <row r="47" spans="2:23" ht="16" customHeight="1" x14ac:dyDescent="0.2">
      <c r="G47" t="s">
        <v>121</v>
      </c>
      <c r="I47" s="9"/>
    </row>
    <row r="48" spans="2:23" ht="15.75" customHeight="1" x14ac:dyDescent="0.2">
      <c r="C48" s="191"/>
      <c r="E48" s="244" t="s">
        <v>122</v>
      </c>
      <c r="F48" s="226">
        <f>(F45*62)+(G45*20)</f>
        <v>7477729.1236852799</v>
      </c>
      <c r="G48" s="226">
        <f>F48/82</f>
        <v>91191.818581527798</v>
      </c>
    </row>
    <row r="49" spans="3:23" ht="16" customHeight="1" x14ac:dyDescent="0.2">
      <c r="C49" s="9"/>
      <c r="F49" s="244" t="s">
        <v>123</v>
      </c>
      <c r="G49" s="9">
        <f>G48/12</f>
        <v>7599.3182151273168</v>
      </c>
    </row>
    <row r="50" spans="3:23" ht="16" customHeight="1" x14ac:dyDescent="0.2"/>
    <row r="51" spans="3:23" x14ac:dyDescent="0.2">
      <c r="N51" s="56"/>
      <c r="O51" s="56"/>
      <c r="P51" s="56"/>
      <c r="Q51" s="56"/>
      <c r="R51" s="56"/>
      <c r="S51" s="56"/>
      <c r="T51" s="56"/>
      <c r="U51" s="56"/>
      <c r="V51" s="56"/>
      <c r="W51" s="56"/>
    </row>
  </sheetData>
  <mergeCells count="13">
    <mergeCell ref="E10:F10"/>
    <mergeCell ref="B23:F23"/>
    <mergeCell ref="Q42:W42"/>
    <mergeCell ref="I10:J10"/>
    <mergeCell ref="B2:F2"/>
    <mergeCell ref="S2:V2"/>
    <mergeCell ref="R3:R6"/>
    <mergeCell ref="S3:V6"/>
    <mergeCell ref="B6:F6"/>
    <mergeCell ref="O2:P2"/>
    <mergeCell ref="O5:P5"/>
    <mergeCell ref="L2:M2"/>
    <mergeCell ref="I2:J2"/>
  </mergeCells>
  <pageMargins left="0.7" right="0.7" top="0.75" bottom="0.75" header="0.3" footer="0.3"/>
  <pageSetup orientation="portrait"/>
  <headerFooter>
    <oddHeader>&amp;R&amp;"Calibri"&amp;10&amp;K000000 Booz Allen Hamilton Internal&amp;1#_x000D_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48EE6-2804-4637-A682-D9BA0057E75C}">
  <dimension ref="B1:AC52"/>
  <sheetViews>
    <sheetView zoomScale="60" zoomScaleNormal="60" workbookViewId="0">
      <selection activeCell="N11" sqref="N11"/>
    </sheetView>
  </sheetViews>
  <sheetFormatPr baseColWidth="10" defaultColWidth="10.5" defaultRowHeight="16" x14ac:dyDescent="0.2"/>
  <cols>
    <col min="1" max="1" width="2.5" customWidth="1"/>
    <col min="2" max="2" width="43" bestFit="1" customWidth="1"/>
    <col min="3" max="4" width="16" customWidth="1"/>
    <col min="5" max="5" width="12" style="9" bestFit="1" customWidth="1"/>
    <col min="6" max="6" width="15.83203125" style="9" customWidth="1"/>
    <col min="7" max="7" width="25.6640625" customWidth="1"/>
    <col min="8" max="8" width="2.6640625" customWidth="1"/>
    <col min="9" max="9" width="21.1640625" customWidth="1"/>
    <col min="10" max="11" width="15.83203125" customWidth="1"/>
    <col min="12" max="12" width="17.33203125" customWidth="1"/>
    <col min="13" max="13" width="2.83203125" customWidth="1"/>
    <col min="14" max="14" width="34.6640625" customWidth="1"/>
    <col min="15" max="15" width="15.6640625" customWidth="1"/>
    <col min="16" max="16" width="17.5" customWidth="1"/>
    <col min="17" max="17" width="13.6640625" customWidth="1"/>
    <col min="18" max="18" width="4.83203125" customWidth="1"/>
    <col min="19" max="19" width="46.1640625" customWidth="1"/>
    <col min="20" max="22" width="17.1640625" customWidth="1"/>
    <col min="23" max="23" width="4.33203125" customWidth="1"/>
    <col min="24" max="24" width="28.33203125" customWidth="1"/>
    <col min="25" max="27" width="9"/>
    <col min="28" max="28" width="15.1640625" customWidth="1"/>
    <col min="29" max="31" width="9"/>
  </cols>
  <sheetData>
    <row r="1" spans="2:28" ht="17" thickBot="1" x14ac:dyDescent="0.25">
      <c r="I1" s="255"/>
      <c r="J1" s="256"/>
      <c r="K1" s="256"/>
      <c r="L1" s="256"/>
    </row>
    <row r="2" spans="2:28" ht="17" thickBot="1" x14ac:dyDescent="0.25">
      <c r="B2" s="333" t="s">
        <v>52</v>
      </c>
      <c r="C2" s="334"/>
      <c r="D2" s="334"/>
      <c r="E2" s="334"/>
      <c r="F2" s="335"/>
      <c r="I2" s="297" t="s">
        <v>53</v>
      </c>
      <c r="J2" s="298"/>
      <c r="K2" s="298"/>
      <c r="L2" s="299"/>
      <c r="N2" s="355" t="s">
        <v>54</v>
      </c>
      <c r="O2" s="356"/>
      <c r="P2" s="356"/>
      <c r="Q2" s="357"/>
      <c r="R2" s="55"/>
      <c r="S2" s="351" t="s">
        <v>55</v>
      </c>
      <c r="T2" s="352"/>
      <c r="U2" s="352"/>
      <c r="V2" s="353"/>
      <c r="X2" s="54" t="s">
        <v>56</v>
      </c>
      <c r="Y2" s="336" t="s">
        <v>57</v>
      </c>
      <c r="Z2" s="337"/>
      <c r="AA2" s="337"/>
      <c r="AB2" s="338"/>
    </row>
    <row r="3" spans="2:28" ht="17" thickBot="1" x14ac:dyDescent="0.25">
      <c r="B3" s="29" t="s">
        <v>58</v>
      </c>
      <c r="C3" s="30" t="s">
        <v>59</v>
      </c>
      <c r="D3" s="30" t="s">
        <v>60</v>
      </c>
      <c r="E3" s="31" t="s">
        <v>61</v>
      </c>
      <c r="F3" s="32" t="s">
        <v>62</v>
      </c>
      <c r="I3" s="263"/>
      <c r="J3" s="261" t="s">
        <v>129</v>
      </c>
      <c r="K3" s="261" t="s">
        <v>130</v>
      </c>
      <c r="L3" s="262" t="s">
        <v>23</v>
      </c>
      <c r="N3" s="59" t="s">
        <v>63</v>
      </c>
      <c r="O3" s="61" t="s">
        <v>23</v>
      </c>
      <c r="P3" s="61" t="s">
        <v>131</v>
      </c>
      <c r="Q3" s="60" t="s">
        <v>130</v>
      </c>
      <c r="R3" s="56"/>
      <c r="S3" s="203" t="s">
        <v>63</v>
      </c>
      <c r="T3" s="204" t="s">
        <v>23</v>
      </c>
      <c r="U3" s="204" t="s">
        <v>131</v>
      </c>
      <c r="V3" s="205" t="s">
        <v>130</v>
      </c>
      <c r="X3" s="339" t="s">
        <v>132</v>
      </c>
      <c r="Y3" s="342" t="s">
        <v>133</v>
      </c>
      <c r="Z3" s="343"/>
      <c r="AA3" s="343"/>
      <c r="AB3" s="344"/>
    </row>
    <row r="4" spans="2:28" x14ac:dyDescent="0.2">
      <c r="B4" s="3" t="s">
        <v>67</v>
      </c>
      <c r="C4" s="1">
        <v>82</v>
      </c>
      <c r="D4" s="2"/>
      <c r="E4" s="13" t="s">
        <v>68</v>
      </c>
      <c r="F4" s="10" t="s">
        <v>68</v>
      </c>
      <c r="I4" s="23" t="s">
        <v>69</v>
      </c>
      <c r="J4" s="45">
        <v>8</v>
      </c>
      <c r="K4" s="45">
        <v>4</v>
      </c>
      <c r="L4" s="37">
        <v>12</v>
      </c>
      <c r="N4" s="67" t="s">
        <v>70</v>
      </c>
      <c r="O4" s="71">
        <f>(C10*(C18/124800))</f>
        <v>19.471153846153847</v>
      </c>
      <c r="P4" s="265"/>
      <c r="Q4" s="266"/>
      <c r="R4" s="195"/>
      <c r="S4" s="198" t="s">
        <v>134</v>
      </c>
      <c r="T4" s="228">
        <f>L8-L16</f>
        <v>18542483.942468569</v>
      </c>
      <c r="U4" s="228">
        <f>J8-J16</f>
        <v>8364638.2372867363</v>
      </c>
      <c r="V4" s="229">
        <f>K8-K16</f>
        <v>10177845.70518183</v>
      </c>
      <c r="W4" s="9"/>
      <c r="X4" s="340"/>
      <c r="Y4" s="345"/>
      <c r="Z4" s="346"/>
      <c r="AA4" s="346"/>
      <c r="AB4" s="347"/>
    </row>
    <row r="5" spans="2:28" ht="38" customHeight="1" thickBot="1" x14ac:dyDescent="0.25">
      <c r="B5" s="6"/>
      <c r="C5" s="7"/>
      <c r="D5" s="7"/>
      <c r="E5" s="14"/>
      <c r="F5" s="11"/>
      <c r="I5" s="23" t="s">
        <v>72</v>
      </c>
      <c r="J5" s="44">
        <f>C20*C8</f>
        <v>18279.044471153848</v>
      </c>
      <c r="K5" s="44">
        <f>C20*C9</f>
        <v>36558.088942307695</v>
      </c>
      <c r="L5" s="47"/>
      <c r="N5" s="68" t="s">
        <v>73</v>
      </c>
      <c r="O5" s="264"/>
      <c r="P5" s="41">
        <f>O4 *C8</f>
        <v>5705.0480769230771</v>
      </c>
      <c r="Q5" s="70">
        <f>C9*O4</f>
        <v>11410.096153846154</v>
      </c>
      <c r="R5" s="196"/>
      <c r="S5" s="202" t="s">
        <v>71</v>
      </c>
      <c r="T5" s="230">
        <f>T4/(C20)/82/12</f>
        <v>302.05563635515023</v>
      </c>
      <c r="U5" s="230">
        <f>U4/(C20)/82/8</f>
        <v>204.38896968848357</v>
      </c>
      <c r="V5" s="231">
        <f>V4/(C20)/4/82</f>
        <v>497.3889696884836</v>
      </c>
      <c r="W5" s="9"/>
      <c r="X5" s="340"/>
      <c r="Y5" s="345"/>
      <c r="Z5" s="346"/>
      <c r="AA5" s="346"/>
      <c r="AB5" s="347"/>
    </row>
    <row r="6" spans="2:28" ht="17.25" customHeight="1" thickBot="1" x14ac:dyDescent="0.25">
      <c r="B6" s="333" t="s">
        <v>74</v>
      </c>
      <c r="C6" s="334"/>
      <c r="D6" s="334"/>
      <c r="E6" s="334"/>
      <c r="F6" s="335"/>
      <c r="I6" s="24" t="s">
        <v>75</v>
      </c>
      <c r="J6" s="46">
        <f>J5*J4</f>
        <v>146232.35576923078</v>
      </c>
      <c r="K6" s="46">
        <f>K5*K4</f>
        <v>146232.35576923078</v>
      </c>
      <c r="L6" s="225">
        <f>SUM(J6:K6)</f>
        <v>292464.71153846156</v>
      </c>
      <c r="N6" s="69" t="s">
        <v>76</v>
      </c>
      <c r="O6" s="257">
        <f>P6+Q6</f>
        <v>91280.769230769234</v>
      </c>
      <c r="P6" s="258">
        <f>P5*J4</f>
        <v>45640.384615384617</v>
      </c>
      <c r="Q6" s="259">
        <f>Q5*K4</f>
        <v>45640.384615384617</v>
      </c>
      <c r="R6" s="78"/>
      <c r="S6" s="329" t="s">
        <v>54</v>
      </c>
      <c r="T6" s="354"/>
      <c r="U6" s="354"/>
      <c r="V6" s="330"/>
      <c r="X6" s="341"/>
      <c r="Y6" s="348"/>
      <c r="Z6" s="349"/>
      <c r="AA6" s="349"/>
      <c r="AB6" s="350"/>
    </row>
    <row r="7" spans="2:28" ht="16.5" customHeight="1" x14ac:dyDescent="0.2">
      <c r="B7" s="25" t="s">
        <v>58</v>
      </c>
      <c r="C7" s="26" t="s">
        <v>59</v>
      </c>
      <c r="D7" s="26" t="s">
        <v>60</v>
      </c>
      <c r="E7" s="27" t="s">
        <v>61</v>
      </c>
      <c r="F7" s="28" t="s">
        <v>62</v>
      </c>
      <c r="R7" s="194"/>
      <c r="S7" s="68" t="s">
        <v>76</v>
      </c>
      <c r="T7" s="233">
        <f>O6*82</f>
        <v>7485023.076923077</v>
      </c>
      <c r="U7" s="233">
        <f>P6*82</f>
        <v>3742511.5384615385</v>
      </c>
      <c r="V7" s="234">
        <f>Q6*82</f>
        <v>3742511.5384615385</v>
      </c>
      <c r="Y7" s="51"/>
      <c r="Z7" s="51"/>
      <c r="AA7" s="51"/>
      <c r="AB7" s="51"/>
    </row>
    <row r="8" spans="2:28" x14ac:dyDescent="0.2">
      <c r="B8" s="3" t="s">
        <v>78</v>
      </c>
      <c r="C8" s="1">
        <v>293</v>
      </c>
      <c r="D8" s="1"/>
      <c r="E8" s="20"/>
      <c r="F8" s="21"/>
      <c r="I8" s="244" t="s">
        <v>79</v>
      </c>
      <c r="J8" s="9">
        <f>J6*82</f>
        <v>11991053.173076924</v>
      </c>
      <c r="K8" s="9">
        <f>K6*82</f>
        <v>11991053.173076924</v>
      </c>
      <c r="L8" s="226">
        <f>L6*82</f>
        <v>23982106.346153848</v>
      </c>
      <c r="N8" t="s">
        <v>80</v>
      </c>
      <c r="O8" s="226">
        <f>O6*82</f>
        <v>7485023.076923077</v>
      </c>
      <c r="P8" s="196"/>
      <c r="R8" s="199"/>
      <c r="S8" s="68" t="s">
        <v>77</v>
      </c>
      <c r="T8" s="232">
        <f>T4+T7</f>
        <v>26027507.019391645</v>
      </c>
      <c r="U8" s="232">
        <f>U4+U7</f>
        <v>12107149.775748275</v>
      </c>
      <c r="V8" s="235">
        <f>V4+V7</f>
        <v>13920357.243643368</v>
      </c>
      <c r="Y8" s="52"/>
      <c r="Z8" s="52"/>
      <c r="AA8" s="52"/>
      <c r="AB8" s="52"/>
    </row>
    <row r="9" spans="2:28" ht="41" customHeight="1" thickBot="1" x14ac:dyDescent="0.25">
      <c r="B9" s="3" t="s">
        <v>82</v>
      </c>
      <c r="C9" s="1">
        <f>C8*2</f>
        <v>586</v>
      </c>
      <c r="D9" s="1"/>
      <c r="E9" s="20"/>
      <c r="F9" s="21"/>
      <c r="N9" s="78"/>
      <c r="O9" s="78"/>
      <c r="P9" s="78"/>
      <c r="R9" s="77"/>
      <c r="S9" s="201" t="s">
        <v>81</v>
      </c>
      <c r="T9" s="236">
        <f>T8/(C20+O4)/12/82</f>
        <v>323.13336473113679</v>
      </c>
      <c r="U9" s="236">
        <f>U8/(C20+O4)/8/82</f>
        <v>225.46669806447014</v>
      </c>
      <c r="V9" s="238">
        <f>V8/(C20+O4)/4/82</f>
        <v>518.46669806447005</v>
      </c>
      <c r="Y9" s="52"/>
      <c r="Z9" s="52"/>
      <c r="AA9" s="52"/>
      <c r="AB9" s="52"/>
    </row>
    <row r="10" spans="2:28" ht="17" thickBot="1" x14ac:dyDescent="0.25">
      <c r="B10" s="3" t="s">
        <v>84</v>
      </c>
      <c r="C10" s="1">
        <v>30</v>
      </c>
      <c r="D10" s="1" t="s">
        <v>85</v>
      </c>
      <c r="E10" s="305" t="s">
        <v>86</v>
      </c>
      <c r="F10" s="306"/>
      <c r="I10" s="297" t="s">
        <v>87</v>
      </c>
      <c r="J10" s="298"/>
      <c r="K10" s="298"/>
      <c r="L10" s="299"/>
      <c r="N10" s="194"/>
      <c r="O10" s="194"/>
      <c r="P10" s="194"/>
      <c r="R10" s="77"/>
      <c r="S10" s="200"/>
      <c r="T10" s="200"/>
      <c r="U10" s="200"/>
      <c r="Y10" s="52"/>
      <c r="Z10" s="52"/>
      <c r="AA10" s="52"/>
      <c r="AB10" s="52"/>
    </row>
    <row r="11" spans="2:28" x14ac:dyDescent="0.2">
      <c r="B11" s="3" t="s">
        <v>88</v>
      </c>
      <c r="C11" s="1">
        <v>10</v>
      </c>
      <c r="D11" s="38" t="s">
        <v>85</v>
      </c>
      <c r="E11" s="41">
        <f>C11* C8* (C17/124800)</f>
        <v>1307.4068509615383</v>
      </c>
      <c r="F11" s="39">
        <f>E11*12</f>
        <v>15688.882211538461</v>
      </c>
      <c r="I11" s="269"/>
      <c r="J11" s="261" t="s">
        <v>129</v>
      </c>
      <c r="K11" s="261" t="s">
        <v>130</v>
      </c>
      <c r="L11" s="262" t="s">
        <v>23</v>
      </c>
      <c r="N11" s="199"/>
      <c r="O11" s="199"/>
      <c r="P11" s="199"/>
      <c r="R11" s="9"/>
      <c r="S11" s="55"/>
      <c r="T11" s="55"/>
      <c r="U11" s="55"/>
    </row>
    <row r="12" spans="2:28" x14ac:dyDescent="0.2">
      <c r="B12" s="3" t="s">
        <v>89</v>
      </c>
      <c r="C12" s="1">
        <v>5</v>
      </c>
      <c r="D12" s="38" t="s">
        <v>85</v>
      </c>
      <c r="E12" s="41">
        <f>C12*C8*(C16/124800)</f>
        <v>1030.078125</v>
      </c>
      <c r="F12" s="39">
        <f t="shared" ref="F12:F14" si="0">E12*12</f>
        <v>12360.9375</v>
      </c>
      <c r="I12" s="23" t="s">
        <v>69</v>
      </c>
      <c r="J12" s="45">
        <v>8</v>
      </c>
      <c r="K12" s="45">
        <v>4</v>
      </c>
      <c r="L12" s="37">
        <v>12</v>
      </c>
      <c r="N12" s="77"/>
      <c r="O12" s="77"/>
      <c r="P12" s="77"/>
      <c r="R12" s="9"/>
      <c r="S12" s="56"/>
      <c r="T12" s="56"/>
      <c r="U12" s="56"/>
    </row>
    <row r="13" spans="2:28" x14ac:dyDescent="0.2">
      <c r="B13" s="3" t="s">
        <v>90</v>
      </c>
      <c r="C13" s="1">
        <v>5</v>
      </c>
      <c r="D13" s="38" t="s">
        <v>85</v>
      </c>
      <c r="E13" s="41">
        <f>C13*C8*(C16/124800)</f>
        <v>1030.078125</v>
      </c>
      <c r="F13" s="39">
        <f t="shared" si="0"/>
        <v>12360.9375</v>
      </c>
      <c r="I13" s="23" t="s">
        <v>72</v>
      </c>
      <c r="J13" s="44">
        <f>G49</f>
        <v>5528.0715484606517</v>
      </c>
      <c r="K13" s="44">
        <f>G49</f>
        <v>5528.0715484606517</v>
      </c>
      <c r="L13" s="34">
        <f>G49</f>
        <v>5528.0715484606517</v>
      </c>
      <c r="N13" s="77"/>
      <c r="O13" s="77"/>
      <c r="P13" s="77"/>
      <c r="S13" s="195"/>
      <c r="T13" s="195"/>
      <c r="U13" s="195"/>
    </row>
    <row r="14" spans="2:28" ht="17" thickBot="1" x14ac:dyDescent="0.25">
      <c r="B14" s="3" t="s">
        <v>91</v>
      </c>
      <c r="C14" s="1">
        <v>2</v>
      </c>
      <c r="D14" s="38" t="s">
        <v>85</v>
      </c>
      <c r="E14" s="41">
        <f>C14*C8*(C17/124800)</f>
        <v>261.48137019230768</v>
      </c>
      <c r="F14" s="39">
        <f t="shared" si="0"/>
        <v>3137.7764423076924</v>
      </c>
      <c r="I14" s="251" t="s">
        <v>75</v>
      </c>
      <c r="J14" s="252">
        <f>J12*J13</f>
        <v>44224.572387685213</v>
      </c>
      <c r="K14" s="253">
        <f>K12*K13</f>
        <v>22112.286193842607</v>
      </c>
      <c r="L14" s="254">
        <f>J14+K14</f>
        <v>66336.85858152782</v>
      </c>
      <c r="N14" s="77"/>
      <c r="O14" s="77"/>
      <c r="P14" s="77"/>
    </row>
    <row r="15" spans="2:28" x14ac:dyDescent="0.2">
      <c r="B15" s="3" t="s">
        <v>92</v>
      </c>
      <c r="C15" s="1">
        <f>'Est Per Base Labor'!C3</f>
        <v>0.35</v>
      </c>
      <c r="D15" s="220"/>
      <c r="E15" s="221"/>
      <c r="F15" s="222"/>
      <c r="N15" s="78"/>
      <c r="O15" s="78"/>
      <c r="P15" s="78"/>
    </row>
    <row r="16" spans="2:28" x14ac:dyDescent="0.2">
      <c r="B16" s="3" t="s">
        <v>126</v>
      </c>
      <c r="C16" s="15">
        <f>65000+(65000*C15)</f>
        <v>87750</v>
      </c>
      <c r="D16" s="1" t="s">
        <v>85</v>
      </c>
      <c r="E16" s="40"/>
      <c r="F16" s="21"/>
      <c r="I16" s="244" t="s">
        <v>94</v>
      </c>
      <c r="J16" s="9">
        <f>J14*82</f>
        <v>3626414.9357901877</v>
      </c>
      <c r="K16" s="9">
        <f t="shared" ref="K16:L16" si="1">K14*82</f>
        <v>1813207.4678950938</v>
      </c>
      <c r="L16" s="226">
        <f t="shared" si="1"/>
        <v>5439622.4036852811</v>
      </c>
    </row>
    <row r="17" spans="2:17" x14ac:dyDescent="0.2">
      <c r="B17" s="3" t="s">
        <v>127</v>
      </c>
      <c r="C17" s="15">
        <f>(41250 + 41250*C15)</f>
        <v>55687.5</v>
      </c>
      <c r="D17" s="1" t="s">
        <v>85</v>
      </c>
      <c r="E17" s="20"/>
      <c r="F17" s="21"/>
    </row>
    <row r="18" spans="2:17" x14ac:dyDescent="0.2">
      <c r="B18" s="3" t="s">
        <v>128</v>
      </c>
      <c r="C18" s="15">
        <f>60000 + 60000*C15</f>
        <v>81000</v>
      </c>
      <c r="D18" s="1" t="s">
        <v>85</v>
      </c>
      <c r="E18" s="20"/>
      <c r="F18" s="21"/>
      <c r="K18" s="244" t="s">
        <v>97</v>
      </c>
      <c r="L18" s="226">
        <f>L6-L14</f>
        <v>226127.85295693373</v>
      </c>
      <c r="N18" s="72"/>
      <c r="O18" s="72"/>
      <c r="P18" s="72"/>
    </row>
    <row r="19" spans="2:17" x14ac:dyDescent="0.2">
      <c r="B19" s="3" t="s">
        <v>98</v>
      </c>
      <c r="C19" s="15">
        <v>50</v>
      </c>
      <c r="D19" s="15" t="s">
        <v>85</v>
      </c>
      <c r="E19" s="9">
        <f>C19*C8</f>
        <v>14650</v>
      </c>
      <c r="F19" s="15">
        <f>E19*12</f>
        <v>175800</v>
      </c>
      <c r="H19" s="9"/>
      <c r="N19" s="58"/>
      <c r="O19" s="58"/>
      <c r="P19" s="58"/>
    </row>
    <row r="20" spans="2:17" x14ac:dyDescent="0.2">
      <c r="B20" s="3" t="s">
        <v>99</v>
      </c>
      <c r="C20" s="15">
        <f>(1*C19) +(C11*1 * (C17/124800)) + (C12*1*(C16/124800))+(C13*1*(C16/124800))+(C14*1*(C17/124800))</f>
        <v>62.385817307692307</v>
      </c>
      <c r="D20" s="1" t="s">
        <v>85</v>
      </c>
      <c r="E20" s="20"/>
      <c r="F20" s="21"/>
      <c r="H20" s="9"/>
      <c r="K20" s="244" t="s">
        <v>100</v>
      </c>
      <c r="L20" s="226">
        <f>L8-L16</f>
        <v>18542483.942468569</v>
      </c>
      <c r="N20" s="58"/>
      <c r="O20" s="58"/>
      <c r="P20" s="58"/>
    </row>
    <row r="21" spans="2:17" x14ac:dyDescent="0.2">
      <c r="B21" s="3" t="s">
        <v>12</v>
      </c>
      <c r="C21" s="2"/>
      <c r="D21" s="2"/>
      <c r="E21" s="15">
        <f>C20*C8</f>
        <v>18279.044471153848</v>
      </c>
      <c r="F21" s="12">
        <f>E21*12</f>
        <v>219348.53365384619</v>
      </c>
      <c r="G21" s="9"/>
      <c r="H21" s="9"/>
      <c r="N21" s="58"/>
      <c r="O21" s="58"/>
      <c r="P21" s="58"/>
    </row>
    <row r="22" spans="2:17" ht="17" thickBot="1" x14ac:dyDescent="0.25">
      <c r="B22" s="6"/>
      <c r="C22" s="7"/>
      <c r="D22" s="7"/>
      <c r="E22" s="14"/>
      <c r="F22" s="11"/>
    </row>
    <row r="23" spans="2:17" ht="17" thickBot="1" x14ac:dyDescent="0.25">
      <c r="B23" s="307" t="s">
        <v>101</v>
      </c>
      <c r="C23" s="308"/>
      <c r="D23" s="308"/>
      <c r="E23" s="308"/>
      <c r="F23" s="309"/>
    </row>
    <row r="24" spans="2:17" ht="17" thickBot="1" x14ac:dyDescent="0.25">
      <c r="B24" s="25" t="s">
        <v>58</v>
      </c>
      <c r="C24" s="26" t="s">
        <v>59</v>
      </c>
      <c r="D24" s="26" t="s">
        <v>60</v>
      </c>
      <c r="E24" s="27" t="s">
        <v>61</v>
      </c>
      <c r="F24" s="28" t="s">
        <v>62</v>
      </c>
    </row>
    <row r="25" spans="2:17" ht="17" thickBot="1" x14ac:dyDescent="0.25">
      <c r="B25" s="76" t="s">
        <v>40</v>
      </c>
      <c r="C25" s="131">
        <f>'Est Per Base Labor'!E21</f>
        <v>2050.4005350496277</v>
      </c>
      <c r="D25" s="133" t="s">
        <v>102</v>
      </c>
      <c r="E25" s="131"/>
      <c r="F25" s="132">
        <f>C25</f>
        <v>2050.4005350496277</v>
      </c>
      <c r="H25" s="9"/>
    </row>
    <row r="26" spans="2:17" ht="17" thickBot="1" x14ac:dyDescent="0.25">
      <c r="B26" s="76" t="s">
        <v>41</v>
      </c>
      <c r="C26" s="8">
        <f>'Est Per Base Labor'!G21</f>
        <v>2184.9284584367242</v>
      </c>
      <c r="D26" s="8" t="s">
        <v>102</v>
      </c>
      <c r="E26" s="13"/>
      <c r="F26" s="12">
        <f>C26</f>
        <v>2184.9284584367242</v>
      </c>
      <c r="H26" s="9"/>
    </row>
    <row r="27" spans="2:17" x14ac:dyDescent="0.2">
      <c r="B27" s="3" t="s">
        <v>103</v>
      </c>
      <c r="C27" s="15">
        <v>600</v>
      </c>
      <c r="D27" s="8" t="s">
        <v>102</v>
      </c>
      <c r="E27" s="13"/>
      <c r="F27" s="12">
        <f t="shared" ref="F27:F31" si="2">C27</f>
        <v>600</v>
      </c>
      <c r="N27" s="49"/>
      <c r="O27" s="49"/>
      <c r="P27" s="49"/>
      <c r="Q27" s="56"/>
    </row>
    <row r="28" spans="2:17" x14ac:dyDescent="0.2">
      <c r="B28" s="3" t="s">
        <v>104</v>
      </c>
      <c r="C28" s="15">
        <v>9950</v>
      </c>
      <c r="D28" s="8" t="s">
        <v>102</v>
      </c>
      <c r="E28" s="13"/>
      <c r="F28" s="12">
        <f t="shared" si="2"/>
        <v>9950</v>
      </c>
    </row>
    <row r="29" spans="2:17" x14ac:dyDescent="0.2">
      <c r="B29" s="3" t="s">
        <v>105</v>
      </c>
      <c r="C29" s="15">
        <v>271.88</v>
      </c>
      <c r="D29" s="8" t="s">
        <v>102</v>
      </c>
      <c r="E29" s="13"/>
      <c r="F29" s="12">
        <f t="shared" si="2"/>
        <v>271.88</v>
      </c>
    </row>
    <row r="30" spans="2:17" x14ac:dyDescent="0.2">
      <c r="B30" s="3" t="s">
        <v>106</v>
      </c>
      <c r="C30" s="15">
        <v>200</v>
      </c>
      <c r="D30" s="8" t="s">
        <v>102</v>
      </c>
      <c r="E30" s="13"/>
      <c r="F30" s="12">
        <f t="shared" si="2"/>
        <v>200</v>
      </c>
    </row>
    <row r="31" spans="2:17" x14ac:dyDescent="0.2">
      <c r="B31" s="3" t="s">
        <v>107</v>
      </c>
      <c r="C31" s="15">
        <v>960</v>
      </c>
      <c r="D31" s="8" t="s">
        <v>102</v>
      </c>
      <c r="E31" s="13"/>
      <c r="F31" s="12">
        <f t="shared" si="2"/>
        <v>960</v>
      </c>
    </row>
    <row r="32" spans="2:17" ht="15.75" customHeight="1" x14ac:dyDescent="0.2">
      <c r="B32" s="3" t="s">
        <v>108</v>
      </c>
      <c r="C32" s="17">
        <f>(52/12)</f>
        <v>4.333333333333333</v>
      </c>
      <c r="D32" s="18"/>
      <c r="E32" s="13"/>
      <c r="F32" s="10"/>
    </row>
    <row r="33" spans="2:29" x14ac:dyDescent="0.2">
      <c r="B33" s="23" t="s">
        <v>109</v>
      </c>
      <c r="C33" s="44">
        <v>45</v>
      </c>
      <c r="D33" s="44" t="s">
        <v>85</v>
      </c>
      <c r="E33" s="44">
        <f>C33*C32</f>
        <v>195</v>
      </c>
      <c r="F33" s="34">
        <f>E33*12</f>
        <v>2340</v>
      </c>
    </row>
    <row r="34" spans="2:29" x14ac:dyDescent="0.2">
      <c r="B34" s="23" t="s">
        <v>110</v>
      </c>
      <c r="C34" s="44">
        <v>300</v>
      </c>
      <c r="D34" s="44" t="s">
        <v>85</v>
      </c>
      <c r="E34" s="44">
        <f>C34*C32</f>
        <v>1300</v>
      </c>
      <c r="F34" s="34">
        <f>E34*12</f>
        <v>15600</v>
      </c>
    </row>
    <row r="35" spans="2:29" x14ac:dyDescent="0.2">
      <c r="B35" s="3" t="s">
        <v>111</v>
      </c>
      <c r="C35" s="15">
        <v>54.41</v>
      </c>
      <c r="D35" s="15" t="s">
        <v>85</v>
      </c>
      <c r="E35" s="15">
        <f>C32*C35</f>
        <v>235.77666666666664</v>
      </c>
      <c r="F35" s="12">
        <f>E35*12</f>
        <v>2829.3199999999997</v>
      </c>
    </row>
    <row r="36" spans="2:29" x14ac:dyDescent="0.2">
      <c r="B36" s="3" t="s">
        <v>112</v>
      </c>
      <c r="C36" s="15">
        <v>22.66</v>
      </c>
      <c r="D36" s="15" t="s">
        <v>85</v>
      </c>
      <c r="E36" s="15">
        <f>C36</f>
        <v>22.66</v>
      </c>
      <c r="F36" s="12">
        <f>E36*12</f>
        <v>271.92</v>
      </c>
    </row>
    <row r="37" spans="2:29" x14ac:dyDescent="0.2">
      <c r="B37" s="3" t="s">
        <v>113</v>
      </c>
      <c r="C37" s="15">
        <v>34.659999999999997</v>
      </c>
      <c r="D37" s="15" t="s">
        <v>85</v>
      </c>
      <c r="E37" s="15">
        <f t="shared" ref="E37" si="3">C37</f>
        <v>34.659999999999997</v>
      </c>
      <c r="F37" s="12">
        <f t="shared" ref="F37:F44" si="4">E37*12</f>
        <v>415.91999999999996</v>
      </c>
      <c r="H37" s="9"/>
      <c r="O37" s="49"/>
      <c r="P37" s="49"/>
      <c r="Q37" s="49"/>
    </row>
    <row r="38" spans="2:29" x14ac:dyDescent="0.2">
      <c r="B38" s="3" t="s">
        <v>114</v>
      </c>
      <c r="C38" s="17">
        <v>6</v>
      </c>
      <c r="D38" s="65"/>
      <c r="E38" s="65"/>
      <c r="F38" s="66"/>
    </row>
    <row r="39" spans="2:29" x14ac:dyDescent="0.2">
      <c r="B39" s="3" t="s">
        <v>115</v>
      </c>
      <c r="C39" s="15">
        <f>'Est Per Base Labor'!C17</f>
        <v>13.094999999999999</v>
      </c>
      <c r="D39" s="15" t="s">
        <v>85</v>
      </c>
      <c r="E39" s="20"/>
      <c r="F39" s="21"/>
    </row>
    <row r="40" spans="2:29" x14ac:dyDescent="0.2">
      <c r="B40" s="23" t="s">
        <v>116</v>
      </c>
      <c r="C40" s="44">
        <f>C38*C39</f>
        <v>78.569999999999993</v>
      </c>
      <c r="D40" s="44" t="s">
        <v>85</v>
      </c>
      <c r="E40" s="44">
        <f>C40*C32</f>
        <v>340.46999999999997</v>
      </c>
      <c r="F40" s="12">
        <f t="shared" si="4"/>
        <v>4085.6399999999994</v>
      </c>
    </row>
    <row r="41" spans="2:29" x14ac:dyDescent="0.2">
      <c r="B41" s="3" t="s">
        <v>117</v>
      </c>
      <c r="C41" s="15">
        <f>'Est Per Base Labor'!M22 +'Est Per Base Labor'!O22</f>
        <v>265.34872399967526</v>
      </c>
      <c r="D41" s="15" t="s">
        <v>85</v>
      </c>
      <c r="E41" s="15">
        <f>C41*4.33</f>
        <v>1148.9599749185938</v>
      </c>
      <c r="F41" s="12">
        <f t="shared" si="4"/>
        <v>13787.519699023127</v>
      </c>
      <c r="G41" s="9"/>
      <c r="J41" s="9"/>
    </row>
    <row r="42" spans="2:29" x14ac:dyDescent="0.2">
      <c r="B42" s="23" t="s">
        <v>118</v>
      </c>
      <c r="C42" s="44">
        <f>'Est Per Base Labor'!S22</f>
        <v>105.53470919324579</v>
      </c>
      <c r="D42" s="44" t="s">
        <v>85</v>
      </c>
      <c r="E42" s="44">
        <f>C42*4.33</f>
        <v>456.9652908067543</v>
      </c>
      <c r="F42" s="34">
        <f>E42*12</f>
        <v>5483.583489681052</v>
      </c>
      <c r="K42" s="9"/>
      <c r="S42" s="56"/>
      <c r="T42" s="56"/>
      <c r="U42" s="56"/>
      <c r="V42" s="56"/>
    </row>
    <row r="43" spans="2:29" ht="17" thickBot="1" x14ac:dyDescent="0.25">
      <c r="B43" s="3" t="s">
        <v>9</v>
      </c>
      <c r="C43" s="15">
        <f>'Est Per Base Labor'!Q22</f>
        <v>87.945590994371486</v>
      </c>
      <c r="D43" s="15" t="s">
        <v>85</v>
      </c>
      <c r="E43" s="15">
        <f>C43*4.33</f>
        <v>380.80440900562854</v>
      </c>
      <c r="F43" s="12">
        <f t="shared" si="4"/>
        <v>4569.6529080675427</v>
      </c>
      <c r="G43" s="9"/>
      <c r="J43" s="9"/>
      <c r="R43" s="49"/>
      <c r="W43" s="56"/>
      <c r="X43" s="56"/>
      <c r="Y43" s="56"/>
      <c r="Z43" s="56"/>
      <c r="AA43" s="56"/>
      <c r="AB43" s="56"/>
      <c r="AC43" s="56"/>
    </row>
    <row r="44" spans="2:29" ht="16" customHeight="1" x14ac:dyDescent="0.2">
      <c r="B44" s="3" t="s">
        <v>119</v>
      </c>
      <c r="C44" s="15">
        <f>'Est Per Base Labor'!K22</f>
        <v>90.290806754221393</v>
      </c>
      <c r="D44" s="15" t="s">
        <v>85</v>
      </c>
      <c r="E44" s="15">
        <f>C44*4.33</f>
        <v>390.95919324577864</v>
      </c>
      <c r="F44" s="215">
        <f t="shared" si="4"/>
        <v>4691.5103189493439</v>
      </c>
      <c r="G44" s="42" t="s">
        <v>135</v>
      </c>
    </row>
    <row r="45" spans="2:29" ht="16" customHeight="1" thickBot="1" x14ac:dyDescent="0.25">
      <c r="B45" s="4" t="s">
        <v>23</v>
      </c>
      <c r="C45" s="5"/>
      <c r="D45" s="5"/>
      <c r="E45" s="16">
        <f>SUM(E33:E44)</f>
        <v>4506.2555346434219</v>
      </c>
      <c r="F45" s="216">
        <f>SUM(F25:F44)</f>
        <v>70292.275409207403</v>
      </c>
      <c r="G45" s="217">
        <f>SUM(F33:F44)</f>
        <v>54075.066415721063</v>
      </c>
    </row>
    <row r="46" spans="2:29" ht="16" customHeight="1" x14ac:dyDescent="0.2">
      <c r="O46" s="56"/>
      <c r="P46" s="56"/>
      <c r="Q46" s="56"/>
    </row>
    <row r="47" spans="2:29" ht="16" customHeight="1" x14ac:dyDescent="0.2">
      <c r="G47" t="s">
        <v>121</v>
      </c>
      <c r="I47" s="9"/>
    </row>
    <row r="48" spans="2:29" ht="16" customHeight="1" x14ac:dyDescent="0.2">
      <c r="C48" s="191"/>
      <c r="E48" s="244" t="s">
        <v>122</v>
      </c>
      <c r="F48" s="226">
        <f>(F45*62)+(G45*20)</f>
        <v>5439622.4036852811</v>
      </c>
      <c r="G48" s="226">
        <f>F48/82</f>
        <v>66336.85858152782</v>
      </c>
    </row>
    <row r="49" spans="6:29" ht="15.75" customHeight="1" x14ac:dyDescent="0.2">
      <c r="F49" s="244" t="s">
        <v>123</v>
      </c>
      <c r="G49" s="9">
        <f>G48/12</f>
        <v>5528.0715484606517</v>
      </c>
    </row>
    <row r="50" spans="6:29" ht="16" customHeight="1" x14ac:dyDescent="0.2"/>
    <row r="51" spans="6:29" ht="16" customHeight="1" x14ac:dyDescent="0.2"/>
    <row r="52" spans="6:29" x14ac:dyDescent="0.2">
      <c r="R52" s="56"/>
      <c r="W52" s="56"/>
      <c r="X52" s="56"/>
      <c r="Y52" s="56"/>
      <c r="Z52" s="56"/>
      <c r="AA52" s="56"/>
      <c r="AB52" s="56"/>
      <c r="AC52" s="56"/>
    </row>
  </sheetData>
  <mergeCells count="12">
    <mergeCell ref="E10:F10"/>
    <mergeCell ref="B23:F23"/>
    <mergeCell ref="I10:L10"/>
    <mergeCell ref="B2:F2"/>
    <mergeCell ref="Y2:AB2"/>
    <mergeCell ref="X3:X6"/>
    <mergeCell ref="Y3:AB6"/>
    <mergeCell ref="B6:F6"/>
    <mergeCell ref="S2:V2"/>
    <mergeCell ref="S6:V6"/>
    <mergeCell ref="I2:L2"/>
    <mergeCell ref="N2:Q2"/>
  </mergeCells>
  <pageMargins left="0.7" right="0.7" top="0.75" bottom="0.75" header="0.3" footer="0.3"/>
  <pageSetup orientation="portrait" r:id="rId1"/>
  <headerFooter>
    <oddHeader>&amp;R&amp;"Calibri"&amp;10&amp;K000000 Booz Allen Hamilton Internal&amp;1#_x000D_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49BA5-E31D-497C-8359-F7AA277C74AA}">
  <dimension ref="B1:AC60"/>
  <sheetViews>
    <sheetView zoomScale="60" zoomScaleNormal="60" workbookViewId="0">
      <selection activeCell="Q20" sqref="Q20"/>
    </sheetView>
  </sheetViews>
  <sheetFormatPr baseColWidth="10" defaultColWidth="10.5" defaultRowHeight="16" x14ac:dyDescent="0.2"/>
  <cols>
    <col min="1" max="1" width="1.6640625" customWidth="1"/>
    <col min="2" max="2" width="43.83203125" customWidth="1"/>
    <col min="3" max="4" width="16" customWidth="1"/>
    <col min="5" max="5" width="16.1640625" style="9" customWidth="1"/>
    <col min="6" max="6" width="16.5" style="9" customWidth="1"/>
    <col min="7" max="7" width="22.5" customWidth="1"/>
    <col min="8" max="8" width="40.1640625" customWidth="1"/>
    <col min="9" max="9" width="21.33203125" customWidth="1"/>
    <col min="10" max="12" width="16.6640625" customWidth="1"/>
    <col min="13" max="13" width="6.1640625" customWidth="1"/>
    <col min="14" max="14" width="39.83203125" customWidth="1"/>
    <col min="15" max="17" width="18.5" customWidth="1"/>
    <col min="18" max="18" width="6.6640625" customWidth="1"/>
    <col min="19" max="19" width="46.6640625" customWidth="1"/>
    <col min="20" max="20" width="27.1640625" customWidth="1"/>
    <col min="21" max="22" width="18.5" customWidth="1"/>
    <col min="23" max="23" width="5.5" customWidth="1"/>
    <col min="24" max="24" width="32.83203125" customWidth="1"/>
    <col min="25" max="27" width="9"/>
    <col min="28" max="28" width="25.5" customWidth="1"/>
    <col min="29" max="31" width="9"/>
  </cols>
  <sheetData>
    <row r="1" spans="2:28" ht="17" thickBot="1" x14ac:dyDescent="0.25"/>
    <row r="2" spans="2:28" ht="17" thickBot="1" x14ac:dyDescent="0.25">
      <c r="B2" s="333" t="s">
        <v>52</v>
      </c>
      <c r="C2" s="334"/>
      <c r="D2" s="334"/>
      <c r="E2" s="334"/>
      <c r="F2" s="335"/>
      <c r="I2" s="297" t="s">
        <v>53</v>
      </c>
      <c r="J2" s="298"/>
      <c r="K2" s="298"/>
      <c r="L2" s="299"/>
      <c r="N2" s="297" t="s">
        <v>54</v>
      </c>
      <c r="O2" s="298"/>
      <c r="P2" s="298"/>
      <c r="Q2" s="299"/>
      <c r="R2" s="55"/>
      <c r="S2" s="358" t="s">
        <v>55</v>
      </c>
      <c r="T2" s="359"/>
      <c r="U2" s="359"/>
      <c r="V2" s="360"/>
      <c r="X2" s="54" t="s">
        <v>56</v>
      </c>
      <c r="Y2" s="314" t="s">
        <v>57</v>
      </c>
      <c r="Z2" s="314"/>
      <c r="AA2" s="314"/>
      <c r="AB2" s="315"/>
    </row>
    <row r="3" spans="2:28" ht="17" thickBot="1" x14ac:dyDescent="0.25">
      <c r="B3" s="29" t="s">
        <v>58</v>
      </c>
      <c r="C3" s="30" t="s">
        <v>59</v>
      </c>
      <c r="D3" s="30" t="s">
        <v>60</v>
      </c>
      <c r="E3" s="31" t="s">
        <v>61</v>
      </c>
      <c r="F3" s="32" t="s">
        <v>62</v>
      </c>
      <c r="I3" s="263"/>
      <c r="J3" s="261" t="s">
        <v>129</v>
      </c>
      <c r="K3" s="261" t="s">
        <v>130</v>
      </c>
      <c r="L3" s="262" t="s">
        <v>23</v>
      </c>
      <c r="N3" s="59" t="s">
        <v>63</v>
      </c>
      <c r="O3" s="61" t="s">
        <v>23</v>
      </c>
      <c r="P3" s="61" t="s">
        <v>131</v>
      </c>
      <c r="Q3" s="60" t="s">
        <v>130</v>
      </c>
      <c r="R3" s="56"/>
      <c r="S3" s="203" t="s">
        <v>63</v>
      </c>
      <c r="T3" s="204" t="s">
        <v>23</v>
      </c>
      <c r="U3" s="204" t="s">
        <v>131</v>
      </c>
      <c r="V3" s="205" t="s">
        <v>130</v>
      </c>
      <c r="X3" s="316" t="s">
        <v>136</v>
      </c>
      <c r="Y3" s="319" t="s">
        <v>137</v>
      </c>
      <c r="Z3" s="319"/>
      <c r="AA3" s="319"/>
      <c r="AB3" s="320"/>
    </row>
    <row r="4" spans="2:28" x14ac:dyDescent="0.2">
      <c r="B4" s="3" t="s">
        <v>67</v>
      </c>
      <c r="C4" s="1">
        <v>82</v>
      </c>
      <c r="D4" s="2"/>
      <c r="E4" s="13" t="s">
        <v>68</v>
      </c>
      <c r="F4" s="10" t="s">
        <v>68</v>
      </c>
      <c r="I4" s="23" t="s">
        <v>69</v>
      </c>
      <c r="J4" s="45">
        <v>8</v>
      </c>
      <c r="K4" s="45">
        <v>4</v>
      </c>
      <c r="L4" s="37">
        <v>12</v>
      </c>
      <c r="N4" s="50" t="s">
        <v>138</v>
      </c>
      <c r="O4" s="44">
        <f>(C10*(C18/124800))</f>
        <v>19.471153846153847</v>
      </c>
      <c r="P4" s="62"/>
      <c r="Q4" s="63"/>
      <c r="R4" s="206"/>
      <c r="S4" s="198" t="s">
        <v>134</v>
      </c>
      <c r="T4" s="228">
        <f>L8-L16</f>
        <v>15825008.3158019</v>
      </c>
      <c r="U4" s="268">
        <f>J8-J16</f>
        <v>8364638.2372867372</v>
      </c>
      <c r="V4" s="229">
        <f>K8-K16</f>
        <v>7460370.0785151636</v>
      </c>
      <c r="X4" s="317"/>
      <c r="Y4" s="321"/>
      <c r="Z4" s="321"/>
      <c r="AA4" s="321"/>
      <c r="AB4" s="322"/>
    </row>
    <row r="5" spans="2:28" ht="35.75" customHeight="1" thickBot="1" x14ac:dyDescent="0.25">
      <c r="B5" s="6"/>
      <c r="C5" s="7"/>
      <c r="D5" s="7"/>
      <c r="E5" s="14"/>
      <c r="F5" s="11"/>
      <c r="I5" s="23" t="s">
        <v>72</v>
      </c>
      <c r="J5" s="44">
        <f>C20*C8</f>
        <v>18279.044471153848</v>
      </c>
      <c r="K5" s="44">
        <f>C20*C9</f>
        <v>36558.088942307695</v>
      </c>
      <c r="L5" s="47"/>
      <c r="N5" s="23" t="s">
        <v>73</v>
      </c>
      <c r="O5" s="64"/>
      <c r="P5" s="44">
        <f>O4 *C8</f>
        <v>5705.0480769230771</v>
      </c>
      <c r="Q5" s="34">
        <f>C9*O4</f>
        <v>11410.096153846154</v>
      </c>
      <c r="R5" s="57"/>
      <c r="S5" s="202" t="s">
        <v>71</v>
      </c>
      <c r="T5" s="230">
        <f>T4/(C20)/82/12</f>
        <v>257.78816753925793</v>
      </c>
      <c r="U5" s="230">
        <f>U4/(C20)/82/8</f>
        <v>204.38896968848357</v>
      </c>
      <c r="V5" s="231">
        <f>V4/(C20)/4/82</f>
        <v>364.58656324080675</v>
      </c>
      <c r="W5" s="9"/>
      <c r="X5" s="317"/>
      <c r="Y5" s="321"/>
      <c r="Z5" s="321"/>
      <c r="AA5" s="321"/>
      <c r="AB5" s="322"/>
    </row>
    <row r="6" spans="2:28" ht="17.25" customHeight="1" thickBot="1" x14ac:dyDescent="0.25">
      <c r="B6" s="333" t="s">
        <v>74</v>
      </c>
      <c r="C6" s="334"/>
      <c r="D6" s="334"/>
      <c r="E6" s="334"/>
      <c r="F6" s="335"/>
      <c r="I6" s="24" t="s">
        <v>75</v>
      </c>
      <c r="J6" s="46">
        <f>J5*J4</f>
        <v>146232.35576923078</v>
      </c>
      <c r="K6" s="46">
        <f>K5*K4</f>
        <v>146232.35576923078</v>
      </c>
      <c r="L6" s="225">
        <f>SUM(J6:K6)</f>
        <v>292464.71153846156</v>
      </c>
      <c r="N6" s="24" t="s">
        <v>76</v>
      </c>
      <c r="O6" s="267">
        <f>P6+Q6</f>
        <v>91280.769230769234</v>
      </c>
      <c r="P6" s="46">
        <f>P5*J4</f>
        <v>45640.384615384617</v>
      </c>
      <c r="Q6" s="33">
        <f>Q5*K4</f>
        <v>45640.384615384617</v>
      </c>
      <c r="R6" s="58"/>
      <c r="S6" s="361" t="s">
        <v>54</v>
      </c>
      <c r="T6" s="362"/>
      <c r="U6" s="362"/>
      <c r="V6" s="363"/>
      <c r="X6" s="317"/>
      <c r="Y6" s="321"/>
      <c r="Z6" s="321"/>
      <c r="AA6" s="321"/>
      <c r="AB6" s="322"/>
    </row>
    <row r="7" spans="2:28" ht="16.5" customHeight="1" x14ac:dyDescent="0.2">
      <c r="B7" s="25" t="s">
        <v>58</v>
      </c>
      <c r="C7" s="26" t="s">
        <v>59</v>
      </c>
      <c r="D7" s="26" t="s">
        <v>60</v>
      </c>
      <c r="E7" s="27" t="s">
        <v>61</v>
      </c>
      <c r="F7" s="28" t="s">
        <v>62</v>
      </c>
      <c r="J7" s="9"/>
      <c r="K7" s="9"/>
      <c r="L7" s="9"/>
      <c r="S7" s="68" t="s">
        <v>76</v>
      </c>
      <c r="T7" s="232">
        <f>O6*82</f>
        <v>7485023.076923077</v>
      </c>
      <c r="U7" s="233">
        <f>P6*82</f>
        <v>3742511.5384615385</v>
      </c>
      <c r="V7" s="234">
        <f>Q6*82</f>
        <v>3742511.5384615385</v>
      </c>
      <c r="X7" s="317"/>
      <c r="Y7" s="321" t="s">
        <v>139</v>
      </c>
      <c r="Z7" s="321"/>
      <c r="AA7" s="321"/>
      <c r="AB7" s="322"/>
    </row>
    <row r="8" spans="2:28" x14ac:dyDescent="0.2">
      <c r="B8" s="3" t="s">
        <v>78</v>
      </c>
      <c r="C8" s="1">
        <v>293</v>
      </c>
      <c r="D8" s="19"/>
      <c r="E8" s="20"/>
      <c r="F8" s="21"/>
      <c r="I8" s="244" t="s">
        <v>79</v>
      </c>
      <c r="J8" s="9">
        <f>J6*82</f>
        <v>11991053.173076924</v>
      </c>
      <c r="K8" s="9">
        <f>K6*82</f>
        <v>11991053.173076924</v>
      </c>
      <c r="L8" s="226">
        <f>L6*82</f>
        <v>23982106.346153848</v>
      </c>
      <c r="N8" t="s">
        <v>80</v>
      </c>
      <c r="O8" s="226">
        <f>O6*82</f>
        <v>7485023.076923077</v>
      </c>
      <c r="R8" s="207"/>
      <c r="S8" s="68" t="s">
        <v>77</v>
      </c>
      <c r="T8" s="227">
        <f>T7+T4</f>
        <v>23310031.392724976</v>
      </c>
      <c r="U8" s="227">
        <f t="shared" ref="U8:V8" si="0">U7+U4</f>
        <v>12107149.775748275</v>
      </c>
      <c r="V8" s="235">
        <f t="shared" si="0"/>
        <v>11202881.616976703</v>
      </c>
      <c r="X8" s="317"/>
      <c r="Y8" s="321"/>
      <c r="Z8" s="321"/>
      <c r="AA8" s="321"/>
      <c r="AB8" s="322"/>
    </row>
    <row r="9" spans="2:28" ht="36.5" customHeight="1" thickBot="1" x14ac:dyDescent="0.25">
      <c r="B9" s="3" t="s">
        <v>82</v>
      </c>
      <c r="C9" s="1">
        <f>C8*2</f>
        <v>586</v>
      </c>
      <c r="D9" s="19"/>
      <c r="E9" s="20"/>
      <c r="F9" s="21"/>
      <c r="R9" s="9"/>
      <c r="S9" s="201" t="s">
        <v>81</v>
      </c>
      <c r="T9" s="236">
        <f>T8/(C20+O4)/12/82</f>
        <v>289.39571009654475</v>
      </c>
      <c r="U9" s="236">
        <f>U8/(C20+O4)/8/82</f>
        <v>225.46669806447014</v>
      </c>
      <c r="V9" s="237">
        <f>V8/(O4+C20)/4/82</f>
        <v>417.25373416069408</v>
      </c>
      <c r="X9" s="317"/>
      <c r="Y9" s="321"/>
      <c r="Z9" s="321"/>
      <c r="AA9" s="321"/>
      <c r="AB9" s="322"/>
    </row>
    <row r="10" spans="2:28" ht="17" thickBot="1" x14ac:dyDescent="0.25">
      <c r="B10" s="3" t="s">
        <v>84</v>
      </c>
      <c r="C10" s="1">
        <v>30</v>
      </c>
      <c r="D10" s="1" t="s">
        <v>85</v>
      </c>
      <c r="E10" s="305" t="s">
        <v>86</v>
      </c>
      <c r="F10" s="306"/>
      <c r="I10" s="297" t="s">
        <v>87</v>
      </c>
      <c r="J10" s="298"/>
      <c r="K10" s="298"/>
      <c r="L10" s="299"/>
      <c r="R10" s="9"/>
      <c r="S10" s="9"/>
      <c r="T10" s="9"/>
      <c r="U10" s="9"/>
      <c r="V10" s="9"/>
      <c r="X10" s="318"/>
      <c r="Y10" s="323"/>
      <c r="Z10" s="323"/>
      <c r="AA10" s="323"/>
      <c r="AB10" s="324"/>
    </row>
    <row r="11" spans="2:28" x14ac:dyDescent="0.2">
      <c r="B11" s="3" t="s">
        <v>88</v>
      </c>
      <c r="C11" s="1">
        <v>10</v>
      </c>
      <c r="D11" s="38" t="s">
        <v>85</v>
      </c>
      <c r="E11" s="41">
        <f>C11* C8* (C17/124800)</f>
        <v>1307.4068509615383</v>
      </c>
      <c r="F11" s="39">
        <f>E11*12</f>
        <v>15688.882211538461</v>
      </c>
      <c r="I11" s="269"/>
      <c r="J11" s="261" t="s">
        <v>129</v>
      </c>
      <c r="K11" s="261" t="s">
        <v>130</v>
      </c>
      <c r="L11" s="262" t="s">
        <v>23</v>
      </c>
      <c r="R11" s="9"/>
      <c r="S11" s="9"/>
      <c r="T11" s="9"/>
      <c r="U11" s="9"/>
      <c r="V11" s="9"/>
      <c r="W11" s="58"/>
    </row>
    <row r="12" spans="2:28" x14ac:dyDescent="0.2">
      <c r="B12" s="3" t="s">
        <v>89</v>
      </c>
      <c r="C12" s="1">
        <v>5</v>
      </c>
      <c r="D12" s="38" t="s">
        <v>85</v>
      </c>
      <c r="E12" s="41">
        <f>C12*C8*(C16/124800)</f>
        <v>1030.078125</v>
      </c>
      <c r="F12" s="39">
        <f t="shared" ref="F12:F14" si="1">E12*12</f>
        <v>12360.9375</v>
      </c>
      <c r="I12" s="23" t="s">
        <v>69</v>
      </c>
      <c r="J12" s="45">
        <v>8</v>
      </c>
      <c r="K12" s="45">
        <v>4</v>
      </c>
      <c r="L12" s="37">
        <v>12</v>
      </c>
      <c r="R12" s="58"/>
      <c r="S12" s="58"/>
      <c r="T12" s="58"/>
      <c r="U12" s="58"/>
      <c r="V12" s="58"/>
    </row>
    <row r="13" spans="2:28" x14ac:dyDescent="0.2">
      <c r="B13" s="3" t="s">
        <v>90</v>
      </c>
      <c r="C13" s="1">
        <v>5</v>
      </c>
      <c r="D13" s="38" t="s">
        <v>85</v>
      </c>
      <c r="E13" s="41">
        <f>C13*C8*(C16/124800)</f>
        <v>1030.078125</v>
      </c>
      <c r="F13" s="39">
        <f t="shared" si="1"/>
        <v>12360.9375</v>
      </c>
      <c r="I13" s="23" t="s">
        <v>72</v>
      </c>
      <c r="J13" s="44">
        <f>E60</f>
        <v>5528.0715484606508</v>
      </c>
      <c r="K13" s="44">
        <f>G60</f>
        <v>13813.058215127317</v>
      </c>
      <c r="L13" s="34">
        <f>H60</f>
        <v>8289.733770682873</v>
      </c>
    </row>
    <row r="14" spans="2:28" ht="17" thickBot="1" x14ac:dyDescent="0.25">
      <c r="B14" s="3" t="s">
        <v>91</v>
      </c>
      <c r="C14" s="1">
        <v>2</v>
      </c>
      <c r="D14" s="80" t="s">
        <v>85</v>
      </c>
      <c r="E14" s="41">
        <f>C14*C8*(C17/124800)</f>
        <v>261.48137019230768</v>
      </c>
      <c r="F14" s="81">
        <f t="shared" si="1"/>
        <v>3137.7764423076924</v>
      </c>
      <c r="I14" s="251" t="s">
        <v>75</v>
      </c>
      <c r="J14" s="252">
        <f>J12*J13</f>
        <v>44224.572387685206</v>
      </c>
      <c r="K14" s="253">
        <f>K12*K13</f>
        <v>55252.23286050927</v>
      </c>
      <c r="L14" s="254">
        <f>J14+K14</f>
        <v>99476.805248194476</v>
      </c>
      <c r="O14" s="49"/>
      <c r="P14" s="49"/>
      <c r="Q14" s="49"/>
      <c r="S14" s="72"/>
      <c r="T14" s="72"/>
      <c r="U14" s="72"/>
      <c r="V14" s="72"/>
      <c r="X14" s="9"/>
    </row>
    <row r="15" spans="2:28" x14ac:dyDescent="0.2">
      <c r="B15" s="3" t="s">
        <v>92</v>
      </c>
      <c r="C15" s="1">
        <f>'Est Per Base Labor'!C3</f>
        <v>0.35</v>
      </c>
      <c r="D15" s="223"/>
      <c r="E15" s="100"/>
      <c r="F15" s="84"/>
      <c r="S15" s="58"/>
      <c r="T15" s="58"/>
      <c r="U15" s="58"/>
      <c r="V15" s="58"/>
      <c r="X15" s="9"/>
    </row>
    <row r="16" spans="2:28" x14ac:dyDescent="0.2">
      <c r="B16" s="3" t="s">
        <v>126</v>
      </c>
      <c r="C16" s="15">
        <f>65000+(65000*C15)</f>
        <v>87750</v>
      </c>
      <c r="D16" s="82" t="s">
        <v>85</v>
      </c>
      <c r="E16" s="83"/>
      <c r="F16" s="84"/>
      <c r="I16" s="244" t="s">
        <v>94</v>
      </c>
      <c r="J16" s="9">
        <f>J14*82</f>
        <v>3626414.9357901867</v>
      </c>
      <c r="K16" s="9">
        <f t="shared" ref="K16:L16" si="2">K14*82</f>
        <v>4530683.0945617603</v>
      </c>
      <c r="L16" s="226">
        <f t="shared" si="2"/>
        <v>8157098.0303519471</v>
      </c>
      <c r="S16" s="58"/>
      <c r="T16" s="58"/>
      <c r="U16" s="58"/>
      <c r="V16" s="58"/>
    </row>
    <row r="17" spans="2:22" x14ac:dyDescent="0.2">
      <c r="B17" s="3" t="s">
        <v>127</v>
      </c>
      <c r="C17" s="15">
        <f>(41250 + 41250*C15)</f>
        <v>55687.5</v>
      </c>
      <c r="D17" s="82" t="s">
        <v>85</v>
      </c>
      <c r="E17" s="83"/>
      <c r="F17" s="84"/>
      <c r="S17" s="58"/>
      <c r="T17" s="58"/>
      <c r="U17" s="58"/>
      <c r="V17" s="58"/>
    </row>
    <row r="18" spans="2:22" x14ac:dyDescent="0.2">
      <c r="B18" s="3" t="s">
        <v>128</v>
      </c>
      <c r="C18" s="15">
        <f>60000 + 60000*C15</f>
        <v>81000</v>
      </c>
      <c r="D18" s="85" t="s">
        <v>85</v>
      </c>
      <c r="E18" s="86"/>
      <c r="F18" s="87"/>
      <c r="H18" s="9"/>
      <c r="K18" s="244" t="s">
        <v>97</v>
      </c>
      <c r="L18" s="226">
        <f>L6-L14</f>
        <v>192987.90629026707</v>
      </c>
    </row>
    <row r="19" spans="2:22" x14ac:dyDescent="0.2">
      <c r="B19" s="3" t="s">
        <v>98</v>
      </c>
      <c r="C19" s="15">
        <v>50</v>
      </c>
      <c r="D19" s="15" t="s">
        <v>85</v>
      </c>
      <c r="E19" s="9">
        <f>C19*C8</f>
        <v>14650</v>
      </c>
      <c r="F19" s="15">
        <f>E19*12</f>
        <v>175800</v>
      </c>
      <c r="H19" s="9"/>
      <c r="S19" s="200"/>
      <c r="T19" s="200"/>
      <c r="U19" s="200"/>
      <c r="V19" s="200"/>
    </row>
    <row r="20" spans="2:22" x14ac:dyDescent="0.2">
      <c r="B20" s="3" t="s">
        <v>99</v>
      </c>
      <c r="C20" s="15">
        <f>(1*C19) +(C11*1 * (C17/124800)) + (C12*1*(C16/124800))+(C13*1*(C16/124800))+(C14*1*(C17/124800))</f>
        <v>62.385817307692307</v>
      </c>
      <c r="D20" s="1" t="s">
        <v>85</v>
      </c>
      <c r="E20" s="20"/>
      <c r="F20" s="21"/>
      <c r="K20" s="244" t="s">
        <v>100</v>
      </c>
      <c r="L20" s="226">
        <f>L8-L16</f>
        <v>15825008.3158019</v>
      </c>
      <c r="R20" s="49"/>
      <c r="S20" s="55"/>
      <c r="T20" s="55"/>
      <c r="U20" s="55"/>
      <c r="V20" s="55"/>
    </row>
    <row r="21" spans="2:22" x14ac:dyDescent="0.2">
      <c r="B21" s="3" t="s">
        <v>12</v>
      </c>
      <c r="C21" s="2"/>
      <c r="D21" s="2"/>
      <c r="E21" s="15">
        <f>C20*C8</f>
        <v>18279.044471153848</v>
      </c>
      <c r="F21" s="12">
        <f>E21*12</f>
        <v>219348.53365384619</v>
      </c>
      <c r="G21" s="9"/>
      <c r="H21" s="9"/>
      <c r="I21" s="212"/>
      <c r="J21" s="213"/>
      <c r="K21" s="213"/>
      <c r="L21" s="213"/>
      <c r="S21" s="56"/>
      <c r="T21" s="56"/>
      <c r="U21" s="56"/>
      <c r="V21" s="56"/>
    </row>
    <row r="22" spans="2:22" ht="17" thickBot="1" x14ac:dyDescent="0.25">
      <c r="B22" s="6"/>
      <c r="C22" s="7"/>
      <c r="D22" s="7"/>
      <c r="E22" s="14"/>
      <c r="F22" s="11"/>
      <c r="I22" s="213"/>
      <c r="J22" s="212"/>
      <c r="K22" s="212"/>
      <c r="L22" s="212"/>
      <c r="S22" s="195"/>
      <c r="T22" s="195"/>
      <c r="U22" s="195"/>
      <c r="V22" s="195"/>
    </row>
    <row r="23" spans="2:22" ht="17" thickBot="1" x14ac:dyDescent="0.25">
      <c r="B23" s="311" t="s">
        <v>101</v>
      </c>
      <c r="C23" s="325"/>
      <c r="D23" s="325"/>
      <c r="E23" s="325"/>
      <c r="F23" s="326"/>
      <c r="I23" s="212"/>
      <c r="J23" s="213"/>
      <c r="K23" s="213"/>
      <c r="L23" s="213"/>
      <c r="S23" s="196"/>
      <c r="T23" s="196"/>
      <c r="U23" s="196"/>
      <c r="V23" s="196"/>
    </row>
    <row r="24" spans="2:22" ht="35" thickBot="1" x14ac:dyDescent="0.25">
      <c r="B24" s="123" t="s">
        <v>58</v>
      </c>
      <c r="C24" s="124" t="s">
        <v>59</v>
      </c>
      <c r="D24" s="124" t="s">
        <v>60</v>
      </c>
      <c r="E24" s="211" t="s">
        <v>140</v>
      </c>
      <c r="F24" s="125" t="s">
        <v>62</v>
      </c>
      <c r="G24" s="210" t="s">
        <v>141</v>
      </c>
      <c r="O24" s="56"/>
      <c r="P24" s="56"/>
      <c r="Q24" s="56"/>
      <c r="S24" s="78"/>
      <c r="T24" s="78"/>
      <c r="U24" s="78"/>
      <c r="V24" s="78"/>
    </row>
    <row r="25" spans="2:22" x14ac:dyDescent="0.2">
      <c r="B25" s="105" t="s">
        <v>40</v>
      </c>
      <c r="C25" s="128">
        <f>'Est Per Base Labor'!E21</f>
        <v>2050.4005350496277</v>
      </c>
      <c r="D25" s="129" t="s">
        <v>102</v>
      </c>
      <c r="E25" s="128"/>
      <c r="F25" s="128">
        <f>C25</f>
        <v>2050.4005350496277</v>
      </c>
      <c r="G25" s="126">
        <f>F25/12</f>
        <v>170.86671125413565</v>
      </c>
      <c r="S25" s="194"/>
      <c r="T25" s="194"/>
      <c r="U25" s="194"/>
      <c r="V25" s="194"/>
    </row>
    <row r="26" spans="2:22" x14ac:dyDescent="0.2">
      <c r="B26" s="106" t="s">
        <v>41</v>
      </c>
      <c r="C26" s="97">
        <f>'Est Per Base Labor'!G21</f>
        <v>2184.9284584367242</v>
      </c>
      <c r="D26" s="97" t="s">
        <v>102</v>
      </c>
      <c r="E26" s="98"/>
      <c r="F26" s="44">
        <f>C26</f>
        <v>2184.9284584367242</v>
      </c>
      <c r="G26" s="34">
        <f t="shared" ref="G26:G31" si="3">F26/12</f>
        <v>182.07737153639368</v>
      </c>
      <c r="S26" s="199"/>
      <c r="T26" s="199"/>
      <c r="U26" s="199"/>
      <c r="V26" s="199"/>
    </row>
    <row r="27" spans="2:22" x14ac:dyDescent="0.2">
      <c r="B27" s="23" t="s">
        <v>103</v>
      </c>
      <c r="C27" s="44">
        <v>600</v>
      </c>
      <c r="D27" s="97" t="s">
        <v>102</v>
      </c>
      <c r="E27" s="98"/>
      <c r="F27" s="44">
        <f t="shared" ref="F27:F31" si="4">C27</f>
        <v>600</v>
      </c>
      <c r="G27" s="34">
        <f t="shared" si="3"/>
        <v>50</v>
      </c>
      <c r="S27" s="77"/>
      <c r="T27" s="77"/>
      <c r="U27" s="77"/>
      <c r="V27" s="77"/>
    </row>
    <row r="28" spans="2:22" x14ac:dyDescent="0.2">
      <c r="B28" s="23" t="s">
        <v>104</v>
      </c>
      <c r="C28" s="44">
        <v>9950</v>
      </c>
      <c r="D28" s="97" t="s">
        <v>102</v>
      </c>
      <c r="E28" s="98"/>
      <c r="F28" s="44">
        <f t="shared" si="4"/>
        <v>9950</v>
      </c>
      <c r="G28" s="34">
        <f t="shared" si="3"/>
        <v>829.16666666666663</v>
      </c>
      <c r="S28" s="77"/>
      <c r="T28" s="77"/>
      <c r="U28" s="77"/>
      <c r="V28" s="77"/>
    </row>
    <row r="29" spans="2:22" x14ac:dyDescent="0.2">
      <c r="B29" s="23" t="s">
        <v>105</v>
      </c>
      <c r="C29" s="44">
        <v>271.88</v>
      </c>
      <c r="D29" s="97" t="s">
        <v>102</v>
      </c>
      <c r="E29" s="98"/>
      <c r="F29" s="44">
        <f t="shared" si="4"/>
        <v>271.88</v>
      </c>
      <c r="G29" s="34">
        <f t="shared" si="3"/>
        <v>22.656666666666666</v>
      </c>
      <c r="S29" s="77"/>
      <c r="T29" s="77"/>
      <c r="U29" s="77"/>
      <c r="V29" s="77"/>
    </row>
    <row r="30" spans="2:22" x14ac:dyDescent="0.2">
      <c r="B30" s="23" t="s">
        <v>106</v>
      </c>
      <c r="C30" s="44">
        <v>200</v>
      </c>
      <c r="D30" s="97" t="s">
        <v>102</v>
      </c>
      <c r="E30" s="98"/>
      <c r="F30" s="44">
        <f t="shared" si="4"/>
        <v>200</v>
      </c>
      <c r="G30" s="34">
        <f t="shared" si="3"/>
        <v>16.666666666666668</v>
      </c>
      <c r="R30" s="56"/>
      <c r="S30" s="78"/>
      <c r="T30" s="78"/>
      <c r="U30" s="78"/>
      <c r="V30" s="78"/>
    </row>
    <row r="31" spans="2:22" ht="15.75" customHeight="1" x14ac:dyDescent="0.2">
      <c r="B31" s="23" t="s">
        <v>107</v>
      </c>
      <c r="C31" s="44">
        <v>960</v>
      </c>
      <c r="D31" s="97" t="s">
        <v>102</v>
      </c>
      <c r="E31" s="98"/>
      <c r="F31" s="44">
        <f t="shared" si="4"/>
        <v>960</v>
      </c>
      <c r="G31" s="34">
        <f t="shared" si="3"/>
        <v>80</v>
      </c>
    </row>
    <row r="32" spans="2:22" ht="15.75" customHeight="1" x14ac:dyDescent="0.2">
      <c r="B32" s="23" t="s">
        <v>142</v>
      </c>
      <c r="C32" s="79">
        <f>(52/12)</f>
        <v>4.333333333333333</v>
      </c>
      <c r="D32" s="99"/>
      <c r="E32" s="98"/>
      <c r="F32" s="98"/>
      <c r="G32" s="127"/>
    </row>
    <row r="33" spans="2:29" x14ac:dyDescent="0.2">
      <c r="B33" s="23" t="s">
        <v>143</v>
      </c>
      <c r="C33" s="79">
        <f>52/12*5</f>
        <v>21.666666666666664</v>
      </c>
      <c r="D33" s="99"/>
      <c r="E33" s="98"/>
      <c r="F33" s="98"/>
      <c r="G33" s="127"/>
      <c r="S33" s="72"/>
      <c r="T33" s="72"/>
      <c r="U33" s="72"/>
      <c r="V33" s="72"/>
    </row>
    <row r="34" spans="2:29" x14ac:dyDescent="0.2">
      <c r="B34" s="23" t="s">
        <v>109</v>
      </c>
      <c r="C34" s="44">
        <v>45</v>
      </c>
      <c r="D34" s="44" t="s">
        <v>85</v>
      </c>
      <c r="E34" s="44">
        <f>C34*C32</f>
        <v>195</v>
      </c>
      <c r="F34" s="44">
        <f>E34*12</f>
        <v>2340</v>
      </c>
      <c r="G34" s="34">
        <f>C33*C34</f>
        <v>974.99999999999989</v>
      </c>
      <c r="H34" s="9"/>
      <c r="S34" s="58"/>
      <c r="T34" s="58"/>
      <c r="U34" s="58"/>
      <c r="V34" s="58"/>
    </row>
    <row r="35" spans="2:29" x14ac:dyDescent="0.2">
      <c r="B35" s="23" t="s">
        <v>110</v>
      </c>
      <c r="C35" s="44">
        <v>300</v>
      </c>
      <c r="D35" s="44" t="s">
        <v>85</v>
      </c>
      <c r="E35" s="44">
        <f>C35*C32</f>
        <v>1300</v>
      </c>
      <c r="F35" s="44">
        <f t="shared" ref="F35:F38" si="5">E35*12</f>
        <v>15600</v>
      </c>
      <c r="G35" s="34">
        <f>C35*C33</f>
        <v>6499.9999999999991</v>
      </c>
      <c r="I35" s="9"/>
      <c r="S35" s="58"/>
      <c r="T35" s="58"/>
      <c r="U35" s="58"/>
      <c r="V35" s="58"/>
    </row>
    <row r="36" spans="2:29" x14ac:dyDescent="0.2">
      <c r="B36" s="23" t="s">
        <v>111</v>
      </c>
      <c r="C36" s="44">
        <v>54.41</v>
      </c>
      <c r="D36" s="44" t="s">
        <v>85</v>
      </c>
      <c r="E36" s="44">
        <f>C32*C36</f>
        <v>235.77666666666664</v>
      </c>
      <c r="F36" s="44">
        <f t="shared" si="5"/>
        <v>2829.3199999999997</v>
      </c>
      <c r="G36" s="34">
        <f>C36*C33</f>
        <v>1178.8833333333332</v>
      </c>
      <c r="S36" s="58"/>
      <c r="T36" s="58"/>
      <c r="U36" s="58"/>
      <c r="V36" s="58"/>
    </row>
    <row r="37" spans="2:29" x14ac:dyDescent="0.2">
      <c r="B37" s="23" t="s">
        <v>112</v>
      </c>
      <c r="C37" s="44">
        <v>22.66</v>
      </c>
      <c r="D37" s="44" t="s">
        <v>85</v>
      </c>
      <c r="E37" s="44">
        <f>C37</f>
        <v>22.66</v>
      </c>
      <c r="F37" s="44">
        <f t="shared" si="5"/>
        <v>271.92</v>
      </c>
      <c r="G37" s="34">
        <f>E37</f>
        <v>22.66</v>
      </c>
    </row>
    <row r="38" spans="2:29" x14ac:dyDescent="0.2">
      <c r="B38" s="23" t="s">
        <v>113</v>
      </c>
      <c r="C38" s="44">
        <v>34.659999999999997</v>
      </c>
      <c r="D38" s="44" t="s">
        <v>85</v>
      </c>
      <c r="E38" s="44">
        <f t="shared" ref="E38" si="6">C38</f>
        <v>34.659999999999997</v>
      </c>
      <c r="F38" s="44">
        <f t="shared" si="5"/>
        <v>415.91999999999996</v>
      </c>
      <c r="G38" s="34">
        <f>E38</f>
        <v>34.659999999999997</v>
      </c>
    </row>
    <row r="39" spans="2:29" x14ac:dyDescent="0.2">
      <c r="B39" s="23" t="s">
        <v>114</v>
      </c>
      <c r="C39" s="79">
        <v>6</v>
      </c>
      <c r="D39" s="100"/>
      <c r="E39" s="100"/>
      <c r="F39" s="100"/>
      <c r="G39" s="127"/>
      <c r="H39" s="9"/>
    </row>
    <row r="40" spans="2:29" x14ac:dyDescent="0.2">
      <c r="B40" s="23" t="s">
        <v>115</v>
      </c>
      <c r="C40" s="44">
        <f>'Est Per Base Labor'!C17</f>
        <v>13.094999999999999</v>
      </c>
      <c r="D40" s="44" t="s">
        <v>85</v>
      </c>
      <c r="E40" s="83"/>
      <c r="F40" s="83"/>
      <c r="G40" s="127"/>
    </row>
    <row r="41" spans="2:29" x14ac:dyDescent="0.2">
      <c r="B41" s="23" t="s">
        <v>116</v>
      </c>
      <c r="C41" s="44">
        <f>C40*C39</f>
        <v>78.569999999999993</v>
      </c>
      <c r="D41" s="44" t="s">
        <v>85</v>
      </c>
      <c r="E41" s="44">
        <f>C41*C32</f>
        <v>340.46999999999997</v>
      </c>
      <c r="F41" s="44">
        <f t="shared" ref="F41:F44" si="7">E41*12</f>
        <v>4085.6399999999994</v>
      </c>
      <c r="G41" s="34">
        <f>C39*C40*C33</f>
        <v>1702.3499999999997</v>
      </c>
    </row>
    <row r="42" spans="2:29" x14ac:dyDescent="0.2">
      <c r="B42" s="23" t="s">
        <v>117</v>
      </c>
      <c r="C42" s="44">
        <f>'Est Per Base Labor'!M22+'Est Per Base Labor'!O22</f>
        <v>265.34872399967526</v>
      </c>
      <c r="D42" s="44" t="s">
        <v>85</v>
      </c>
      <c r="E42" s="44">
        <f>C42*4.33</f>
        <v>1148.9599749185938</v>
      </c>
      <c r="F42" s="44">
        <f>E42*12</f>
        <v>13787.519699023127</v>
      </c>
      <c r="G42" s="34">
        <f>E42</f>
        <v>1148.9599749185938</v>
      </c>
    </row>
    <row r="43" spans="2:29" x14ac:dyDescent="0.2">
      <c r="B43" s="23" t="s">
        <v>118</v>
      </c>
      <c r="C43" s="44">
        <f>'Est Per Base Labor'!S22</f>
        <v>105.53470919324579</v>
      </c>
      <c r="D43" s="44" t="s">
        <v>85</v>
      </c>
      <c r="E43" s="44">
        <f>C43*4.33</f>
        <v>456.9652908067543</v>
      </c>
      <c r="F43" s="44">
        <f>E43*12</f>
        <v>5483.583489681052</v>
      </c>
      <c r="G43" s="245">
        <f>E43</f>
        <v>456.9652908067543</v>
      </c>
    </row>
    <row r="44" spans="2:29" ht="17" thickBot="1" x14ac:dyDescent="0.25">
      <c r="B44" s="23" t="s">
        <v>144</v>
      </c>
      <c r="C44" s="44">
        <f>'Est Per Base Labor'!Q22</f>
        <v>87.945590994371486</v>
      </c>
      <c r="D44" s="44" t="s">
        <v>85</v>
      </c>
      <c r="E44" s="44">
        <f t="shared" ref="E44:E45" si="8">C44*4.33</f>
        <v>380.80440900562854</v>
      </c>
      <c r="F44" s="44">
        <f t="shared" si="7"/>
        <v>4569.6529080675427</v>
      </c>
      <c r="G44" s="34">
        <f>E44</f>
        <v>380.80440900562854</v>
      </c>
      <c r="S44" s="49"/>
      <c r="T44" s="49"/>
      <c r="U44" s="49"/>
      <c r="V44" s="49"/>
      <c r="W44" s="310"/>
      <c r="X44" s="310"/>
      <c r="Y44" s="310"/>
      <c r="Z44" s="310"/>
      <c r="AA44" s="310"/>
      <c r="AB44" s="310"/>
      <c r="AC44" s="310"/>
    </row>
    <row r="45" spans="2:29" ht="16" customHeight="1" thickBot="1" x14ac:dyDescent="0.25">
      <c r="B45" s="23" t="s">
        <v>119</v>
      </c>
      <c r="C45" s="44">
        <f>'Est Per Base Labor'!K22</f>
        <v>90.290806754221393</v>
      </c>
      <c r="D45" s="44" t="s">
        <v>85</v>
      </c>
      <c r="E45" s="44">
        <f t="shared" si="8"/>
        <v>390.95919324577864</v>
      </c>
      <c r="F45" s="44">
        <f>E45*12</f>
        <v>4691.5103189493439</v>
      </c>
      <c r="G45" s="218">
        <f>E45</f>
        <v>390.95919324577864</v>
      </c>
      <c r="H45" s="48" t="s">
        <v>145</v>
      </c>
    </row>
    <row r="46" spans="2:29" ht="16" customHeight="1" thickBot="1" x14ac:dyDescent="0.25">
      <c r="B46" s="24" t="s">
        <v>23</v>
      </c>
      <c r="C46" s="109"/>
      <c r="D46" s="109"/>
      <c r="E46" s="46">
        <f>SUM(E34:E45)</f>
        <v>4506.2555346434219</v>
      </c>
      <c r="F46" s="46">
        <f>SUM(F25:F45)</f>
        <v>70292.275409207403</v>
      </c>
      <c r="G46" s="219">
        <f>SUM(G25:G45)</f>
        <v>14142.676284100618</v>
      </c>
      <c r="H46" s="217">
        <f>SUM(G34:G45)</f>
        <v>12791.242201310088</v>
      </c>
    </row>
    <row r="47" spans="2:29" ht="16" customHeight="1" x14ac:dyDescent="0.2">
      <c r="D47" s="139"/>
      <c r="G47" s="139"/>
      <c r="H47" s="9"/>
    </row>
    <row r="48" spans="2:29" ht="16" customHeight="1" x14ac:dyDescent="0.2">
      <c r="C48" t="s">
        <v>146</v>
      </c>
      <c r="G48" s="9"/>
    </row>
    <row r="49" spans="4:29" ht="16" customHeight="1" x14ac:dyDescent="0.2">
      <c r="E49" s="250" t="s">
        <v>131</v>
      </c>
      <c r="F49" s="250"/>
      <c r="G49" s="55" t="s">
        <v>130</v>
      </c>
      <c r="H49" s="55" t="s">
        <v>147</v>
      </c>
    </row>
    <row r="50" spans="4:29" ht="15.75" customHeight="1" x14ac:dyDescent="0.2">
      <c r="D50" s="244" t="s">
        <v>148</v>
      </c>
      <c r="E50" s="9">
        <f>SUM(E34:E45)</f>
        <v>4506.2555346434219</v>
      </c>
      <c r="G50" s="9">
        <f>SUM(G34:G45)</f>
        <v>12791.242201310088</v>
      </c>
      <c r="H50">
        <v>20</v>
      </c>
    </row>
    <row r="51" spans="4:29" ht="16" customHeight="1" x14ac:dyDescent="0.2">
      <c r="D51" s="244" t="s">
        <v>149</v>
      </c>
      <c r="E51" s="9">
        <f>SUM(E34:E45)+SUM(F25:F31)/12</f>
        <v>5857.6896174339508</v>
      </c>
      <c r="G51" s="9">
        <f>SUM(G25:G45)</f>
        <v>14142.676284100618</v>
      </c>
      <c r="H51">
        <v>62</v>
      </c>
      <c r="I51" s="9"/>
    </row>
    <row r="52" spans="4:29" ht="16" customHeight="1" x14ac:dyDescent="0.2">
      <c r="D52" s="244" t="s">
        <v>150</v>
      </c>
      <c r="E52" s="74">
        <v>8</v>
      </c>
      <c r="F52" s="74"/>
      <c r="G52" s="74">
        <v>4</v>
      </c>
      <c r="I52" s="9"/>
    </row>
    <row r="53" spans="4:29" ht="16" customHeight="1" x14ac:dyDescent="0.2">
      <c r="H53" s="55" t="s">
        <v>151</v>
      </c>
      <c r="I53" s="9"/>
      <c r="J53" s="9"/>
    </row>
    <row r="54" spans="4:29" x14ac:dyDescent="0.2">
      <c r="D54" s="244" t="s">
        <v>152</v>
      </c>
      <c r="E54" s="9">
        <f>E50*$E$52*$H50</f>
        <v>721000.88554294757</v>
      </c>
      <c r="G54" s="9">
        <f>G50*$G$52*$H50</f>
        <v>1023299.376104807</v>
      </c>
      <c r="H54" s="9">
        <f>E54+G54</f>
        <v>1744300.2616477546</v>
      </c>
      <c r="S54" s="56"/>
      <c r="T54" s="56"/>
      <c r="U54" s="56"/>
      <c r="V54" s="56"/>
      <c r="W54" s="56"/>
      <c r="X54" s="56"/>
      <c r="Y54" s="56"/>
      <c r="Z54" s="56"/>
      <c r="AA54" s="56"/>
      <c r="AB54" s="56"/>
      <c r="AC54" s="56"/>
    </row>
    <row r="55" spans="4:29" x14ac:dyDescent="0.2">
      <c r="D55" s="244" t="s">
        <v>153</v>
      </c>
      <c r="E55" s="9">
        <f>E51*$E$52*$H51</f>
        <v>2905414.0502472394</v>
      </c>
      <c r="G55" s="9">
        <f>G51*$G$52*$H51</f>
        <v>3507383.7184569533</v>
      </c>
      <c r="H55" s="9">
        <f>E55+G55</f>
        <v>6412797.7687041927</v>
      </c>
    </row>
    <row r="56" spans="4:29" x14ac:dyDescent="0.2">
      <c r="D56" s="244" t="s">
        <v>154</v>
      </c>
      <c r="E56" s="9">
        <f>SUM(E54:E55)</f>
        <v>3626414.9357901867</v>
      </c>
      <c r="G56" s="9">
        <f>SUM(G54:G55)</f>
        <v>4530683.0945617603</v>
      </c>
      <c r="H56" s="9">
        <f>E56+G56</f>
        <v>8157098.0303519471</v>
      </c>
    </row>
    <row r="58" spans="4:29" x14ac:dyDescent="0.2">
      <c r="D58" s="244" t="s">
        <v>155</v>
      </c>
      <c r="E58" s="9">
        <f>E56/82</f>
        <v>44224.572387685206</v>
      </c>
      <c r="G58" s="9">
        <f>G56/82</f>
        <v>55252.23286050927</v>
      </c>
      <c r="H58" s="226">
        <f>H56/82</f>
        <v>99476.805248194476</v>
      </c>
    </row>
    <row r="60" spans="4:29" x14ac:dyDescent="0.2">
      <c r="D60" s="244" t="s">
        <v>156</v>
      </c>
      <c r="E60" s="9">
        <f>E58/E52</f>
        <v>5528.0715484606508</v>
      </c>
      <c r="G60" s="9">
        <f>G58/G52</f>
        <v>13813.058215127317</v>
      </c>
      <c r="H60" s="9">
        <f>H58/12</f>
        <v>8289.733770682873</v>
      </c>
    </row>
  </sheetData>
  <mergeCells count="14">
    <mergeCell ref="B23:F23"/>
    <mergeCell ref="W44:AC44"/>
    <mergeCell ref="B2:F2"/>
    <mergeCell ref="I2:L2"/>
    <mergeCell ref="Y2:AB2"/>
    <mergeCell ref="X3:X10"/>
    <mergeCell ref="Y3:AB6"/>
    <mergeCell ref="B6:F6"/>
    <mergeCell ref="Y7:AB10"/>
    <mergeCell ref="I10:L10"/>
    <mergeCell ref="E10:F10"/>
    <mergeCell ref="S2:V2"/>
    <mergeCell ref="S6:V6"/>
    <mergeCell ref="N2:Q2"/>
  </mergeCells>
  <pageMargins left="0.7" right="0.7" top="0.75" bottom="0.75" header="0.3" footer="0.3"/>
  <pageSetup orientation="portrait" r:id="rId1"/>
  <headerFooter>
    <oddHeader>&amp;R&amp;"Calibri"&amp;10&amp;K000000 Booz Allen Hamilton Internal&amp;1#_x000D_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43E70-FFEB-4DDC-B78E-C20ED8E987A5}">
  <dimension ref="B2:K20"/>
  <sheetViews>
    <sheetView workbookViewId="0">
      <selection activeCell="F22" sqref="F22"/>
    </sheetView>
  </sheetViews>
  <sheetFormatPr baseColWidth="10" defaultColWidth="8.83203125" defaultRowHeight="16" x14ac:dyDescent="0.2"/>
  <cols>
    <col min="1" max="1" width="1.1640625" customWidth="1"/>
    <col min="2" max="2" width="26.5" customWidth="1"/>
    <col min="3" max="4" width="12.83203125" customWidth="1"/>
    <col min="5" max="6" width="16.6640625" customWidth="1"/>
    <col min="7" max="7" width="6.5" customWidth="1"/>
    <col min="8" max="8" width="13.1640625" customWidth="1"/>
  </cols>
  <sheetData>
    <row r="2" spans="2:11" ht="17" thickBot="1" x14ac:dyDescent="0.25">
      <c r="B2" s="49" t="s">
        <v>157</v>
      </c>
    </row>
    <row r="3" spans="2:11" ht="34" x14ac:dyDescent="0.2">
      <c r="B3" s="276" t="s">
        <v>56</v>
      </c>
      <c r="C3" s="277" t="s">
        <v>158</v>
      </c>
      <c r="D3" s="277" t="s">
        <v>159</v>
      </c>
      <c r="E3" s="278" t="s">
        <v>160</v>
      </c>
      <c r="F3" s="279" t="s">
        <v>161</v>
      </c>
    </row>
    <row r="4" spans="2:11" x14ac:dyDescent="0.2">
      <c r="B4" s="3" t="s">
        <v>162</v>
      </c>
      <c r="C4" s="246">
        <f>'Scenario 1 (Baseline)'!F21</f>
        <v>219348.53365384619</v>
      </c>
      <c r="D4" s="246">
        <f>'Scenario 1 (Baseline)'!G48</f>
        <v>66336.85858152782</v>
      </c>
      <c r="E4" s="246">
        <f>C4-D4</f>
        <v>153011.67507231835</v>
      </c>
      <c r="F4" s="247">
        <f>'Scenario 1 (Baseline)'!M6</f>
        <v>68460.576923076922</v>
      </c>
    </row>
    <row r="5" spans="2:11" x14ac:dyDescent="0.2">
      <c r="B5" s="3" t="s">
        <v>163</v>
      </c>
      <c r="C5" s="246">
        <f>'Scenario 2 (Increased WWS)'!F21</f>
        <v>219348.53365384619</v>
      </c>
      <c r="D5" s="246">
        <f>'Scenario 2 (Increased WWS)'!G48</f>
        <v>91191.818581527798</v>
      </c>
      <c r="E5" s="246">
        <f t="shared" ref="E5:E7" si="0">C5-D5</f>
        <v>128156.71507231839</v>
      </c>
      <c r="F5" s="247">
        <f>'Scenario 2 (Increased WWS)'!M6</f>
        <v>68460.576923076922</v>
      </c>
    </row>
    <row r="6" spans="2:11" x14ac:dyDescent="0.2">
      <c r="B6" s="3" t="s">
        <v>164</v>
      </c>
      <c r="C6" s="246">
        <f>'Scenario 3 (Outbreak Tier 4)'!L6</f>
        <v>292464.71153846156</v>
      </c>
      <c r="D6" s="246">
        <f>'Scenario 3 (Outbreak Tier 4)'!G48</f>
        <v>66336.85858152782</v>
      </c>
      <c r="E6" s="246">
        <f t="shared" si="0"/>
        <v>226127.85295693373</v>
      </c>
      <c r="F6" s="247">
        <f>'Scenario 3 (Outbreak Tier 4)'!O6</f>
        <v>91280.769230769234</v>
      </c>
    </row>
    <row r="7" spans="2:11" ht="17" thickBot="1" x14ac:dyDescent="0.25">
      <c r="B7" s="4" t="s">
        <v>165</v>
      </c>
      <c r="C7" s="248">
        <f>'Scenario 4 (Outbreak Both)'!L6</f>
        <v>292464.71153846156</v>
      </c>
      <c r="D7" s="248">
        <f>'Scenario 4 (Outbreak Both)'!H58</f>
        <v>99476.805248194476</v>
      </c>
      <c r="E7" s="248">
        <f t="shared" si="0"/>
        <v>192987.90629026707</v>
      </c>
      <c r="F7" s="249">
        <f>'Scenario 4 (Outbreak Both)'!O6</f>
        <v>91280.769230769234</v>
      </c>
    </row>
    <row r="8" spans="2:11" x14ac:dyDescent="0.2">
      <c r="C8" s="9"/>
      <c r="D8" s="9"/>
      <c r="E8" s="9"/>
    </row>
    <row r="9" spans="2:11" x14ac:dyDescent="0.2">
      <c r="B9" t="s">
        <v>166</v>
      </c>
      <c r="C9">
        <v>82</v>
      </c>
      <c r="G9" s="280"/>
    </row>
    <row r="10" spans="2:11" x14ac:dyDescent="0.2">
      <c r="G10" s="280"/>
    </row>
    <row r="11" spans="2:11" ht="17" thickBot="1" x14ac:dyDescent="0.25">
      <c r="B11" s="49" t="s">
        <v>167</v>
      </c>
      <c r="G11" s="280"/>
    </row>
    <row r="12" spans="2:11" ht="34" x14ac:dyDescent="0.2">
      <c r="B12" s="276" t="s">
        <v>56</v>
      </c>
      <c r="C12" s="277" t="s">
        <v>158</v>
      </c>
      <c r="D12" s="277" t="s">
        <v>159</v>
      </c>
      <c r="E12" s="278" t="s">
        <v>160</v>
      </c>
      <c r="F12" s="278" t="s">
        <v>161</v>
      </c>
      <c r="G12" s="281"/>
      <c r="H12" s="279" t="s">
        <v>168</v>
      </c>
    </row>
    <row r="13" spans="2:11" x14ac:dyDescent="0.2">
      <c r="B13" s="3" t="s">
        <v>162</v>
      </c>
      <c r="C13" s="246">
        <f>C4*$C$9</f>
        <v>17986579.759615388</v>
      </c>
      <c r="D13" s="246">
        <f>D4*$C$9</f>
        <v>5439622.4036852811</v>
      </c>
      <c r="E13" s="246">
        <f>C13-D13</f>
        <v>12546957.355930107</v>
      </c>
      <c r="F13" s="246">
        <f>F4*$C$9</f>
        <v>5613767.307692308</v>
      </c>
      <c r="G13" s="282"/>
      <c r="H13" s="247">
        <f>E13+F13</f>
        <v>18160724.663622417</v>
      </c>
      <c r="J13" s="9"/>
      <c r="K13" s="9"/>
    </row>
    <row r="14" spans="2:11" x14ac:dyDescent="0.2">
      <c r="B14" s="3" t="s">
        <v>163</v>
      </c>
      <c r="C14" s="246">
        <f>C5*$C$9</f>
        <v>17986579.759615388</v>
      </c>
      <c r="D14" s="246">
        <f>D5*$C$9</f>
        <v>7477729.1236852799</v>
      </c>
      <c r="E14" s="246">
        <f t="shared" ref="E14:E16" si="1">C14-D14</f>
        <v>10508850.635930108</v>
      </c>
      <c r="F14" s="246">
        <f>F5*$C$9</f>
        <v>5613767.307692308</v>
      </c>
      <c r="G14" s="282"/>
      <c r="H14" s="247">
        <f>E14+F14</f>
        <v>16122617.943622416</v>
      </c>
      <c r="J14" s="9"/>
    </row>
    <row r="15" spans="2:11" x14ac:dyDescent="0.2">
      <c r="B15" s="3" t="s">
        <v>164</v>
      </c>
      <c r="C15" s="246">
        <f t="shared" ref="C15:D15" si="2">C6*$C$9</f>
        <v>23982106.346153848</v>
      </c>
      <c r="D15" s="246">
        <f t="shared" si="2"/>
        <v>5439622.4036852811</v>
      </c>
      <c r="E15" s="246">
        <f t="shared" si="1"/>
        <v>18542483.942468569</v>
      </c>
      <c r="F15" s="246">
        <f>F6*$C$9</f>
        <v>7485023.076923077</v>
      </c>
      <c r="G15" s="282"/>
      <c r="H15" s="247">
        <f>E15+F15</f>
        <v>26027507.019391645</v>
      </c>
      <c r="J15" s="9"/>
    </row>
    <row r="16" spans="2:11" ht="17" thickBot="1" x14ac:dyDescent="0.25">
      <c r="B16" s="4" t="s">
        <v>165</v>
      </c>
      <c r="C16" s="248">
        <f t="shared" ref="C16:D16" si="3">C7*$C$9</f>
        <v>23982106.346153848</v>
      </c>
      <c r="D16" s="248">
        <f t="shared" si="3"/>
        <v>8157098.0303519471</v>
      </c>
      <c r="E16" s="248">
        <f t="shared" si="1"/>
        <v>15825008.3158019</v>
      </c>
      <c r="F16" s="248">
        <f>F7*$C$9</f>
        <v>7485023.076923077</v>
      </c>
      <c r="G16" s="282"/>
      <c r="H16" s="249">
        <f t="shared" ref="H16" si="4">E16+F16</f>
        <v>23310031.392724976</v>
      </c>
      <c r="J16" s="9"/>
    </row>
    <row r="17" spans="3:7" x14ac:dyDescent="0.2">
      <c r="C17" s="73"/>
      <c r="D17" s="73"/>
      <c r="E17" s="73"/>
      <c r="G17" s="280"/>
    </row>
    <row r="20" spans="3:7" ht="14.25" customHeight="1" x14ac:dyDescent="0.2">
      <c r="C20" s="73"/>
      <c r="D20" s="192"/>
      <c r="E20" s="73"/>
    </row>
  </sheetData>
  <pageMargins left="0.7" right="0.7" top="0.75" bottom="0.75" header="0.3" footer="0.3"/>
  <pageSetup orientation="portrait" r:id="rId1"/>
  <headerFooter>
    <oddHeader>&amp;R&amp;"Calibri"&amp;10&amp;K000000 Booz Allen Hamilton Internal&amp;1#_x000D_</oddHeader>
  </headerFooter>
  <ignoredErrors>
    <ignoredError sqref="E13:E1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78B00-E022-4E48-995C-8C1D8D5B7A6F}">
  <dimension ref="B1:N38"/>
  <sheetViews>
    <sheetView topLeftCell="A22" zoomScale="120" zoomScaleNormal="120" workbookViewId="0">
      <selection activeCell="D42" sqref="D42"/>
    </sheetView>
  </sheetViews>
  <sheetFormatPr baseColWidth="10" defaultColWidth="8.83203125" defaultRowHeight="16" x14ac:dyDescent="0.2"/>
  <cols>
    <col min="1" max="1" width="2.6640625" customWidth="1"/>
    <col min="2" max="2" width="49.6640625" customWidth="1"/>
    <col min="3" max="3" width="40.1640625" customWidth="1"/>
    <col min="4" max="4" width="35.6640625" customWidth="1"/>
    <col min="6" max="6" width="49.83203125" customWidth="1"/>
    <col min="7" max="7" width="43.5" customWidth="1"/>
    <col min="9" max="9" width="51.33203125" customWidth="1"/>
    <col min="10" max="10" width="35.5" style="88" customWidth="1"/>
    <col min="11" max="11" width="22.6640625" customWidth="1"/>
    <col min="12" max="12" width="10.6640625" customWidth="1"/>
    <col min="13" max="13" width="29.1640625" customWidth="1"/>
    <col min="14" max="14" width="29" customWidth="1"/>
  </cols>
  <sheetData>
    <row r="1" spans="2:14" ht="17" thickBot="1" x14ac:dyDescent="0.25"/>
    <row r="2" spans="2:14" ht="17" thickBot="1" x14ac:dyDescent="0.25">
      <c r="B2" s="297" t="s">
        <v>169</v>
      </c>
      <c r="C2" s="298"/>
      <c r="D2" s="299"/>
      <c r="F2" s="367" t="s">
        <v>170</v>
      </c>
      <c r="G2" s="368"/>
      <c r="I2" s="297" t="s">
        <v>171</v>
      </c>
      <c r="J2" s="299"/>
      <c r="L2" s="367" t="s">
        <v>172</v>
      </c>
      <c r="M2" s="369"/>
      <c r="N2" s="368"/>
    </row>
    <row r="3" spans="2:14" ht="18" thickBot="1" x14ac:dyDescent="0.25">
      <c r="B3" s="166" t="s">
        <v>173</v>
      </c>
      <c r="C3" s="166" t="s">
        <v>174</v>
      </c>
      <c r="D3" s="167" t="s">
        <v>175</v>
      </c>
      <c r="F3" s="166" t="s">
        <v>176</v>
      </c>
      <c r="G3" s="166" t="s">
        <v>174</v>
      </c>
      <c r="I3" s="166" t="s">
        <v>177</v>
      </c>
      <c r="J3" s="167" t="s">
        <v>178</v>
      </c>
      <c r="L3" s="283" t="s">
        <v>179</v>
      </c>
      <c r="M3" s="166" t="s">
        <v>56</v>
      </c>
      <c r="N3" s="284" t="s">
        <v>57</v>
      </c>
    </row>
    <row r="4" spans="2:14" ht="69" thickBot="1" x14ac:dyDescent="0.25">
      <c r="B4" s="364" t="s">
        <v>180</v>
      </c>
      <c r="C4" s="365"/>
      <c r="D4" s="366"/>
      <c r="F4" s="290" t="s">
        <v>70</v>
      </c>
      <c r="G4" s="170" t="s">
        <v>181</v>
      </c>
      <c r="I4" s="292" t="s">
        <v>182</v>
      </c>
      <c r="J4" s="190" t="s">
        <v>183</v>
      </c>
      <c r="L4" s="176">
        <v>1</v>
      </c>
      <c r="M4" s="177" t="s">
        <v>184</v>
      </c>
      <c r="N4" s="178" t="s">
        <v>185</v>
      </c>
    </row>
    <row r="5" spans="2:14" ht="120" thickBot="1" x14ac:dyDescent="0.25">
      <c r="B5" s="165" t="s">
        <v>78</v>
      </c>
      <c r="C5" s="179" t="s">
        <v>186</v>
      </c>
      <c r="D5" s="293" t="s">
        <v>187</v>
      </c>
      <c r="F5" s="290" t="s">
        <v>73</v>
      </c>
      <c r="G5" s="170" t="s">
        <v>188</v>
      </c>
      <c r="I5" s="260" t="s">
        <v>189</v>
      </c>
      <c r="J5" s="173" t="s">
        <v>190</v>
      </c>
      <c r="L5" s="176">
        <v>2</v>
      </c>
      <c r="M5" s="177" t="s">
        <v>191</v>
      </c>
      <c r="N5" s="178" t="s">
        <v>192</v>
      </c>
    </row>
    <row r="6" spans="2:14" ht="120" thickBot="1" x14ac:dyDescent="0.25">
      <c r="B6" s="162" t="s">
        <v>82</v>
      </c>
      <c r="C6" s="294" t="s">
        <v>193</v>
      </c>
      <c r="D6" s="171" t="s">
        <v>194</v>
      </c>
      <c r="F6" s="290" t="s">
        <v>76</v>
      </c>
      <c r="G6" s="170" t="s">
        <v>195</v>
      </c>
      <c r="I6" s="88"/>
      <c r="L6" s="176">
        <v>3</v>
      </c>
      <c r="M6" s="177" t="s">
        <v>196</v>
      </c>
      <c r="N6" s="178" t="s">
        <v>197</v>
      </c>
    </row>
    <row r="7" spans="2:14" ht="120" thickBot="1" x14ac:dyDescent="0.25">
      <c r="B7" s="162" t="s">
        <v>84</v>
      </c>
      <c r="C7" s="175" t="s">
        <v>198</v>
      </c>
      <c r="D7" s="171" t="s">
        <v>199</v>
      </c>
      <c r="F7" s="290" t="s">
        <v>64</v>
      </c>
      <c r="G7" s="170" t="s">
        <v>200</v>
      </c>
      <c r="L7" s="174">
        <v>4</v>
      </c>
      <c r="M7" s="295" t="s">
        <v>201</v>
      </c>
      <c r="N7" s="173" t="s">
        <v>202</v>
      </c>
    </row>
    <row r="8" spans="2:14" ht="34" x14ac:dyDescent="0.2">
      <c r="B8" s="162" t="s">
        <v>88</v>
      </c>
      <c r="C8" s="175" t="s">
        <v>203</v>
      </c>
      <c r="D8" s="171" t="s">
        <v>199</v>
      </c>
      <c r="F8" s="290" t="s">
        <v>71</v>
      </c>
      <c r="G8" s="170" t="s">
        <v>204</v>
      </c>
    </row>
    <row r="9" spans="2:14" ht="69" thickBot="1" x14ac:dyDescent="0.25">
      <c r="B9" s="162" t="s">
        <v>89</v>
      </c>
      <c r="C9" s="175" t="s">
        <v>205</v>
      </c>
      <c r="D9" s="171" t="s">
        <v>199</v>
      </c>
      <c r="F9" s="291" t="s">
        <v>81</v>
      </c>
      <c r="G9" s="296" t="s">
        <v>206</v>
      </c>
    </row>
    <row r="10" spans="2:14" ht="51" x14ac:dyDescent="0.2">
      <c r="B10" s="162" t="s">
        <v>90</v>
      </c>
      <c r="C10" s="175" t="s">
        <v>207</v>
      </c>
      <c r="D10" s="171" t="s">
        <v>199</v>
      </c>
      <c r="H10" s="88"/>
      <c r="J10"/>
    </row>
    <row r="11" spans="2:14" ht="51" x14ac:dyDescent="0.2">
      <c r="B11" s="162" t="s">
        <v>91</v>
      </c>
      <c r="C11" s="175" t="s">
        <v>208</v>
      </c>
      <c r="D11" s="171" t="s">
        <v>199</v>
      </c>
    </row>
    <row r="12" spans="2:14" ht="51" x14ac:dyDescent="0.2">
      <c r="B12" s="162" t="s">
        <v>92</v>
      </c>
      <c r="C12" s="175" t="s">
        <v>209</v>
      </c>
      <c r="D12" s="171" t="s">
        <v>210</v>
      </c>
    </row>
    <row r="13" spans="2:14" ht="17" x14ac:dyDescent="0.2">
      <c r="B13" s="162" t="s">
        <v>126</v>
      </c>
      <c r="C13" s="175" t="s">
        <v>211</v>
      </c>
      <c r="D13" s="171" t="s">
        <v>212</v>
      </c>
    </row>
    <row r="14" spans="2:14" ht="17" x14ac:dyDescent="0.2">
      <c r="B14" s="162" t="s">
        <v>127</v>
      </c>
      <c r="C14" s="180" t="s">
        <v>213</v>
      </c>
      <c r="D14" s="170" t="s">
        <v>214</v>
      </c>
    </row>
    <row r="15" spans="2:14" ht="17" x14ac:dyDescent="0.2">
      <c r="B15" s="162" t="s">
        <v>128</v>
      </c>
      <c r="C15" s="175" t="s">
        <v>215</v>
      </c>
      <c r="D15" s="172" t="s">
        <v>216</v>
      </c>
    </row>
    <row r="16" spans="2:14" ht="17" x14ac:dyDescent="0.2">
      <c r="B16" s="162" t="s">
        <v>98</v>
      </c>
      <c r="C16" s="175" t="s">
        <v>217</v>
      </c>
      <c r="D16" s="171" t="s">
        <v>236</v>
      </c>
    </row>
    <row r="17" spans="2:4" ht="35" thickBot="1" x14ac:dyDescent="0.25">
      <c r="B17" s="285" t="s">
        <v>99</v>
      </c>
      <c r="C17" s="286" t="s">
        <v>218</v>
      </c>
      <c r="D17" s="287" t="s">
        <v>219</v>
      </c>
    </row>
    <row r="18" spans="2:4" ht="32" customHeight="1" thickBot="1" x14ac:dyDescent="0.25">
      <c r="B18" s="364" t="s">
        <v>220</v>
      </c>
      <c r="C18" s="365"/>
      <c r="D18" s="366"/>
    </row>
    <row r="19" spans="2:4" ht="34" x14ac:dyDescent="0.2">
      <c r="B19" s="288" t="s">
        <v>40</v>
      </c>
      <c r="C19" s="289" t="s">
        <v>221</v>
      </c>
      <c r="D19" s="170" t="s">
        <v>237</v>
      </c>
    </row>
    <row r="20" spans="2:4" ht="34" x14ac:dyDescent="0.2">
      <c r="B20" s="163" t="s">
        <v>41</v>
      </c>
      <c r="C20" s="175" t="s">
        <v>222</v>
      </c>
      <c r="D20" s="170" t="s">
        <v>237</v>
      </c>
    </row>
    <row r="21" spans="2:4" ht="17" x14ac:dyDescent="0.2">
      <c r="B21" s="162" t="s">
        <v>103</v>
      </c>
      <c r="C21" s="175" t="s">
        <v>223</v>
      </c>
      <c r="D21" s="171" t="s">
        <v>236</v>
      </c>
    </row>
    <row r="22" spans="2:4" ht="17" x14ac:dyDescent="0.2">
      <c r="B22" s="162" t="s">
        <v>104</v>
      </c>
      <c r="C22" s="175" t="s">
        <v>223</v>
      </c>
      <c r="D22" s="171" t="s">
        <v>236</v>
      </c>
    </row>
    <row r="23" spans="2:4" ht="17" x14ac:dyDescent="0.2">
      <c r="B23" s="162" t="s">
        <v>105</v>
      </c>
      <c r="C23" s="175" t="s">
        <v>223</v>
      </c>
      <c r="D23" s="171" t="s">
        <v>236</v>
      </c>
    </row>
    <row r="24" spans="2:4" ht="17" x14ac:dyDescent="0.2">
      <c r="B24" s="162" t="s">
        <v>106</v>
      </c>
      <c r="C24" s="175" t="s">
        <v>223</v>
      </c>
      <c r="D24" s="171" t="s">
        <v>236</v>
      </c>
    </row>
    <row r="25" spans="2:4" ht="17" x14ac:dyDescent="0.2">
      <c r="B25" s="162" t="s">
        <v>107</v>
      </c>
      <c r="C25" s="175" t="s">
        <v>223</v>
      </c>
      <c r="D25" s="171" t="s">
        <v>236</v>
      </c>
    </row>
    <row r="26" spans="2:4" ht="34" x14ac:dyDescent="0.2">
      <c r="B26" s="162" t="s">
        <v>142</v>
      </c>
      <c r="C26" s="175" t="s">
        <v>224</v>
      </c>
      <c r="D26" s="170" t="s">
        <v>225</v>
      </c>
    </row>
    <row r="27" spans="2:4" ht="34" x14ac:dyDescent="0.2">
      <c r="B27" s="162" t="s">
        <v>143</v>
      </c>
      <c r="C27" s="175" t="s">
        <v>226</v>
      </c>
      <c r="D27" s="170" t="s">
        <v>199</v>
      </c>
    </row>
    <row r="28" spans="2:4" ht="17" x14ac:dyDescent="0.2">
      <c r="B28" s="162" t="s">
        <v>109</v>
      </c>
      <c r="C28" s="175" t="s">
        <v>227</v>
      </c>
      <c r="D28" s="171" t="s">
        <v>236</v>
      </c>
    </row>
    <row r="29" spans="2:4" ht="17" x14ac:dyDescent="0.2">
      <c r="B29" s="164" t="s">
        <v>110</v>
      </c>
      <c r="C29" s="175" t="s">
        <v>227</v>
      </c>
      <c r="D29" s="171" t="s">
        <v>236</v>
      </c>
    </row>
    <row r="30" spans="2:4" ht="17" x14ac:dyDescent="0.2">
      <c r="B30" s="162" t="s">
        <v>111</v>
      </c>
      <c r="C30" s="175" t="s">
        <v>227</v>
      </c>
      <c r="D30" s="171" t="s">
        <v>236</v>
      </c>
    </row>
    <row r="31" spans="2:4" ht="17" x14ac:dyDescent="0.2">
      <c r="B31" s="162" t="s">
        <v>112</v>
      </c>
      <c r="C31" s="175" t="s">
        <v>227</v>
      </c>
      <c r="D31" s="171" t="s">
        <v>236</v>
      </c>
    </row>
    <row r="32" spans="2:4" ht="17" x14ac:dyDescent="0.2">
      <c r="B32" s="162" t="s">
        <v>113</v>
      </c>
      <c r="C32" s="175" t="s">
        <v>227</v>
      </c>
      <c r="D32" s="171" t="s">
        <v>236</v>
      </c>
    </row>
    <row r="33" spans="2:4" ht="34" x14ac:dyDescent="0.2">
      <c r="B33" s="162" t="s">
        <v>114</v>
      </c>
      <c r="C33" s="175" t="s">
        <v>228</v>
      </c>
      <c r="D33" s="171" t="s">
        <v>236</v>
      </c>
    </row>
    <row r="34" spans="2:4" ht="17" x14ac:dyDescent="0.2">
      <c r="B34" s="162" t="s">
        <v>115</v>
      </c>
      <c r="C34" s="175" t="s">
        <v>229</v>
      </c>
      <c r="D34" s="170" t="s">
        <v>230</v>
      </c>
    </row>
    <row r="35" spans="2:4" ht="34" x14ac:dyDescent="0.2">
      <c r="B35" s="162" t="s">
        <v>117</v>
      </c>
      <c r="C35" s="175" t="s">
        <v>231</v>
      </c>
      <c r="D35" s="170" t="s">
        <v>237</v>
      </c>
    </row>
    <row r="36" spans="2:4" ht="51" x14ac:dyDescent="0.2">
      <c r="B36" s="162" t="s">
        <v>9</v>
      </c>
      <c r="C36" s="175" t="s">
        <v>232</v>
      </c>
      <c r="D36" s="170" t="s">
        <v>237</v>
      </c>
    </row>
    <row r="37" spans="2:4" ht="34" x14ac:dyDescent="0.2">
      <c r="B37" s="162" t="s">
        <v>119</v>
      </c>
      <c r="C37" s="175" t="s">
        <v>233</v>
      </c>
      <c r="D37" s="170" t="s">
        <v>237</v>
      </c>
    </row>
    <row r="38" spans="2:4" ht="35" thickBot="1" x14ac:dyDescent="0.25">
      <c r="B38" s="174" t="s">
        <v>234</v>
      </c>
      <c r="C38" s="181" t="s">
        <v>235</v>
      </c>
      <c r="D38" s="170" t="s">
        <v>237</v>
      </c>
    </row>
  </sheetData>
  <mergeCells count="6">
    <mergeCell ref="B18:D18"/>
    <mergeCell ref="B2:D2"/>
    <mergeCell ref="F2:G2"/>
    <mergeCell ref="I2:J2"/>
    <mergeCell ref="L2:N2"/>
    <mergeCell ref="B4:D4"/>
  </mergeCells>
  <pageMargins left="0.7" right="0.7" top="0.75" bottom="0.75" header="0.3" footer="0.3"/>
  <pageSetup orientation="portrait" r:id="rId1"/>
  <headerFooter>
    <oddHeader>&amp;R&amp;"Calibri"&amp;10&amp;K000000 Booz Allen Hamilton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97072E7F99464386528F229AA7A02D" ma:contentTypeVersion="23" ma:contentTypeDescription="Create a new document." ma:contentTypeScope="" ma:versionID="d775cae4a6aed0c005f004d46fffca47">
  <xsd:schema xmlns:xsd="http://www.w3.org/2001/XMLSchema" xmlns:xs="http://www.w3.org/2001/XMLSchema" xmlns:p="http://schemas.microsoft.com/office/2006/metadata/properties" xmlns:ns1="http://schemas.microsoft.com/sharepoint/v3" xmlns:ns2="a591cd5c-212e-4c9b-9d99-48062238ac05" xmlns:ns3="e68d2f6a-c994-4c7d-8fbf-9c9527e0cabf" xmlns:ns4="74ea459b-7bbf-43af-834e-d16fbea12f70" targetNamespace="http://schemas.microsoft.com/office/2006/metadata/properties" ma:root="true" ma:fieldsID="cc4e58e72162a61cf41043b381289d95" ns1:_="" ns2:_="" ns3:_="" ns4:_="">
    <xsd:import namespace="http://schemas.microsoft.com/sharepoint/v3"/>
    <xsd:import namespace="a591cd5c-212e-4c9b-9d99-48062238ac05"/>
    <xsd:import namespace="e68d2f6a-c994-4c7d-8fbf-9c9527e0cabf"/>
    <xsd:import namespace="74ea459b-7bbf-43af-834e-d16fbea12f70"/>
    <xsd:element name="properties">
      <xsd:complexType>
        <xsd:sequence>
          <xsd:element name="documentManagement">
            <xsd:complexType>
              <xsd:all>
                <xsd:element ref="ns1:PublishingStartDate" minOccurs="0"/>
                <xsd:element ref="ns1:PublishingExpirationDate" minOccurs="0"/>
                <xsd:element ref="ns2:DocType" minOccurs="0"/>
                <xsd:element ref="ns3:SharedWithUsers" minOccurs="0"/>
                <xsd:element ref="ns3:SharedWithDetails" minOccurs="0"/>
                <xsd:element ref="ns3:LastSharedByUser" minOccurs="0"/>
                <xsd:element ref="ns3:LastSharedByTime" minOccurs="0"/>
                <xsd:element ref="ns2:MediaServiceMetadata" minOccurs="0"/>
                <xsd:element ref="ns2:MediaServiceFastMetadata" minOccurs="0"/>
                <xsd:element ref="ns2:MediaServiceAutoTags"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DateTaken" minOccurs="0"/>
                <xsd:element ref="ns2:MediaLengthInSeconds" minOccurs="0"/>
                <xsd:element ref="ns4:TaxCatchAll" minOccurs="0"/>
                <xsd:element ref="ns2:lcf76f155ced4ddcb4097134ff3c332f"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91cd5c-212e-4c9b-9d99-48062238ac05" elementFormDefault="qualified">
    <xsd:import namespace="http://schemas.microsoft.com/office/2006/documentManagement/types"/>
    <xsd:import namespace="http://schemas.microsoft.com/office/infopath/2007/PartnerControls"/>
    <xsd:element name="DocType" ma:index="10" nillable="true" ma:displayName="DocType" ma:default="Other" ma:format="Dropdown" ma:internalName="DocType">
      <xsd:simpleType>
        <xsd:restriction base="dms:Choice">
          <xsd:enumeration value="Marketing Project"/>
          <xsd:enumeration value="Billable Project"/>
          <xsd:enumeration value="Proposal"/>
          <xsd:enumeration value="Other"/>
        </xsd:restriction>
      </xsd:simple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6d29a467-ccb3-40ae-b171-e388b769af89" ma:termSetId="09814cd3-568e-fe90-9814-8d621ff8fb84" ma:anchorId="fba54fb3-c3e1-fe81-a776-ca4b69148c4d" ma:open="true" ma:isKeyword="false">
      <xsd:complexType>
        <xsd:sequence>
          <xsd:element ref="pc:Terms" minOccurs="0" maxOccurs="1"/>
        </xsd:sequence>
      </xsd:complex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8d2f6a-c994-4c7d-8fbf-9c9527e0cabf"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4ea459b-7bbf-43af-834e-d16fbea12f70"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5db5490a-d926-4ae8-8db4-4ed739a28731}" ma:internalName="TaxCatchAll" ma:showField="CatchAllData" ma:web="e68d2f6a-c994-4c7d-8fbf-9c9527e0ca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4ea459b-7bbf-43af-834e-d16fbea12f70" xsi:nil="true"/>
    <SharedWithUsers xmlns="e68d2f6a-c994-4c7d-8fbf-9c9527e0cabf">
      <UserInfo>
        <DisplayName>Maier, Zeke [USA]</DisplayName>
        <AccountId>32</AccountId>
        <AccountType/>
      </UserInfo>
      <UserInfo>
        <DisplayName>Pinkham, Richard [USA]</DisplayName>
        <AccountId>762</AccountId>
        <AccountType/>
      </UserInfo>
    </SharedWithUsers>
    <lcf76f155ced4ddcb4097134ff3c332f xmlns="a591cd5c-212e-4c9b-9d99-48062238ac05">
      <Terms xmlns="http://schemas.microsoft.com/office/infopath/2007/PartnerControls"/>
    </lcf76f155ced4ddcb4097134ff3c332f>
    <PublishingExpirationDate xmlns="http://schemas.microsoft.com/sharepoint/v3" xsi:nil="true"/>
    <PublishingStartDate xmlns="http://schemas.microsoft.com/sharepoint/v3" xsi:nil="true"/>
    <DocType xmlns="a591cd5c-212e-4c9b-9d99-48062238ac05">Other</DocType>
    <MediaLengthInSeconds xmlns="a591cd5c-212e-4c9b-9d99-48062238ac05" xsi:nil="true"/>
  </documentManagement>
</p:properties>
</file>

<file path=customXml/itemProps1.xml><?xml version="1.0" encoding="utf-8"?>
<ds:datastoreItem xmlns:ds="http://schemas.openxmlformats.org/officeDocument/2006/customXml" ds:itemID="{44912C19-53AD-4816-8D9E-1F5DD563D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91cd5c-212e-4c9b-9d99-48062238ac05"/>
    <ds:schemaRef ds:uri="e68d2f6a-c994-4c7d-8fbf-9c9527e0cabf"/>
    <ds:schemaRef ds:uri="74ea459b-7bbf-43af-834e-d16fbea12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1FA3D9-3D53-4EB4-8ACD-E74FD946A6AE}">
  <ds:schemaRefs>
    <ds:schemaRef ds:uri="http://schemas.microsoft.com/sharepoint/v3/contenttype/forms"/>
  </ds:schemaRefs>
</ds:datastoreItem>
</file>

<file path=customXml/itemProps3.xml><?xml version="1.0" encoding="utf-8"?>
<ds:datastoreItem xmlns:ds="http://schemas.openxmlformats.org/officeDocument/2006/customXml" ds:itemID="{500678F7-200C-4E1A-B835-DB6DA19BAD5D}">
  <ds:schemaRefs>
    <ds:schemaRef ds:uri="http://schemas.microsoft.com/office/2006/metadata/properties"/>
    <ds:schemaRef ds:uri="http://schemas.microsoft.com/office/infopath/2007/PartnerControls"/>
    <ds:schemaRef ds:uri="74ea459b-7bbf-43af-834e-d16fbea12f70"/>
    <ds:schemaRef ds:uri="e68d2f6a-c994-4c7d-8fbf-9c9527e0cabf"/>
    <ds:schemaRef ds:uri="a591cd5c-212e-4c9b-9d99-48062238ac05"/>
    <ds:schemaRef ds:uri="http://schemas.microsoft.com/sharepoint/v3"/>
  </ds:schemaRefs>
</ds:datastoreItem>
</file>

<file path=docMetadata/LabelInfo.xml><?xml version="1.0" encoding="utf-8"?>
<clbl:labelList xmlns:clbl="http://schemas.microsoft.com/office/2020/mipLabelMetadata">
  <clbl:label id="{e4a76287-cf44-450a-9565-94fa46e7aae8}" enabled="1" method="Privileged" siteId="{d5fe813e-0caa-432a-b2ac-d555aa91bd1c}"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Est Annual Program Labor</vt:lpstr>
      <vt:lpstr>Est Per Base Labor</vt:lpstr>
      <vt:lpstr>Scenario 1 (Baseline)</vt:lpstr>
      <vt:lpstr>Scenario 2 (Increased WWS)</vt:lpstr>
      <vt:lpstr>Scenario 3 (Outbreak Tier 4)</vt:lpstr>
      <vt:lpstr>Scenario 4 (Outbreak Both)</vt:lpstr>
      <vt:lpstr>Summary</vt:lpstr>
      <vt:lpstr>Documentation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Sanjak, Jaleal [USA]</cp:lastModifiedBy>
  <cp:revision/>
  <dcterms:created xsi:type="dcterms:W3CDTF">2021-10-06T13:23:34Z</dcterms:created>
  <dcterms:modified xsi:type="dcterms:W3CDTF">2023-11-09T19:58:58Z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0x010100DE97072E7F99464386528F229AA7A02D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y fmtid="{D5CDD505-2E9C-101B-9397-08002B2CF9AE}" pid="7" name="Order">
    <vt:r8>33500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_ColorHex">
    <vt:lpwstr/>
  </property>
  <property fmtid="{D5CDD505-2E9C-101B-9397-08002B2CF9AE}" pid="13" name="_Emoji">
    <vt:lpwstr/>
  </property>
  <property fmtid="{D5CDD505-2E9C-101B-9397-08002B2CF9AE}" pid="14" name="TemplateUrl">
    <vt:lpwstr/>
  </property>
  <property fmtid="{D5CDD505-2E9C-101B-9397-08002B2CF9AE}" pid="15" name="_ColorTag">
    <vt:lpwstr/>
  </property>
</Properties>
</file>