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Volumes/martarii/Documents/trace_elements/For_submission/medRxiv/"/>
    </mc:Choice>
  </mc:AlternateContent>
  <xr:revisionPtr revIDLastSave="0" documentId="13_ncr:1_{17709F51-7D9F-CC4E-97FB-F46C30B9BED3}" xr6:coauthVersionLast="47" xr6:coauthVersionMax="47" xr10:uidLastSave="{00000000-0000-0000-0000-000000000000}"/>
  <bookViews>
    <workbookView xWindow="14000" yWindow="1700" windowWidth="36600" windowHeight="21060" firstSheet="4" activeTab="12" xr2:uid="{00000000-000D-0000-FFFF-FFFF00000000}"/>
  </bookViews>
  <sheets>
    <sheet name="INFO" sheetId="22" r:id="rId1"/>
    <sheet name="Supplementary Table 1" sheetId="1" r:id="rId2"/>
    <sheet name="Suplementary Table 2" sheetId="2" r:id="rId3"/>
    <sheet name="Supplementary Table 3" sheetId="6" r:id="rId4"/>
    <sheet name="Supplementary Table 4" sheetId="9" r:id="rId5"/>
    <sheet name="Supplementary Table 5" sheetId="5" r:id="rId6"/>
    <sheet name="Supplemenatry Table 6" sheetId="14" r:id="rId7"/>
    <sheet name="Supplementary Table 8" sheetId="13" r:id="rId8"/>
    <sheet name="Supplementary Table 9" sheetId="16" r:id="rId9"/>
    <sheet name="Supplementary Table 10" sheetId="18" r:id="rId10"/>
    <sheet name="Supplementary Table 11" sheetId="19" r:id="rId11"/>
    <sheet name="Supplementary Table 12" sheetId="20" r:id="rId12"/>
    <sheet name="Supplementary Table 13" sheetId="17" r:id="rId13"/>
  </sheets>
  <definedNames>
    <definedName name="_xlnm._FilterDatabase" localSheetId="9" hidden="1">'Supplementary Table 10'!$C$5:$C$327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4" i="17" l="1"/>
  <c r="M33" i="17"/>
  <c r="M32" i="17"/>
  <c r="M31" i="17"/>
  <c r="M30" i="17"/>
  <c r="M29" i="17"/>
  <c r="M28" i="17"/>
  <c r="M46" i="17"/>
  <c r="M47" i="17"/>
  <c r="M45" i="17"/>
  <c r="M44" i="17"/>
  <c r="M42" i="17"/>
  <c r="M43" i="17"/>
  <c r="M41" i="17"/>
  <c r="M40" i="17"/>
  <c r="M39" i="17"/>
  <c r="M38" i="17"/>
  <c r="M37" i="17"/>
  <c r="M36" i="17"/>
  <c r="M35" i="17"/>
  <c r="L34" i="17" l="1"/>
  <c r="K34" i="17"/>
  <c r="J34" i="17"/>
  <c r="M27" i="17"/>
  <c r="L27" i="17"/>
  <c r="K27" i="17"/>
  <c r="J27" i="17"/>
  <c r="K33" i="1" l="1"/>
  <c r="V30" i="2"/>
  <c r="V29" i="2"/>
  <c r="V28" i="2"/>
  <c r="I17" i="9"/>
  <c r="I16" i="9"/>
  <c r="I15" i="9"/>
  <c r="L17" i="9"/>
  <c r="L16" i="9"/>
  <c r="L15" i="9"/>
  <c r="M7" i="20" l="1"/>
  <c r="M8" i="20"/>
  <c r="M9" i="20"/>
  <c r="M10" i="20"/>
  <c r="M11" i="20"/>
  <c r="M12" i="20"/>
  <c r="M15" i="20"/>
  <c r="M16" i="20"/>
  <c r="M17" i="20"/>
  <c r="M18" i="20"/>
  <c r="M19" i="20"/>
  <c r="M20" i="20"/>
  <c r="M21" i="20"/>
  <c r="M22" i="20"/>
  <c r="M23" i="20"/>
  <c r="M24" i="20"/>
  <c r="M25" i="20"/>
  <c r="M26" i="20"/>
  <c r="M27" i="20"/>
  <c r="M28" i="20"/>
  <c r="M29" i="20"/>
  <c r="M30" i="20"/>
  <c r="M31" i="20"/>
  <c r="M32" i="20"/>
  <c r="M33" i="20"/>
  <c r="M6" i="20"/>
  <c r="M7" i="19"/>
  <c r="M8" i="19"/>
  <c r="M9" i="19"/>
  <c r="M10" i="19"/>
  <c r="M11" i="19"/>
  <c r="M12" i="19"/>
  <c r="M14" i="19"/>
  <c r="M15" i="19"/>
  <c r="M16" i="19"/>
  <c r="M17" i="19"/>
  <c r="M18" i="19"/>
  <c r="M6" i="19"/>
  <c r="M7" i="18"/>
  <c r="M8" i="18"/>
  <c r="M9" i="18"/>
  <c r="M10" i="18"/>
  <c r="M11" i="18"/>
  <c r="M12" i="18"/>
  <c r="M13" i="18"/>
  <c r="M14" i="18"/>
  <c r="M15" i="18"/>
  <c r="M16" i="18"/>
  <c r="M17" i="18"/>
  <c r="M18" i="18"/>
  <c r="M19" i="18"/>
  <c r="M20" i="18"/>
  <c r="M21" i="18"/>
  <c r="M22" i="18"/>
  <c r="M23" i="18"/>
  <c r="M24" i="18"/>
  <c r="M25" i="18"/>
  <c r="M26" i="18"/>
  <c r="M27" i="18"/>
  <c r="M28" i="18"/>
  <c r="M29" i="18"/>
  <c r="M30" i="18"/>
  <c r="M31" i="18"/>
  <c r="M32" i="18"/>
  <c r="M33" i="18"/>
  <c r="M34" i="18"/>
  <c r="M35" i="18"/>
  <c r="M36" i="18"/>
  <c r="M37" i="18"/>
  <c r="M38" i="18"/>
  <c r="M39" i="18"/>
  <c r="M40" i="18"/>
  <c r="M41" i="18"/>
  <c r="M42" i="18"/>
  <c r="M43" i="18"/>
  <c r="M44" i="18"/>
  <c r="M45" i="18"/>
  <c r="M46" i="18"/>
  <c r="M47" i="18"/>
  <c r="M48" i="18"/>
  <c r="M49" i="18"/>
  <c r="M50" i="18"/>
  <c r="M51" i="18"/>
  <c r="M52" i="18"/>
  <c r="M53" i="18"/>
  <c r="M54" i="18"/>
  <c r="M55" i="18"/>
  <c r="M56" i="18"/>
  <c r="M57" i="18"/>
  <c r="M58" i="18"/>
  <c r="M59" i="18"/>
  <c r="M60" i="18"/>
  <c r="M61" i="18"/>
  <c r="M62" i="18"/>
  <c r="M63" i="18"/>
  <c r="M64" i="18"/>
  <c r="M65" i="18"/>
  <c r="M66" i="18"/>
  <c r="M67" i="18"/>
  <c r="M68" i="18"/>
  <c r="M69" i="18"/>
  <c r="M70" i="18"/>
  <c r="M71" i="18"/>
  <c r="M72" i="18"/>
  <c r="M73" i="18"/>
  <c r="M74" i="18"/>
  <c r="M75" i="18"/>
  <c r="M76" i="18"/>
  <c r="M77" i="18"/>
  <c r="M78" i="18"/>
  <c r="M79" i="18"/>
  <c r="M80" i="18"/>
  <c r="M82" i="18"/>
  <c r="M85" i="18"/>
  <c r="M87" i="18"/>
  <c r="M88" i="18"/>
  <c r="M89" i="18"/>
  <c r="M90" i="18"/>
  <c r="M91" i="18"/>
  <c r="M92" i="18"/>
  <c r="M93" i="18"/>
  <c r="M94" i="18"/>
  <c r="M95" i="18"/>
  <c r="M96" i="18"/>
  <c r="M97" i="18"/>
  <c r="M98" i="18"/>
  <c r="M99" i="18"/>
  <c r="M100" i="18"/>
  <c r="M101" i="18"/>
  <c r="M102" i="18"/>
  <c r="M103" i="18"/>
  <c r="M104" i="18"/>
  <c r="M105" i="18"/>
  <c r="M106" i="18"/>
  <c r="M107" i="18"/>
  <c r="M108" i="18"/>
  <c r="M109" i="18"/>
  <c r="M110" i="18"/>
  <c r="M111" i="18"/>
  <c r="M112" i="18"/>
  <c r="M113" i="18"/>
  <c r="M114" i="18"/>
  <c r="M115" i="18"/>
  <c r="M116" i="18"/>
  <c r="M117" i="18"/>
  <c r="M118" i="18"/>
  <c r="M119" i="18"/>
  <c r="M120" i="18"/>
  <c r="M121" i="18"/>
  <c r="M122" i="18"/>
  <c r="M123" i="18"/>
  <c r="M124" i="18"/>
  <c r="M125" i="18"/>
  <c r="M127" i="18"/>
  <c r="M130" i="18"/>
  <c r="M132" i="18"/>
  <c r="M133" i="18"/>
  <c r="M134" i="18"/>
  <c r="M135" i="18"/>
  <c r="M136" i="18"/>
  <c r="M137" i="18"/>
  <c r="M138" i="18"/>
  <c r="M139" i="18"/>
  <c r="M140" i="18"/>
  <c r="M141" i="18"/>
  <c r="M142" i="18"/>
  <c r="M143" i="18"/>
  <c r="M144" i="18"/>
  <c r="M145" i="18"/>
  <c r="M146" i="18"/>
  <c r="M147" i="18"/>
  <c r="M148" i="18"/>
  <c r="M149" i="18"/>
  <c r="M150" i="18"/>
  <c r="M151" i="18"/>
  <c r="M152" i="18"/>
  <c r="M153" i="18"/>
  <c r="M154" i="18"/>
  <c r="M155" i="18"/>
  <c r="M156" i="18"/>
  <c r="M157" i="18"/>
  <c r="M158" i="18"/>
  <c r="M159" i="18"/>
  <c r="M160" i="18"/>
  <c r="M161" i="18"/>
  <c r="M162" i="18"/>
  <c r="M163" i="18"/>
  <c r="M164" i="18"/>
  <c r="M165" i="18"/>
  <c r="M166" i="18"/>
  <c r="M167" i="18"/>
  <c r="M168" i="18"/>
  <c r="M169" i="18"/>
  <c r="M170" i="18"/>
  <c r="M171" i="18"/>
  <c r="M172" i="18"/>
  <c r="M173" i="18"/>
  <c r="M174" i="18"/>
  <c r="M175" i="18"/>
  <c r="M176" i="18"/>
  <c r="M177" i="18"/>
  <c r="M178" i="18"/>
  <c r="M179" i="18"/>
  <c r="M180" i="18"/>
  <c r="M181" i="18"/>
  <c r="M182" i="18"/>
  <c r="M183" i="18"/>
  <c r="M184" i="18"/>
  <c r="M185" i="18"/>
  <c r="M186" i="18"/>
  <c r="M187" i="18"/>
  <c r="M188" i="18"/>
  <c r="M189" i="18"/>
  <c r="M190" i="18"/>
  <c r="M191" i="18"/>
  <c r="M192" i="18"/>
  <c r="M193" i="18"/>
  <c r="M194" i="18"/>
  <c r="M6" i="18"/>
  <c r="M7" i="16"/>
  <c r="M8" i="16"/>
  <c r="M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M35" i="16"/>
  <c r="M36" i="16"/>
  <c r="M37" i="16"/>
  <c r="M38" i="16"/>
  <c r="M39" i="16"/>
  <c r="M40" i="16"/>
  <c r="M41" i="16"/>
  <c r="M42" i="16"/>
  <c r="M43" i="16"/>
  <c r="M44" i="16"/>
  <c r="M45" i="16"/>
  <c r="M46" i="16"/>
  <c r="M47" i="16"/>
  <c r="M48" i="16"/>
  <c r="M49" i="16"/>
  <c r="M50" i="16"/>
  <c r="M51" i="16"/>
  <c r="M52" i="16"/>
  <c r="M53" i="16"/>
  <c r="M54" i="16"/>
  <c r="M55" i="16"/>
  <c r="M56" i="16"/>
  <c r="M57" i="16"/>
  <c r="M58" i="16"/>
  <c r="M59" i="16"/>
  <c r="M60" i="16"/>
  <c r="M6" i="16"/>
  <c r="N19" i="13"/>
  <c r="N20" i="13"/>
  <c r="N21" i="13"/>
  <c r="N22" i="13"/>
  <c r="N23" i="13"/>
  <c r="N24" i="13"/>
  <c r="N25" i="13"/>
  <c r="N26" i="13"/>
  <c r="N27" i="13"/>
  <c r="N28" i="13"/>
  <c r="N7" i="13"/>
  <c r="N8" i="13"/>
  <c r="N9" i="13"/>
  <c r="N10" i="13"/>
  <c r="N11" i="13"/>
  <c r="N12" i="13"/>
  <c r="N13" i="13"/>
  <c r="N14" i="13"/>
  <c r="N15" i="13"/>
  <c r="N16" i="13"/>
  <c r="N17" i="13"/>
  <c r="N6" i="13"/>
  <c r="J15" i="14"/>
  <c r="J14" i="14"/>
  <c r="J13" i="14"/>
  <c r="J12" i="14"/>
  <c r="J11" i="14"/>
  <c r="J10" i="14"/>
  <c r="J9" i="14"/>
  <c r="J8" i="14"/>
  <c r="J7" i="14"/>
  <c r="J6" i="14"/>
  <c r="M13" i="17" l="1"/>
  <c r="K13" i="17"/>
  <c r="L13" i="17"/>
  <c r="J13" i="17"/>
  <c r="J11" i="17"/>
  <c r="J12" i="17"/>
  <c r="K11" i="17"/>
  <c r="K12" i="17"/>
  <c r="L10" i="17"/>
  <c r="L11" i="17"/>
  <c r="L12" i="17"/>
  <c r="K10" i="17"/>
  <c r="J10" i="17"/>
  <c r="M10" i="17"/>
  <c r="M11" i="17"/>
  <c r="M12" i="17"/>
  <c r="M9" i="17"/>
  <c r="L9" i="17"/>
  <c r="K9" i="17"/>
  <c r="J9" i="17"/>
  <c r="K31" i="20" l="1"/>
  <c r="B50" i="16"/>
  <c r="B31" i="20"/>
  <c r="A31" i="20" s="1"/>
  <c r="L26" i="17" l="1"/>
  <c r="K26" i="17"/>
  <c r="J26" i="17"/>
  <c r="L18" i="17" l="1"/>
  <c r="K18" i="17"/>
  <c r="J18" i="17"/>
  <c r="L17" i="17"/>
  <c r="K17" i="17"/>
  <c r="J17" i="17"/>
  <c r="V10" i="2" l="1"/>
  <c r="O9" i="5"/>
  <c r="O8" i="5"/>
  <c r="O7" i="5"/>
  <c r="I55" i="2"/>
  <c r="K54" i="2"/>
  <c r="L54" i="2"/>
  <c r="I54" i="2"/>
  <c r="K53" i="2"/>
  <c r="L53" i="2"/>
  <c r="I53" i="2"/>
  <c r="I52" i="2"/>
  <c r="L51" i="2"/>
  <c r="K51" i="2"/>
  <c r="I51" i="2"/>
  <c r="I44" i="2"/>
  <c r="K43" i="2"/>
  <c r="L43" i="2"/>
  <c r="I43" i="2"/>
  <c r="K40" i="2"/>
  <c r="L40" i="2"/>
  <c r="I40" i="2"/>
  <c r="K39" i="2"/>
  <c r="L39" i="2"/>
  <c r="I39" i="2"/>
  <c r="K37" i="2"/>
  <c r="L37" i="2"/>
  <c r="I37" i="2"/>
  <c r="K27" i="2"/>
  <c r="L27" i="2"/>
  <c r="I27" i="2"/>
  <c r="K12" i="2"/>
  <c r="L12" i="2"/>
  <c r="I12" i="2"/>
  <c r="K11" i="2"/>
  <c r="L11" i="2"/>
  <c r="I11" i="2"/>
  <c r="K8" i="2"/>
  <c r="L8" i="2"/>
  <c r="I8" i="2"/>
  <c r="V55" i="2"/>
  <c r="V54" i="2"/>
  <c r="V53" i="2"/>
  <c r="V52" i="2"/>
  <c r="V51" i="2"/>
  <c r="V43" i="2"/>
  <c r="V42" i="2"/>
  <c r="V40" i="2"/>
  <c r="V39" i="2"/>
  <c r="V38" i="2"/>
  <c r="V37" i="2"/>
  <c r="V36" i="2"/>
  <c r="V35" i="2"/>
  <c r="V34" i="2"/>
  <c r="V33" i="2"/>
  <c r="V32" i="2"/>
  <c r="V31" i="2"/>
  <c r="V27" i="2"/>
  <c r="V14" i="2"/>
  <c r="V12" i="2"/>
  <c r="V11" i="2"/>
  <c r="V8" i="2"/>
  <c r="J67" i="1" l="1"/>
  <c r="I67" i="1"/>
  <c r="H67" i="1"/>
  <c r="G67" i="1"/>
  <c r="F67" i="1"/>
  <c r="E67" i="1"/>
  <c r="D67" i="1"/>
  <c r="J74" i="1"/>
  <c r="I74" i="1"/>
  <c r="H74" i="1"/>
  <c r="G74" i="1"/>
  <c r="F74" i="1"/>
  <c r="E74" i="1"/>
  <c r="D74" i="1"/>
</calcChain>
</file>

<file path=xl/sharedStrings.xml><?xml version="1.0" encoding="utf-8"?>
<sst xmlns="http://schemas.openxmlformats.org/spreadsheetml/2006/main" count="4203" uniqueCount="598">
  <si>
    <t>Aluminium</t>
  </si>
  <si>
    <t>microgram/liter</t>
  </si>
  <si>
    <t>Antimony</t>
  </si>
  <si>
    <t>Arsenic</t>
  </si>
  <si>
    <t>Barium</t>
  </si>
  <si>
    <t>Beryllium</t>
  </si>
  <si>
    <t>Boron</t>
  </si>
  <si>
    <t>Bromine</t>
  </si>
  <si>
    <t>milligram/liter</t>
  </si>
  <si>
    <t>Cadmium</t>
  </si>
  <si>
    <t>Calcium</t>
  </si>
  <si>
    <t>Cerium</t>
  </si>
  <si>
    <t>Cesium</t>
  </si>
  <si>
    <t>Chlorine</t>
  </si>
  <si>
    <t>gram/liter</t>
  </si>
  <si>
    <t>Chromium</t>
  </si>
  <si>
    <t>Copper</t>
  </si>
  <si>
    <t>Gallium</t>
  </si>
  <si>
    <t>Germanium</t>
  </si>
  <si>
    <t>Gold</t>
  </si>
  <si>
    <t>Holmium</t>
  </si>
  <si>
    <t>Indium</t>
  </si>
  <si>
    <t>Iridium</t>
  </si>
  <si>
    <t>Iron</t>
  </si>
  <si>
    <t>Lanthanum</t>
  </si>
  <si>
    <t>Lead</t>
  </si>
  <si>
    <t>Lithium</t>
  </si>
  <si>
    <t>Magnesium</t>
  </si>
  <si>
    <t>Manganese</t>
  </si>
  <si>
    <t>Mercury</t>
  </si>
  <si>
    <t>Molybdenum</t>
  </si>
  <si>
    <t>Neodymium</t>
  </si>
  <si>
    <t>Nickel</t>
  </si>
  <si>
    <t>Niobium</t>
  </si>
  <si>
    <t>Palladium</t>
  </si>
  <si>
    <t>Phosphorus</t>
  </si>
  <si>
    <t>Platinum</t>
  </si>
  <si>
    <t>Praseodymium</t>
  </si>
  <si>
    <t>Rhenium</t>
  </si>
  <si>
    <t>Rhodium</t>
  </si>
  <si>
    <t>Rubidium</t>
  </si>
  <si>
    <t>Samarium</t>
  </si>
  <si>
    <t>Selenium</t>
  </si>
  <si>
    <t>Silicon</t>
  </si>
  <si>
    <t>Silver</t>
  </si>
  <si>
    <t>Strontium</t>
  </si>
  <si>
    <t>Sulfur</t>
  </si>
  <si>
    <t>Tantalum</t>
  </si>
  <si>
    <t>Terbium</t>
  </si>
  <si>
    <t>Thallium</t>
  </si>
  <si>
    <t>Thorium</t>
  </si>
  <si>
    <t>Tin</t>
  </si>
  <si>
    <t>Tungsten</t>
  </si>
  <si>
    <t>Uranium</t>
  </si>
  <si>
    <t>Vanadium</t>
  </si>
  <si>
    <t>Yttrium</t>
  </si>
  <si>
    <t>Zinc</t>
  </si>
  <si>
    <t>Zirconium</t>
  </si>
  <si>
    <t>HUNT</t>
  </si>
  <si>
    <t>MOBA</t>
  </si>
  <si>
    <t>Study</t>
  </si>
  <si>
    <t>Cobalt</t>
  </si>
  <si>
    <t>Trace Element</t>
  </si>
  <si>
    <t>Unit</t>
  </si>
  <si>
    <t>Min</t>
  </si>
  <si>
    <t>Median</t>
  </si>
  <si>
    <t>1st Quartile</t>
  </si>
  <si>
    <t>3rd Quartile</t>
  </si>
  <si>
    <t>Max</t>
  </si>
  <si>
    <t>Mean</t>
  </si>
  <si>
    <t>SD</t>
  </si>
  <si>
    <t>N</t>
  </si>
  <si>
    <t>X</t>
  </si>
  <si>
    <t>FreqSE</t>
  </si>
  <si>
    <t>MinFreq</t>
  </si>
  <si>
    <t>MaxFreq</t>
  </si>
  <si>
    <t>Effect</t>
  </si>
  <si>
    <t>P-value</t>
  </si>
  <si>
    <t>Direction</t>
  </si>
  <si>
    <t>HetISq</t>
  </si>
  <si>
    <t>HetChiSq</t>
  </si>
  <si>
    <t>HetDf</t>
  </si>
  <si>
    <t>HetPVal</t>
  </si>
  <si>
    <t>C</t>
  </si>
  <si>
    <t>T</t>
  </si>
  <si>
    <t>Studies</t>
  </si>
  <si>
    <t>.</t>
  </si>
  <si>
    <t>+</t>
  </si>
  <si>
    <t>G</t>
  </si>
  <si>
    <t>A</t>
  </si>
  <si>
    <t>Novelty</t>
  </si>
  <si>
    <t>-</t>
  </si>
  <si>
    <t>+++</t>
  </si>
  <si>
    <t>++</t>
  </si>
  <si>
    <t>-?</t>
  </si>
  <si>
    <t>---</t>
  </si>
  <si>
    <t xml:space="preserve">Arsenic </t>
  </si>
  <si>
    <t>Alt_Freq</t>
  </si>
  <si>
    <t>Alt</t>
  </si>
  <si>
    <t>Ref</t>
  </si>
  <si>
    <t>Pos</t>
  </si>
  <si>
    <t>Chr</t>
  </si>
  <si>
    <t>RsID</t>
  </si>
  <si>
    <t>CAGTA</t>
  </si>
  <si>
    <t>Func.refGene</t>
  </si>
  <si>
    <t>Gene.refGene</t>
  </si>
  <si>
    <t>GeneDetail.refGene</t>
  </si>
  <si>
    <t>ExonicFunc.refGene</t>
  </si>
  <si>
    <t>AAChange.refGene</t>
  </si>
  <si>
    <t>Xref.refGene</t>
  </si>
  <si>
    <t>cytoBand</t>
  </si>
  <si>
    <t>ExAC_ALL</t>
  </si>
  <si>
    <t>SIFT_score</t>
  </si>
  <si>
    <t>SIFT_pred</t>
  </si>
  <si>
    <t>Polyphen2_HDIV_score</t>
  </si>
  <si>
    <t>Polyphen2_HDIV_pred</t>
  </si>
  <si>
    <t>Polyphen2_HVAR_score</t>
  </si>
  <si>
    <t>Polyphen2_HVAR_pred</t>
  </si>
  <si>
    <t>UTR3</t>
  </si>
  <si>
    <t>SACM1L</t>
  </si>
  <si>
    <t>NM_001319073:c.*754T&gt;G;NM_001319072:c.*754T&gt;G;NM_014016:c.*754T&gt;G;NM_001319071:c.*688T&gt;G</t>
  </si>
  <si>
    <t>3p21.31</t>
  </si>
  <si>
    <t>rs73060324</t>
  </si>
  <si>
    <t>intergenic</t>
  </si>
  <si>
    <t>ALX4;CD82</t>
  </si>
  <si>
    <t>dist=207146;dist=48378</t>
  </si>
  <si>
    <t>11p11.2</t>
  </si>
  <si>
    <t>rs763352443</t>
  </si>
  <si>
    <t>intronic</t>
  </si>
  <si>
    <t>DUOX2</t>
  </si>
  <si>
    <t>Thyroid dyshormonogenesis 6, Autosomal recessive</t>
  </si>
  <si>
    <t>15q21.1</t>
  </si>
  <si>
    <t>rs953733</t>
  </si>
  <si>
    <t>ncRNA_intronic</t>
  </si>
  <si>
    <t>LACTB2-AS1</t>
  </si>
  <si>
    <t>8q13.3</t>
  </si>
  <si>
    <t>rs6987313</t>
  </si>
  <si>
    <t>SLC39A8;LOC105377621</t>
  </si>
  <si>
    <t>dist=2124;dist=70996</t>
  </si>
  <si>
    <t>4q24</t>
  </si>
  <si>
    <t>rs2054394</t>
  </si>
  <si>
    <t>UNCX;MICALL2</t>
  </si>
  <si>
    <t>dist=9166;dist=187867</t>
  </si>
  <si>
    <t>7p22.3</t>
  </si>
  <si>
    <t>rs7785293</t>
  </si>
  <si>
    <t>CP</t>
  </si>
  <si>
    <t>Cerebellar ataxia, Autosomal recessive;Hemosiderosis, systemic, due to aceruloplasminemia, Autosomal recessive</t>
  </si>
  <si>
    <t>3q25.1</t>
  </si>
  <si>
    <t>rs34004251</t>
  </si>
  <si>
    <t>LOC101927815;CSMD1</t>
  </si>
  <si>
    <t>dist=33969;dist=172923</t>
  </si>
  <si>
    <t>8p23.2</t>
  </si>
  <si>
    <t>rs549221050</t>
  </si>
  <si>
    <t>CCZ1B;MIR3683</t>
  </si>
  <si>
    <t>dist=57536;dist=183133</t>
  </si>
  <si>
    <t>7p22.1</t>
  </si>
  <si>
    <t>rs765334237</t>
  </si>
  <si>
    <t>CD163;APOBEC1</t>
  </si>
  <si>
    <t>dist=87836;dist=57746</t>
  </si>
  <si>
    <t>12p13.31</t>
  </si>
  <si>
    <t>rs767958280</t>
  </si>
  <si>
    <t>SMS;PHEX</t>
  </si>
  <si>
    <t>dist=1297;dist=36191</t>
  </si>
  <si>
    <t>Xp22.11</t>
  </si>
  <si>
    <t>rs181071811</t>
  </si>
  <si>
    <t>RBFOX3</t>
  </si>
  <si>
    <t>17q25.3</t>
  </si>
  <si>
    <t>rs146233512</t>
  </si>
  <si>
    <t>DOCK8</t>
  </si>
  <si>
    <t>Hyper-IgE recurrent infection syndrome, autosomal recessive, Autosomal recessive</t>
  </si>
  <si>
    <t>9p24.3</t>
  </si>
  <si>
    <t>rs72703506</t>
  </si>
  <si>
    <t>PADI2;LINC02783</t>
  </si>
  <si>
    <t>dist=16369;dist=53969</t>
  </si>
  <si>
    <t>1p36.13</t>
  </si>
  <si>
    <t>DMD</t>
  </si>
  <si>
    <t>Becker muscular dystrophy, X-linked recessive;Cardiomyopathy, dilated, 3B, X-linked;Duchenne muscular dystrophy, X-linked recessive</t>
  </si>
  <si>
    <t>Xp21.1</t>
  </si>
  <si>
    <t>rs182789694</t>
  </si>
  <si>
    <t>DIAPH2</t>
  </si>
  <si>
    <t>Premature ovarian failure</t>
  </si>
  <si>
    <t>Xq21.33</t>
  </si>
  <si>
    <t>rs763064690</t>
  </si>
  <si>
    <t>TBC1D8B;RIPPLY1</t>
  </si>
  <si>
    <t>dist=13889;dist=10027</t>
  </si>
  <si>
    <t>Xq22.3</t>
  </si>
  <si>
    <t>rs757520744</t>
  </si>
  <si>
    <t>USP2-AS1;NECTIN1</t>
  </si>
  <si>
    <t>dist=85707;dist=53157</t>
  </si>
  <si>
    <t>11q23.3</t>
  </si>
  <si>
    <t>rs545423552</t>
  </si>
  <si>
    <t>LINC01215;IFT57</t>
  </si>
  <si>
    <t>dist=18547;dist=3655</t>
  </si>
  <si>
    <t>3q13.12</t>
  </si>
  <si>
    <t>rs78394934</t>
  </si>
  <si>
    <t>ALAD</t>
  </si>
  <si>
    <t>Porphyria, acute hepatic, Autosomal recessive</t>
  </si>
  <si>
    <t>9q32</t>
  </si>
  <si>
    <t>rs1805312</t>
  </si>
  <si>
    <t>downstream</t>
  </si>
  <si>
    <t>OR5D13</t>
  </si>
  <si>
    <t>dist=102</t>
  </si>
  <si>
    <t>11q11</t>
  </si>
  <si>
    <t>rs142116125</t>
  </si>
  <si>
    <t>HK1</t>
  </si>
  <si>
    <t>Hemolytic anemia due to hexokinase deficiency, Autosomal recessive;Neuropathy, hereditary motor and sensory, Russe type, Autosomal recessive</t>
  </si>
  <si>
    <t>10q22.1</t>
  </si>
  <si>
    <t>rs16926246</t>
  </si>
  <si>
    <t>KIAA1549;ZC3HAV1L</t>
  </si>
  <si>
    <t>dist=2014;dist=42303</t>
  </si>
  <si>
    <t>7q34</t>
  </si>
  <si>
    <t>rs557340960</t>
  </si>
  <si>
    <t>LYRM4-AS1</t>
  </si>
  <si>
    <t>6p25.1</t>
  </si>
  <si>
    <t>rs467304</t>
  </si>
  <si>
    <t>exonic</t>
  </si>
  <si>
    <t>HFE</t>
  </si>
  <si>
    <t>nonsynonymous SNV</t>
  </si>
  <si>
    <t>HFE:NM_139010:exon2:c.G305A:p.C102Y,HFE:NM_139003:exon3:c.G527A:p.C176Y,HFE:NM_139004:exon3:c.G569A:p.C190Y,HFE:NM_139007:exon3:c.G581A:p.C194Y,HFE:NM_139008:exon3:c.G539A:p.C180Y,HFE:NM_000410:exon4:c.G845A:p.C282Y,HFE:NM_001300749:exon4:c.G845A:p.C282Y,HFE:NM_139006:exon4:c.G803A:p.C268Y,HFE:NM_139009:exon4:c.G776A:p.C259Y</t>
  </si>
  <si>
    <t>Hemochromatosis, Autosomal recessive</t>
  </si>
  <si>
    <t>6p22.2</t>
  </si>
  <si>
    <t>rs1800562</t>
  </si>
  <si>
    <t>D</t>
  </si>
  <si>
    <t>HSCB</t>
  </si>
  <si>
    <t>dist=959</t>
  </si>
  <si>
    <t>22q12.1</t>
  </si>
  <si>
    <t>rs5997397</t>
  </si>
  <si>
    <t>TMPRSS6</t>
  </si>
  <si>
    <t>TMPRSS6:NM_001289001:exon17:c.T2180C:p.V727A,TMPRSS6:NM_153609:exon17:c.T2207C:p.V736A,TMPRSS6:NM_001289000:exon18:c.T2246C:p.V749A</t>
  </si>
  <si>
    <t>Iron-refractory iron deficiency anemia, Autosomal recessive</t>
  </si>
  <si>
    <t>22q12.3</t>
  </si>
  <si>
    <t>rs855791</t>
  </si>
  <si>
    <t>B</t>
  </si>
  <si>
    <t>P</t>
  </si>
  <si>
    <t>FAM210B</t>
  </si>
  <si>
    <t>FAM210B:NM_080821:exon3:c.C376T:p.P126S</t>
  </si>
  <si>
    <t>20q13.2</t>
  </si>
  <si>
    <t>rs6099115</t>
  </si>
  <si>
    <t>FECH</t>
  </si>
  <si>
    <t>Protoporphyria, erythropoietic, autosomal recessive, Autosomal recessive</t>
  </si>
  <si>
    <t>18q21.31</t>
  </si>
  <si>
    <t>rs2272783</t>
  </si>
  <si>
    <t>DENND4A</t>
  </si>
  <si>
    <t>15q22.31</t>
  </si>
  <si>
    <t>rs7176565</t>
  </si>
  <si>
    <t>TUT7</t>
  </si>
  <si>
    <t>NM_024617:c.*225A&gt;T;NM_001330718:c.*225A&gt;T;NM_001185074:c.*225A&gt;T;NM_001185059:c.*225A&gt;T</t>
  </si>
  <si>
    <t>9q21.33</t>
  </si>
  <si>
    <t>rs4440696</t>
  </si>
  <si>
    <t>SLC39A8</t>
  </si>
  <si>
    <t>SLC39A8:NM_001135148:exon7:c.G970A:p.A324T,SLC39A8:NM_022154:exon7:c.G1171A:p.A391T,SLC39A8:NM_001135146:exon8:c.G1171A:p.A391T,SLC39A8:NM_001135147:exon8:c.G1171A:p.A391T</t>
  </si>
  <si>
    <t>Congenital disorder of glycosylation, type IIn, Autosomal recessive</t>
  </si>
  <si>
    <t>rs13107325</t>
  </si>
  <si>
    <t>ZC3H11B;SLC30A10</t>
  </si>
  <si>
    <t>dist=287792;dist=13327</t>
  </si>
  <si>
    <t>1q41</t>
  </si>
  <si>
    <t>rs6541114</t>
  </si>
  <si>
    <t>NRP2;INO80D</t>
  </si>
  <si>
    <t>dist=34112;dist=161478</t>
  </si>
  <si>
    <t>2q33.3</t>
  </si>
  <si>
    <t>rs12619740</t>
  </si>
  <si>
    <t>DMGDH</t>
  </si>
  <si>
    <t>Dimethylglycine dehydrogenase deficiency, Autosomal recessive</t>
  </si>
  <si>
    <t>5q14.1</t>
  </si>
  <si>
    <t>rs17823744</t>
  </si>
  <si>
    <t>SLC18A2</t>
  </si>
  <si>
    <t>10q25.3</t>
  </si>
  <si>
    <t>rs363340</t>
  </si>
  <si>
    <t>CPS1</t>
  </si>
  <si>
    <t>CPS1:NM_001875:exon36:c.C4217A:p.T1406N,CPS1:NM_001122633:exon37:c.C4217A:p.T1406N,CPS1:NM_001369256:exon37:c.C4250A:p.T1417N,CPS1:NM_001369257:exon38:c.C4217A:p.T1406N</t>
  </si>
  <si>
    <t>Carbamoylphosphate synthetase I deficiency, Autosomal recessive</t>
  </si>
  <si>
    <t>2q34</t>
  </si>
  <si>
    <t>rs1047891</t>
  </si>
  <si>
    <t>TECRL</t>
  </si>
  <si>
    <t>Ventricular tachycardia, catecholaminergic polymorphic, 3, Autosomal recessive</t>
  </si>
  <si>
    <t>4q13.1</t>
  </si>
  <si>
    <t>rs149078406</t>
  </si>
  <si>
    <t>MORC4</t>
  </si>
  <si>
    <t>rs17326228</t>
  </si>
  <si>
    <t>SCNN1B</t>
  </si>
  <si>
    <t>Bronchiectasis with or without elevated sweat chloride 1, Autosomal dominant;Liddle syndrome, Autosomal dominant;Pseudohypoaldosteronism, type I, Autosomal recessive</t>
  </si>
  <si>
    <t>16p12.2</t>
  </si>
  <si>
    <t>rs8055868</t>
  </si>
  <si>
    <t>14q31.3</t>
  </si>
  <si>
    <t>FLRT2;LINC02328</t>
  </si>
  <si>
    <t>dist=42843;dist=237407</t>
  </si>
  <si>
    <t>EMILIN2</t>
  </si>
  <si>
    <t>18p11.32</t>
  </si>
  <si>
    <t>rs4798039</t>
  </si>
  <si>
    <t>LOC284930</t>
  </si>
  <si>
    <t>22q13.31</t>
  </si>
  <si>
    <t>rs751572046</t>
  </si>
  <si>
    <t>PPCDC;C15orf39</t>
  </si>
  <si>
    <t>dist=12877;dist=138279</t>
  </si>
  <si>
    <t>15q24.2</t>
  </si>
  <si>
    <t>rs12591119</t>
  </si>
  <si>
    <t>CA1</t>
  </si>
  <si>
    <t>8q21.2</t>
  </si>
  <si>
    <t>rs10097917</t>
  </si>
  <si>
    <t>LINC02612;RBM43</t>
  </si>
  <si>
    <t>dist=448556;dist=164023</t>
  </si>
  <si>
    <t>2q23.3</t>
  </si>
  <si>
    <t>LINC01221</t>
  </si>
  <si>
    <t>1q32.1</t>
  </si>
  <si>
    <t>rs322884</t>
  </si>
  <si>
    <t>rs1218761181</t>
  </si>
  <si>
    <t>rs1022689129</t>
  </si>
  <si>
    <t>known</t>
  </si>
  <si>
    <t>novel</t>
  </si>
  <si>
    <t>HUNT, MOBA</t>
  </si>
  <si>
    <t>HUNT, MOBA, PIVUS</t>
  </si>
  <si>
    <t>Source</t>
  </si>
  <si>
    <t>+?</t>
  </si>
  <si>
    <t>-??</t>
  </si>
  <si>
    <t>https://doi.org/10.1039/c3mt00365e</t>
  </si>
  <si>
    <t>https://doi.org/10.1093/hmg/ddw083</t>
  </si>
  <si>
    <t>https://doi.org/10.1093/hmg/ddab275</t>
  </si>
  <si>
    <t>https://doi.org/10.1093/hmg/ddv112</t>
  </si>
  <si>
    <t>https://doi.org/10.1093/hmg/ddv190</t>
  </si>
  <si>
    <t>https://doi.org/10.1093/hmg/ddt239</t>
  </si>
  <si>
    <t>Trace element</t>
  </si>
  <si>
    <t>Rsid</t>
  </si>
  <si>
    <t>SLC6A20</t>
  </si>
  <si>
    <t>rs17279437</t>
  </si>
  <si>
    <t>SLC6A20:NM_020208:exon5:c.C596T:p.T199M</t>
  </si>
  <si>
    <t>Hyperglycinuria, Autosomal dominant;Iminoglycinuria, digenic, Autosomal recessive, Digenic recessive</t>
  </si>
  <si>
    <t>DUOX2:NM_001363711:exon25:c.C3200T:p.S1067L,DUOX2:NM_014080:exon25:c.C3200T:p.S1067L</t>
  </si>
  <si>
    <t>rs269868</t>
  </si>
  <si>
    <t>DUOX2:NM_001363711:exon17:c.A2033G:p.H678R,DUOX2:NM_014080:exon17:c.A2033G:p.H678R</t>
  </si>
  <si>
    <t>rs57659670</t>
  </si>
  <si>
    <t>SE</t>
  </si>
  <si>
    <t>MoBa</t>
  </si>
  <si>
    <t>PIVUS</t>
  </si>
  <si>
    <t>Directions</t>
  </si>
  <si>
    <t>rs927502065*</t>
  </si>
  <si>
    <t>* rs1216332583 had the same p-value as rs927502065, and is an alternative index variant.</t>
  </si>
  <si>
    <t>rs62228297</t>
  </si>
  <si>
    <t>ATP9A</t>
  </si>
  <si>
    <t xml:space="preserve">Effect </t>
  </si>
  <si>
    <t>HUNT base model</t>
  </si>
  <si>
    <t>R2 with index variant</t>
  </si>
  <si>
    <t>LambdaGC</t>
  </si>
  <si>
    <t>fat fish intake, smoking status</t>
  </si>
  <si>
    <t>smoking status</t>
  </si>
  <si>
    <t>weekly alcohol intake</t>
  </si>
  <si>
    <t>fat fish intake</t>
  </si>
  <si>
    <t>AF</t>
  </si>
  <si>
    <t>Autoimmune thyroid disease</t>
  </si>
  <si>
    <t>Polycythemia vera</t>
  </si>
  <si>
    <t>Myeloproliferative disease</t>
  </si>
  <si>
    <t>Disorders of mineral metabolism</t>
  </si>
  <si>
    <t>Disorders of iron metabolism</t>
  </si>
  <si>
    <t>Iron deficiency anemias</t>
  </si>
  <si>
    <t>Iron deficiency anemias, unspecified or not due to blood loss</t>
  </si>
  <si>
    <t>Other anemias</t>
  </si>
  <si>
    <t>Hypertension</t>
  </si>
  <si>
    <t>Essential hypertension</t>
  </si>
  <si>
    <t>Diseases of esophagus</t>
  </si>
  <si>
    <t>Esophagitis, GERD and related diseases</t>
  </si>
  <si>
    <t>Diaphragmatic hernia</t>
  </si>
  <si>
    <t>Other chronic nonalcoholic liver disease</t>
  </si>
  <si>
    <t>Cirrhosis of liver without mention of alcohol</t>
  </si>
  <si>
    <t>Superficial cellulitis and abscess</t>
  </si>
  <si>
    <t>Peripheral enthesopathies and allied syndromes</t>
  </si>
  <si>
    <t>musculoskeletal</t>
  </si>
  <si>
    <t>dermatologic</t>
  </si>
  <si>
    <t>Osteoarthrosis</t>
  </si>
  <si>
    <t>Osteoarthrosis NOS</t>
  </si>
  <si>
    <t>Dislocation</t>
  </si>
  <si>
    <t>injuries and poisonings</t>
  </si>
  <si>
    <t>neoplasms</t>
  </si>
  <si>
    <t>endocrine/metabolic</t>
  </si>
  <si>
    <t>hematopoietic</t>
  </si>
  <si>
    <t>circulatory system</t>
  </si>
  <si>
    <t>digestive</t>
  </si>
  <si>
    <t>&lt;1E-300</t>
  </si>
  <si>
    <t>Biological domain</t>
  </si>
  <si>
    <t>Phecode</t>
  </si>
  <si>
    <t>Effect Size</t>
  </si>
  <si>
    <t>AF_cases</t>
  </si>
  <si>
    <t>AF_controls</t>
  </si>
  <si>
    <t>N_cases</t>
  </si>
  <si>
    <t>N_controls</t>
  </si>
  <si>
    <t xml:space="preserve">HUNT= The Trøndelag Health Study; MoBa: The Norwegian Mother Father Child cohort; PIVUS: Prospective Investigation of Vasculature in Uppsala Seniors. </t>
  </si>
  <si>
    <t xml:space="preserve">Index variants given as reference SNP ID (RsID), chromosome (Chr), position in GRCh37 (Pos), reference (Ref) and alternate (Alt) alleles. Allele frequencies in cases (AF_cases) and controls (AF_controls), effect size with standard error (SE) are given relative to the alternate allele. </t>
  </si>
  <si>
    <t>Description</t>
  </si>
  <si>
    <t>&lt;E-300</t>
  </si>
  <si>
    <t>Albumin</t>
  </si>
  <si>
    <t>Alkaline Phosphatase</t>
  </si>
  <si>
    <t>Alanine aminotransferase</t>
  </si>
  <si>
    <t>Apolipoprotein A</t>
  </si>
  <si>
    <t>Apolipoprotein B</t>
  </si>
  <si>
    <t>Aspartate aminotransferase</t>
  </si>
  <si>
    <t>Cholesterol</t>
  </si>
  <si>
    <t>Creatinine</t>
  </si>
  <si>
    <t>C-reactive protein</t>
  </si>
  <si>
    <t>Cystatin C</t>
  </si>
  <si>
    <t>Gamma glutamyltransferase</t>
  </si>
  <si>
    <t>Glycated hemoglobin (HbA1c)</t>
  </si>
  <si>
    <t>HDL Cholesterol</t>
  </si>
  <si>
    <t>IGF-1</t>
  </si>
  <si>
    <t>LDL direct</t>
  </si>
  <si>
    <t>genitourinary</t>
  </si>
  <si>
    <t>other</t>
  </si>
  <si>
    <t xml:space="preserve">Index variants given as reference SNP ID (RsID), chromosome (Chr), position in GRCh37 (Pos), reference (Ref) and alternate (Alt) alleles. Allele frequencies (AF), effect size with standard error (SE) are given relative to the alternate allele. </t>
  </si>
  <si>
    <t>h2</t>
  </si>
  <si>
    <t>mean_chi2</t>
  </si>
  <si>
    <t>intercept</t>
  </si>
  <si>
    <t>ratio</t>
  </si>
  <si>
    <t>rsid</t>
  </si>
  <si>
    <t>Diastolic blood pressure, combined automated + manual reading</t>
  </si>
  <si>
    <t>Estimated glomerular filtration rate, serum creatinine + cystain C</t>
  </si>
  <si>
    <t>Indirect bilirubin</t>
  </si>
  <si>
    <t>Mean arterial pressure, combined automated + manual reading</t>
  </si>
  <si>
    <t>Non-albumin protein</t>
  </si>
  <si>
    <t>Systolic blood pressure, combined automated + manual reading</t>
  </si>
  <si>
    <t>Cheese intake</t>
  </si>
  <si>
    <t>Salt added to food</t>
  </si>
  <si>
    <t>Tea intake</t>
  </si>
  <si>
    <t>Fluid intelligence score</t>
  </si>
  <si>
    <t>Prospective memory result</t>
  </si>
  <si>
    <t>Frequency of drinking alcohol</t>
  </si>
  <si>
    <t>Body mass index (BMI)</t>
  </si>
  <si>
    <t>Weight</t>
  </si>
  <si>
    <t>Body fat percentage</t>
  </si>
  <si>
    <t>Whole body fat mass</t>
  </si>
  <si>
    <t>Whole body fat-free mass</t>
  </si>
  <si>
    <t>Whole body water mass</t>
  </si>
  <si>
    <t>Basal metabolic rate</t>
  </si>
  <si>
    <t>Impedance of whole body</t>
  </si>
  <si>
    <t>White blood cell (leukocyte) count</t>
  </si>
  <si>
    <t>Red blood cell (erythrocyte) count</t>
  </si>
  <si>
    <t>Haemoglobin concentration</t>
  </si>
  <si>
    <t>Haematocrit percentage</t>
  </si>
  <si>
    <t>Mean corpuscular volume</t>
  </si>
  <si>
    <t>Mean corpuscular haemoglobin</t>
  </si>
  <si>
    <t>Mean corpuscular haemoglobin concentration</t>
  </si>
  <si>
    <t>Red blood cell (erythrocyte) distribution width</t>
  </si>
  <si>
    <t>Platelet count</t>
  </si>
  <si>
    <t>Platelet crit</t>
  </si>
  <si>
    <t>Mean platelet (thrombocyte) volume</t>
  </si>
  <si>
    <t>Platelet distribution width</t>
  </si>
  <si>
    <t>Lymphocyte count</t>
  </si>
  <si>
    <t>Monocyte count</t>
  </si>
  <si>
    <t>Neutrophill count</t>
  </si>
  <si>
    <t>Eosinophill count</t>
  </si>
  <si>
    <t>Lymphocyte percentage</t>
  </si>
  <si>
    <t>Monocyte percentage</t>
  </si>
  <si>
    <t>Neutrophill percentage</t>
  </si>
  <si>
    <t>Eosinophill percentage</t>
  </si>
  <si>
    <t>Reticulocyte percentage</t>
  </si>
  <si>
    <t>Reticulocyte count</t>
  </si>
  <si>
    <t>Mean reticulocyte volume</t>
  </si>
  <si>
    <t>Mean sphered cell volume</t>
  </si>
  <si>
    <t>Immature reticulocyte fraction</t>
  </si>
  <si>
    <t>High light scatter reticulocyte percentage</t>
  </si>
  <si>
    <t>High light scatter reticulocyte count</t>
  </si>
  <si>
    <t>Creatinine (enzymatic) in urine</t>
  </si>
  <si>
    <t>Forced vital capacity (FVC)</t>
  </si>
  <si>
    <t>Forced expiratory volume in 1-second (FEV1)</t>
  </si>
  <si>
    <t>Ankle spacing width</t>
  </si>
  <si>
    <t>Heel bone mineral density (BMD)</t>
  </si>
  <si>
    <t>Hand grip strength (right)</t>
  </si>
  <si>
    <t>Waist circumference</t>
  </si>
  <si>
    <t>Hip circumference</t>
  </si>
  <si>
    <t>Standing height</t>
  </si>
  <si>
    <t>Seated height</t>
  </si>
  <si>
    <t>Polycythemia, secondary</t>
  </si>
  <si>
    <t>Arthropathy, NOS</t>
  </si>
  <si>
    <t>AG</t>
  </si>
  <si>
    <t>DBP</t>
  </si>
  <si>
    <t>MAP</t>
  </si>
  <si>
    <t>NAP</t>
  </si>
  <si>
    <t>SBP</t>
  </si>
  <si>
    <t>eGFRcreacys</t>
  </si>
  <si>
    <t>IBil</t>
  </si>
  <si>
    <t>Alcohol intake frequency</t>
  </si>
  <si>
    <t>h2se</t>
  </si>
  <si>
    <t>lambda_GC</t>
  </si>
  <si>
    <t>N_snps</t>
  </si>
  <si>
    <t>Exposure</t>
  </si>
  <si>
    <t>Outcome</t>
  </si>
  <si>
    <t>Method</t>
  </si>
  <si>
    <t>N_SNPs</t>
  </si>
  <si>
    <t>Beta</t>
  </si>
  <si>
    <t>OR</t>
  </si>
  <si>
    <t>CI_lower</t>
  </si>
  <si>
    <t>CI_upper</t>
  </si>
  <si>
    <t>N_outcome</t>
  </si>
  <si>
    <t>Wald ratio</t>
  </si>
  <si>
    <t>Inverse variance weighted</t>
  </si>
  <si>
    <t>Hypothyroidism</t>
  </si>
  <si>
    <t>Multiple Sclerosis</t>
  </si>
  <si>
    <t>Alzheimer's disease</t>
  </si>
  <si>
    <t>Parkinson's disease</t>
  </si>
  <si>
    <t>Prostate cancer</t>
  </si>
  <si>
    <t>Type 2 diabetes</t>
  </si>
  <si>
    <t>Bone mineral denisty</t>
  </si>
  <si>
    <t>smoking status, weekly alcohol intake</t>
  </si>
  <si>
    <t>Direct bilirubin</t>
  </si>
  <si>
    <t>Urea</t>
  </si>
  <si>
    <t>Phosphate</t>
  </si>
  <si>
    <t>Total protein</t>
  </si>
  <si>
    <t>Triglycerides</t>
  </si>
  <si>
    <t>Urate</t>
  </si>
  <si>
    <t>Vitamin D</t>
  </si>
  <si>
    <t>UKBB phenocode</t>
  </si>
  <si>
    <t>Albumin/globulin ratio</t>
  </si>
  <si>
    <t>The following variables are given with respect to the alternate allele: effect size (Effect) with standard error (SE), frequency (Alt_Freq), functional annotation (ExonicFunc.refGene), amino acid change (AAChange.refGene) and consequencial predictions (SIFT_score, SIFT_pred, Polyphen2_HDIV_score, Polyphen2_HDIV_pred, Polyphen2_HVAR_score, Polyphen2_HVAR_pred)</t>
  </si>
  <si>
    <t>Index variants from GWAS or GWAS meta-analysis of each trace element are given as reference SNP ID (rsID), chromosome (Chr), position in GRCh37 (Pos), reference (Ref) and alternate (Alt) alleles. The locus novelty (Novelty) indicates if variants in the locus have been identified in previous studies (Source).</t>
  </si>
  <si>
    <t>Sensitivity covariates</t>
  </si>
  <si>
    <t>Index variant</t>
  </si>
  <si>
    <t>HUNT = The Trøndelag Health Study. MOBA= The Norwegian Mother, Father, Child cohort study. PIVUS=Prospective Investigations of the Vasculature in Uppsala Seniors.</t>
  </si>
  <si>
    <t xml:space="preserve">Protein-altering variants in high LD with index variants are given as reference SNP ID (rsID), chromosome (Chr), position in GRCh37 (Pos), reference (Ref) and alternate (Alt) alleles, with the correlation R2 with the index variant (R2), P-value and sample size (N). </t>
  </si>
  <si>
    <t>The frequency standard error (FreqSE), minimum and maximum frequencies (MinFreq, MaxFreq), direction of the effect (Direction) per study (Studies), and heterogeneity statistics (I squared, chi squared, degrees of freedom and p-value) are given relative to the alternate allele for variants that were meta-analysed.</t>
  </si>
  <si>
    <t>HUNT: The Trøndelag Health Study. MOBA: The Norwegian Mother, Father, Child cohort study. PIVUS: Prospective Investigations of the Vasculature in Uppsala Seniors.</t>
  </si>
  <si>
    <t>Reference SNP ID (RsID), chromosome (Chr), Pos (position in GRCh37), reference allele (Ref), alternative allele (Alt), Effect size (Effect) with standard error (SE), direction of effect (Directions) in the respective studies.</t>
  </si>
  <si>
    <t>N: sample size.</t>
  </si>
  <si>
    <t>Index variants from GWAS meta-analyses are given as reference SNP ID (rsID), chromosome (Chr), position in GRCh37 (Pos), reference (Ref) and alternate (Alt) alleles.</t>
  </si>
  <si>
    <t>HUNT base + additional covariates</t>
  </si>
  <si>
    <t>The estimate was restricted to SNPs that are well imputed in HapMap3. The LD Scores were based on HUNT reference panel (Europeans only).</t>
  </si>
  <si>
    <t>respiratory</t>
  </si>
  <si>
    <t>anthropometry</t>
  </si>
  <si>
    <t>Bone fracture</t>
  </si>
  <si>
    <t>Other Arthropathies</t>
  </si>
  <si>
    <t>Sex hormone-binding globulin</t>
  </si>
  <si>
    <t>Asthma</t>
  </si>
  <si>
    <t xml:space="preserve">GWAS index variants (MAF&gt;0.5%) from HUNT only given as reference SNP ID (RsID), chromosome (Chr), position in GRCh37 (Pos), reference (Ref) and alternate (Alt) alleles. Allele frequencies (AF), effect size with standard error (SE) are given relative to the alternate allele. </t>
  </si>
  <si>
    <t xml:space="preserve">GWAS meta-analysis index variants given as reference SNP ID (RsID), chromosome (Chr), position in GRCh37 (Pos), reference (Ref) and alternate (Alt) alleles. Allele frequencies (AF), effect size with standard error (SE) are given relative to the alternate allele. </t>
  </si>
  <si>
    <t>Amount of alcohol drunk on a typical drinking day</t>
  </si>
  <si>
    <t>Frequency of consuming six or more units of alcohol</t>
  </si>
  <si>
    <t>Pulse pressure, combined automated + manual reading</t>
  </si>
  <si>
    <t>Same direction of effect for trace element and UKBB variable</t>
  </si>
  <si>
    <t>Supplementary Tables for:</t>
  </si>
  <si>
    <t>New insights into the genetic etiology of 57 essential and non-essential trace elements in humans</t>
  </si>
  <si>
    <t>See main manuscript for affiliations.</t>
  </si>
  <si>
    <t>https://doi.org/10.1186/1476-069X-10-97</t>
  </si>
  <si>
    <t>Z</t>
  </si>
  <si>
    <t xml:space="preserve">The estimated heritability (h2) with standard error (h2se) with the corresponding Z-score (Z) and P-value are given per trace element with h2&gt;0.  The number of SNPs (N_snps), inflation factor lambda_GC, mean chi^2 test statistic, intercept and ratio from the LD Score regression are given per trace element. </t>
  </si>
  <si>
    <r>
      <t>*Corresponding authors:</t>
    </r>
    <r>
      <rPr>
        <sz val="12"/>
        <color theme="1"/>
        <rFont val="Calibri"/>
        <family val="2"/>
        <scheme val="minor"/>
      </rPr>
      <t xml:space="preserve">  marta.r.moksmes@ntnu.no, ben.brumpton@ntnu.no</t>
    </r>
  </si>
  <si>
    <t>ln(P-value)</t>
  </si>
  <si>
    <t>The effect is indicated to have same direction of effect for trace element and UK Biobank (UKBB) variable if the effect of the alternate allele have the same sign for both associations. P-value and the natural log of the p-value (ln(P-value)) sample size for cases (N_cases) and controls (N_controls) are given for individuals in UK Biobank of European ancestry.</t>
  </si>
  <si>
    <t>The effect is indicated to have same direction of effect for trace element and UK Biobank (UKBB) variable if the effect of the alternate allele have the same sign for both associations. P-value, the natural log of the p-value (ln(P-value)) and sample size (N) are given for individuals in UK Biobank of European ancestry.</t>
  </si>
  <si>
    <t>Variable</t>
  </si>
  <si>
    <t>% Female</t>
  </si>
  <si>
    <t>Min Age</t>
  </si>
  <si>
    <t xml:space="preserve">Max Age </t>
  </si>
  <si>
    <t>Bismuth</t>
  </si>
  <si>
    <t>N_excl</t>
  </si>
  <si>
    <t>Mean Age</t>
  </si>
  <si>
    <t>Age SD</t>
  </si>
  <si>
    <t>Below LOD [%]</t>
  </si>
  <si>
    <t>Note</t>
  </si>
  <si>
    <t>Excluded from follow-up (inflated, high %&lt;LOD)</t>
  </si>
  <si>
    <t>NR</t>
  </si>
  <si>
    <t xml:space="preserve">Study descriptives for HUNT, MoBa and PIVUS: Minimum value (Min), 1st, 2nd (median) and 3rd quartiles, maximum value (Max), mean value with standard deviation (SD), sample size (N), % of included measurements below the limit of detection (LOD), </t>
  </si>
  <si>
    <t>[years] (Max Age), mean age [years] (Mean Age) with standard deviation (Age SD) are given per trace element per study. NR=Not reported</t>
  </si>
  <si>
    <t>Instr R2</t>
  </si>
  <si>
    <t>Instr F-stat</t>
  </si>
  <si>
    <t>The instrument variance explained (Instr R2) and F-statistic (Instr F-stat) is given for each analysis.</t>
  </si>
  <si>
    <t>Osteoporosis</t>
  </si>
  <si>
    <t>Total sample size (N_outcome) is given for all outcomes, and sample size for cases (N_cases) and controls (N_controls) is given for binary traits. The source for the outcome data is given for all analyses (PubMedID outcome)</t>
  </si>
  <si>
    <t>The number of SNPs (N_SNPs) in the instrument gives the method: The effects of trace elements with single SNP instruments are estimated using the Wald ratio method, and the effects of trace elements with multi-SNP instruments are estimated using the inverse variance weighted method.</t>
  </si>
  <si>
    <t xml:space="preserve">the number of samples excluded in the NTNU1 lab [below LOD or above 10x median], the inflation factor (lambdaGC) based on variants with MAF&gt;0.01, the sex distribution [% female] and age distribution (minimum age [years] (Min Age), maximum age </t>
  </si>
  <si>
    <t>Supplementary Table 1: Study descriptives</t>
  </si>
  <si>
    <t>Supplementary Table 2: Index variants in statistically significant loci (p&lt;5E-8) associated with trace elements</t>
  </si>
  <si>
    <t>Supplementary Table 3: Comparison of meta-analysis index variants across the individual studies.</t>
  </si>
  <si>
    <t>Supplementary Table 4: Sensitivity analyses in HUNT</t>
  </si>
  <si>
    <t>Supplementary Table 5: Protein-altering variants in high LD (correlation R2&gt;0.8 in HUNT) with meta-analysis index variants</t>
  </si>
  <si>
    <t>Supplementary Table 6: LD Score Regression SNP heritability</t>
  </si>
  <si>
    <t>Supplementary Table 8: Phenome-wide associations (p-value&lt;9.7E-7) between phecodes and trace element meta-analysis index variants in UK Biobank</t>
  </si>
  <si>
    <t>Supplementary Table 9: Phenome-wide associations (p-value&lt;9.7E-7) between trace element meta-analysis index variants and biomarkers in UK Biobank</t>
  </si>
  <si>
    <t>Supplementary Table 10: Phenome-wide associations (p-value&lt;9.7E-7) between trace element meta-analysis index variants and continuous variables in UK Biobank</t>
  </si>
  <si>
    <t>Supplementary Table 11: Phenome-wide associations (p-value&lt;9.7E-7) between trace element index variants (HUNT only, MAF&gt;0.5%) and biomarkers in UK Biobank</t>
  </si>
  <si>
    <t>Supplementary Table 12: Phenome-wide associations (p-value&lt;9.7E-7) between trace element index variants (HUNT only, MAF&gt;0.5%) and continuous traits in UK Biobank</t>
  </si>
  <si>
    <t>Supplementary Table 13: Mendelian randomization analysis of the effect of trace elements on health outcomes</t>
  </si>
  <si>
    <t>Note: Supplementary Table 7 should be read together with Supplementary Figure 39 and is therefore found with the Supplementary Figures.</t>
  </si>
  <si>
    <t>Up to 30 samples with missing lab allocation</t>
  </si>
  <si>
    <t xml:space="preserve">Mendelian randomization estimates of the effect (Beta) with standard error (SE) and p-value of a 1 standard deviation incease in trace element concentrations on disease outcomes. Odds ratios (OR) for binary outcomes are given with 95% confidence intervals (CI_lower, CI_upper). </t>
  </si>
  <si>
    <t>Effect size and standard error (SE), direction of effect (Direction) per meta-analysed study (Studies), as well as functional annotations (ExAC_ALL, SIFT_pred, Polyphen2_HDIV_score, Polyphen2_HDIV_pred, Polyphen2_HVAR_score, Polyphen2_HVAR_pred) are given relative to the alternate allele.</t>
  </si>
  <si>
    <t>Colorectal cancer</t>
  </si>
  <si>
    <t>PMID</t>
  </si>
  <si>
    <t>https://pan.ukbb.broadinstitute.org/downloads</t>
  </si>
  <si>
    <t>https://drive.google.com/drive/folders/10bGj6HfAXgl-JslpI9ZJIL_JIgZyktxn</t>
  </si>
  <si>
    <t>Rheumatoid Arthritis</t>
  </si>
  <si>
    <t>Availability</t>
  </si>
  <si>
    <t>http://practical.icr.ac.uk/blog/?page_id=8164</t>
  </si>
  <si>
    <t>GWAS Catalog (accession number GCST012879)</t>
  </si>
  <si>
    <t>https://www.decode.com/summarydata/</t>
  </si>
  <si>
    <t>Can be requested from https://imsgc.net</t>
  </si>
  <si>
    <t>https://www.decode.com/summarydata</t>
  </si>
  <si>
    <t>GWAS Catalog (accession number GCST90027158)</t>
  </si>
  <si>
    <t>http://www.gefos.org/</t>
  </si>
  <si>
    <t>http://diagram-consortium.org/</t>
  </si>
  <si>
    <t>The source for the outcome summary level data is given under Availability and with the pubmed ID (PMID) if part of published paper.</t>
  </si>
  <si>
    <r>
      <t>Marta R. Moksnes</t>
    </r>
    <r>
      <rPr>
        <vertAlign val="superscript"/>
        <sz val="12"/>
        <color theme="1"/>
        <rFont val="Calibri"/>
        <family val="2"/>
        <scheme val="minor"/>
      </rPr>
      <t>1,*</t>
    </r>
    <r>
      <rPr>
        <sz val="12"/>
        <color theme="1"/>
        <rFont val="Calibri"/>
        <family val="2"/>
        <scheme val="minor"/>
      </rPr>
      <t>, Ailin F. Hansen</t>
    </r>
    <r>
      <rPr>
        <vertAlign val="superscript"/>
        <sz val="12"/>
        <color theme="1"/>
        <rFont val="Calibri"/>
        <family val="2"/>
        <scheme val="minor"/>
      </rPr>
      <t>1</t>
    </r>
    <r>
      <rPr>
        <sz val="12"/>
        <color theme="1"/>
        <rFont val="Calibri"/>
        <family val="2"/>
        <scheme val="minor"/>
      </rPr>
      <t>, Brooke N. Wolford</t>
    </r>
    <r>
      <rPr>
        <vertAlign val="superscript"/>
        <sz val="12"/>
        <color theme="1"/>
        <rFont val="Calibri"/>
        <family val="2"/>
        <scheme val="minor"/>
      </rPr>
      <t>1</t>
    </r>
    <r>
      <rPr>
        <sz val="12"/>
        <color theme="1"/>
        <rFont val="Calibri"/>
        <family val="2"/>
        <scheme val="minor"/>
      </rPr>
      <t>, Laurent F. Thomas</t>
    </r>
    <r>
      <rPr>
        <vertAlign val="superscript"/>
        <sz val="12"/>
        <color theme="1"/>
        <rFont val="Calibri"/>
        <family val="2"/>
        <scheme val="minor"/>
      </rPr>
      <t>1,2,3,4</t>
    </r>
    <r>
      <rPr>
        <sz val="12"/>
        <color theme="1"/>
        <rFont val="Calibri"/>
        <family val="2"/>
        <scheme val="minor"/>
      </rPr>
      <t>, Humaira Rasheed</t>
    </r>
    <r>
      <rPr>
        <vertAlign val="superscript"/>
        <sz val="12"/>
        <color theme="1"/>
        <rFont val="Calibri"/>
        <family val="2"/>
        <scheme val="minor"/>
      </rPr>
      <t xml:space="preserve">1,5,6, </t>
    </r>
    <r>
      <rPr>
        <sz val="12"/>
        <color theme="1"/>
        <rFont val="Calibri"/>
        <family val="2"/>
        <scheme val="minor"/>
      </rPr>
      <t>Anica Simić</t>
    </r>
    <r>
      <rPr>
        <vertAlign val="superscript"/>
        <sz val="12"/>
        <color theme="1"/>
        <rFont val="Calibri"/>
        <family val="2"/>
        <scheme val="minor"/>
      </rPr>
      <t>7</t>
    </r>
    <r>
      <rPr>
        <sz val="12"/>
        <color theme="1"/>
        <rFont val="Calibri"/>
        <family val="2"/>
        <scheme val="minor"/>
      </rPr>
      <t>, Laxmi Bhatta</t>
    </r>
    <r>
      <rPr>
        <vertAlign val="superscript"/>
        <sz val="12"/>
        <color theme="1"/>
        <rFont val="Calibri"/>
        <family val="2"/>
        <scheme val="minor"/>
      </rPr>
      <t>1</t>
    </r>
    <r>
      <rPr>
        <sz val="12"/>
        <color theme="1"/>
        <rFont val="Calibri"/>
        <family val="2"/>
        <scheme val="minor"/>
      </rPr>
      <t>, Anne Lise Brantsæter</t>
    </r>
    <r>
      <rPr>
        <vertAlign val="superscript"/>
        <sz val="12"/>
        <color theme="1"/>
        <rFont val="Calibri"/>
        <family val="2"/>
        <scheme val="minor"/>
      </rPr>
      <t>8</t>
    </r>
    <r>
      <rPr>
        <sz val="12"/>
        <color theme="1"/>
        <rFont val="Calibri"/>
        <family val="2"/>
        <scheme val="minor"/>
      </rPr>
      <t>, Ida Surakka</t>
    </r>
    <r>
      <rPr>
        <vertAlign val="superscript"/>
        <sz val="12"/>
        <color theme="1"/>
        <rFont val="Calibri"/>
        <family val="2"/>
        <scheme val="minor"/>
      </rPr>
      <t>9</t>
    </r>
    <r>
      <rPr>
        <sz val="12"/>
        <color theme="1"/>
        <rFont val="Calibri"/>
        <family val="2"/>
        <scheme val="minor"/>
      </rPr>
      <t>, Wei Zhou</t>
    </r>
    <r>
      <rPr>
        <vertAlign val="superscript"/>
        <sz val="12"/>
        <color theme="1"/>
        <rFont val="Calibri"/>
        <family val="2"/>
        <scheme val="minor"/>
      </rPr>
      <t>10,11,12</t>
    </r>
    <r>
      <rPr>
        <sz val="12"/>
        <color theme="1"/>
        <rFont val="Calibri"/>
        <family val="2"/>
        <scheme val="minor"/>
      </rPr>
      <t>, Per Magnus</t>
    </r>
    <r>
      <rPr>
        <vertAlign val="superscript"/>
        <sz val="12"/>
        <color theme="1"/>
        <rFont val="Calibri"/>
        <family val="2"/>
        <scheme val="minor"/>
      </rPr>
      <t>13</t>
    </r>
    <r>
      <rPr>
        <sz val="12"/>
        <color theme="1"/>
        <rFont val="Calibri"/>
        <family val="2"/>
        <scheme val="minor"/>
      </rPr>
      <t>, Pål R. Njølstad</t>
    </r>
    <r>
      <rPr>
        <vertAlign val="superscript"/>
        <sz val="12"/>
        <color theme="1"/>
        <rFont val="Calibri"/>
        <family val="2"/>
        <scheme val="minor"/>
      </rPr>
      <t>14,15</t>
    </r>
    <r>
      <rPr>
        <sz val="12"/>
        <color theme="1"/>
        <rFont val="Calibri"/>
        <family val="2"/>
        <scheme val="minor"/>
      </rPr>
      <t>, Ole A. Andreassen</t>
    </r>
    <r>
      <rPr>
        <vertAlign val="superscript"/>
        <sz val="12"/>
        <color theme="1"/>
        <rFont val="Calibri"/>
        <family val="2"/>
        <scheme val="minor"/>
      </rPr>
      <t>16,17</t>
    </r>
    <r>
      <rPr>
        <sz val="12"/>
        <color theme="1"/>
        <rFont val="Calibri"/>
        <family val="2"/>
        <scheme val="minor"/>
      </rPr>
      <t>, Tore Syversen</t>
    </r>
    <r>
      <rPr>
        <vertAlign val="superscript"/>
        <sz val="12"/>
        <color theme="1"/>
        <rFont val="Calibri"/>
        <family val="2"/>
        <scheme val="minor"/>
      </rPr>
      <t>18</t>
    </r>
    <r>
      <rPr>
        <sz val="12"/>
        <color theme="1"/>
        <rFont val="Calibri"/>
        <family val="2"/>
        <scheme val="minor"/>
      </rPr>
      <t>, Jie Zheng</t>
    </r>
    <r>
      <rPr>
        <vertAlign val="superscript"/>
        <sz val="12"/>
        <color theme="1"/>
        <rFont val="Calibri"/>
        <family val="2"/>
        <scheme val="minor"/>
      </rPr>
      <t>19, 20,21</t>
    </r>
    <r>
      <rPr>
        <sz val="12"/>
        <color theme="1"/>
        <rFont val="Calibri"/>
        <family val="2"/>
        <scheme val="minor"/>
      </rPr>
      <t>, Lars G. Fritsche</t>
    </r>
    <r>
      <rPr>
        <vertAlign val="superscript"/>
        <sz val="12"/>
        <color theme="1"/>
        <rFont val="Calibri"/>
        <family val="2"/>
        <scheme val="minor"/>
      </rPr>
      <t>22,23</t>
    </r>
    <r>
      <rPr>
        <sz val="12"/>
        <color theme="1"/>
        <rFont val="Calibri"/>
        <family val="2"/>
        <scheme val="minor"/>
      </rPr>
      <t>, David M. Evans</t>
    </r>
    <r>
      <rPr>
        <vertAlign val="superscript"/>
        <sz val="12"/>
        <color theme="1"/>
        <rFont val="Calibri"/>
        <family val="2"/>
        <scheme val="minor"/>
      </rPr>
      <t>24,25,26</t>
    </r>
    <r>
      <rPr>
        <sz val="12"/>
        <color theme="1"/>
        <rFont val="Calibri"/>
        <family val="2"/>
        <scheme val="minor"/>
      </rPr>
      <t>, Nicole M. Warrington</t>
    </r>
    <r>
      <rPr>
        <vertAlign val="superscript"/>
        <sz val="12"/>
        <color theme="1"/>
        <rFont val="Calibri"/>
        <family val="2"/>
        <scheme val="minor"/>
      </rPr>
      <t>1,24,25,26</t>
    </r>
    <r>
      <rPr>
        <sz val="12"/>
        <color theme="1"/>
        <rFont val="Calibri"/>
        <family val="2"/>
        <scheme val="minor"/>
      </rPr>
      <t>, Therese H. Nøst</t>
    </r>
    <r>
      <rPr>
        <vertAlign val="superscript"/>
        <sz val="12"/>
        <color theme="1"/>
        <rFont val="Calibri"/>
        <family val="2"/>
        <scheme val="minor"/>
      </rPr>
      <t>1,27</t>
    </r>
    <r>
      <rPr>
        <sz val="12"/>
        <color theme="1"/>
        <rFont val="Calibri"/>
        <family val="2"/>
        <scheme val="minor"/>
      </rPr>
      <t>,</t>
    </r>
    <r>
      <rPr>
        <vertAlign val="superscript"/>
        <sz val="12"/>
        <color theme="1"/>
        <rFont val="Calibri"/>
        <family val="2"/>
        <scheme val="minor"/>
      </rPr>
      <t xml:space="preserve"> </t>
    </r>
    <r>
      <rPr>
        <sz val="12"/>
        <color theme="1"/>
        <rFont val="Calibri"/>
        <family val="2"/>
        <scheme val="minor"/>
      </rPr>
      <t>Bjørn Olav Åsvold</t>
    </r>
    <r>
      <rPr>
        <vertAlign val="superscript"/>
        <sz val="12"/>
        <color theme="1"/>
        <rFont val="Calibri"/>
        <family val="2"/>
        <scheme val="minor"/>
      </rPr>
      <t>1,28,29</t>
    </r>
    <r>
      <rPr>
        <sz val="12"/>
        <color theme="1"/>
        <rFont val="Calibri"/>
        <family val="2"/>
        <scheme val="minor"/>
      </rPr>
      <t>, Trond Peder Flaten</t>
    </r>
    <r>
      <rPr>
        <vertAlign val="superscript"/>
        <sz val="12"/>
        <color theme="1"/>
        <rFont val="Calibri"/>
        <family val="2"/>
        <scheme val="minor"/>
      </rPr>
      <t>7</t>
    </r>
    <r>
      <rPr>
        <sz val="12"/>
        <color theme="1"/>
        <rFont val="Calibri"/>
        <family val="2"/>
        <scheme val="minor"/>
      </rPr>
      <t>, Cristen J. Willer</t>
    </r>
    <r>
      <rPr>
        <vertAlign val="superscript"/>
        <sz val="12"/>
        <color theme="1"/>
        <rFont val="Calibri"/>
        <family val="2"/>
        <scheme val="minor"/>
      </rPr>
      <t>1,30,31,32</t>
    </r>
    <r>
      <rPr>
        <sz val="12"/>
        <color theme="1"/>
        <rFont val="Calibri"/>
        <family val="2"/>
        <scheme val="minor"/>
      </rPr>
      <t>, Kristian Hveem</t>
    </r>
    <r>
      <rPr>
        <vertAlign val="superscript"/>
        <sz val="12"/>
        <color theme="1"/>
        <rFont val="Calibri"/>
        <family val="2"/>
        <scheme val="minor"/>
      </rPr>
      <t>1,28</t>
    </r>
    <r>
      <rPr>
        <sz val="12"/>
        <color theme="1"/>
        <rFont val="Calibri"/>
        <family val="2"/>
        <scheme val="minor"/>
      </rPr>
      <t>, Ben M. Brumpton</t>
    </r>
    <r>
      <rPr>
        <vertAlign val="superscript"/>
        <sz val="12"/>
        <color theme="1"/>
        <rFont val="Calibri"/>
        <family val="2"/>
        <scheme val="minor"/>
      </rPr>
      <t>1,28,33,*</t>
    </r>
  </si>
  <si>
    <t>Effect size (Effect) with standard error (SE), and sample size per index variant is estimated from a GWAS of trace elements in HUNT using the base model covariates (age, sex, region, lab, genotyping batch and 10PCs) and with the base + additional sensitivity covariates (fat fish intake, smoking status, weekly alcohol intake, diabetes).</t>
  </si>
  <si>
    <t>diabetes (excluding type 1 diabetes)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</si>
</sst>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
    <numFmt numFmtId="166" formatCode="0.0"/>
    <numFmt numFmtId="167" formatCode="0.000000"/>
  </numFmts>
  <fonts count="34"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2"/>
      <color rgb="FF000000"/>
      <name val="Calibri"/>
      <family val="2"/>
      <scheme val="minor"/>
    </font>
    <font>
      <i/>
      <sz val="12"/>
      <color theme="1"/>
      <name val="Calibri"/>
      <family val="2"/>
      <scheme val="minor"/>
    </font>
    <font>
      <sz val="11"/>
      <color theme="1"/>
      <name val="Menlo"/>
      <family val="2"/>
    </font>
    <font>
      <i/>
      <sz val="11"/>
      <color theme="1"/>
      <name val="Menlo"/>
      <family val="2"/>
    </font>
    <font>
      <b/>
      <sz val="14"/>
      <color theme="1"/>
      <name val="Calibri"/>
      <family val="2"/>
      <scheme val="minor"/>
    </font>
    <font>
      <sz val="14"/>
      <color theme="1"/>
      <name val="Calibri"/>
      <family val="2"/>
      <scheme val="minor"/>
    </font>
    <font>
      <b/>
      <sz val="16"/>
      <color theme="1"/>
      <name val="Calibri"/>
      <family val="2"/>
      <scheme val="minor"/>
    </font>
    <font>
      <sz val="12"/>
      <color theme="9"/>
      <name val="Calibri"/>
      <family val="2"/>
      <scheme val="minor"/>
    </font>
    <font>
      <sz val="12"/>
      <color rgb="FFC00000"/>
      <name val="Calibri"/>
      <family val="2"/>
      <scheme val="minor"/>
    </font>
    <font>
      <u/>
      <sz val="12"/>
      <color theme="10"/>
      <name val="Calibri"/>
      <family val="2"/>
      <scheme val="minor"/>
    </font>
    <font>
      <sz val="10"/>
      <color theme="1"/>
      <name val="Arial"/>
      <family val="2"/>
    </font>
    <font>
      <sz val="12"/>
      <color rgb="FF212121"/>
      <name val="Calibri"/>
      <family val="2"/>
      <scheme val="minor"/>
    </font>
    <font>
      <sz val="20"/>
      <color rgb="FF2F5496"/>
      <name val="Calibri Light"/>
      <family val="2"/>
    </font>
    <font>
      <b/>
      <sz val="12"/>
      <color rgb="FFFF0000"/>
      <name val="Calibri"/>
      <family val="2"/>
      <scheme val="minor"/>
    </font>
    <font>
      <vertAlign val="superscript"/>
      <sz val="12"/>
      <color theme="1"/>
      <name val="Calibri"/>
      <family val="2"/>
      <scheme val="minor"/>
    </font>
    <font>
      <sz val="16"/>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7"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7" fillId="0" borderId="0" applyNumberFormat="0" applyFill="0" applyBorder="0" applyAlignment="0" applyProtection="0"/>
  </cellStyleXfs>
  <cellXfs count="54">
    <xf numFmtId="0" fontId="0" fillId="0" borderId="0" xfId="0"/>
    <xf numFmtId="0" fontId="16" fillId="0" borderId="0" xfId="0" applyFont="1"/>
    <xf numFmtId="164" fontId="0" fillId="0" borderId="0" xfId="0" applyNumberFormat="1"/>
    <xf numFmtId="2" fontId="0" fillId="0" borderId="0" xfId="0" applyNumberFormat="1"/>
    <xf numFmtId="164" fontId="16" fillId="0" borderId="0" xfId="0" applyNumberFormat="1" applyFont="1"/>
    <xf numFmtId="165" fontId="0" fillId="0" borderId="0" xfId="0" applyNumberFormat="1"/>
    <xf numFmtId="0" fontId="0" fillId="0" borderId="0" xfId="0" quotePrefix="1"/>
    <xf numFmtId="11" fontId="0" fillId="0" borderId="0" xfId="0" applyNumberFormat="1"/>
    <xf numFmtId="0" fontId="0" fillId="0" borderId="0" xfId="0" applyAlignment="1">
      <alignment horizontal="right"/>
    </xf>
    <xf numFmtId="0" fontId="18" fillId="0" borderId="0" xfId="0" applyFont="1"/>
    <xf numFmtId="1" fontId="0" fillId="0" borderId="0" xfId="0" applyNumberFormat="1"/>
    <xf numFmtId="0" fontId="19" fillId="0" borderId="0" xfId="0" applyFont="1"/>
    <xf numFmtId="0" fontId="14" fillId="0" borderId="0" xfId="0" applyFont="1"/>
    <xf numFmtId="0" fontId="20" fillId="0" borderId="0" xfId="0" applyFont="1"/>
    <xf numFmtId="0" fontId="21" fillId="0" borderId="0" xfId="0" applyFont="1"/>
    <xf numFmtId="11" fontId="0" fillId="0" borderId="0" xfId="0" quotePrefix="1" applyNumberFormat="1"/>
    <xf numFmtId="0" fontId="22" fillId="0" borderId="0" xfId="0" applyFont="1"/>
    <xf numFmtId="0" fontId="23" fillId="0" borderId="0" xfId="0" applyFont="1"/>
    <xf numFmtId="2" fontId="16" fillId="0" borderId="0" xfId="0" applyNumberFormat="1" applyFont="1"/>
    <xf numFmtId="0" fontId="24" fillId="0" borderId="0" xfId="0" applyFont="1"/>
    <xf numFmtId="0" fontId="25" fillId="0" borderId="0" xfId="0" applyFont="1"/>
    <xf numFmtId="0" fontId="0" fillId="0" borderId="0" xfId="0" applyAlignment="1">
      <alignment horizontal="center"/>
    </xf>
    <xf numFmtId="2" fontId="14" fillId="0" borderId="0" xfId="0" applyNumberFormat="1" applyFont="1"/>
    <xf numFmtId="0" fontId="26" fillId="0" borderId="0" xfId="0" applyFont="1"/>
    <xf numFmtId="0" fontId="28" fillId="0" borderId="0" xfId="0" applyFont="1"/>
    <xf numFmtId="11" fontId="28" fillId="0" borderId="0" xfId="0" applyNumberFormat="1" applyFont="1"/>
    <xf numFmtId="0" fontId="27" fillId="0" borderId="0" xfId="42"/>
    <xf numFmtId="0" fontId="0" fillId="0" borderId="0" xfId="0" applyAlignment="1">
      <alignment horizontal="left"/>
    </xf>
    <xf numFmtId="0" fontId="16" fillId="0" borderId="0" xfId="0" applyFont="1" applyAlignment="1">
      <alignment horizontal="left"/>
    </xf>
    <xf numFmtId="165" fontId="16" fillId="0" borderId="0" xfId="0" applyNumberFormat="1" applyFont="1"/>
    <xf numFmtId="0" fontId="29" fillId="0" borderId="0" xfId="0" applyFont="1"/>
    <xf numFmtId="0" fontId="30" fillId="0" borderId="0" xfId="0" applyFont="1" applyAlignment="1">
      <alignment vertical="center"/>
    </xf>
    <xf numFmtId="0" fontId="0" fillId="0" borderId="0" xfId="0" applyAlignment="1">
      <alignment vertical="center"/>
    </xf>
    <xf numFmtId="0" fontId="16" fillId="0" borderId="0" xfId="0" applyFont="1" applyAlignment="1">
      <alignment vertical="center"/>
    </xf>
    <xf numFmtId="1" fontId="16" fillId="0" borderId="0" xfId="0" applyNumberFormat="1" applyFont="1"/>
    <xf numFmtId="49" fontId="16" fillId="0" borderId="0" xfId="0" applyNumberFormat="1" applyFont="1" applyAlignment="1">
      <alignment wrapText="1"/>
    </xf>
    <xf numFmtId="166" fontId="16" fillId="0" borderId="0" xfId="0" applyNumberFormat="1" applyFont="1"/>
    <xf numFmtId="166" fontId="0" fillId="0" borderId="0" xfId="0" applyNumberFormat="1"/>
    <xf numFmtId="166" fontId="16" fillId="0" borderId="0" xfId="0" applyNumberFormat="1" applyFont="1" applyAlignment="1">
      <alignment wrapText="1"/>
    </xf>
    <xf numFmtId="167" fontId="0" fillId="0" borderId="0" xfId="0" applyNumberFormat="1"/>
    <xf numFmtId="1" fontId="14" fillId="0" borderId="0" xfId="0" applyNumberFormat="1" applyFont="1"/>
    <xf numFmtId="164" fontId="33" fillId="0" borderId="0" xfId="0" applyNumberFormat="1" applyFont="1"/>
    <xf numFmtId="0" fontId="0" fillId="33" borderId="0" xfId="0" applyFill="1"/>
    <xf numFmtId="0" fontId="0" fillId="34" borderId="0" xfId="0" applyFill="1"/>
    <xf numFmtId="0" fontId="0" fillId="0" borderId="10" xfId="0" applyBorder="1"/>
    <xf numFmtId="164" fontId="0" fillId="0" borderId="10" xfId="0" applyNumberFormat="1" applyBorder="1"/>
    <xf numFmtId="166" fontId="0" fillId="0" borderId="10" xfId="0" applyNumberFormat="1" applyBorder="1"/>
    <xf numFmtId="1" fontId="0" fillId="0" borderId="10" xfId="0" applyNumberFormat="1" applyBorder="1"/>
    <xf numFmtId="2" fontId="0" fillId="0" borderId="10" xfId="0" applyNumberFormat="1" applyBorder="1"/>
    <xf numFmtId="0" fontId="16" fillId="0" borderId="10" xfId="0" applyFont="1" applyBorder="1"/>
    <xf numFmtId="1" fontId="16" fillId="0" borderId="10" xfId="0" applyNumberFormat="1" applyFont="1" applyBorder="1"/>
    <xf numFmtId="0" fontId="31" fillId="0" borderId="0" xfId="0" applyFont="1"/>
    <xf numFmtId="0" fontId="1" fillId="0" borderId="0" xfId="0" applyFont="1"/>
    <xf numFmtId="0" fontId="1" fillId="0" borderId="0" xfId="42" applyFo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504F4-9C3F-824A-98F4-E91E7D0B1C15}">
  <dimension ref="A1:A23"/>
  <sheetViews>
    <sheetView workbookViewId="0">
      <selection activeCell="T30" sqref="T30"/>
    </sheetView>
  </sheetViews>
  <sheetFormatPr baseColWidth="10" defaultRowHeight="16" x14ac:dyDescent="0.2"/>
  <sheetData>
    <row r="1" spans="1:1" x14ac:dyDescent="0.2">
      <c r="A1" t="s">
        <v>533</v>
      </c>
    </row>
    <row r="3" spans="1:1" ht="26" x14ac:dyDescent="0.2">
      <c r="A3" s="31" t="s">
        <v>534</v>
      </c>
    </row>
    <row r="4" spans="1:1" ht="19" x14ac:dyDescent="0.2">
      <c r="A4" s="32" t="s">
        <v>595</v>
      </c>
    </row>
    <row r="5" spans="1:1" x14ac:dyDescent="0.2">
      <c r="A5" t="s">
        <v>535</v>
      </c>
    </row>
    <row r="7" spans="1:1" x14ac:dyDescent="0.2">
      <c r="A7" s="33" t="s">
        <v>539</v>
      </c>
    </row>
    <row r="9" spans="1:1" ht="19" x14ac:dyDescent="0.25">
      <c r="A9" s="17" t="s">
        <v>564</v>
      </c>
    </row>
    <row r="10" spans="1:1" ht="19" x14ac:dyDescent="0.25">
      <c r="A10" s="17" t="s">
        <v>565</v>
      </c>
    </row>
    <row r="11" spans="1:1" ht="19" x14ac:dyDescent="0.25">
      <c r="A11" s="17" t="s">
        <v>566</v>
      </c>
    </row>
    <row r="12" spans="1:1" ht="19" x14ac:dyDescent="0.25">
      <c r="A12" s="17" t="s">
        <v>567</v>
      </c>
    </row>
    <row r="13" spans="1:1" ht="19" x14ac:dyDescent="0.25">
      <c r="A13" s="17" t="s">
        <v>568</v>
      </c>
    </row>
    <row r="14" spans="1:1" ht="19" x14ac:dyDescent="0.25">
      <c r="A14" s="17" t="s">
        <v>569</v>
      </c>
    </row>
    <row r="15" spans="1:1" ht="19" x14ac:dyDescent="0.25">
      <c r="A15" s="17" t="s">
        <v>570</v>
      </c>
    </row>
    <row r="16" spans="1:1" ht="19" x14ac:dyDescent="0.25">
      <c r="A16" s="17" t="s">
        <v>571</v>
      </c>
    </row>
    <row r="17" spans="1:1" ht="19" x14ac:dyDescent="0.25">
      <c r="A17" s="17" t="s">
        <v>572</v>
      </c>
    </row>
    <row r="18" spans="1:1" ht="19" x14ac:dyDescent="0.25">
      <c r="A18" s="17" t="s">
        <v>573</v>
      </c>
    </row>
    <row r="19" spans="1:1" ht="19" x14ac:dyDescent="0.25">
      <c r="A19" s="17" t="s">
        <v>574</v>
      </c>
    </row>
    <row r="20" spans="1:1" ht="19" x14ac:dyDescent="0.25">
      <c r="A20" s="17" t="s">
        <v>575</v>
      </c>
    </row>
    <row r="21" spans="1:1" ht="19" x14ac:dyDescent="0.25">
      <c r="A21" s="17"/>
    </row>
    <row r="23" spans="1:1" ht="19" x14ac:dyDescent="0.25">
      <c r="A23" s="17" t="s">
        <v>576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7D7E-41BE-EE42-ADAC-516F9EE6B2C6}">
  <dimension ref="A1:P194"/>
  <sheetViews>
    <sheetView zoomScaleNormal="100" workbookViewId="0">
      <selection activeCell="X34" sqref="X34"/>
    </sheetView>
  </sheetViews>
  <sheetFormatPr baseColWidth="10" defaultRowHeight="16" x14ac:dyDescent="0.2"/>
  <cols>
    <col min="1" max="1" width="20.83203125" customWidth="1"/>
    <col min="3" max="3" width="5" customWidth="1"/>
    <col min="7" max="7" width="14.83203125" style="27" customWidth="1"/>
    <col min="8" max="8" width="44.83203125" customWidth="1"/>
    <col min="9" max="9" width="20.33203125" customWidth="1"/>
    <col min="10" max="11" width="10.83203125" style="3"/>
    <col min="12" max="12" width="10.83203125" style="2"/>
    <col min="13" max="13" width="15.83203125" style="3" customWidth="1"/>
    <col min="14" max="14" width="9" customWidth="1"/>
  </cols>
  <sheetData>
    <row r="1" spans="1:16" ht="21" x14ac:dyDescent="0.25">
      <c r="A1" s="19" t="s">
        <v>572</v>
      </c>
    </row>
    <row r="2" spans="1:16" x14ac:dyDescent="0.2">
      <c r="A2" t="s">
        <v>528</v>
      </c>
    </row>
    <row r="3" spans="1:16" x14ac:dyDescent="0.2">
      <c r="A3" t="s">
        <v>542</v>
      </c>
    </row>
    <row r="5" spans="1:16" x14ac:dyDescent="0.2">
      <c r="A5" s="1" t="s">
        <v>320</v>
      </c>
      <c r="B5" s="1" t="s">
        <v>409</v>
      </c>
      <c r="C5" s="1" t="s">
        <v>101</v>
      </c>
      <c r="D5" s="1" t="s">
        <v>100</v>
      </c>
      <c r="E5" s="1" t="s">
        <v>99</v>
      </c>
      <c r="F5" s="1" t="s">
        <v>98</v>
      </c>
      <c r="G5" s="28" t="s">
        <v>506</v>
      </c>
      <c r="H5" s="1" t="s">
        <v>385</v>
      </c>
      <c r="I5" s="1" t="s">
        <v>376</v>
      </c>
      <c r="J5" s="18" t="s">
        <v>346</v>
      </c>
      <c r="K5" s="18" t="s">
        <v>378</v>
      </c>
      <c r="L5" s="4" t="s">
        <v>330</v>
      </c>
      <c r="M5" s="18" t="s">
        <v>540</v>
      </c>
      <c r="N5" s="1" t="s">
        <v>77</v>
      </c>
      <c r="O5" s="1" t="s">
        <v>71</v>
      </c>
      <c r="P5" s="1" t="s">
        <v>532</v>
      </c>
    </row>
    <row r="6" spans="1:16" x14ac:dyDescent="0.2">
      <c r="A6" t="s">
        <v>9</v>
      </c>
      <c r="B6" t="s">
        <v>136</v>
      </c>
      <c r="C6">
        <v>8</v>
      </c>
      <c r="D6">
        <v>71570989</v>
      </c>
      <c r="E6" t="s">
        <v>84</v>
      </c>
      <c r="F6" t="s">
        <v>83</v>
      </c>
      <c r="G6" s="27">
        <v>3143</v>
      </c>
      <c r="H6" t="s">
        <v>460</v>
      </c>
      <c r="I6" t="s">
        <v>522</v>
      </c>
      <c r="J6" s="3">
        <v>0.52249999999999996</v>
      </c>
      <c r="K6" s="3">
        <v>2.087E-2</v>
      </c>
      <c r="L6" s="2">
        <v>2.8630000000000001E-3</v>
      </c>
      <c r="M6" s="3">
        <f>LN(N6)</f>
        <v>-28.79</v>
      </c>
      <c r="N6">
        <v>3.1380645010345783E-13</v>
      </c>
      <c r="O6">
        <v>242926</v>
      </c>
      <c r="P6" t="b">
        <v>0</v>
      </c>
    </row>
    <row r="7" spans="1:16" x14ac:dyDescent="0.2">
      <c r="A7" t="s">
        <v>28</v>
      </c>
      <c r="B7" t="s">
        <v>252</v>
      </c>
      <c r="C7">
        <v>4</v>
      </c>
      <c r="D7">
        <v>103188709</v>
      </c>
      <c r="E7" t="s">
        <v>83</v>
      </c>
      <c r="F7" t="s">
        <v>84</v>
      </c>
      <c r="G7" s="27">
        <v>48</v>
      </c>
      <c r="H7" t="s">
        <v>463</v>
      </c>
      <c r="I7" t="s">
        <v>522</v>
      </c>
      <c r="J7" s="3">
        <v>7.4560000000000001E-2</v>
      </c>
      <c r="K7" s="3">
        <v>2.4129999999999999E-2</v>
      </c>
      <c r="L7" s="2">
        <v>3.581E-3</v>
      </c>
      <c r="M7" s="3">
        <f t="shared" ref="M7:M70" si="0">LN(N7)</f>
        <v>-24.85</v>
      </c>
      <c r="N7">
        <v>1.6135488743403355E-11</v>
      </c>
      <c r="O7">
        <v>419807</v>
      </c>
      <c r="P7" t="b">
        <v>0</v>
      </c>
    </row>
    <row r="8" spans="1:16" x14ac:dyDescent="0.2">
      <c r="A8" t="s">
        <v>28</v>
      </c>
      <c r="B8" t="s">
        <v>252</v>
      </c>
      <c r="C8">
        <v>4</v>
      </c>
      <c r="D8">
        <v>103188709</v>
      </c>
      <c r="E8" t="s">
        <v>83</v>
      </c>
      <c r="F8" t="s">
        <v>84</v>
      </c>
      <c r="G8" s="27">
        <v>49</v>
      </c>
      <c r="H8" t="s">
        <v>464</v>
      </c>
      <c r="I8" t="s">
        <v>522</v>
      </c>
      <c r="J8" s="3">
        <v>7.4560000000000001E-2</v>
      </c>
      <c r="K8" s="3">
        <v>5.5300000000000002E-2</v>
      </c>
      <c r="L8" s="2">
        <v>4.9090000000000002E-3</v>
      </c>
      <c r="M8" s="3">
        <f t="shared" si="0"/>
        <v>-66.12</v>
      </c>
      <c r="N8">
        <v>1.9250803301696183E-29</v>
      </c>
      <c r="O8">
        <v>419757</v>
      </c>
      <c r="P8" t="b">
        <v>0</v>
      </c>
    </row>
    <row r="9" spans="1:16" x14ac:dyDescent="0.2">
      <c r="A9" t="s">
        <v>28</v>
      </c>
      <c r="B9" t="s">
        <v>252</v>
      </c>
      <c r="C9">
        <v>4</v>
      </c>
      <c r="D9">
        <v>103188709</v>
      </c>
      <c r="E9" t="s">
        <v>83</v>
      </c>
      <c r="F9" t="s">
        <v>84</v>
      </c>
      <c r="G9" s="27">
        <v>50</v>
      </c>
      <c r="H9" t="s">
        <v>465</v>
      </c>
      <c r="I9" t="s">
        <v>522</v>
      </c>
      <c r="J9" s="3">
        <v>7.4579999999999994E-2</v>
      </c>
      <c r="K9" s="3">
        <v>-4.419E-2</v>
      </c>
      <c r="L9" s="2">
        <v>3.7829999999999999E-3</v>
      </c>
      <c r="M9" s="3">
        <f t="shared" si="0"/>
        <v>-70.89</v>
      </c>
      <c r="N9">
        <v>1.6325413038286775E-31</v>
      </c>
      <c r="O9">
        <v>419596</v>
      </c>
      <c r="P9" t="b">
        <v>1</v>
      </c>
    </row>
    <row r="10" spans="1:16" x14ac:dyDescent="0.2">
      <c r="A10" t="s">
        <v>28</v>
      </c>
      <c r="B10" t="s">
        <v>252</v>
      </c>
      <c r="C10">
        <v>4</v>
      </c>
      <c r="D10">
        <v>103188709</v>
      </c>
      <c r="E10" t="s">
        <v>83</v>
      </c>
      <c r="F10" t="s">
        <v>84</v>
      </c>
      <c r="G10" s="27">
        <v>51</v>
      </c>
      <c r="H10" t="s">
        <v>466</v>
      </c>
      <c r="I10" t="s">
        <v>522</v>
      </c>
      <c r="J10" s="3">
        <v>7.4560000000000001E-2</v>
      </c>
      <c r="K10" s="3">
        <v>2.487E-2</v>
      </c>
      <c r="L10" s="2">
        <v>3.8860000000000001E-3</v>
      </c>
      <c r="M10" s="3">
        <f t="shared" si="0"/>
        <v>-22.58</v>
      </c>
      <c r="N10">
        <v>1.5618186287836208E-10</v>
      </c>
      <c r="O10">
        <v>419245</v>
      </c>
      <c r="P10" t="b">
        <v>0</v>
      </c>
    </row>
    <row r="11" spans="1:16" x14ac:dyDescent="0.2">
      <c r="A11" t="s">
        <v>28</v>
      </c>
      <c r="B11" t="s">
        <v>252</v>
      </c>
      <c r="C11">
        <v>4</v>
      </c>
      <c r="D11">
        <v>103188709</v>
      </c>
      <c r="E11" t="s">
        <v>83</v>
      </c>
      <c r="F11" t="s">
        <v>84</v>
      </c>
      <c r="G11" s="27">
        <v>21001</v>
      </c>
      <c r="H11" t="s">
        <v>422</v>
      </c>
      <c r="I11" t="s">
        <v>522</v>
      </c>
      <c r="J11" s="3">
        <v>7.4590000000000004E-2</v>
      </c>
      <c r="K11" s="3">
        <v>6.6290000000000002E-2</v>
      </c>
      <c r="L11" s="2">
        <v>4.8479999999999999E-3</v>
      </c>
      <c r="M11" s="3">
        <f t="shared" si="0"/>
        <v>-96.31</v>
      </c>
      <c r="N11">
        <v>1.4896987312923308E-42</v>
      </c>
      <c r="O11">
        <v>419163</v>
      </c>
      <c r="P11" t="b">
        <v>0</v>
      </c>
    </row>
    <row r="12" spans="1:16" x14ac:dyDescent="0.2">
      <c r="A12" t="s">
        <v>28</v>
      </c>
      <c r="B12" t="s">
        <v>252</v>
      </c>
      <c r="C12">
        <v>4</v>
      </c>
      <c r="D12">
        <v>103188709</v>
      </c>
      <c r="E12" t="s">
        <v>83</v>
      </c>
      <c r="F12" t="s">
        <v>84</v>
      </c>
      <c r="G12" s="27">
        <v>21002</v>
      </c>
      <c r="H12" t="s">
        <v>423</v>
      </c>
      <c r="I12" t="s">
        <v>522</v>
      </c>
      <c r="J12" s="3">
        <v>7.4590000000000004E-2</v>
      </c>
      <c r="K12" s="3">
        <v>3.7659999999999999E-2</v>
      </c>
      <c r="L12" s="2">
        <v>4.3759999999999997E-3</v>
      </c>
      <c r="M12" s="3">
        <f t="shared" si="0"/>
        <v>-39.44</v>
      </c>
      <c r="N12">
        <v>7.4374769662549228E-18</v>
      </c>
      <c r="O12">
        <v>419316</v>
      </c>
      <c r="P12" t="b">
        <v>0</v>
      </c>
    </row>
    <row r="13" spans="1:16" x14ac:dyDescent="0.2">
      <c r="A13" t="s">
        <v>28</v>
      </c>
      <c r="B13" t="s">
        <v>252</v>
      </c>
      <c r="C13">
        <v>4</v>
      </c>
      <c r="D13">
        <v>103188709</v>
      </c>
      <c r="E13" t="s">
        <v>83</v>
      </c>
      <c r="F13" t="s">
        <v>84</v>
      </c>
      <c r="G13" s="27">
        <v>23099</v>
      </c>
      <c r="H13" t="s">
        <v>424</v>
      </c>
      <c r="I13" t="s">
        <v>522</v>
      </c>
      <c r="J13" s="3">
        <v>7.4510000000000007E-2</v>
      </c>
      <c r="K13" s="3">
        <v>3.4020000000000002E-2</v>
      </c>
      <c r="L13" s="2">
        <v>3.0530000000000002E-3</v>
      </c>
      <c r="M13" s="3">
        <f t="shared" si="0"/>
        <v>-64.75</v>
      </c>
      <c r="N13">
        <v>7.575866216169569E-29</v>
      </c>
      <c r="O13">
        <v>412960</v>
      </c>
      <c r="P13" t="b">
        <v>0</v>
      </c>
    </row>
    <row r="14" spans="1:16" x14ac:dyDescent="0.2">
      <c r="A14" t="s">
        <v>28</v>
      </c>
      <c r="B14" t="s">
        <v>252</v>
      </c>
      <c r="C14">
        <v>4</v>
      </c>
      <c r="D14">
        <v>103188709</v>
      </c>
      <c r="E14" t="s">
        <v>83</v>
      </c>
      <c r="F14" t="s">
        <v>84</v>
      </c>
      <c r="G14" s="27">
        <v>23100</v>
      </c>
      <c r="H14" t="s">
        <v>425</v>
      </c>
      <c r="I14" t="s">
        <v>522</v>
      </c>
      <c r="J14" s="3">
        <v>7.4510000000000007E-2</v>
      </c>
      <c r="K14" s="3">
        <v>5.3929999999999999E-2</v>
      </c>
      <c r="L14" s="2">
        <v>4.862E-3</v>
      </c>
      <c r="M14" s="3">
        <f t="shared" si="0"/>
        <v>-64.16</v>
      </c>
      <c r="N14">
        <v>1.3666774890573946E-28</v>
      </c>
      <c r="O14">
        <v>412524</v>
      </c>
      <c r="P14" t="b">
        <v>0</v>
      </c>
    </row>
    <row r="15" spans="1:16" x14ac:dyDescent="0.2">
      <c r="A15" t="s">
        <v>28</v>
      </c>
      <c r="B15" t="s">
        <v>252</v>
      </c>
      <c r="C15">
        <v>4</v>
      </c>
      <c r="D15">
        <v>103188709</v>
      </c>
      <c r="E15" t="s">
        <v>83</v>
      </c>
      <c r="F15" t="s">
        <v>84</v>
      </c>
      <c r="G15" s="27">
        <v>23106</v>
      </c>
      <c r="H15" t="s">
        <v>429</v>
      </c>
      <c r="I15" t="s">
        <v>522</v>
      </c>
      <c r="J15" s="3">
        <v>7.4510000000000007E-2</v>
      </c>
      <c r="K15" s="3">
        <v>-2.8209999999999999E-2</v>
      </c>
      <c r="L15" s="2">
        <v>3.7780000000000001E-3</v>
      </c>
      <c r="M15" s="3">
        <f t="shared" si="0"/>
        <v>-30.12</v>
      </c>
      <c r="N15">
        <v>8.2994670501582237E-14</v>
      </c>
      <c r="O15">
        <v>413153</v>
      </c>
      <c r="P15" t="b">
        <v>1</v>
      </c>
    </row>
    <row r="16" spans="1:16" x14ac:dyDescent="0.2">
      <c r="A16" t="s">
        <v>28</v>
      </c>
      <c r="B16" t="s">
        <v>221</v>
      </c>
      <c r="C16">
        <v>6</v>
      </c>
      <c r="D16">
        <v>26093141</v>
      </c>
      <c r="E16" t="s">
        <v>88</v>
      </c>
      <c r="F16" t="s">
        <v>89</v>
      </c>
      <c r="G16" s="27">
        <v>50</v>
      </c>
      <c r="H16" t="s">
        <v>465</v>
      </c>
      <c r="I16" t="s">
        <v>522</v>
      </c>
      <c r="J16" s="3">
        <v>7.8130000000000005E-2</v>
      </c>
      <c r="K16" s="3">
        <v>3.7769999999999998E-2</v>
      </c>
      <c r="L16" s="2">
        <v>3.702E-3</v>
      </c>
      <c r="M16" s="3">
        <f t="shared" si="0"/>
        <v>-54.58</v>
      </c>
      <c r="N16">
        <v>1.9779129672575036E-24</v>
      </c>
      <c r="O16">
        <v>419596</v>
      </c>
      <c r="P16" t="b">
        <v>0</v>
      </c>
    </row>
    <row r="17" spans="1:16" x14ac:dyDescent="0.2">
      <c r="A17" t="s">
        <v>28</v>
      </c>
      <c r="B17" t="s">
        <v>221</v>
      </c>
      <c r="C17">
        <v>6</v>
      </c>
      <c r="D17">
        <v>26093141</v>
      </c>
      <c r="E17" t="s">
        <v>88</v>
      </c>
      <c r="F17" t="s">
        <v>89</v>
      </c>
      <c r="G17" s="27">
        <v>23106</v>
      </c>
      <c r="H17" t="s">
        <v>429</v>
      </c>
      <c r="I17" t="s">
        <v>522</v>
      </c>
      <c r="J17" s="3">
        <v>7.8090000000000007E-2</v>
      </c>
      <c r="K17" s="3">
        <v>2.266E-2</v>
      </c>
      <c r="L17" s="2">
        <v>3.6970000000000002E-3</v>
      </c>
      <c r="M17" s="3">
        <f t="shared" si="0"/>
        <v>-20.86</v>
      </c>
      <c r="N17">
        <v>8.7220205884787164E-10</v>
      </c>
      <c r="O17">
        <v>413153</v>
      </c>
      <c r="P17" t="b">
        <v>0</v>
      </c>
    </row>
    <row r="18" spans="1:16" x14ac:dyDescent="0.2">
      <c r="A18" t="s">
        <v>28</v>
      </c>
      <c r="B18" t="s">
        <v>248</v>
      </c>
      <c r="C18">
        <v>9</v>
      </c>
      <c r="D18">
        <v>88903367</v>
      </c>
      <c r="E18" t="s">
        <v>84</v>
      </c>
      <c r="F18" t="s">
        <v>89</v>
      </c>
      <c r="G18" s="27">
        <v>49</v>
      </c>
      <c r="H18" t="s">
        <v>464</v>
      </c>
      <c r="I18" t="s">
        <v>522</v>
      </c>
      <c r="J18" s="3">
        <v>0.65569999999999995</v>
      </c>
      <c r="K18" s="3">
        <v>-1.5520000000000001E-2</v>
      </c>
      <c r="L18" s="2">
        <v>2.7100000000000002E-3</v>
      </c>
      <c r="M18" s="3">
        <f t="shared" si="0"/>
        <v>-18.39</v>
      </c>
      <c r="N18">
        <v>1.0311562484625483E-8</v>
      </c>
      <c r="O18">
        <v>419757</v>
      </c>
      <c r="P18" t="b">
        <v>0</v>
      </c>
    </row>
    <row r="19" spans="1:16" x14ac:dyDescent="0.2">
      <c r="A19" t="s">
        <v>28</v>
      </c>
      <c r="B19" t="s">
        <v>248</v>
      </c>
      <c r="C19">
        <v>9</v>
      </c>
      <c r="D19">
        <v>88903367</v>
      </c>
      <c r="E19" t="s">
        <v>84</v>
      </c>
      <c r="F19" t="s">
        <v>89</v>
      </c>
      <c r="G19" s="27">
        <v>50</v>
      </c>
      <c r="H19" t="s">
        <v>465</v>
      </c>
      <c r="I19" t="s">
        <v>522</v>
      </c>
      <c r="J19" s="3">
        <v>0.65559999999999996</v>
      </c>
      <c r="K19" s="3">
        <v>-1.585E-2</v>
      </c>
      <c r="L19" s="2">
        <v>2.0890000000000001E-3</v>
      </c>
      <c r="M19" s="3">
        <f t="shared" si="0"/>
        <v>-31.06</v>
      </c>
      <c r="N19">
        <v>3.2420028484326849E-14</v>
      </c>
      <c r="O19">
        <v>419596</v>
      </c>
      <c r="P19" t="b">
        <v>0</v>
      </c>
    </row>
    <row r="20" spans="1:16" x14ac:dyDescent="0.2">
      <c r="A20" t="s">
        <v>28</v>
      </c>
      <c r="B20" t="s">
        <v>248</v>
      </c>
      <c r="C20">
        <v>9</v>
      </c>
      <c r="D20">
        <v>88903367</v>
      </c>
      <c r="E20" t="s">
        <v>84</v>
      </c>
      <c r="F20" t="s">
        <v>89</v>
      </c>
      <c r="G20" s="27">
        <v>51</v>
      </c>
      <c r="H20" t="s">
        <v>466</v>
      </c>
      <c r="I20" t="s">
        <v>522</v>
      </c>
      <c r="J20" s="3">
        <v>0.65559999999999996</v>
      </c>
      <c r="K20" s="3">
        <v>-1.5720000000000001E-2</v>
      </c>
      <c r="L20" s="2">
        <v>2.1450000000000002E-3</v>
      </c>
      <c r="M20" s="3">
        <f t="shared" si="0"/>
        <v>-29.09</v>
      </c>
      <c r="N20">
        <v>2.3247353600408975E-13</v>
      </c>
      <c r="O20">
        <v>419245</v>
      </c>
      <c r="P20" t="b">
        <v>0</v>
      </c>
    </row>
    <row r="21" spans="1:16" x14ac:dyDescent="0.2">
      <c r="A21" t="s">
        <v>28</v>
      </c>
      <c r="B21" t="s">
        <v>248</v>
      </c>
      <c r="C21">
        <v>9</v>
      </c>
      <c r="D21">
        <v>88903367</v>
      </c>
      <c r="E21" t="s">
        <v>84</v>
      </c>
      <c r="F21" t="s">
        <v>89</v>
      </c>
      <c r="G21" s="27">
        <v>21002</v>
      </c>
      <c r="H21" t="s">
        <v>423</v>
      </c>
      <c r="I21" t="s">
        <v>522</v>
      </c>
      <c r="J21" s="3">
        <v>0.65559999999999996</v>
      </c>
      <c r="K21" s="3">
        <v>-1.469E-2</v>
      </c>
      <c r="L21" s="2">
        <v>2.4160000000000002E-3</v>
      </c>
      <c r="M21" s="3">
        <f t="shared" si="0"/>
        <v>-20.54</v>
      </c>
      <c r="N21">
        <v>1.2011336713503887E-9</v>
      </c>
      <c r="O21">
        <v>419316</v>
      </c>
      <c r="P21" t="b">
        <v>0</v>
      </c>
    </row>
    <row r="22" spans="1:16" x14ac:dyDescent="0.2">
      <c r="A22" t="s">
        <v>28</v>
      </c>
      <c r="B22" t="s">
        <v>248</v>
      </c>
      <c r="C22">
        <v>9</v>
      </c>
      <c r="D22">
        <v>88903367</v>
      </c>
      <c r="E22" t="s">
        <v>84</v>
      </c>
      <c r="F22" t="s">
        <v>89</v>
      </c>
      <c r="G22" s="27">
        <v>23100</v>
      </c>
      <c r="H22" t="s">
        <v>425</v>
      </c>
      <c r="I22" t="s">
        <v>522</v>
      </c>
      <c r="J22" s="3">
        <v>0.65569999999999995</v>
      </c>
      <c r="K22" s="3">
        <v>-1.349E-2</v>
      </c>
      <c r="L22" s="2">
        <v>2.6840000000000002E-3</v>
      </c>
      <c r="M22" s="3">
        <f t="shared" si="0"/>
        <v>-14.51</v>
      </c>
      <c r="N22">
        <v>4.9932931947711924E-7</v>
      </c>
      <c r="O22">
        <v>412524</v>
      </c>
      <c r="P22" t="b">
        <v>0</v>
      </c>
    </row>
    <row r="23" spans="1:16" x14ac:dyDescent="0.2">
      <c r="A23" t="s">
        <v>28</v>
      </c>
      <c r="B23" t="s">
        <v>248</v>
      </c>
      <c r="C23">
        <v>9</v>
      </c>
      <c r="D23">
        <v>88903367</v>
      </c>
      <c r="E23" t="s">
        <v>84</v>
      </c>
      <c r="F23" t="s">
        <v>89</v>
      </c>
      <c r="G23" s="27">
        <v>23101</v>
      </c>
      <c r="H23" t="s">
        <v>426</v>
      </c>
      <c r="I23" t="s">
        <v>522</v>
      </c>
      <c r="J23" s="3">
        <v>0.65569999999999995</v>
      </c>
      <c r="K23" s="3">
        <v>-1.103E-2</v>
      </c>
      <c r="L23" s="2">
        <v>1.7489999999999999E-3</v>
      </c>
      <c r="M23" s="3">
        <f t="shared" si="0"/>
        <v>-21.98</v>
      </c>
      <c r="N23">
        <v>2.8458190863067549E-10</v>
      </c>
      <c r="O23">
        <v>413158</v>
      </c>
      <c r="P23" t="b">
        <v>0</v>
      </c>
    </row>
    <row r="24" spans="1:16" x14ac:dyDescent="0.2">
      <c r="A24" t="s">
        <v>28</v>
      </c>
      <c r="B24" t="s">
        <v>248</v>
      </c>
      <c r="C24">
        <v>9</v>
      </c>
      <c r="D24">
        <v>88903367</v>
      </c>
      <c r="E24" t="s">
        <v>84</v>
      </c>
      <c r="F24" t="s">
        <v>89</v>
      </c>
      <c r="G24" s="27">
        <v>23102</v>
      </c>
      <c r="H24" t="s">
        <v>427</v>
      </c>
      <c r="I24" t="s">
        <v>522</v>
      </c>
      <c r="J24" s="3">
        <v>0.65569999999999995</v>
      </c>
      <c r="K24" s="3">
        <v>-1.0919999999999999E-2</v>
      </c>
      <c r="L24" s="2">
        <v>1.7409999999999999E-3</v>
      </c>
      <c r="M24" s="3">
        <f t="shared" si="0"/>
        <v>-21.75</v>
      </c>
      <c r="N24">
        <v>3.581747930283181E-10</v>
      </c>
      <c r="O24">
        <v>413190</v>
      </c>
      <c r="P24" t="b">
        <v>0</v>
      </c>
    </row>
    <row r="25" spans="1:16" x14ac:dyDescent="0.2">
      <c r="A25" t="s">
        <v>28</v>
      </c>
      <c r="B25" t="s">
        <v>244</v>
      </c>
      <c r="C25">
        <v>15</v>
      </c>
      <c r="D25">
        <v>65998702</v>
      </c>
      <c r="E25" t="s">
        <v>84</v>
      </c>
      <c r="F25" t="s">
        <v>83</v>
      </c>
      <c r="G25" s="27">
        <v>50</v>
      </c>
      <c r="H25" t="s">
        <v>465</v>
      </c>
      <c r="I25" t="s">
        <v>522</v>
      </c>
      <c r="J25" s="3">
        <v>0.24479999999999999</v>
      </c>
      <c r="K25" s="3">
        <v>1.6199999999999999E-2</v>
      </c>
      <c r="L25" s="2">
        <v>2.3059999999999999E-3</v>
      </c>
      <c r="M25" s="3">
        <f t="shared" si="0"/>
        <v>-26.88</v>
      </c>
      <c r="N25">
        <v>2.1191628231005284E-12</v>
      </c>
      <c r="O25">
        <v>419596</v>
      </c>
      <c r="P25" t="b">
        <v>1</v>
      </c>
    </row>
    <row r="26" spans="1:16" x14ac:dyDescent="0.2">
      <c r="A26" t="s">
        <v>42</v>
      </c>
      <c r="B26" t="s">
        <v>272</v>
      </c>
      <c r="C26">
        <v>2</v>
      </c>
      <c r="D26">
        <v>211540507</v>
      </c>
      <c r="E26" t="s">
        <v>83</v>
      </c>
      <c r="F26" t="s">
        <v>89</v>
      </c>
      <c r="G26" s="27">
        <v>49</v>
      </c>
      <c r="H26" t="s">
        <v>464</v>
      </c>
      <c r="I26" t="s">
        <v>522</v>
      </c>
      <c r="J26" s="3">
        <v>0.31559999999999999</v>
      </c>
      <c r="K26" s="3">
        <v>1.495E-2</v>
      </c>
      <c r="L26" s="2">
        <v>2.7690000000000002E-3</v>
      </c>
      <c r="M26" s="3">
        <f t="shared" si="0"/>
        <v>-16.510000000000002</v>
      </c>
      <c r="N26">
        <v>6.7576874879780872E-8</v>
      </c>
      <c r="O26">
        <v>419757</v>
      </c>
      <c r="P26" t="b">
        <v>1</v>
      </c>
    </row>
    <row r="27" spans="1:16" x14ac:dyDescent="0.2">
      <c r="A27" t="s">
        <v>42</v>
      </c>
      <c r="B27" t="s">
        <v>272</v>
      </c>
      <c r="C27">
        <v>2</v>
      </c>
      <c r="D27">
        <v>211540507</v>
      </c>
      <c r="E27" t="s">
        <v>83</v>
      </c>
      <c r="F27" t="s">
        <v>89</v>
      </c>
      <c r="G27" s="27">
        <v>21002</v>
      </c>
      <c r="H27" t="s">
        <v>423</v>
      </c>
      <c r="I27" t="s">
        <v>522</v>
      </c>
      <c r="J27" s="3">
        <v>0.31559999999999999</v>
      </c>
      <c r="K27" s="3">
        <v>1.427E-2</v>
      </c>
      <c r="L27" s="2">
        <v>2.4689999999999998E-3</v>
      </c>
      <c r="M27" s="3">
        <f t="shared" si="0"/>
        <v>-18.71</v>
      </c>
      <c r="N27">
        <v>7.4877311689359874E-9</v>
      </c>
      <c r="O27">
        <v>419316</v>
      </c>
      <c r="P27" t="b">
        <v>1</v>
      </c>
    </row>
    <row r="28" spans="1:16" x14ac:dyDescent="0.2">
      <c r="A28" t="s">
        <v>42</v>
      </c>
      <c r="B28" t="s">
        <v>272</v>
      </c>
      <c r="C28">
        <v>2</v>
      </c>
      <c r="D28">
        <v>211540507</v>
      </c>
      <c r="E28" t="s">
        <v>83</v>
      </c>
      <c r="F28" t="s">
        <v>89</v>
      </c>
      <c r="G28" s="27">
        <v>23101</v>
      </c>
      <c r="H28" t="s">
        <v>426</v>
      </c>
      <c r="I28" t="s">
        <v>522</v>
      </c>
      <c r="J28" s="3">
        <v>0.31569999999999998</v>
      </c>
      <c r="K28" s="3">
        <v>1.4970000000000001E-2</v>
      </c>
      <c r="L28" s="2">
        <v>1.787E-3</v>
      </c>
      <c r="M28" s="3">
        <f t="shared" si="0"/>
        <v>-37.47</v>
      </c>
      <c r="N28">
        <v>5.333174121454362E-17</v>
      </c>
      <c r="O28">
        <v>413158</v>
      </c>
      <c r="P28" t="b">
        <v>1</v>
      </c>
    </row>
    <row r="29" spans="1:16" x14ac:dyDescent="0.2">
      <c r="A29" t="s">
        <v>42</v>
      </c>
      <c r="B29" t="s">
        <v>272</v>
      </c>
      <c r="C29">
        <v>2</v>
      </c>
      <c r="D29">
        <v>211540507</v>
      </c>
      <c r="E29" t="s">
        <v>83</v>
      </c>
      <c r="F29" t="s">
        <v>89</v>
      </c>
      <c r="G29" s="27">
        <v>23102</v>
      </c>
      <c r="H29" t="s">
        <v>427</v>
      </c>
      <c r="I29" t="s">
        <v>522</v>
      </c>
      <c r="J29" s="3">
        <v>0.31569999999999998</v>
      </c>
      <c r="K29" s="3">
        <v>1.504E-2</v>
      </c>
      <c r="L29" s="2">
        <v>1.779E-3</v>
      </c>
      <c r="M29" s="3">
        <f t="shared" si="0"/>
        <v>-38.15</v>
      </c>
      <c r="N29">
        <v>2.7018766331732051E-17</v>
      </c>
      <c r="O29">
        <v>413190</v>
      </c>
      <c r="P29" t="b">
        <v>1</v>
      </c>
    </row>
    <row r="30" spans="1:16" x14ac:dyDescent="0.2">
      <c r="A30" t="s">
        <v>42</v>
      </c>
      <c r="B30" t="s">
        <v>272</v>
      </c>
      <c r="C30">
        <v>2</v>
      </c>
      <c r="D30">
        <v>211540507</v>
      </c>
      <c r="E30" t="s">
        <v>83</v>
      </c>
      <c r="F30" t="s">
        <v>89</v>
      </c>
      <c r="G30" s="27">
        <v>23106</v>
      </c>
      <c r="H30" t="s">
        <v>429</v>
      </c>
      <c r="I30" t="s">
        <v>522</v>
      </c>
      <c r="J30" s="3">
        <v>0.31580000000000003</v>
      </c>
      <c r="K30" s="3">
        <v>-1.7940000000000001E-2</v>
      </c>
      <c r="L30" s="2">
        <v>2.1310000000000001E-3</v>
      </c>
      <c r="M30" s="3">
        <f t="shared" si="0"/>
        <v>-37.81</v>
      </c>
      <c r="N30">
        <v>3.7959950657767557E-17</v>
      </c>
      <c r="O30">
        <v>413153</v>
      </c>
      <c r="P30" t="b">
        <v>0</v>
      </c>
    </row>
    <row r="31" spans="1:16" x14ac:dyDescent="0.2">
      <c r="A31" t="s">
        <v>42</v>
      </c>
      <c r="B31" t="s">
        <v>264</v>
      </c>
      <c r="C31">
        <v>5</v>
      </c>
      <c r="D31">
        <v>78344976</v>
      </c>
      <c r="E31" t="s">
        <v>89</v>
      </c>
      <c r="F31" t="s">
        <v>88</v>
      </c>
      <c r="G31" s="27">
        <v>50</v>
      </c>
      <c r="H31" t="s">
        <v>465</v>
      </c>
      <c r="I31" t="s">
        <v>522</v>
      </c>
      <c r="J31" s="3">
        <v>0.13220000000000001</v>
      </c>
      <c r="K31" s="3">
        <v>1.6109999999999999E-2</v>
      </c>
      <c r="L31" s="2">
        <v>2.9550000000000002E-3</v>
      </c>
      <c r="M31" s="3">
        <f t="shared" si="0"/>
        <v>-16.82</v>
      </c>
      <c r="N31">
        <v>4.9564053191724981E-8</v>
      </c>
      <c r="O31">
        <v>419596</v>
      </c>
      <c r="P31" s="9" t="b">
        <v>1</v>
      </c>
    </row>
    <row r="32" spans="1:16" x14ac:dyDescent="0.2">
      <c r="A32" t="s">
        <v>9</v>
      </c>
      <c r="B32" t="s">
        <v>140</v>
      </c>
      <c r="C32">
        <v>4</v>
      </c>
      <c r="D32">
        <v>103268763</v>
      </c>
      <c r="E32" t="s">
        <v>88</v>
      </c>
      <c r="F32" t="s">
        <v>89</v>
      </c>
      <c r="G32" s="27" t="s">
        <v>470</v>
      </c>
      <c r="H32" t="s">
        <v>410</v>
      </c>
      <c r="I32" t="s">
        <v>373</v>
      </c>
      <c r="J32" s="3">
        <v>0.11360000000000001</v>
      </c>
      <c r="K32" s="3">
        <v>2.0879999999999999E-2</v>
      </c>
      <c r="L32" s="2">
        <v>3.8159999999999999E-3</v>
      </c>
      <c r="M32" s="3">
        <f t="shared" si="0"/>
        <v>-16.920000000000002</v>
      </c>
      <c r="N32">
        <v>4.484740991739733E-8</v>
      </c>
      <c r="O32">
        <v>420136</v>
      </c>
      <c r="P32" t="b">
        <v>0</v>
      </c>
    </row>
    <row r="33" spans="1:16" x14ac:dyDescent="0.2">
      <c r="A33" t="s">
        <v>28</v>
      </c>
      <c r="B33" t="s">
        <v>252</v>
      </c>
      <c r="C33">
        <v>4</v>
      </c>
      <c r="D33">
        <v>103188709</v>
      </c>
      <c r="E33" t="s">
        <v>83</v>
      </c>
      <c r="F33" t="s">
        <v>84</v>
      </c>
      <c r="G33" s="27" t="s">
        <v>470</v>
      </c>
      <c r="H33" t="s">
        <v>410</v>
      </c>
      <c r="I33" t="s">
        <v>373</v>
      </c>
      <c r="J33" s="3">
        <v>7.4560000000000001E-2</v>
      </c>
      <c r="K33" s="3">
        <v>-5.3100000000000001E-2</v>
      </c>
      <c r="L33" s="2">
        <v>4.6039999999999996E-3</v>
      </c>
      <c r="M33" s="3">
        <f t="shared" si="0"/>
        <v>-69.19</v>
      </c>
      <c r="N33">
        <v>8.9364452119799369E-31</v>
      </c>
      <c r="O33">
        <v>420136</v>
      </c>
      <c r="P33" t="b">
        <v>1</v>
      </c>
    </row>
    <row r="34" spans="1:16" x14ac:dyDescent="0.2">
      <c r="A34" t="s">
        <v>28</v>
      </c>
      <c r="B34" t="s">
        <v>252</v>
      </c>
      <c r="C34">
        <v>4</v>
      </c>
      <c r="D34">
        <v>103188709</v>
      </c>
      <c r="E34" t="s">
        <v>83</v>
      </c>
      <c r="F34" t="s">
        <v>84</v>
      </c>
      <c r="G34" s="27" t="s">
        <v>471</v>
      </c>
      <c r="H34" t="s">
        <v>413</v>
      </c>
      <c r="I34" t="s">
        <v>373</v>
      </c>
      <c r="J34" s="3">
        <v>7.4560000000000001E-2</v>
      </c>
      <c r="K34" s="3">
        <v>-4.7649999999999998E-2</v>
      </c>
      <c r="L34" s="2">
        <v>4.4860000000000004E-3</v>
      </c>
      <c r="M34" s="3">
        <f t="shared" si="0"/>
        <v>-59</v>
      </c>
      <c r="N34" s="7">
        <v>2.3802664086944001E-26</v>
      </c>
      <c r="O34">
        <v>420134</v>
      </c>
      <c r="P34" t="b">
        <v>1</v>
      </c>
    </row>
    <row r="35" spans="1:16" x14ac:dyDescent="0.2">
      <c r="A35" t="s">
        <v>28</v>
      </c>
      <c r="B35" t="s">
        <v>252</v>
      </c>
      <c r="C35">
        <v>4</v>
      </c>
      <c r="D35">
        <v>103188709</v>
      </c>
      <c r="E35" t="s">
        <v>83</v>
      </c>
      <c r="F35" t="s">
        <v>84</v>
      </c>
      <c r="G35" s="27" t="s">
        <v>473</v>
      </c>
      <c r="H35" t="s">
        <v>415</v>
      </c>
      <c r="I35" t="s">
        <v>373</v>
      </c>
      <c r="J35" s="3">
        <v>7.4560000000000001E-2</v>
      </c>
      <c r="K35" s="3">
        <v>-3.56E-2</v>
      </c>
      <c r="L35" s="2">
        <v>4.3689999999999996E-3</v>
      </c>
      <c r="M35" s="3">
        <f t="shared" si="0"/>
        <v>-35.530000824371378</v>
      </c>
      <c r="N35" s="7">
        <v>3.7112199999999999E-16</v>
      </c>
      <c r="O35">
        <v>420134</v>
      </c>
      <c r="P35" t="b">
        <v>1</v>
      </c>
    </row>
    <row r="36" spans="1:16" x14ac:dyDescent="0.2">
      <c r="A36" t="s">
        <v>28</v>
      </c>
      <c r="B36" t="s">
        <v>221</v>
      </c>
      <c r="C36">
        <v>6</v>
      </c>
      <c r="D36">
        <v>26093141</v>
      </c>
      <c r="E36" t="s">
        <v>88</v>
      </c>
      <c r="F36" t="s">
        <v>89</v>
      </c>
      <c r="G36" s="27" t="s">
        <v>471</v>
      </c>
      <c r="H36" t="s">
        <v>413</v>
      </c>
      <c r="I36" t="s">
        <v>373</v>
      </c>
      <c r="J36" s="3">
        <v>7.8100000000000003E-2</v>
      </c>
      <c r="K36" s="3">
        <v>2.162E-2</v>
      </c>
      <c r="L36" s="2">
        <v>4.3899999999999998E-3</v>
      </c>
      <c r="M36" s="3">
        <f t="shared" si="0"/>
        <v>-13.98</v>
      </c>
      <c r="N36">
        <v>8.4832671350019139E-7</v>
      </c>
      <c r="O36" s="9">
        <v>420134</v>
      </c>
      <c r="P36" t="b">
        <v>0</v>
      </c>
    </row>
    <row r="37" spans="1:16" x14ac:dyDescent="0.2">
      <c r="A37" t="s">
        <v>28</v>
      </c>
      <c r="B37" t="s">
        <v>221</v>
      </c>
      <c r="C37">
        <v>6</v>
      </c>
      <c r="D37">
        <v>26093141</v>
      </c>
      <c r="E37" t="s">
        <v>88</v>
      </c>
      <c r="F37" t="s">
        <v>89</v>
      </c>
      <c r="G37" s="27">
        <v>30070</v>
      </c>
      <c r="H37" s="9" t="s">
        <v>531</v>
      </c>
      <c r="I37" t="s">
        <v>373</v>
      </c>
      <c r="J37" s="3">
        <v>7.8100000000000003E-2</v>
      </c>
      <c r="K37" s="3">
        <v>-2.0500000000000001E-2</v>
      </c>
      <c r="L37" s="2">
        <v>4.1700000000000001E-3</v>
      </c>
      <c r="M37" s="3">
        <f t="shared" si="0"/>
        <v>-13.94</v>
      </c>
      <c r="N37">
        <v>8.8294758344621936E-7</v>
      </c>
      <c r="O37" s="9">
        <v>420134</v>
      </c>
      <c r="P37" t="b">
        <v>1</v>
      </c>
    </row>
    <row r="38" spans="1:16" x14ac:dyDescent="0.2">
      <c r="A38" t="s">
        <v>28</v>
      </c>
      <c r="B38" t="s">
        <v>221</v>
      </c>
      <c r="C38">
        <v>6</v>
      </c>
      <c r="D38">
        <v>26093141</v>
      </c>
      <c r="E38" t="s">
        <v>88</v>
      </c>
      <c r="F38" t="s">
        <v>89</v>
      </c>
      <c r="G38" s="27" t="s">
        <v>470</v>
      </c>
      <c r="H38" t="s">
        <v>410</v>
      </c>
      <c r="I38" t="s">
        <v>373</v>
      </c>
      <c r="J38" s="3">
        <v>7.8100000000000003E-2</v>
      </c>
      <c r="K38" s="3">
        <v>3.5569999999999997E-2</v>
      </c>
      <c r="L38" s="2">
        <v>4.5050000000000003E-3</v>
      </c>
      <c r="M38" s="3">
        <f t="shared" si="0"/>
        <v>-33.479999999999997</v>
      </c>
      <c r="N38">
        <v>2.8828413709057258E-15</v>
      </c>
      <c r="O38">
        <v>420136</v>
      </c>
      <c r="P38" t="b">
        <v>0</v>
      </c>
    </row>
    <row r="39" spans="1:16" x14ac:dyDescent="0.2">
      <c r="A39" t="s">
        <v>9</v>
      </c>
      <c r="B39" t="s">
        <v>136</v>
      </c>
      <c r="C39">
        <v>8</v>
      </c>
      <c r="D39">
        <v>71570989</v>
      </c>
      <c r="E39" t="s">
        <v>84</v>
      </c>
      <c r="F39" t="s">
        <v>83</v>
      </c>
      <c r="G39" s="27">
        <v>1478</v>
      </c>
      <c r="H39" t="s">
        <v>417</v>
      </c>
      <c r="I39" t="s">
        <v>374</v>
      </c>
      <c r="J39" s="3">
        <v>0.52180000000000004</v>
      </c>
      <c r="K39" s="3">
        <v>1.0019999999999999E-2</v>
      </c>
      <c r="L39" s="2">
        <v>1.835E-3</v>
      </c>
      <c r="M39" s="3">
        <f t="shared" si="0"/>
        <v>-16.86</v>
      </c>
      <c r="N39">
        <v>4.7620618868193396E-8</v>
      </c>
      <c r="O39">
        <v>420260</v>
      </c>
      <c r="P39" t="b">
        <v>0</v>
      </c>
    </row>
    <row r="40" spans="1:16" x14ac:dyDescent="0.2">
      <c r="A40" t="s">
        <v>28</v>
      </c>
      <c r="B40" t="s">
        <v>252</v>
      </c>
      <c r="C40">
        <v>4</v>
      </c>
      <c r="D40">
        <v>103188709</v>
      </c>
      <c r="E40" t="s">
        <v>83</v>
      </c>
      <c r="F40" t="s">
        <v>84</v>
      </c>
      <c r="G40" s="27">
        <v>1408</v>
      </c>
      <c r="H40" t="s">
        <v>416</v>
      </c>
      <c r="I40" t="s">
        <v>374</v>
      </c>
      <c r="J40" s="3">
        <v>7.4370000000000006E-2</v>
      </c>
      <c r="K40" s="3">
        <v>-3.3950000000000001E-2</v>
      </c>
      <c r="L40" s="2">
        <v>4.7600000000000003E-3</v>
      </c>
      <c r="M40" s="3">
        <f t="shared" si="0"/>
        <v>-27.64</v>
      </c>
      <c r="N40">
        <v>9.9106130573165499E-13</v>
      </c>
      <c r="O40">
        <v>410327</v>
      </c>
      <c r="P40" t="b">
        <v>1</v>
      </c>
    </row>
    <row r="41" spans="1:16" x14ac:dyDescent="0.2">
      <c r="A41" t="s">
        <v>56</v>
      </c>
      <c r="B41" t="s">
        <v>295</v>
      </c>
      <c r="C41">
        <v>15</v>
      </c>
      <c r="D41">
        <v>75355944</v>
      </c>
      <c r="E41" t="s">
        <v>89</v>
      </c>
      <c r="F41" t="s">
        <v>88</v>
      </c>
      <c r="G41" s="27">
        <v>1488</v>
      </c>
      <c r="H41" t="s">
        <v>418</v>
      </c>
      <c r="I41" t="s">
        <v>374</v>
      </c>
      <c r="J41" s="3">
        <v>0.182</v>
      </c>
      <c r="K41" s="3">
        <v>-1.6930000000000001E-2</v>
      </c>
      <c r="L41" s="2">
        <v>3.0599999999999998E-3</v>
      </c>
      <c r="M41" s="3">
        <f t="shared" si="0"/>
        <v>-17.27</v>
      </c>
      <c r="N41">
        <v>3.1603435623522874E-8</v>
      </c>
      <c r="O41">
        <v>406979</v>
      </c>
      <c r="P41" s="9" t="b">
        <v>1</v>
      </c>
    </row>
    <row r="42" spans="1:16" x14ac:dyDescent="0.2">
      <c r="A42" t="s">
        <v>28</v>
      </c>
      <c r="B42" t="s">
        <v>252</v>
      </c>
      <c r="C42">
        <v>4</v>
      </c>
      <c r="D42">
        <v>103188709</v>
      </c>
      <c r="E42" t="s">
        <v>83</v>
      </c>
      <c r="F42" t="s">
        <v>84</v>
      </c>
      <c r="G42" s="27" t="s">
        <v>472</v>
      </c>
      <c r="H42" t="s">
        <v>414</v>
      </c>
      <c r="I42" t="s">
        <v>371</v>
      </c>
      <c r="J42" s="3">
        <v>7.4620000000000006E-2</v>
      </c>
      <c r="K42" s="3">
        <v>2.4680000000000001E-2</v>
      </c>
      <c r="L42" s="2">
        <v>5.019E-3</v>
      </c>
      <c r="M42" s="3">
        <f t="shared" si="0"/>
        <v>-13.94</v>
      </c>
      <c r="N42">
        <v>8.8294758344621936E-7</v>
      </c>
      <c r="O42" s="9">
        <v>368642</v>
      </c>
      <c r="P42" t="b">
        <v>0</v>
      </c>
    </row>
    <row r="43" spans="1:16" x14ac:dyDescent="0.2">
      <c r="A43" t="s">
        <v>28</v>
      </c>
      <c r="B43" t="s">
        <v>252</v>
      </c>
      <c r="C43">
        <v>4</v>
      </c>
      <c r="D43">
        <v>103188709</v>
      </c>
      <c r="E43" t="s">
        <v>83</v>
      </c>
      <c r="F43" t="s">
        <v>84</v>
      </c>
      <c r="G43" s="27" t="s">
        <v>469</v>
      </c>
      <c r="H43" t="s">
        <v>507</v>
      </c>
      <c r="I43" t="s">
        <v>371</v>
      </c>
      <c r="J43" s="3">
        <v>7.4620000000000006E-2</v>
      </c>
      <c r="K43" s="3">
        <v>-5.0639999999999998E-2</v>
      </c>
      <c r="L43" s="2">
        <v>4.973E-3</v>
      </c>
      <c r="M43" s="3">
        <f t="shared" si="0"/>
        <v>-54.41</v>
      </c>
      <c r="N43">
        <v>2.3444298355797822E-24</v>
      </c>
      <c r="O43" s="9">
        <v>368642</v>
      </c>
      <c r="P43" t="b">
        <v>1</v>
      </c>
    </row>
    <row r="44" spans="1:16" x14ac:dyDescent="0.2">
      <c r="A44" t="s">
        <v>28</v>
      </c>
      <c r="B44" t="s">
        <v>221</v>
      </c>
      <c r="C44">
        <v>6</v>
      </c>
      <c r="D44">
        <v>26093141</v>
      </c>
      <c r="E44" t="s">
        <v>88</v>
      </c>
      <c r="F44" t="s">
        <v>89</v>
      </c>
      <c r="G44" s="27" t="s">
        <v>475</v>
      </c>
      <c r="H44" t="s">
        <v>412</v>
      </c>
      <c r="I44" t="s">
        <v>371</v>
      </c>
      <c r="J44" s="3">
        <v>7.954E-2</v>
      </c>
      <c r="K44" s="3">
        <v>6.3829999999999998E-2</v>
      </c>
      <c r="L44" s="2">
        <v>5.1380000000000002E-3</v>
      </c>
      <c r="M44" s="3">
        <f t="shared" si="0"/>
        <v>-79.92</v>
      </c>
      <c r="N44">
        <v>1.9551721675281358E-35</v>
      </c>
      <c r="O44" s="9">
        <v>342781</v>
      </c>
      <c r="P44" t="b">
        <v>0</v>
      </c>
    </row>
    <row r="45" spans="1:16" x14ac:dyDescent="0.2">
      <c r="A45" t="s">
        <v>28</v>
      </c>
      <c r="B45" t="s">
        <v>221</v>
      </c>
      <c r="C45">
        <v>6</v>
      </c>
      <c r="D45">
        <v>26093141</v>
      </c>
      <c r="E45" t="s">
        <v>88</v>
      </c>
      <c r="F45" t="s">
        <v>89</v>
      </c>
      <c r="G45" s="27" t="s">
        <v>472</v>
      </c>
      <c r="H45" t="s">
        <v>414</v>
      </c>
      <c r="I45" t="s">
        <v>371</v>
      </c>
      <c r="J45" s="3">
        <v>7.8189999999999996E-2</v>
      </c>
      <c r="K45" s="3">
        <v>-4.5220000000000003E-2</v>
      </c>
      <c r="L45" s="2">
        <v>4.9119999999999997E-3</v>
      </c>
      <c r="M45" s="3">
        <f t="shared" si="0"/>
        <v>-44.84</v>
      </c>
      <c r="N45">
        <v>3.3591966726907478E-20</v>
      </c>
      <c r="O45" s="9">
        <v>368642</v>
      </c>
      <c r="P45" t="b">
        <v>1</v>
      </c>
    </row>
    <row r="46" spans="1:16" x14ac:dyDescent="0.2">
      <c r="A46" t="s">
        <v>28</v>
      </c>
      <c r="B46" t="s">
        <v>221</v>
      </c>
      <c r="C46">
        <v>6</v>
      </c>
      <c r="D46">
        <v>26093141</v>
      </c>
      <c r="E46" t="s">
        <v>88</v>
      </c>
      <c r="F46" t="s">
        <v>89</v>
      </c>
      <c r="G46" s="27" t="s">
        <v>469</v>
      </c>
      <c r="H46" t="s">
        <v>507</v>
      </c>
      <c r="I46" t="s">
        <v>371</v>
      </c>
      <c r="J46" s="3">
        <v>7.8189999999999996E-2</v>
      </c>
      <c r="K46" s="3">
        <v>3.4970000000000001E-2</v>
      </c>
      <c r="L46" s="2">
        <v>4.8659999999999997E-3</v>
      </c>
      <c r="M46" s="3">
        <f t="shared" si="0"/>
        <v>-28.05</v>
      </c>
      <c r="N46">
        <v>6.5771808344924005E-13</v>
      </c>
      <c r="O46" s="9">
        <v>368642</v>
      </c>
      <c r="P46" t="b">
        <v>0</v>
      </c>
    </row>
    <row r="47" spans="1:16" x14ac:dyDescent="0.2">
      <c r="A47" t="s">
        <v>28</v>
      </c>
      <c r="B47" t="s">
        <v>248</v>
      </c>
      <c r="C47">
        <v>9</v>
      </c>
      <c r="D47">
        <v>88903367</v>
      </c>
      <c r="E47" t="s">
        <v>84</v>
      </c>
      <c r="F47" t="s">
        <v>89</v>
      </c>
      <c r="G47" s="27">
        <v>23105</v>
      </c>
      <c r="H47" t="s">
        <v>428</v>
      </c>
      <c r="I47" t="s">
        <v>371</v>
      </c>
      <c r="J47" s="3">
        <v>0.65569999999999995</v>
      </c>
      <c r="K47" s="3">
        <v>-1.1860000000000001E-2</v>
      </c>
      <c r="L47" s="2">
        <v>1.83E-3</v>
      </c>
      <c r="M47" s="3">
        <f t="shared" si="0"/>
        <v>-23.11</v>
      </c>
      <c r="N47">
        <v>9.1929420663827241E-11</v>
      </c>
      <c r="O47">
        <v>413178</v>
      </c>
      <c r="P47" t="b">
        <v>0</v>
      </c>
    </row>
    <row r="48" spans="1:16" x14ac:dyDescent="0.2">
      <c r="A48" t="s">
        <v>28</v>
      </c>
      <c r="B48" t="s">
        <v>231</v>
      </c>
      <c r="C48">
        <v>22</v>
      </c>
      <c r="D48">
        <v>37462936</v>
      </c>
      <c r="E48" t="s">
        <v>89</v>
      </c>
      <c r="F48" t="s">
        <v>88</v>
      </c>
      <c r="G48" s="27" t="s">
        <v>475</v>
      </c>
      <c r="H48" t="s">
        <v>412</v>
      </c>
      <c r="I48" t="s">
        <v>371</v>
      </c>
      <c r="J48" s="3">
        <v>0.56310000000000004</v>
      </c>
      <c r="K48" s="3">
        <v>2.7040000000000002E-2</v>
      </c>
      <c r="L48" s="2">
        <v>2.8149999999999998E-3</v>
      </c>
      <c r="M48" s="3">
        <f t="shared" si="0"/>
        <v>-48.64</v>
      </c>
      <c r="N48">
        <v>7.5147822384755507E-22</v>
      </c>
      <c r="O48" s="9">
        <v>342781</v>
      </c>
      <c r="P48" s="9" t="b">
        <v>0</v>
      </c>
    </row>
    <row r="49" spans="1:16" x14ac:dyDescent="0.2">
      <c r="A49" t="s">
        <v>42</v>
      </c>
      <c r="B49" t="s">
        <v>272</v>
      </c>
      <c r="C49">
        <v>2</v>
      </c>
      <c r="D49">
        <v>211540507</v>
      </c>
      <c r="E49" t="s">
        <v>83</v>
      </c>
      <c r="F49" t="s">
        <v>89</v>
      </c>
      <c r="G49" s="27">
        <v>23105</v>
      </c>
      <c r="H49" t="s">
        <v>428</v>
      </c>
      <c r="I49" t="s">
        <v>371</v>
      </c>
      <c r="J49" s="3">
        <v>0.31569999999999998</v>
      </c>
      <c r="K49" s="3">
        <v>1.4749999999999999E-2</v>
      </c>
      <c r="L49" s="2">
        <v>1.8699999999999999E-3</v>
      </c>
      <c r="M49" s="3">
        <f t="shared" si="0"/>
        <v>-33.42</v>
      </c>
      <c r="N49">
        <v>3.0611063255206111E-15</v>
      </c>
      <c r="O49">
        <v>413178</v>
      </c>
      <c r="P49" t="b">
        <v>1</v>
      </c>
    </row>
    <row r="50" spans="1:16" x14ac:dyDescent="0.2">
      <c r="A50" t="s">
        <v>42</v>
      </c>
      <c r="B50" t="s">
        <v>272</v>
      </c>
      <c r="C50">
        <v>2</v>
      </c>
      <c r="D50">
        <v>211540507</v>
      </c>
      <c r="E50" t="s">
        <v>83</v>
      </c>
      <c r="F50" t="s">
        <v>89</v>
      </c>
      <c r="G50" s="27" t="s">
        <v>475</v>
      </c>
      <c r="H50" t="s">
        <v>412</v>
      </c>
      <c r="I50" t="s">
        <v>371</v>
      </c>
      <c r="J50" s="3">
        <v>0.31709999999999999</v>
      </c>
      <c r="K50" s="3">
        <v>1.8069999999999999E-2</v>
      </c>
      <c r="L50" s="2">
        <v>2.9880000000000002E-3</v>
      </c>
      <c r="M50" s="3">
        <f t="shared" si="0"/>
        <v>-20.34</v>
      </c>
      <c r="N50">
        <v>1.4670679791064146E-9</v>
      </c>
      <c r="O50" s="9">
        <v>342781</v>
      </c>
      <c r="P50" s="9" t="b">
        <v>1</v>
      </c>
    </row>
    <row r="51" spans="1:16" x14ac:dyDescent="0.2">
      <c r="A51" t="s">
        <v>42</v>
      </c>
      <c r="B51" t="s">
        <v>272</v>
      </c>
      <c r="C51">
        <v>2</v>
      </c>
      <c r="D51">
        <v>211540507</v>
      </c>
      <c r="E51" t="s">
        <v>83</v>
      </c>
      <c r="F51" t="s">
        <v>89</v>
      </c>
      <c r="G51" s="27" t="s">
        <v>472</v>
      </c>
      <c r="H51" t="s">
        <v>414</v>
      </c>
      <c r="I51" t="s">
        <v>371</v>
      </c>
      <c r="J51" s="3">
        <v>0.31559999999999999</v>
      </c>
      <c r="K51" s="3">
        <v>-2.9690000000000001E-2</v>
      </c>
      <c r="L51" s="2">
        <v>2.8310000000000002E-3</v>
      </c>
      <c r="M51" s="3">
        <f t="shared" si="0"/>
        <v>-57.58</v>
      </c>
      <c r="N51">
        <v>9.8474488126533975E-26</v>
      </c>
      <c r="O51" s="9">
        <v>368642</v>
      </c>
      <c r="P51" s="9" t="b">
        <v>0</v>
      </c>
    </row>
    <row r="52" spans="1:16" x14ac:dyDescent="0.2">
      <c r="A52" t="s">
        <v>42</v>
      </c>
      <c r="B52" t="s">
        <v>272</v>
      </c>
      <c r="C52">
        <v>2</v>
      </c>
      <c r="D52">
        <v>211540507</v>
      </c>
      <c r="E52" t="s">
        <v>83</v>
      </c>
      <c r="F52" t="s">
        <v>89</v>
      </c>
      <c r="G52" s="27" t="s">
        <v>469</v>
      </c>
      <c r="H52" t="s">
        <v>507</v>
      </c>
      <c r="I52" t="s">
        <v>371</v>
      </c>
      <c r="J52" s="3">
        <v>0.31559999999999999</v>
      </c>
      <c r="K52" s="3">
        <v>2.7279999999999999E-2</v>
      </c>
      <c r="L52" s="2">
        <v>2.8050000000000002E-3</v>
      </c>
      <c r="M52" s="3">
        <f t="shared" si="0"/>
        <v>-49.82</v>
      </c>
      <c r="N52">
        <v>2.3091328071009533E-22</v>
      </c>
      <c r="O52" s="9">
        <v>368642</v>
      </c>
      <c r="P52" s="9" t="b">
        <v>1</v>
      </c>
    </row>
    <row r="53" spans="1:16" x14ac:dyDescent="0.2">
      <c r="A53" t="s">
        <v>28</v>
      </c>
      <c r="B53" t="s">
        <v>252</v>
      </c>
      <c r="C53">
        <v>4</v>
      </c>
      <c r="D53">
        <v>103188709</v>
      </c>
      <c r="E53" t="s">
        <v>83</v>
      </c>
      <c r="F53" t="s">
        <v>84</v>
      </c>
      <c r="G53" s="27">
        <v>30510</v>
      </c>
      <c r="H53" t="s">
        <v>457</v>
      </c>
      <c r="I53" t="s">
        <v>402</v>
      </c>
      <c r="J53" s="3">
        <v>7.4529999999999999E-2</v>
      </c>
      <c r="K53" s="3">
        <v>2.104E-2</v>
      </c>
      <c r="L53" s="2">
        <v>4.1939999999999998E-3</v>
      </c>
      <c r="M53" s="3">
        <f t="shared" si="0"/>
        <v>-14.46</v>
      </c>
      <c r="N53">
        <v>5.2493048113940455E-7</v>
      </c>
      <c r="O53" s="9">
        <v>408485</v>
      </c>
      <c r="P53" t="b">
        <v>0</v>
      </c>
    </row>
    <row r="54" spans="1:16" x14ac:dyDescent="0.2">
      <c r="A54" t="s">
        <v>42</v>
      </c>
      <c r="B54" t="s">
        <v>272</v>
      </c>
      <c r="C54">
        <v>2</v>
      </c>
      <c r="D54">
        <v>211540507</v>
      </c>
      <c r="E54" t="s">
        <v>83</v>
      </c>
      <c r="F54" t="s">
        <v>89</v>
      </c>
      <c r="G54" s="27" t="s">
        <v>474</v>
      </c>
      <c r="H54" t="s">
        <v>411</v>
      </c>
      <c r="I54" t="s">
        <v>402</v>
      </c>
      <c r="J54" s="3">
        <v>0.31559999999999999</v>
      </c>
      <c r="K54" s="3">
        <v>-1.6119999999999999E-2</v>
      </c>
      <c r="L54" s="2">
        <v>2.3240000000000001E-3</v>
      </c>
      <c r="M54" s="3">
        <f t="shared" si="0"/>
        <v>-26.26</v>
      </c>
      <c r="N54">
        <v>3.9393711970998219E-12</v>
      </c>
      <c r="O54">
        <v>401570</v>
      </c>
      <c r="P54" s="9" t="b">
        <v>0</v>
      </c>
    </row>
    <row r="55" spans="1:16" x14ac:dyDescent="0.2">
      <c r="A55" t="s">
        <v>42</v>
      </c>
      <c r="B55" t="s">
        <v>272</v>
      </c>
      <c r="C55">
        <v>2</v>
      </c>
      <c r="D55">
        <v>211540507</v>
      </c>
      <c r="E55" t="s">
        <v>83</v>
      </c>
      <c r="F55" t="s">
        <v>89</v>
      </c>
      <c r="G55" s="27">
        <v>30510</v>
      </c>
      <c r="H55" t="s">
        <v>457</v>
      </c>
      <c r="I55" t="s">
        <v>402</v>
      </c>
      <c r="J55" s="3">
        <v>0.3155</v>
      </c>
      <c r="K55" s="3">
        <v>1.985E-2</v>
      </c>
      <c r="L55" s="2">
        <v>2.366E-3</v>
      </c>
      <c r="M55" s="3">
        <f t="shared" si="0"/>
        <v>-37.56</v>
      </c>
      <c r="N55">
        <v>4.8741541460786091E-17</v>
      </c>
      <c r="O55" s="9">
        <v>408485</v>
      </c>
      <c r="P55" s="9" t="b">
        <v>1</v>
      </c>
    </row>
    <row r="56" spans="1:16" x14ac:dyDescent="0.2">
      <c r="A56" t="s">
        <v>9</v>
      </c>
      <c r="B56" t="s">
        <v>140</v>
      </c>
      <c r="C56">
        <v>4</v>
      </c>
      <c r="D56">
        <v>103268763</v>
      </c>
      <c r="E56" t="s">
        <v>88</v>
      </c>
      <c r="F56" t="s">
        <v>89</v>
      </c>
      <c r="G56" s="27">
        <v>30070</v>
      </c>
      <c r="H56" t="s">
        <v>437</v>
      </c>
      <c r="I56" t="s">
        <v>372</v>
      </c>
      <c r="J56" s="3">
        <v>0.11360000000000001</v>
      </c>
      <c r="K56" s="3">
        <v>-3.1199999999999999E-2</v>
      </c>
      <c r="L56" s="2">
        <v>4.0130000000000001E-3</v>
      </c>
      <c r="M56" s="3">
        <f t="shared" si="0"/>
        <v>-32.520000000000003</v>
      </c>
      <c r="N56">
        <v>7.5291066418327026E-15</v>
      </c>
      <c r="O56">
        <v>407993</v>
      </c>
      <c r="P56" t="b">
        <v>1</v>
      </c>
    </row>
    <row r="57" spans="1:16" x14ac:dyDescent="0.2">
      <c r="A57" t="s">
        <v>9</v>
      </c>
      <c r="B57" t="s">
        <v>132</v>
      </c>
      <c r="C57">
        <v>15</v>
      </c>
      <c r="D57">
        <v>45393667</v>
      </c>
      <c r="E57" t="s">
        <v>89</v>
      </c>
      <c r="F57" t="s">
        <v>88</v>
      </c>
      <c r="G57" s="27">
        <v>30070</v>
      </c>
      <c r="H57" t="s">
        <v>437</v>
      </c>
      <c r="I57" t="s">
        <v>372</v>
      </c>
      <c r="J57" s="3">
        <v>7.4010000000000006E-2</v>
      </c>
      <c r="K57" s="3">
        <v>2.7349999999999999E-2</v>
      </c>
      <c r="L57" s="2">
        <v>4.8430000000000001E-3</v>
      </c>
      <c r="M57" s="3">
        <f t="shared" si="0"/>
        <v>-17.93</v>
      </c>
      <c r="N57">
        <v>1.6334277876540301E-8</v>
      </c>
      <c r="O57">
        <v>407993</v>
      </c>
      <c r="P57" t="b">
        <v>1</v>
      </c>
    </row>
    <row r="58" spans="1:16" x14ac:dyDescent="0.2">
      <c r="A58" t="s">
        <v>28</v>
      </c>
      <c r="B58" t="s">
        <v>256</v>
      </c>
      <c r="C58">
        <v>1</v>
      </c>
      <c r="D58">
        <v>220074279</v>
      </c>
      <c r="E58" t="s">
        <v>84</v>
      </c>
      <c r="F58" t="s">
        <v>88</v>
      </c>
      <c r="G58" s="27">
        <v>30050</v>
      </c>
      <c r="H58" t="s">
        <v>435</v>
      </c>
      <c r="I58" t="s">
        <v>372</v>
      </c>
      <c r="J58" s="3">
        <v>0.80479999999999996</v>
      </c>
      <c r="K58" s="3">
        <v>1.6150000000000001E-2</v>
      </c>
      <c r="L58" s="2">
        <v>3.2650000000000001E-3</v>
      </c>
      <c r="M58" s="3">
        <f t="shared" si="0"/>
        <v>-14.09</v>
      </c>
      <c r="N58">
        <v>7.5996002783739009E-7</v>
      </c>
      <c r="O58">
        <v>407992</v>
      </c>
      <c r="P58" t="b">
        <v>0</v>
      </c>
    </row>
    <row r="59" spans="1:16" x14ac:dyDescent="0.2">
      <c r="A59" t="s">
        <v>28</v>
      </c>
      <c r="B59" t="s">
        <v>256</v>
      </c>
      <c r="C59">
        <v>1</v>
      </c>
      <c r="D59">
        <v>220074279</v>
      </c>
      <c r="E59" t="s">
        <v>84</v>
      </c>
      <c r="F59" t="s">
        <v>88</v>
      </c>
      <c r="G59" s="27">
        <v>30070</v>
      </c>
      <c r="H59" t="s">
        <v>437</v>
      </c>
      <c r="I59" t="s">
        <v>372</v>
      </c>
      <c r="J59" s="3">
        <v>0.80479999999999996</v>
      </c>
      <c r="K59" s="3">
        <v>-2.1850000000000001E-2</v>
      </c>
      <c r="L59" s="2">
        <v>3.238E-3</v>
      </c>
      <c r="M59" s="3">
        <f t="shared" si="0"/>
        <v>-24.92</v>
      </c>
      <c r="N59">
        <v>1.504462998551128E-11</v>
      </c>
      <c r="O59">
        <v>407993</v>
      </c>
      <c r="P59" t="b">
        <v>1</v>
      </c>
    </row>
    <row r="60" spans="1:16" x14ac:dyDescent="0.2">
      <c r="A60" t="s">
        <v>28</v>
      </c>
      <c r="B60" t="s">
        <v>256</v>
      </c>
      <c r="C60">
        <v>1</v>
      </c>
      <c r="D60">
        <v>220074279</v>
      </c>
      <c r="E60" t="s">
        <v>84</v>
      </c>
      <c r="F60" t="s">
        <v>88</v>
      </c>
      <c r="G60" s="27">
        <v>30240</v>
      </c>
      <c r="H60" t="s">
        <v>450</v>
      </c>
      <c r="I60" t="s">
        <v>372</v>
      </c>
      <c r="J60" s="3">
        <v>0.80469999999999997</v>
      </c>
      <c r="K60" s="3">
        <v>2.937E-2</v>
      </c>
      <c r="L60" s="2">
        <v>3.3300000000000001E-3</v>
      </c>
      <c r="M60" s="3">
        <f t="shared" si="0"/>
        <v>-41.3</v>
      </c>
      <c r="N60">
        <v>1.1578116026382975E-18</v>
      </c>
      <c r="O60">
        <v>401344</v>
      </c>
      <c r="P60" t="b">
        <v>0</v>
      </c>
    </row>
    <row r="61" spans="1:16" x14ac:dyDescent="0.2">
      <c r="A61" t="s">
        <v>28</v>
      </c>
      <c r="B61" t="s">
        <v>256</v>
      </c>
      <c r="C61">
        <v>1</v>
      </c>
      <c r="D61">
        <v>220074279</v>
      </c>
      <c r="E61" t="s">
        <v>84</v>
      </c>
      <c r="F61" t="s">
        <v>88</v>
      </c>
      <c r="G61" s="27">
        <v>30250</v>
      </c>
      <c r="H61" t="s">
        <v>451</v>
      </c>
      <c r="I61" t="s">
        <v>372</v>
      </c>
      <c r="J61" s="3">
        <v>0.80469999999999997</v>
      </c>
      <c r="K61" s="3">
        <v>2.571E-2</v>
      </c>
      <c r="L61" s="2">
        <v>3.3050000000000002E-3</v>
      </c>
      <c r="M61" s="3">
        <f t="shared" si="0"/>
        <v>-32.57</v>
      </c>
      <c r="N61">
        <v>7.1619077779150454E-15</v>
      </c>
      <c r="O61">
        <v>401345</v>
      </c>
      <c r="P61" t="b">
        <v>0</v>
      </c>
    </row>
    <row r="62" spans="1:16" x14ac:dyDescent="0.2">
      <c r="A62" t="s">
        <v>28</v>
      </c>
      <c r="B62" t="s">
        <v>256</v>
      </c>
      <c r="C62">
        <v>1</v>
      </c>
      <c r="D62">
        <v>220074279</v>
      </c>
      <c r="E62" t="s">
        <v>84</v>
      </c>
      <c r="F62" t="s">
        <v>88</v>
      </c>
      <c r="G62" s="27">
        <v>30280</v>
      </c>
      <c r="H62" t="s">
        <v>454</v>
      </c>
      <c r="I62" t="s">
        <v>372</v>
      </c>
      <c r="J62" s="3">
        <v>0.80469999999999997</v>
      </c>
      <c r="K62" s="3">
        <v>3.1719999999999998E-2</v>
      </c>
      <c r="L62" s="2">
        <v>3.2079999999999999E-3</v>
      </c>
      <c r="M62" s="3">
        <f t="shared" si="0"/>
        <v>-51.41</v>
      </c>
      <c r="N62">
        <v>4.7089132026360511E-23</v>
      </c>
      <c r="O62">
        <v>401344</v>
      </c>
      <c r="P62" t="b">
        <v>0</v>
      </c>
    </row>
    <row r="63" spans="1:16" x14ac:dyDescent="0.2">
      <c r="A63" t="s">
        <v>28</v>
      </c>
      <c r="B63" t="s">
        <v>256</v>
      </c>
      <c r="C63">
        <v>1</v>
      </c>
      <c r="D63">
        <v>220074279</v>
      </c>
      <c r="E63" t="s">
        <v>84</v>
      </c>
      <c r="F63" t="s">
        <v>88</v>
      </c>
      <c r="G63" s="27">
        <v>30290</v>
      </c>
      <c r="H63" t="s">
        <v>455</v>
      </c>
      <c r="I63" t="s">
        <v>372</v>
      </c>
      <c r="J63" s="3">
        <v>0.80469999999999997</v>
      </c>
      <c r="K63" s="3">
        <v>3.6630000000000003E-2</v>
      </c>
      <c r="L63" s="2">
        <v>3.3579999999999999E-3</v>
      </c>
      <c r="M63" s="3">
        <f t="shared" si="0"/>
        <v>-62.1</v>
      </c>
      <c r="N63">
        <v>1.0722910319586088E-27</v>
      </c>
      <c r="O63">
        <v>401345</v>
      </c>
      <c r="P63" t="b">
        <v>0</v>
      </c>
    </row>
    <row r="64" spans="1:16" x14ac:dyDescent="0.2">
      <c r="A64" t="s">
        <v>28</v>
      </c>
      <c r="B64" t="s">
        <v>256</v>
      </c>
      <c r="C64">
        <v>1</v>
      </c>
      <c r="D64">
        <v>220074279</v>
      </c>
      <c r="E64" t="s">
        <v>84</v>
      </c>
      <c r="F64" t="s">
        <v>88</v>
      </c>
      <c r="G64" s="27">
        <v>30300</v>
      </c>
      <c r="H64" t="s">
        <v>456</v>
      </c>
      <c r="I64" t="s">
        <v>372</v>
      </c>
      <c r="J64" s="3">
        <v>0.80469999999999997</v>
      </c>
      <c r="K64" s="3">
        <v>3.3989999999999999E-2</v>
      </c>
      <c r="L64" s="2">
        <v>3.333E-3</v>
      </c>
      <c r="M64" s="3">
        <f t="shared" si="0"/>
        <v>-54.55</v>
      </c>
      <c r="N64">
        <v>2.038149384875951E-24</v>
      </c>
      <c r="O64">
        <v>401345</v>
      </c>
      <c r="P64" t="b">
        <v>0</v>
      </c>
    </row>
    <row r="65" spans="1:16" x14ac:dyDescent="0.2">
      <c r="A65" t="s">
        <v>28</v>
      </c>
      <c r="B65" t="s">
        <v>252</v>
      </c>
      <c r="C65">
        <v>4</v>
      </c>
      <c r="D65">
        <v>103188709</v>
      </c>
      <c r="E65" t="s">
        <v>83</v>
      </c>
      <c r="F65" t="s">
        <v>84</v>
      </c>
      <c r="G65" s="27">
        <v>30000</v>
      </c>
      <c r="H65" t="s">
        <v>430</v>
      </c>
      <c r="I65" t="s">
        <v>372</v>
      </c>
      <c r="J65" s="3">
        <v>7.4550000000000005E-2</v>
      </c>
      <c r="K65" s="3">
        <v>2.2239999999999999E-2</v>
      </c>
      <c r="L65" s="2">
        <v>4.1050000000000001E-3</v>
      </c>
      <c r="M65" s="3">
        <f t="shared" si="0"/>
        <v>-16.62</v>
      </c>
      <c r="N65">
        <v>6.053767127397022E-8</v>
      </c>
      <c r="O65">
        <v>407990</v>
      </c>
      <c r="P65" t="b">
        <v>0</v>
      </c>
    </row>
    <row r="66" spans="1:16" x14ac:dyDescent="0.2">
      <c r="A66" t="s">
        <v>28</v>
      </c>
      <c r="B66" t="s">
        <v>252</v>
      </c>
      <c r="C66">
        <v>4</v>
      </c>
      <c r="D66">
        <v>103188709</v>
      </c>
      <c r="E66" t="s">
        <v>83</v>
      </c>
      <c r="F66" t="s">
        <v>84</v>
      </c>
      <c r="G66" s="27">
        <v>30010</v>
      </c>
      <c r="H66" t="s">
        <v>431</v>
      </c>
      <c r="I66" t="s">
        <v>372</v>
      </c>
      <c r="J66" s="3">
        <v>7.4560000000000001E-2</v>
      </c>
      <c r="K66" s="3">
        <v>4.061E-2</v>
      </c>
      <c r="L66" s="2">
        <v>4.1650000000000003E-3</v>
      </c>
      <c r="M66" s="3">
        <f t="shared" si="0"/>
        <v>-50.04</v>
      </c>
      <c r="N66">
        <v>1.8531224846903828E-22</v>
      </c>
      <c r="O66">
        <v>407995</v>
      </c>
      <c r="P66" t="b">
        <v>0</v>
      </c>
    </row>
    <row r="67" spans="1:16" x14ac:dyDescent="0.2">
      <c r="A67" t="s">
        <v>28</v>
      </c>
      <c r="B67" t="s">
        <v>252</v>
      </c>
      <c r="C67">
        <v>4</v>
      </c>
      <c r="D67">
        <v>103188709</v>
      </c>
      <c r="E67" t="s">
        <v>83</v>
      </c>
      <c r="F67" t="s">
        <v>84</v>
      </c>
      <c r="G67" s="27">
        <v>30020</v>
      </c>
      <c r="H67" t="s">
        <v>432</v>
      </c>
      <c r="I67" t="s">
        <v>372</v>
      </c>
      <c r="J67" s="3">
        <v>7.4560000000000001E-2</v>
      </c>
      <c r="K67" s="3">
        <v>4.6559999999999997E-2</v>
      </c>
      <c r="L67" s="2">
        <v>3.771E-3</v>
      </c>
      <c r="M67" s="3">
        <f t="shared" si="0"/>
        <v>-78.959999999999994</v>
      </c>
      <c r="N67">
        <v>5.1063162548683056E-35</v>
      </c>
      <c r="O67">
        <v>407994</v>
      </c>
      <c r="P67" t="b">
        <v>0</v>
      </c>
    </row>
    <row r="68" spans="1:16" x14ac:dyDescent="0.2">
      <c r="A68" t="s">
        <v>28</v>
      </c>
      <c r="B68" t="s">
        <v>252</v>
      </c>
      <c r="C68">
        <v>4</v>
      </c>
      <c r="D68">
        <v>103188709</v>
      </c>
      <c r="E68" t="s">
        <v>83</v>
      </c>
      <c r="F68" t="s">
        <v>84</v>
      </c>
      <c r="G68" s="27">
        <v>30030</v>
      </c>
      <c r="H68" t="s">
        <v>433</v>
      </c>
      <c r="I68" t="s">
        <v>372</v>
      </c>
      <c r="J68" s="3">
        <v>7.4560000000000001E-2</v>
      </c>
      <c r="K68" s="3">
        <v>4.5539999999999997E-2</v>
      </c>
      <c r="L68" s="2">
        <v>3.8890000000000001E-3</v>
      </c>
      <c r="M68" s="3">
        <f t="shared" si="0"/>
        <v>-71.260000000000005</v>
      </c>
      <c r="N68">
        <v>1.1276523247379307E-31</v>
      </c>
      <c r="O68">
        <v>407995</v>
      </c>
      <c r="P68" t="b">
        <v>0</v>
      </c>
    </row>
    <row r="69" spans="1:16" x14ac:dyDescent="0.2">
      <c r="A69" t="s">
        <v>28</v>
      </c>
      <c r="B69" t="s">
        <v>252</v>
      </c>
      <c r="C69">
        <v>4</v>
      </c>
      <c r="D69">
        <v>103188709</v>
      </c>
      <c r="E69" t="s">
        <v>83</v>
      </c>
      <c r="F69" t="s">
        <v>84</v>
      </c>
      <c r="G69" s="27">
        <v>30090</v>
      </c>
      <c r="H69" t="s">
        <v>439</v>
      </c>
      <c r="I69" t="s">
        <v>372</v>
      </c>
      <c r="J69" s="3">
        <v>7.4560000000000001E-2</v>
      </c>
      <c r="K69" s="3">
        <v>-2.5659999999999999E-2</v>
      </c>
      <c r="L69" s="2">
        <v>4.9300000000000004E-3</v>
      </c>
      <c r="M69" s="3">
        <f t="shared" si="0"/>
        <v>-15.45</v>
      </c>
      <c r="N69">
        <v>1.9505193119839061E-7</v>
      </c>
      <c r="O69">
        <v>407988</v>
      </c>
      <c r="P69" t="b">
        <v>1</v>
      </c>
    </row>
    <row r="70" spans="1:16" x14ac:dyDescent="0.2">
      <c r="A70" t="s">
        <v>28</v>
      </c>
      <c r="B70" t="s">
        <v>252</v>
      </c>
      <c r="C70">
        <v>4</v>
      </c>
      <c r="D70">
        <v>103188709</v>
      </c>
      <c r="E70" t="s">
        <v>83</v>
      </c>
      <c r="F70" t="s">
        <v>84</v>
      </c>
      <c r="G70" s="27">
        <v>30100</v>
      </c>
      <c r="H70" t="s">
        <v>440</v>
      </c>
      <c r="I70" t="s">
        <v>372</v>
      </c>
      <c r="J70" s="3">
        <v>7.4560000000000001E-2</v>
      </c>
      <c r="K70" s="3">
        <v>-3.8080000000000003E-2</v>
      </c>
      <c r="L70" s="2">
        <v>5.3749999999999996E-3</v>
      </c>
      <c r="M70" s="3">
        <f t="shared" si="0"/>
        <v>-27.3</v>
      </c>
      <c r="N70">
        <v>1.3923891935884977E-12</v>
      </c>
      <c r="O70">
        <v>407987</v>
      </c>
      <c r="P70" t="b">
        <v>1</v>
      </c>
    </row>
    <row r="71" spans="1:16" x14ac:dyDescent="0.2">
      <c r="A71" t="s">
        <v>28</v>
      </c>
      <c r="B71" t="s">
        <v>252</v>
      </c>
      <c r="C71">
        <v>4</v>
      </c>
      <c r="D71">
        <v>103188709</v>
      </c>
      <c r="E71" t="s">
        <v>83</v>
      </c>
      <c r="F71" t="s">
        <v>84</v>
      </c>
      <c r="G71" s="27">
        <v>30110</v>
      </c>
      <c r="H71" t="s">
        <v>441</v>
      </c>
      <c r="I71" t="s">
        <v>372</v>
      </c>
      <c r="J71" s="3">
        <v>7.4560000000000001E-2</v>
      </c>
      <c r="K71" s="3">
        <v>-6.8449999999999997E-2</v>
      </c>
      <c r="L71" s="2">
        <v>5.0419999999999996E-3</v>
      </c>
      <c r="M71" s="3">
        <f t="shared" ref="M71:M134" si="1">LN(N71)</f>
        <v>-94.97</v>
      </c>
      <c r="N71">
        <v>5.6892242646944645E-42</v>
      </c>
      <c r="O71">
        <v>407987</v>
      </c>
      <c r="P71" t="b">
        <v>1</v>
      </c>
    </row>
    <row r="72" spans="1:16" x14ac:dyDescent="0.2">
      <c r="A72" t="s">
        <v>28</v>
      </c>
      <c r="B72" t="s">
        <v>252</v>
      </c>
      <c r="C72">
        <v>4</v>
      </c>
      <c r="D72">
        <v>103188709</v>
      </c>
      <c r="E72" t="s">
        <v>83</v>
      </c>
      <c r="F72" t="s">
        <v>84</v>
      </c>
      <c r="G72" s="27">
        <v>30140</v>
      </c>
      <c r="H72" t="s">
        <v>444</v>
      </c>
      <c r="I72" t="s">
        <v>372</v>
      </c>
      <c r="J72" s="3">
        <v>7.4550000000000005E-2</v>
      </c>
      <c r="K72" s="3">
        <v>2.3179999999999999E-2</v>
      </c>
      <c r="L72" s="2">
        <v>4.0829999999999998E-3</v>
      </c>
      <c r="M72" s="3">
        <f t="shared" si="1"/>
        <v>-18.11</v>
      </c>
      <c r="N72">
        <v>1.3643535735188285E-8</v>
      </c>
      <c r="O72">
        <v>407265</v>
      </c>
      <c r="P72" t="b">
        <v>0</v>
      </c>
    </row>
    <row r="73" spans="1:16" x14ac:dyDescent="0.2">
      <c r="A73" t="s">
        <v>28</v>
      </c>
      <c r="B73" t="s">
        <v>252</v>
      </c>
      <c r="C73">
        <v>4</v>
      </c>
      <c r="D73">
        <v>103188709</v>
      </c>
      <c r="E73" t="s">
        <v>83</v>
      </c>
      <c r="F73" t="s">
        <v>84</v>
      </c>
      <c r="G73" s="27">
        <v>30190</v>
      </c>
      <c r="H73" t="s">
        <v>447</v>
      </c>
      <c r="I73" t="s">
        <v>372</v>
      </c>
      <c r="J73" s="3">
        <v>7.4550000000000005E-2</v>
      </c>
      <c r="K73" s="3">
        <v>-3.5580000000000001E-2</v>
      </c>
      <c r="L73" s="2">
        <v>4.81E-3</v>
      </c>
      <c r="M73" s="3">
        <f t="shared" si="1"/>
        <v>-29.61</v>
      </c>
      <c r="N73">
        <v>1.3821029401372021E-13</v>
      </c>
      <c r="O73">
        <v>407270</v>
      </c>
      <c r="P73" t="b">
        <v>1</v>
      </c>
    </row>
    <row r="74" spans="1:16" x14ac:dyDescent="0.2">
      <c r="A74" t="s">
        <v>28</v>
      </c>
      <c r="B74" t="s">
        <v>252</v>
      </c>
      <c r="C74">
        <v>4</v>
      </c>
      <c r="D74">
        <v>103188709</v>
      </c>
      <c r="E74" t="s">
        <v>83</v>
      </c>
      <c r="F74" t="s">
        <v>84</v>
      </c>
      <c r="G74" s="27">
        <v>30210</v>
      </c>
      <c r="H74" t="s">
        <v>449</v>
      </c>
      <c r="I74" t="s">
        <v>372</v>
      </c>
      <c r="J74" s="3">
        <v>7.4550000000000005E-2</v>
      </c>
      <c r="K74" s="3">
        <v>-3.56E-2</v>
      </c>
      <c r="L74" s="2">
        <v>4.908E-3</v>
      </c>
      <c r="M74" s="3">
        <f t="shared" si="1"/>
        <v>-28.53</v>
      </c>
      <c r="N74">
        <v>4.0698502652895493E-13</v>
      </c>
      <c r="O74">
        <v>407270</v>
      </c>
      <c r="P74" t="b">
        <v>1</v>
      </c>
    </row>
    <row r="75" spans="1:16" x14ac:dyDescent="0.2">
      <c r="A75" t="s">
        <v>28</v>
      </c>
      <c r="B75" t="s">
        <v>252</v>
      </c>
      <c r="C75">
        <v>4</v>
      </c>
      <c r="D75">
        <v>103188709</v>
      </c>
      <c r="E75" t="s">
        <v>83</v>
      </c>
      <c r="F75" t="s">
        <v>84</v>
      </c>
      <c r="G75" s="27">
        <v>30250</v>
      </c>
      <c r="H75" t="s">
        <v>451</v>
      </c>
      <c r="I75" t="s">
        <v>372</v>
      </c>
      <c r="J75" s="3">
        <v>7.4560000000000001E-2</v>
      </c>
      <c r="K75" s="3">
        <v>2.8459999999999999E-2</v>
      </c>
      <c r="L75" s="2">
        <v>4.9430000000000003E-3</v>
      </c>
      <c r="M75" s="3">
        <f t="shared" si="1"/>
        <v>-18.59</v>
      </c>
      <c r="N75">
        <v>8.4423933184480931E-9</v>
      </c>
      <c r="O75">
        <v>401345</v>
      </c>
      <c r="P75" t="b">
        <v>0</v>
      </c>
    </row>
    <row r="76" spans="1:16" x14ac:dyDescent="0.2">
      <c r="A76" t="s">
        <v>28</v>
      </c>
      <c r="B76" t="s">
        <v>252</v>
      </c>
      <c r="C76">
        <v>4</v>
      </c>
      <c r="D76">
        <v>103188709</v>
      </c>
      <c r="E76" t="s">
        <v>83</v>
      </c>
      <c r="F76" t="s">
        <v>84</v>
      </c>
      <c r="G76" s="27">
        <v>30280</v>
      </c>
      <c r="H76" t="s">
        <v>454</v>
      </c>
      <c r="I76" t="s">
        <v>372</v>
      </c>
      <c r="J76" s="3">
        <v>7.4560000000000001E-2</v>
      </c>
      <c r="K76" s="3">
        <v>2.945E-2</v>
      </c>
      <c r="L76" s="2">
        <v>4.7980000000000002E-3</v>
      </c>
      <c r="M76" s="3">
        <f t="shared" si="1"/>
        <v>-20.89</v>
      </c>
      <c r="N76">
        <v>8.4642459236072915E-10</v>
      </c>
      <c r="O76">
        <v>401344</v>
      </c>
      <c r="P76" t="b">
        <v>0</v>
      </c>
    </row>
    <row r="77" spans="1:16" x14ac:dyDescent="0.2">
      <c r="A77" t="s">
        <v>28</v>
      </c>
      <c r="B77" t="s">
        <v>252</v>
      </c>
      <c r="C77">
        <v>4</v>
      </c>
      <c r="D77">
        <v>103188709</v>
      </c>
      <c r="E77" t="s">
        <v>83</v>
      </c>
      <c r="F77" t="s">
        <v>84</v>
      </c>
      <c r="G77" s="27">
        <v>30290</v>
      </c>
      <c r="H77" t="s">
        <v>455</v>
      </c>
      <c r="I77" t="s">
        <v>372</v>
      </c>
      <c r="J77" s="3">
        <v>7.4560000000000001E-2</v>
      </c>
      <c r="K77" s="3">
        <v>2.8719999999999999E-2</v>
      </c>
      <c r="L77" s="2">
        <v>5.0229999999999997E-3</v>
      </c>
      <c r="M77" s="3">
        <f t="shared" si="1"/>
        <v>-18.34</v>
      </c>
      <c r="N77">
        <v>1.0840247598562118E-8</v>
      </c>
      <c r="O77">
        <v>401345</v>
      </c>
      <c r="P77" t="b">
        <v>0</v>
      </c>
    </row>
    <row r="78" spans="1:16" x14ac:dyDescent="0.2">
      <c r="A78" t="s">
        <v>28</v>
      </c>
      <c r="B78" t="s">
        <v>252</v>
      </c>
      <c r="C78">
        <v>4</v>
      </c>
      <c r="D78">
        <v>103188709</v>
      </c>
      <c r="E78" t="s">
        <v>83</v>
      </c>
      <c r="F78" t="s">
        <v>84</v>
      </c>
      <c r="G78" s="27">
        <v>30300</v>
      </c>
      <c r="H78" t="s">
        <v>456</v>
      </c>
      <c r="I78" t="s">
        <v>372</v>
      </c>
      <c r="J78" s="3">
        <v>7.4560000000000001E-2</v>
      </c>
      <c r="K78" s="3">
        <v>3.5110000000000002E-2</v>
      </c>
      <c r="L78" s="2">
        <v>4.986E-3</v>
      </c>
      <c r="M78" s="3">
        <f t="shared" si="1"/>
        <v>-26.99</v>
      </c>
      <c r="N78">
        <v>1.8984183951848126E-12</v>
      </c>
      <c r="O78">
        <v>401345</v>
      </c>
      <c r="P78" t="b">
        <v>0</v>
      </c>
    </row>
    <row r="79" spans="1:16" x14ac:dyDescent="0.2">
      <c r="A79" t="s">
        <v>28</v>
      </c>
      <c r="B79" t="s">
        <v>214</v>
      </c>
      <c r="C79">
        <v>6</v>
      </c>
      <c r="D79">
        <v>5119696</v>
      </c>
      <c r="E79" t="s">
        <v>83</v>
      </c>
      <c r="F79" t="s">
        <v>84</v>
      </c>
      <c r="G79" s="27">
        <v>30070</v>
      </c>
      <c r="H79" t="s">
        <v>437</v>
      </c>
      <c r="I79" t="s">
        <v>372</v>
      </c>
      <c r="J79" s="3">
        <v>0.28999999999999998</v>
      </c>
      <c r="K79" s="3">
        <v>-2.2110000000000001E-2</v>
      </c>
      <c r="L79" s="2">
        <v>2.836E-3</v>
      </c>
      <c r="M79" s="3">
        <f t="shared" si="1"/>
        <v>-32.69</v>
      </c>
      <c r="N79">
        <v>6.3520423741164357E-15</v>
      </c>
      <c r="O79">
        <v>407993</v>
      </c>
      <c r="P79" t="b">
        <v>0</v>
      </c>
    </row>
    <row r="80" spans="1:16" x14ac:dyDescent="0.2">
      <c r="A80" t="s">
        <v>28</v>
      </c>
      <c r="B80" t="s">
        <v>221</v>
      </c>
      <c r="C80">
        <v>6</v>
      </c>
      <c r="D80">
        <v>26093141</v>
      </c>
      <c r="E80" t="s">
        <v>88</v>
      </c>
      <c r="F80" t="s">
        <v>89</v>
      </c>
      <c r="G80" s="27">
        <v>30010</v>
      </c>
      <c r="H80" t="s">
        <v>431</v>
      </c>
      <c r="I80" t="s">
        <v>372</v>
      </c>
      <c r="J80" s="3">
        <v>7.8070000000000001E-2</v>
      </c>
      <c r="K80" s="3">
        <v>-4.913E-2</v>
      </c>
      <c r="L80" s="2">
        <v>4.0769999999999999E-3</v>
      </c>
      <c r="M80" s="3">
        <f t="shared" si="1"/>
        <v>-75.34</v>
      </c>
      <c r="N80">
        <v>1.9065742948699855E-33</v>
      </c>
      <c r="O80">
        <v>407995</v>
      </c>
      <c r="P80" t="b">
        <v>1</v>
      </c>
    </row>
    <row r="81" spans="1:16" x14ac:dyDescent="0.2">
      <c r="A81" t="s">
        <v>28</v>
      </c>
      <c r="B81" t="s">
        <v>221</v>
      </c>
      <c r="C81">
        <v>6</v>
      </c>
      <c r="D81">
        <v>26093141</v>
      </c>
      <c r="E81" t="s">
        <v>88</v>
      </c>
      <c r="F81" t="s">
        <v>89</v>
      </c>
      <c r="G81" s="27">
        <v>30020</v>
      </c>
      <c r="H81" t="s">
        <v>432</v>
      </c>
      <c r="I81" t="s">
        <v>372</v>
      </c>
      <c r="J81" s="3">
        <v>7.8070000000000001E-2</v>
      </c>
      <c r="K81" s="3">
        <v>0.17680000000000001</v>
      </c>
      <c r="L81" s="2">
        <v>3.6909999999999998E-3</v>
      </c>
      <c r="M81" s="3">
        <v>-1151</v>
      </c>
      <c r="N81" t="s">
        <v>375</v>
      </c>
      <c r="O81">
        <v>407994</v>
      </c>
      <c r="P81" t="b">
        <v>0</v>
      </c>
    </row>
    <row r="82" spans="1:16" x14ac:dyDescent="0.2">
      <c r="A82" t="s">
        <v>28</v>
      </c>
      <c r="B82" t="s">
        <v>221</v>
      </c>
      <c r="C82">
        <v>6</v>
      </c>
      <c r="D82">
        <v>26093141</v>
      </c>
      <c r="E82" t="s">
        <v>88</v>
      </c>
      <c r="F82" t="s">
        <v>89</v>
      </c>
      <c r="G82" s="27">
        <v>30030</v>
      </c>
      <c r="H82" t="s">
        <v>433</v>
      </c>
      <c r="I82" t="s">
        <v>372</v>
      </c>
      <c r="J82" s="3">
        <v>7.8070000000000001E-2</v>
      </c>
      <c r="K82" s="3">
        <v>0.1236</v>
      </c>
      <c r="L82" s="2">
        <v>3.8070000000000001E-3</v>
      </c>
      <c r="M82" s="3">
        <f t="shared" si="1"/>
        <v>-531</v>
      </c>
      <c r="N82">
        <v>2.4526191187752155E-231</v>
      </c>
      <c r="O82">
        <v>407995</v>
      </c>
      <c r="P82" t="b">
        <v>0</v>
      </c>
    </row>
    <row r="83" spans="1:16" x14ac:dyDescent="0.2">
      <c r="A83" t="s">
        <v>28</v>
      </c>
      <c r="B83" t="s">
        <v>221</v>
      </c>
      <c r="C83">
        <v>6</v>
      </c>
      <c r="D83">
        <v>26093141</v>
      </c>
      <c r="E83" t="s">
        <v>88</v>
      </c>
      <c r="F83" t="s">
        <v>89</v>
      </c>
      <c r="G83" s="27">
        <v>30040</v>
      </c>
      <c r="H83" t="s">
        <v>434</v>
      </c>
      <c r="I83" t="s">
        <v>372</v>
      </c>
      <c r="J83" s="3">
        <v>7.8070000000000001E-2</v>
      </c>
      <c r="K83" s="3">
        <v>0.35920000000000002</v>
      </c>
      <c r="L83" s="2">
        <v>4.8120000000000003E-3</v>
      </c>
      <c r="M83" s="3">
        <v>-2791</v>
      </c>
      <c r="N83" t="s">
        <v>375</v>
      </c>
      <c r="O83">
        <v>407993</v>
      </c>
      <c r="P83" t="b">
        <v>0</v>
      </c>
    </row>
    <row r="84" spans="1:16" x14ac:dyDescent="0.2">
      <c r="A84" t="s">
        <v>28</v>
      </c>
      <c r="B84" t="s">
        <v>221</v>
      </c>
      <c r="C84">
        <v>6</v>
      </c>
      <c r="D84">
        <v>26093141</v>
      </c>
      <c r="E84" t="s">
        <v>88</v>
      </c>
      <c r="F84" t="s">
        <v>89</v>
      </c>
      <c r="G84" s="27">
        <v>30050</v>
      </c>
      <c r="H84" t="s">
        <v>435</v>
      </c>
      <c r="I84" t="s">
        <v>372</v>
      </c>
      <c r="J84" s="3">
        <v>7.8079999999999997E-2</v>
      </c>
      <c r="K84" s="3">
        <v>0.4209</v>
      </c>
      <c r="L84" s="2">
        <v>4.7790000000000003E-3</v>
      </c>
      <c r="M84" s="3">
        <v>-3884</v>
      </c>
      <c r="N84" t="s">
        <v>375</v>
      </c>
      <c r="O84">
        <v>407992</v>
      </c>
      <c r="P84" t="b">
        <v>0</v>
      </c>
    </row>
    <row r="85" spans="1:16" x14ac:dyDescent="0.2">
      <c r="A85" t="s">
        <v>28</v>
      </c>
      <c r="B85" t="s">
        <v>221</v>
      </c>
      <c r="C85">
        <v>6</v>
      </c>
      <c r="D85">
        <v>26093141</v>
      </c>
      <c r="E85" t="s">
        <v>88</v>
      </c>
      <c r="F85" t="s">
        <v>89</v>
      </c>
      <c r="G85" s="27">
        <v>30060</v>
      </c>
      <c r="H85" t="s">
        <v>436</v>
      </c>
      <c r="I85" t="s">
        <v>372</v>
      </c>
      <c r="J85" s="3">
        <v>7.8079999999999997E-2</v>
      </c>
      <c r="K85" s="3">
        <v>0.1497</v>
      </c>
      <c r="L85" s="2">
        <v>4.287E-3</v>
      </c>
      <c r="M85" s="3">
        <f t="shared" si="1"/>
        <v>-613.6</v>
      </c>
      <c r="N85">
        <v>3.2878038839360044E-267</v>
      </c>
      <c r="O85">
        <v>408000</v>
      </c>
      <c r="P85" t="b">
        <v>0</v>
      </c>
    </row>
    <row r="86" spans="1:16" x14ac:dyDescent="0.2">
      <c r="A86" t="s">
        <v>28</v>
      </c>
      <c r="B86" t="s">
        <v>221</v>
      </c>
      <c r="C86">
        <v>6</v>
      </c>
      <c r="D86">
        <v>26093141</v>
      </c>
      <c r="E86" t="s">
        <v>88</v>
      </c>
      <c r="F86" t="s">
        <v>89</v>
      </c>
      <c r="G86" s="27">
        <v>30070</v>
      </c>
      <c r="H86" t="s">
        <v>437</v>
      </c>
      <c r="I86" t="s">
        <v>372</v>
      </c>
      <c r="J86" s="3">
        <v>7.8070000000000001E-2</v>
      </c>
      <c r="K86" s="3">
        <v>-0.2437</v>
      </c>
      <c r="L86" s="2">
        <v>4.7400000000000003E-3</v>
      </c>
      <c r="M86" s="3">
        <v>-1327</v>
      </c>
      <c r="N86" t="s">
        <v>375</v>
      </c>
      <c r="O86">
        <v>407993</v>
      </c>
      <c r="P86" t="b">
        <v>1</v>
      </c>
    </row>
    <row r="87" spans="1:16" x14ac:dyDescent="0.2">
      <c r="A87" t="s">
        <v>28</v>
      </c>
      <c r="B87" t="s">
        <v>221</v>
      </c>
      <c r="C87">
        <v>6</v>
      </c>
      <c r="D87">
        <v>26093141</v>
      </c>
      <c r="E87" t="s">
        <v>88</v>
      </c>
      <c r="F87" t="s">
        <v>89</v>
      </c>
      <c r="G87" s="27">
        <v>30080</v>
      </c>
      <c r="H87" t="s">
        <v>438</v>
      </c>
      <c r="I87" t="s">
        <v>372</v>
      </c>
      <c r="J87" s="3">
        <v>7.8079999999999997E-2</v>
      </c>
      <c r="K87" s="3">
        <v>-7.3219999999999993E-2</v>
      </c>
      <c r="L87" s="2">
        <v>4.9740000000000001E-3</v>
      </c>
      <c r="M87" s="3">
        <f t="shared" si="1"/>
        <v>-111.3</v>
      </c>
      <c r="N87">
        <v>4.6028218299403862E-49</v>
      </c>
      <c r="O87">
        <v>407992</v>
      </c>
      <c r="P87" t="b">
        <v>1</v>
      </c>
    </row>
    <row r="88" spans="1:16" x14ac:dyDescent="0.2">
      <c r="A88" t="s">
        <v>28</v>
      </c>
      <c r="B88" t="s">
        <v>221</v>
      </c>
      <c r="C88">
        <v>6</v>
      </c>
      <c r="D88">
        <v>26093141</v>
      </c>
      <c r="E88" t="s">
        <v>88</v>
      </c>
      <c r="F88" t="s">
        <v>89</v>
      </c>
      <c r="G88" s="27">
        <v>30090</v>
      </c>
      <c r="H88" t="s">
        <v>439</v>
      </c>
      <c r="I88" t="s">
        <v>372</v>
      </c>
      <c r="J88" s="3">
        <v>7.8079999999999997E-2</v>
      </c>
      <c r="K88" s="3">
        <v>-5.0299999999999997E-2</v>
      </c>
      <c r="L88" s="2">
        <v>4.8260000000000004E-3</v>
      </c>
      <c r="M88" s="3">
        <f t="shared" si="1"/>
        <v>-56.89</v>
      </c>
      <c r="N88">
        <v>1.9633011660603181E-25</v>
      </c>
      <c r="O88">
        <v>407988</v>
      </c>
      <c r="P88" t="b">
        <v>1</v>
      </c>
    </row>
    <row r="89" spans="1:16" x14ac:dyDescent="0.2">
      <c r="A89" t="s">
        <v>28</v>
      </c>
      <c r="B89" t="s">
        <v>221</v>
      </c>
      <c r="C89">
        <v>6</v>
      </c>
      <c r="D89">
        <v>26093141</v>
      </c>
      <c r="E89" t="s">
        <v>88</v>
      </c>
      <c r="F89" t="s">
        <v>89</v>
      </c>
      <c r="G89" s="27">
        <v>30100</v>
      </c>
      <c r="H89" t="s">
        <v>440</v>
      </c>
      <c r="I89" t="s">
        <v>372</v>
      </c>
      <c r="J89" s="3">
        <v>7.8079999999999997E-2</v>
      </c>
      <c r="K89" s="3">
        <v>5.8099999999999999E-2</v>
      </c>
      <c r="L89" s="2">
        <v>5.2610000000000001E-3</v>
      </c>
      <c r="M89" s="3">
        <f t="shared" si="1"/>
        <v>-63.62</v>
      </c>
      <c r="N89">
        <v>2.3452279496160587E-28</v>
      </c>
      <c r="O89">
        <v>407987</v>
      </c>
      <c r="P89" t="b">
        <v>0</v>
      </c>
    </row>
    <row r="90" spans="1:16" x14ac:dyDescent="0.2">
      <c r="A90" t="s">
        <v>28</v>
      </c>
      <c r="B90" t="s">
        <v>221</v>
      </c>
      <c r="C90">
        <v>6</v>
      </c>
      <c r="D90">
        <v>26093141</v>
      </c>
      <c r="E90" t="s">
        <v>88</v>
      </c>
      <c r="F90" t="s">
        <v>89</v>
      </c>
      <c r="G90" s="27">
        <v>30110</v>
      </c>
      <c r="H90" t="s">
        <v>441</v>
      </c>
      <c r="I90" t="s">
        <v>372</v>
      </c>
      <c r="J90" s="3">
        <v>7.8079999999999997E-2</v>
      </c>
      <c r="K90" s="3">
        <v>6.404E-2</v>
      </c>
      <c r="L90" s="2">
        <v>4.9360000000000003E-3</v>
      </c>
      <c r="M90" s="3">
        <f t="shared" si="1"/>
        <v>-86.98</v>
      </c>
      <c r="N90">
        <v>1.6790590274214816E-38</v>
      </c>
      <c r="O90">
        <v>407987</v>
      </c>
      <c r="P90" t="b">
        <v>0</v>
      </c>
    </row>
    <row r="91" spans="1:16" x14ac:dyDescent="0.2">
      <c r="A91" t="s">
        <v>28</v>
      </c>
      <c r="B91" t="s">
        <v>221</v>
      </c>
      <c r="C91">
        <v>6</v>
      </c>
      <c r="D91">
        <v>26093141</v>
      </c>
      <c r="E91" t="s">
        <v>88</v>
      </c>
      <c r="F91" t="s">
        <v>89</v>
      </c>
      <c r="G91" s="27">
        <v>30130</v>
      </c>
      <c r="H91" t="s">
        <v>443</v>
      </c>
      <c r="I91" t="s">
        <v>372</v>
      </c>
      <c r="J91" s="3">
        <v>7.8090000000000007E-2</v>
      </c>
      <c r="K91" s="3">
        <v>4.5190000000000001E-2</v>
      </c>
      <c r="L91" s="2">
        <v>4.7540000000000004E-3</v>
      </c>
      <c r="M91" s="3">
        <f t="shared" si="1"/>
        <v>-47.67</v>
      </c>
      <c r="N91">
        <v>1.9823578169239551E-21</v>
      </c>
      <c r="O91">
        <v>407265</v>
      </c>
      <c r="P91" t="b">
        <v>0</v>
      </c>
    </row>
    <row r="92" spans="1:16" x14ac:dyDescent="0.2">
      <c r="A92" t="s">
        <v>28</v>
      </c>
      <c r="B92" t="s">
        <v>221</v>
      </c>
      <c r="C92">
        <v>6</v>
      </c>
      <c r="D92">
        <v>26093141</v>
      </c>
      <c r="E92" t="s">
        <v>88</v>
      </c>
      <c r="F92" t="s">
        <v>89</v>
      </c>
      <c r="G92" s="27">
        <v>30190</v>
      </c>
      <c r="H92" t="s">
        <v>447</v>
      </c>
      <c r="I92" t="s">
        <v>372</v>
      </c>
      <c r="J92" s="3">
        <v>7.8090000000000007E-2</v>
      </c>
      <c r="K92" s="3">
        <v>3.7859999999999998E-2</v>
      </c>
      <c r="L92" s="2">
        <v>4.7070000000000002E-3</v>
      </c>
      <c r="M92" s="3">
        <f t="shared" si="1"/>
        <v>-34.67</v>
      </c>
      <c r="N92">
        <v>8.7702164596072569E-16</v>
      </c>
      <c r="O92">
        <v>407270</v>
      </c>
      <c r="P92" t="b">
        <v>0</v>
      </c>
    </row>
    <row r="93" spans="1:16" x14ac:dyDescent="0.2">
      <c r="A93" t="s">
        <v>28</v>
      </c>
      <c r="B93" t="s">
        <v>221</v>
      </c>
      <c r="C93">
        <v>6</v>
      </c>
      <c r="D93">
        <v>26093141</v>
      </c>
      <c r="E93" t="s">
        <v>88</v>
      </c>
      <c r="F93" t="s">
        <v>89</v>
      </c>
      <c r="G93" s="27">
        <v>30240</v>
      </c>
      <c r="H93" t="s">
        <v>450</v>
      </c>
      <c r="I93" t="s">
        <v>372</v>
      </c>
      <c r="J93" s="3">
        <v>7.8170000000000003E-2</v>
      </c>
      <c r="K93" s="3">
        <v>0.14130000000000001</v>
      </c>
      <c r="L93" s="2">
        <v>4.8729999999999997E-3</v>
      </c>
      <c r="M93" s="3">
        <f t="shared" si="1"/>
        <v>-424.1</v>
      </c>
      <c r="N93">
        <v>6.5419952556271122E-185</v>
      </c>
      <c r="O93">
        <v>401344</v>
      </c>
      <c r="P93" t="b">
        <v>0</v>
      </c>
    </row>
    <row r="94" spans="1:16" x14ac:dyDescent="0.2">
      <c r="A94" t="s">
        <v>28</v>
      </c>
      <c r="B94" t="s">
        <v>221</v>
      </c>
      <c r="C94">
        <v>6</v>
      </c>
      <c r="D94">
        <v>26093141</v>
      </c>
      <c r="E94" t="s">
        <v>88</v>
      </c>
      <c r="F94" t="s">
        <v>89</v>
      </c>
      <c r="G94" s="27">
        <v>30250</v>
      </c>
      <c r="H94" t="s">
        <v>451</v>
      </c>
      <c r="I94" t="s">
        <v>372</v>
      </c>
      <c r="J94" s="3">
        <v>7.8170000000000003E-2</v>
      </c>
      <c r="K94" s="3">
        <v>0.1263</v>
      </c>
      <c r="L94" s="2">
        <v>4.8349999999999999E-3</v>
      </c>
      <c r="M94" s="3">
        <f t="shared" si="1"/>
        <v>-344.7</v>
      </c>
      <c r="N94">
        <v>1.9892624643440763E-150</v>
      </c>
      <c r="O94">
        <v>401345</v>
      </c>
      <c r="P94" t="b">
        <v>0</v>
      </c>
    </row>
    <row r="95" spans="1:16" x14ac:dyDescent="0.2">
      <c r="A95" t="s">
        <v>28</v>
      </c>
      <c r="B95" t="s">
        <v>221</v>
      </c>
      <c r="C95">
        <v>6</v>
      </c>
      <c r="D95">
        <v>26093141</v>
      </c>
      <c r="E95" t="s">
        <v>88</v>
      </c>
      <c r="F95" t="s">
        <v>89</v>
      </c>
      <c r="G95" s="27">
        <v>30270</v>
      </c>
      <c r="H95" t="s">
        <v>453</v>
      </c>
      <c r="I95" t="s">
        <v>372</v>
      </c>
      <c r="J95" s="3">
        <v>7.8170000000000003E-2</v>
      </c>
      <c r="K95" s="3">
        <v>0.16209999999999999</v>
      </c>
      <c r="L95" s="2">
        <v>4.8970000000000003E-3</v>
      </c>
      <c r="M95" s="3">
        <f t="shared" si="1"/>
        <v>-551.5</v>
      </c>
      <c r="N95">
        <v>3.0661488214917623E-240</v>
      </c>
      <c r="O95">
        <v>401345</v>
      </c>
      <c r="P95" t="b">
        <v>0</v>
      </c>
    </row>
    <row r="96" spans="1:16" x14ac:dyDescent="0.2">
      <c r="A96" t="s">
        <v>28</v>
      </c>
      <c r="B96" t="s">
        <v>221</v>
      </c>
      <c r="C96">
        <v>6</v>
      </c>
      <c r="D96">
        <v>26093141</v>
      </c>
      <c r="E96" t="s">
        <v>88</v>
      </c>
      <c r="F96" t="s">
        <v>89</v>
      </c>
      <c r="G96" s="27">
        <v>30290</v>
      </c>
      <c r="H96" t="s">
        <v>455</v>
      </c>
      <c r="I96" t="s">
        <v>372</v>
      </c>
      <c r="J96" s="3">
        <v>7.8170000000000003E-2</v>
      </c>
      <c r="K96" s="3">
        <v>0.1198</v>
      </c>
      <c r="L96" s="2">
        <v>4.914E-3</v>
      </c>
      <c r="M96" s="3">
        <f t="shared" si="1"/>
        <v>-300.60000000000002</v>
      </c>
      <c r="N96">
        <v>2.8253921870015037E-131</v>
      </c>
      <c r="O96">
        <v>401345</v>
      </c>
      <c r="P96" t="b">
        <v>0</v>
      </c>
    </row>
    <row r="97" spans="1:16" x14ac:dyDescent="0.2">
      <c r="A97" t="s">
        <v>28</v>
      </c>
      <c r="B97" t="s">
        <v>221</v>
      </c>
      <c r="C97">
        <v>6</v>
      </c>
      <c r="D97">
        <v>26093141</v>
      </c>
      <c r="E97" t="s">
        <v>88</v>
      </c>
      <c r="F97" t="s">
        <v>89</v>
      </c>
      <c r="G97" s="27">
        <v>30300</v>
      </c>
      <c r="H97" t="s">
        <v>456</v>
      </c>
      <c r="I97" t="s">
        <v>372</v>
      </c>
      <c r="J97" s="3">
        <v>7.8170000000000003E-2</v>
      </c>
      <c r="K97" s="3">
        <v>0.1087</v>
      </c>
      <c r="L97" s="2">
        <v>4.8770000000000003E-3</v>
      </c>
      <c r="M97" s="3">
        <f t="shared" si="1"/>
        <v>-251.7</v>
      </c>
      <c r="N97">
        <v>4.8761707494216432E-110</v>
      </c>
      <c r="O97">
        <v>401345</v>
      </c>
      <c r="P97" t="b">
        <v>0</v>
      </c>
    </row>
    <row r="98" spans="1:16" x14ac:dyDescent="0.2">
      <c r="A98" t="s">
        <v>28</v>
      </c>
      <c r="B98" t="s">
        <v>248</v>
      </c>
      <c r="C98">
        <v>9</v>
      </c>
      <c r="D98">
        <v>88903367</v>
      </c>
      <c r="E98" t="s">
        <v>84</v>
      </c>
      <c r="F98" t="s">
        <v>89</v>
      </c>
      <c r="G98" s="27">
        <v>30070</v>
      </c>
      <c r="H98" t="s">
        <v>437</v>
      </c>
      <c r="I98" t="s">
        <v>372</v>
      </c>
      <c r="J98" s="3">
        <v>0.65559999999999996</v>
      </c>
      <c r="K98" s="3">
        <v>-1.966E-2</v>
      </c>
      <c r="L98" s="2">
        <v>2.6719999999999999E-3</v>
      </c>
      <c r="M98" s="3">
        <f t="shared" si="1"/>
        <v>-29.3</v>
      </c>
      <c r="N98">
        <v>1.8843938588989806E-13</v>
      </c>
      <c r="O98">
        <v>407993</v>
      </c>
      <c r="P98" t="b">
        <v>0</v>
      </c>
    </row>
    <row r="99" spans="1:16" x14ac:dyDescent="0.2">
      <c r="A99" t="s">
        <v>28</v>
      </c>
      <c r="B99" t="s">
        <v>248</v>
      </c>
      <c r="C99">
        <v>9</v>
      </c>
      <c r="D99">
        <v>88903367</v>
      </c>
      <c r="E99" t="s">
        <v>84</v>
      </c>
      <c r="F99" t="s">
        <v>89</v>
      </c>
      <c r="G99" s="27">
        <v>30280</v>
      </c>
      <c r="H99" t="s">
        <v>454</v>
      </c>
      <c r="I99" t="s">
        <v>372</v>
      </c>
      <c r="J99" s="3">
        <v>0.65539999999999998</v>
      </c>
      <c r="K99" s="3">
        <v>-1.6400000000000001E-2</v>
      </c>
      <c r="L99" s="2">
        <v>2.6480000000000002E-3</v>
      </c>
      <c r="M99" s="3">
        <f t="shared" si="1"/>
        <v>-21.25</v>
      </c>
      <c r="N99">
        <v>5.9053039989440393E-10</v>
      </c>
      <c r="O99">
        <v>401344</v>
      </c>
      <c r="P99" t="b">
        <v>0</v>
      </c>
    </row>
    <row r="100" spans="1:16" x14ac:dyDescent="0.2">
      <c r="A100" t="s">
        <v>28</v>
      </c>
      <c r="B100" t="s">
        <v>248</v>
      </c>
      <c r="C100">
        <v>9</v>
      </c>
      <c r="D100">
        <v>88903367</v>
      </c>
      <c r="E100" t="s">
        <v>84</v>
      </c>
      <c r="F100" t="s">
        <v>89</v>
      </c>
      <c r="G100" s="27">
        <v>30290</v>
      </c>
      <c r="H100" t="s">
        <v>455</v>
      </c>
      <c r="I100" t="s">
        <v>372</v>
      </c>
      <c r="J100" s="3">
        <v>0.65539999999999998</v>
      </c>
      <c r="K100" s="3">
        <v>-1.456E-2</v>
      </c>
      <c r="L100" s="2">
        <v>2.7720000000000002E-3</v>
      </c>
      <c r="M100" s="3">
        <f t="shared" si="1"/>
        <v>-15.72</v>
      </c>
      <c r="N100">
        <v>1.4889864460765389E-7</v>
      </c>
      <c r="O100">
        <v>401345</v>
      </c>
      <c r="P100" t="b">
        <v>0</v>
      </c>
    </row>
    <row r="101" spans="1:16" x14ac:dyDescent="0.2">
      <c r="A101" t="s">
        <v>28</v>
      </c>
      <c r="B101" t="s">
        <v>248</v>
      </c>
      <c r="C101">
        <v>9</v>
      </c>
      <c r="D101">
        <v>88903367</v>
      </c>
      <c r="E101" t="s">
        <v>84</v>
      </c>
      <c r="F101" t="s">
        <v>89</v>
      </c>
      <c r="G101" s="27">
        <v>30300</v>
      </c>
      <c r="H101" t="s">
        <v>456</v>
      </c>
      <c r="I101" t="s">
        <v>372</v>
      </c>
      <c r="J101" s="3">
        <v>0.65539999999999998</v>
      </c>
      <c r="K101" s="3">
        <v>-1.5570000000000001E-2</v>
      </c>
      <c r="L101" s="2">
        <v>2.751E-3</v>
      </c>
      <c r="M101" s="3">
        <f t="shared" si="1"/>
        <v>-18</v>
      </c>
      <c r="N101">
        <v>1.5229979744712629E-8</v>
      </c>
      <c r="O101">
        <v>401345</v>
      </c>
      <c r="P101" t="b">
        <v>0</v>
      </c>
    </row>
    <row r="102" spans="1:16" x14ac:dyDescent="0.2">
      <c r="A102" t="s">
        <v>28</v>
      </c>
      <c r="B102" t="s">
        <v>244</v>
      </c>
      <c r="C102">
        <v>15</v>
      </c>
      <c r="D102">
        <v>65998702</v>
      </c>
      <c r="E102" t="s">
        <v>84</v>
      </c>
      <c r="F102" t="s">
        <v>83</v>
      </c>
      <c r="G102" s="27">
        <v>30010</v>
      </c>
      <c r="H102" t="s">
        <v>431</v>
      </c>
      <c r="I102" t="s">
        <v>372</v>
      </c>
      <c r="J102" s="3">
        <v>0.2447</v>
      </c>
      <c r="K102" s="3">
        <v>2.801E-2</v>
      </c>
      <c r="L102" s="2">
        <v>2.539E-3</v>
      </c>
      <c r="M102" s="3">
        <f t="shared" si="1"/>
        <v>-63.48</v>
      </c>
      <c r="N102">
        <v>2.6976542627910116E-28</v>
      </c>
      <c r="O102">
        <v>407995</v>
      </c>
      <c r="P102" t="b">
        <v>1</v>
      </c>
    </row>
    <row r="103" spans="1:16" x14ac:dyDescent="0.2">
      <c r="A103" t="s">
        <v>28</v>
      </c>
      <c r="B103" t="s">
        <v>244</v>
      </c>
      <c r="C103">
        <v>15</v>
      </c>
      <c r="D103">
        <v>65998702</v>
      </c>
      <c r="E103" t="s">
        <v>84</v>
      </c>
      <c r="F103" t="s">
        <v>83</v>
      </c>
      <c r="G103" s="27">
        <v>30020</v>
      </c>
      <c r="H103" t="s">
        <v>432</v>
      </c>
      <c r="I103" t="s">
        <v>372</v>
      </c>
      <c r="J103" s="3">
        <v>0.2447</v>
      </c>
      <c r="K103" s="3">
        <v>-1.6660000000000001E-2</v>
      </c>
      <c r="L103" s="2">
        <v>2.2989999999999998E-3</v>
      </c>
      <c r="M103" s="3">
        <f t="shared" si="1"/>
        <v>-28.49</v>
      </c>
      <c r="N103">
        <v>4.2359440054631239E-13</v>
      </c>
      <c r="O103">
        <v>407994</v>
      </c>
      <c r="P103" t="b">
        <v>0</v>
      </c>
    </row>
    <row r="104" spans="1:16" x14ac:dyDescent="0.2">
      <c r="A104" t="s">
        <v>28</v>
      </c>
      <c r="B104" t="s">
        <v>244</v>
      </c>
      <c r="C104">
        <v>15</v>
      </c>
      <c r="D104">
        <v>65998702</v>
      </c>
      <c r="E104" t="s">
        <v>84</v>
      </c>
      <c r="F104" t="s">
        <v>83</v>
      </c>
      <c r="G104" s="27">
        <v>30040</v>
      </c>
      <c r="H104" t="s">
        <v>434</v>
      </c>
      <c r="I104" t="s">
        <v>372</v>
      </c>
      <c r="J104" s="3">
        <v>0.2447</v>
      </c>
      <c r="K104" s="3">
        <v>-6.7820000000000005E-2</v>
      </c>
      <c r="L104" s="2">
        <v>2.9970000000000001E-3</v>
      </c>
      <c r="M104" s="3">
        <f t="shared" si="1"/>
        <v>-259.39999999999998</v>
      </c>
      <c r="N104">
        <v>2.2080626637356297E-113</v>
      </c>
      <c r="O104">
        <v>407993</v>
      </c>
      <c r="P104" t="b">
        <v>0</v>
      </c>
    </row>
    <row r="105" spans="1:16" x14ac:dyDescent="0.2">
      <c r="A105" t="s">
        <v>28</v>
      </c>
      <c r="B105" t="s">
        <v>244</v>
      </c>
      <c r="C105">
        <v>15</v>
      </c>
      <c r="D105">
        <v>65998702</v>
      </c>
      <c r="E105" t="s">
        <v>84</v>
      </c>
      <c r="F105" t="s">
        <v>83</v>
      </c>
      <c r="G105" s="27">
        <v>30050</v>
      </c>
      <c r="H105" t="s">
        <v>435</v>
      </c>
      <c r="I105" t="s">
        <v>372</v>
      </c>
      <c r="J105" s="3">
        <v>0.2447</v>
      </c>
      <c r="K105" s="3">
        <v>-8.0070000000000002E-2</v>
      </c>
      <c r="L105" s="2">
        <v>2.977E-3</v>
      </c>
      <c r="M105" s="3">
        <f t="shared" si="1"/>
        <v>-365.3</v>
      </c>
      <c r="N105">
        <v>2.2502240432868698E-159</v>
      </c>
      <c r="O105">
        <v>407992</v>
      </c>
      <c r="P105" t="b">
        <v>0</v>
      </c>
    </row>
    <row r="106" spans="1:16" x14ac:dyDescent="0.2">
      <c r="A106" t="s">
        <v>28</v>
      </c>
      <c r="B106" t="s">
        <v>244</v>
      </c>
      <c r="C106">
        <v>15</v>
      </c>
      <c r="D106">
        <v>65998702</v>
      </c>
      <c r="E106" t="s">
        <v>84</v>
      </c>
      <c r="F106" t="s">
        <v>83</v>
      </c>
      <c r="G106" s="27">
        <v>30060</v>
      </c>
      <c r="H106" t="s">
        <v>436</v>
      </c>
      <c r="I106" t="s">
        <v>372</v>
      </c>
      <c r="J106" s="3">
        <v>0.2447</v>
      </c>
      <c r="K106" s="3">
        <v>-3.236E-2</v>
      </c>
      <c r="L106" s="2">
        <v>2.6700000000000001E-3</v>
      </c>
      <c r="M106" s="3">
        <f t="shared" si="1"/>
        <v>-76.150000000000006</v>
      </c>
      <c r="N106">
        <v>8.4815495392622732E-34</v>
      </c>
      <c r="O106">
        <v>408000</v>
      </c>
      <c r="P106" t="b">
        <v>0</v>
      </c>
    </row>
    <row r="107" spans="1:16" x14ac:dyDescent="0.2">
      <c r="A107" t="s">
        <v>28</v>
      </c>
      <c r="B107" t="s">
        <v>244</v>
      </c>
      <c r="C107">
        <v>15</v>
      </c>
      <c r="D107">
        <v>65998702</v>
      </c>
      <c r="E107" t="s">
        <v>84</v>
      </c>
      <c r="F107" t="s">
        <v>83</v>
      </c>
      <c r="G107" s="27">
        <v>30130</v>
      </c>
      <c r="H107" t="s">
        <v>443</v>
      </c>
      <c r="I107" t="s">
        <v>372</v>
      </c>
      <c r="J107" s="3">
        <v>0.24479999999999999</v>
      </c>
      <c r="K107" s="3">
        <v>-2.4039999999999999E-2</v>
      </c>
      <c r="L107" s="2">
        <v>2.9610000000000001E-3</v>
      </c>
      <c r="M107" s="3">
        <f t="shared" si="1"/>
        <v>-35.29</v>
      </c>
      <c r="N107">
        <v>4.7178891609469954E-16</v>
      </c>
      <c r="O107">
        <v>407265</v>
      </c>
      <c r="P107" t="b">
        <v>0</v>
      </c>
    </row>
    <row r="108" spans="1:16" x14ac:dyDescent="0.2">
      <c r="A108" t="s">
        <v>28</v>
      </c>
      <c r="B108" t="s">
        <v>244</v>
      </c>
      <c r="C108">
        <v>15</v>
      </c>
      <c r="D108">
        <v>65998702</v>
      </c>
      <c r="E108" t="s">
        <v>84</v>
      </c>
      <c r="F108" t="s">
        <v>83</v>
      </c>
      <c r="G108" s="27">
        <v>30190</v>
      </c>
      <c r="H108" t="s">
        <v>447</v>
      </c>
      <c r="I108" t="s">
        <v>372</v>
      </c>
      <c r="J108" s="3">
        <v>0.24479999999999999</v>
      </c>
      <c r="K108" s="3">
        <v>-2.7879999999999999E-2</v>
      </c>
      <c r="L108" s="2">
        <v>2.9320000000000001E-3</v>
      </c>
      <c r="M108" s="3">
        <f t="shared" si="1"/>
        <v>-47.72</v>
      </c>
      <c r="N108">
        <v>1.885677085347071E-21</v>
      </c>
      <c r="O108">
        <v>407270</v>
      </c>
      <c r="P108" t="b">
        <v>0</v>
      </c>
    </row>
    <row r="109" spans="1:16" x14ac:dyDescent="0.2">
      <c r="A109" t="s">
        <v>28</v>
      </c>
      <c r="B109" t="s">
        <v>244</v>
      </c>
      <c r="C109">
        <v>15</v>
      </c>
      <c r="D109">
        <v>65998702</v>
      </c>
      <c r="E109" t="s">
        <v>84</v>
      </c>
      <c r="F109" t="s">
        <v>83</v>
      </c>
      <c r="G109" s="27">
        <v>30200</v>
      </c>
      <c r="H109" t="s">
        <v>448</v>
      </c>
      <c r="I109" t="s">
        <v>372</v>
      </c>
      <c r="J109" s="3">
        <v>0.24479999999999999</v>
      </c>
      <c r="K109" s="3">
        <v>1.5169999999999999E-2</v>
      </c>
      <c r="L109" s="2">
        <v>2.9060000000000002E-3</v>
      </c>
      <c r="M109" s="3">
        <f t="shared" si="1"/>
        <v>-15.53</v>
      </c>
      <c r="N109">
        <v>1.8005562608351578E-7</v>
      </c>
      <c r="O109">
        <v>407282</v>
      </c>
      <c r="P109" t="b">
        <v>1</v>
      </c>
    </row>
    <row r="110" spans="1:16" x14ac:dyDescent="0.2">
      <c r="A110" t="s">
        <v>28</v>
      </c>
      <c r="B110" t="s">
        <v>244</v>
      </c>
      <c r="C110">
        <v>15</v>
      </c>
      <c r="D110">
        <v>65998702</v>
      </c>
      <c r="E110" t="s">
        <v>84</v>
      </c>
      <c r="F110" t="s">
        <v>83</v>
      </c>
      <c r="G110" s="27">
        <v>30240</v>
      </c>
      <c r="H110" t="s">
        <v>450</v>
      </c>
      <c r="I110" t="s">
        <v>372</v>
      </c>
      <c r="J110" s="3">
        <v>0.24479999999999999</v>
      </c>
      <c r="K110" s="3">
        <v>-2.7199999999999998E-2</v>
      </c>
      <c r="L110" s="2">
        <v>3.0360000000000001E-3</v>
      </c>
      <c r="M110" s="3">
        <f t="shared" si="1"/>
        <v>-42.55</v>
      </c>
      <c r="N110">
        <v>3.3171857801625655E-19</v>
      </c>
      <c r="O110">
        <v>401344</v>
      </c>
      <c r="P110" t="b">
        <v>0</v>
      </c>
    </row>
    <row r="111" spans="1:16" x14ac:dyDescent="0.2">
      <c r="A111" t="s">
        <v>28</v>
      </c>
      <c r="B111" t="s">
        <v>244</v>
      </c>
      <c r="C111">
        <v>15</v>
      </c>
      <c r="D111">
        <v>65998702</v>
      </c>
      <c r="E111" t="s">
        <v>84</v>
      </c>
      <c r="F111" t="s">
        <v>83</v>
      </c>
      <c r="G111" s="27">
        <v>30250</v>
      </c>
      <c r="H111" t="s">
        <v>451</v>
      </c>
      <c r="I111" t="s">
        <v>372</v>
      </c>
      <c r="J111" s="3">
        <v>0.24479999999999999</v>
      </c>
      <c r="K111" s="3">
        <v>-2.0400000000000001E-2</v>
      </c>
      <c r="L111" s="2">
        <v>3.0130000000000001E-3</v>
      </c>
      <c r="M111" s="3">
        <f t="shared" si="1"/>
        <v>-25.08</v>
      </c>
      <c r="N111">
        <v>1.2820187999448302E-11</v>
      </c>
      <c r="O111">
        <v>401345</v>
      </c>
      <c r="P111" t="b">
        <v>0</v>
      </c>
    </row>
    <row r="112" spans="1:16" x14ac:dyDescent="0.2">
      <c r="A112" t="s">
        <v>28</v>
      </c>
      <c r="B112" t="s">
        <v>244</v>
      </c>
      <c r="C112">
        <v>15</v>
      </c>
      <c r="D112">
        <v>65998702</v>
      </c>
      <c r="E112" t="s">
        <v>84</v>
      </c>
      <c r="F112" t="s">
        <v>83</v>
      </c>
      <c r="G112" s="27">
        <v>30260</v>
      </c>
      <c r="H112" t="s">
        <v>452</v>
      </c>
      <c r="I112" t="s">
        <v>372</v>
      </c>
      <c r="J112" s="3">
        <v>0.24479999999999999</v>
      </c>
      <c r="K112" s="3">
        <v>-2.6339999999999999E-2</v>
      </c>
      <c r="L112" s="2">
        <v>3.0400000000000002E-3</v>
      </c>
      <c r="M112" s="3">
        <f t="shared" si="1"/>
        <v>-39.94</v>
      </c>
      <c r="N112">
        <v>4.5110578109401143E-18</v>
      </c>
      <c r="O112">
        <v>401344</v>
      </c>
      <c r="P112" t="b">
        <v>0</v>
      </c>
    </row>
    <row r="113" spans="1:16" x14ac:dyDescent="0.2">
      <c r="A113" t="s">
        <v>28</v>
      </c>
      <c r="B113" t="s">
        <v>244</v>
      </c>
      <c r="C113">
        <v>15</v>
      </c>
      <c r="D113">
        <v>65998702</v>
      </c>
      <c r="E113" t="s">
        <v>84</v>
      </c>
      <c r="F113" t="s">
        <v>83</v>
      </c>
      <c r="G113" s="27">
        <v>30270</v>
      </c>
      <c r="H113" t="s">
        <v>453</v>
      </c>
      <c r="I113" t="s">
        <v>372</v>
      </c>
      <c r="J113" s="3">
        <v>0.24479999999999999</v>
      </c>
      <c r="K113" s="3">
        <v>-3.1519999999999999E-2</v>
      </c>
      <c r="L113" s="2">
        <v>3.0509999999999999E-3</v>
      </c>
      <c r="M113" s="3">
        <f t="shared" si="1"/>
        <v>-55.95</v>
      </c>
      <c r="N113">
        <v>5.0260145036985941E-25</v>
      </c>
      <c r="O113">
        <v>401345</v>
      </c>
      <c r="P113" t="b">
        <v>0</v>
      </c>
    </row>
    <row r="114" spans="1:16" x14ac:dyDescent="0.2">
      <c r="A114" t="s">
        <v>28</v>
      </c>
      <c r="B114" t="s">
        <v>244</v>
      </c>
      <c r="C114">
        <v>15</v>
      </c>
      <c r="D114">
        <v>65998702</v>
      </c>
      <c r="E114" t="s">
        <v>84</v>
      </c>
      <c r="F114" t="s">
        <v>83</v>
      </c>
      <c r="G114" s="27">
        <v>30290</v>
      </c>
      <c r="H114" t="s">
        <v>455</v>
      </c>
      <c r="I114" t="s">
        <v>372</v>
      </c>
      <c r="J114" s="3">
        <v>0.24479999999999999</v>
      </c>
      <c r="K114" s="3">
        <v>-1.8409999999999999E-2</v>
      </c>
      <c r="L114" s="2">
        <v>3.0620000000000001E-3</v>
      </c>
      <c r="M114" s="3">
        <f t="shared" si="1"/>
        <v>-20.13</v>
      </c>
      <c r="N114">
        <v>1.8098895782886632E-9</v>
      </c>
      <c r="O114">
        <v>401345</v>
      </c>
      <c r="P114" t="b">
        <v>0</v>
      </c>
    </row>
    <row r="115" spans="1:16" x14ac:dyDescent="0.2">
      <c r="A115" t="s">
        <v>28</v>
      </c>
      <c r="B115" t="s">
        <v>241</v>
      </c>
      <c r="C115">
        <v>18</v>
      </c>
      <c r="D115">
        <v>55238820</v>
      </c>
      <c r="E115" t="s">
        <v>89</v>
      </c>
      <c r="F115" t="s">
        <v>88</v>
      </c>
      <c r="G115" s="27">
        <v>30070</v>
      </c>
      <c r="H115" t="s">
        <v>437</v>
      </c>
      <c r="I115" t="s">
        <v>372</v>
      </c>
      <c r="J115" s="3">
        <v>4.3310000000000001E-2</v>
      </c>
      <c r="K115" s="3">
        <v>3.2649999999999998E-2</v>
      </c>
      <c r="L115" s="2">
        <v>6.2360000000000002E-3</v>
      </c>
      <c r="M115" s="3">
        <f t="shared" si="1"/>
        <v>-15.63</v>
      </c>
      <c r="N115">
        <v>1.6292106780825635E-7</v>
      </c>
      <c r="O115">
        <v>407993</v>
      </c>
      <c r="P115" t="b">
        <v>1</v>
      </c>
    </row>
    <row r="116" spans="1:16" x14ac:dyDescent="0.2">
      <c r="A116" t="s">
        <v>28</v>
      </c>
      <c r="B116" t="s">
        <v>226</v>
      </c>
      <c r="C116">
        <v>22</v>
      </c>
      <c r="D116">
        <v>29154455</v>
      </c>
      <c r="E116" t="s">
        <v>89</v>
      </c>
      <c r="F116" t="s">
        <v>88</v>
      </c>
      <c r="G116" s="27">
        <v>30020</v>
      </c>
      <c r="H116" t="s">
        <v>432</v>
      </c>
      <c r="I116" t="s">
        <v>372</v>
      </c>
      <c r="J116" s="3">
        <v>0.42670000000000002</v>
      </c>
      <c r="K116" s="3">
        <v>-1.2330000000000001E-2</v>
      </c>
      <c r="L116" s="2">
        <v>1.9980000000000002E-3</v>
      </c>
      <c r="M116" s="3">
        <f t="shared" si="1"/>
        <v>-21.11</v>
      </c>
      <c r="N116">
        <v>6.7927164642721397E-10</v>
      </c>
      <c r="O116">
        <v>407994</v>
      </c>
      <c r="P116" t="b">
        <v>1</v>
      </c>
    </row>
    <row r="117" spans="1:16" x14ac:dyDescent="0.2">
      <c r="A117" t="s">
        <v>28</v>
      </c>
      <c r="B117" t="s">
        <v>226</v>
      </c>
      <c r="C117">
        <v>22</v>
      </c>
      <c r="D117">
        <v>29154455</v>
      </c>
      <c r="E117" t="s">
        <v>89</v>
      </c>
      <c r="F117" t="s">
        <v>88</v>
      </c>
      <c r="G117" s="27">
        <v>30050</v>
      </c>
      <c r="H117" t="s">
        <v>435</v>
      </c>
      <c r="I117" t="s">
        <v>372</v>
      </c>
      <c r="J117" s="3">
        <v>0.42670000000000002</v>
      </c>
      <c r="K117" s="3">
        <v>-1.55E-2</v>
      </c>
      <c r="L117" s="2">
        <v>2.5869999999999999E-3</v>
      </c>
      <c r="M117" s="3">
        <f t="shared" si="1"/>
        <v>-19.989999999999998</v>
      </c>
      <c r="N117">
        <v>2.0818685607302067E-9</v>
      </c>
      <c r="O117">
        <v>407992</v>
      </c>
      <c r="P117" t="b">
        <v>1</v>
      </c>
    </row>
    <row r="118" spans="1:16" x14ac:dyDescent="0.2">
      <c r="A118" t="s">
        <v>28</v>
      </c>
      <c r="B118" t="s">
        <v>226</v>
      </c>
      <c r="C118">
        <v>22</v>
      </c>
      <c r="D118">
        <v>29154455</v>
      </c>
      <c r="E118" t="s">
        <v>89</v>
      </c>
      <c r="F118" t="s">
        <v>88</v>
      </c>
      <c r="G118" s="27">
        <v>30070</v>
      </c>
      <c r="H118" t="s">
        <v>437</v>
      </c>
      <c r="I118" t="s">
        <v>372</v>
      </c>
      <c r="J118" s="3">
        <v>0.42670000000000002</v>
      </c>
      <c r="K118" s="3">
        <v>3.175E-2</v>
      </c>
      <c r="L118" s="2">
        <v>2.5660000000000001E-3</v>
      </c>
      <c r="M118" s="3">
        <f t="shared" si="1"/>
        <v>-79.319999999999993</v>
      </c>
      <c r="N118">
        <v>3.5625559644533085E-35</v>
      </c>
      <c r="O118">
        <v>407993</v>
      </c>
      <c r="P118" s="9" t="b">
        <v>0</v>
      </c>
    </row>
    <row r="119" spans="1:16" x14ac:dyDescent="0.2">
      <c r="A119" t="s">
        <v>28</v>
      </c>
      <c r="B119" t="s">
        <v>226</v>
      </c>
      <c r="C119">
        <v>22</v>
      </c>
      <c r="D119">
        <v>29154455</v>
      </c>
      <c r="E119" t="s">
        <v>89</v>
      </c>
      <c r="F119" t="s">
        <v>88</v>
      </c>
      <c r="G119" s="27">
        <v>30100</v>
      </c>
      <c r="H119" t="s">
        <v>440</v>
      </c>
      <c r="I119" t="s">
        <v>372</v>
      </c>
      <c r="J119" s="3">
        <v>0.42670000000000002</v>
      </c>
      <c r="K119" s="3">
        <v>1.4149999999999999E-2</v>
      </c>
      <c r="L119" s="2">
        <v>2.8479999999999998E-3</v>
      </c>
      <c r="M119" s="3">
        <f t="shared" si="1"/>
        <v>-14.21</v>
      </c>
      <c r="N119">
        <v>6.7402407977712056E-7</v>
      </c>
      <c r="O119">
        <v>407987</v>
      </c>
      <c r="P119" s="9" t="b">
        <v>0</v>
      </c>
    </row>
    <row r="120" spans="1:16" x14ac:dyDescent="0.2">
      <c r="A120" t="s">
        <v>28</v>
      </c>
      <c r="B120" t="s">
        <v>226</v>
      </c>
      <c r="C120">
        <v>22</v>
      </c>
      <c r="D120">
        <v>29154455</v>
      </c>
      <c r="E120" t="s">
        <v>89</v>
      </c>
      <c r="F120" t="s">
        <v>88</v>
      </c>
      <c r="G120" s="27">
        <v>30110</v>
      </c>
      <c r="H120" t="s">
        <v>441</v>
      </c>
      <c r="I120" t="s">
        <v>372</v>
      </c>
      <c r="J120" s="3">
        <v>0.42670000000000002</v>
      </c>
      <c r="K120" s="3">
        <v>1.3509999999999999E-2</v>
      </c>
      <c r="L120" s="2">
        <v>2.6719999999999999E-3</v>
      </c>
      <c r="M120" s="3">
        <f t="shared" si="1"/>
        <v>-14.67</v>
      </c>
      <c r="N120">
        <v>4.2550037824115212E-7</v>
      </c>
      <c r="O120">
        <v>407987</v>
      </c>
      <c r="P120" s="9" t="b">
        <v>0</v>
      </c>
    </row>
    <row r="121" spans="1:16" x14ac:dyDescent="0.2">
      <c r="A121" t="s">
        <v>28</v>
      </c>
      <c r="B121" t="s">
        <v>226</v>
      </c>
      <c r="C121">
        <v>22</v>
      </c>
      <c r="D121">
        <v>29154455</v>
      </c>
      <c r="E121" t="s">
        <v>89</v>
      </c>
      <c r="F121" t="s">
        <v>88</v>
      </c>
      <c r="G121" s="27">
        <v>30120</v>
      </c>
      <c r="H121" t="s">
        <v>442</v>
      </c>
      <c r="I121" t="s">
        <v>372</v>
      </c>
      <c r="J121" s="3">
        <v>0.42670000000000002</v>
      </c>
      <c r="K121" s="3">
        <v>-1.3390000000000001E-2</v>
      </c>
      <c r="L121" s="2">
        <v>2.5990000000000002E-3</v>
      </c>
      <c r="M121" s="3">
        <f t="shared" si="1"/>
        <v>-15.16</v>
      </c>
      <c r="N121">
        <v>2.6067276244598215E-7</v>
      </c>
      <c r="O121">
        <v>407265</v>
      </c>
      <c r="P121" s="9" t="b">
        <v>1</v>
      </c>
    </row>
    <row r="122" spans="1:16" x14ac:dyDescent="0.2">
      <c r="A122" t="s">
        <v>28</v>
      </c>
      <c r="B122" t="s">
        <v>226</v>
      </c>
      <c r="C122">
        <v>22</v>
      </c>
      <c r="D122">
        <v>29154455</v>
      </c>
      <c r="E122" t="s">
        <v>89</v>
      </c>
      <c r="F122" t="s">
        <v>88</v>
      </c>
      <c r="G122" s="27">
        <v>30180</v>
      </c>
      <c r="H122" t="s">
        <v>446</v>
      </c>
      <c r="I122" t="s">
        <v>372</v>
      </c>
      <c r="J122" s="3">
        <v>0.42670000000000002</v>
      </c>
      <c r="K122" s="3">
        <v>-1.576E-2</v>
      </c>
      <c r="L122" s="2">
        <v>2.5070000000000001E-3</v>
      </c>
      <c r="M122" s="3">
        <f t="shared" si="1"/>
        <v>-21.85</v>
      </c>
      <c r="N122">
        <v>3.240899549293071E-10</v>
      </c>
      <c r="O122">
        <v>407282</v>
      </c>
      <c r="P122" s="9" t="b">
        <v>1</v>
      </c>
    </row>
    <row r="123" spans="1:16" x14ac:dyDescent="0.2">
      <c r="A123" t="s">
        <v>28</v>
      </c>
      <c r="B123" t="s">
        <v>226</v>
      </c>
      <c r="C123">
        <v>22</v>
      </c>
      <c r="D123">
        <v>29154455</v>
      </c>
      <c r="E123" t="s">
        <v>89</v>
      </c>
      <c r="F123" t="s">
        <v>88</v>
      </c>
      <c r="G123" s="27">
        <v>30280</v>
      </c>
      <c r="H123" t="s">
        <v>454</v>
      </c>
      <c r="I123" t="s">
        <v>372</v>
      </c>
      <c r="J123" s="3">
        <v>0.42670000000000002</v>
      </c>
      <c r="K123" s="3">
        <v>1.7850000000000001E-2</v>
      </c>
      <c r="L123" s="2">
        <v>2.5430000000000001E-3</v>
      </c>
      <c r="M123" s="3">
        <f t="shared" si="1"/>
        <v>-26.83</v>
      </c>
      <c r="N123">
        <v>2.2278146244402045E-12</v>
      </c>
      <c r="O123">
        <v>401344</v>
      </c>
      <c r="P123" s="9" t="b">
        <v>0</v>
      </c>
    </row>
    <row r="124" spans="1:16" x14ac:dyDescent="0.2">
      <c r="A124" t="s">
        <v>28</v>
      </c>
      <c r="B124" t="s">
        <v>226</v>
      </c>
      <c r="C124">
        <v>22</v>
      </c>
      <c r="D124">
        <v>29154455</v>
      </c>
      <c r="E124" t="s">
        <v>89</v>
      </c>
      <c r="F124" t="s">
        <v>88</v>
      </c>
      <c r="G124" s="27">
        <v>30290</v>
      </c>
      <c r="H124" t="s">
        <v>455</v>
      </c>
      <c r="I124" t="s">
        <v>372</v>
      </c>
      <c r="J124" s="3">
        <v>0.42670000000000002</v>
      </c>
      <c r="K124" s="3">
        <v>1.34E-2</v>
      </c>
      <c r="L124" s="2">
        <v>2.6619999999999999E-3</v>
      </c>
      <c r="M124" s="3">
        <f t="shared" si="1"/>
        <v>-14.55</v>
      </c>
      <c r="N124">
        <v>4.7975033681273213E-7</v>
      </c>
      <c r="O124">
        <v>401345</v>
      </c>
      <c r="P124" s="9" t="b">
        <v>0</v>
      </c>
    </row>
    <row r="125" spans="1:16" x14ac:dyDescent="0.2">
      <c r="A125" t="s">
        <v>28</v>
      </c>
      <c r="B125" t="s">
        <v>231</v>
      </c>
      <c r="C125">
        <v>22</v>
      </c>
      <c r="D125">
        <v>37462936</v>
      </c>
      <c r="E125" t="s">
        <v>89</v>
      </c>
      <c r="F125" t="s">
        <v>88</v>
      </c>
      <c r="G125" s="27">
        <v>30010</v>
      </c>
      <c r="H125" t="s">
        <v>431</v>
      </c>
      <c r="I125" t="s">
        <v>372</v>
      </c>
      <c r="J125" s="3">
        <v>0.56069999999999998</v>
      </c>
      <c r="K125" s="3">
        <v>-1.9220000000000001E-2</v>
      </c>
      <c r="L125" s="2">
        <v>2.209E-3</v>
      </c>
      <c r="M125" s="3">
        <f t="shared" si="1"/>
        <v>-40.229999999999997</v>
      </c>
      <c r="N125">
        <v>3.3754602111672053E-18</v>
      </c>
      <c r="O125">
        <v>407995</v>
      </c>
      <c r="P125" s="9" t="b">
        <v>1</v>
      </c>
    </row>
    <row r="126" spans="1:16" x14ac:dyDescent="0.2">
      <c r="A126" t="s">
        <v>28</v>
      </c>
      <c r="B126" t="s">
        <v>231</v>
      </c>
      <c r="C126">
        <v>22</v>
      </c>
      <c r="D126">
        <v>37462936</v>
      </c>
      <c r="E126" t="s">
        <v>89</v>
      </c>
      <c r="F126" t="s">
        <v>88</v>
      </c>
      <c r="G126" s="27">
        <v>30020</v>
      </c>
      <c r="H126" t="s">
        <v>432</v>
      </c>
      <c r="I126" t="s">
        <v>372</v>
      </c>
      <c r="J126" s="3">
        <v>0.56069999999999998</v>
      </c>
      <c r="K126" s="3">
        <v>8.5510000000000003E-2</v>
      </c>
      <c r="L126" s="2">
        <v>2E-3</v>
      </c>
      <c r="M126" s="3">
        <v>-917.6</v>
      </c>
      <c r="N126" t="s">
        <v>375</v>
      </c>
      <c r="O126">
        <v>407994</v>
      </c>
      <c r="P126" s="9" t="b">
        <v>0</v>
      </c>
    </row>
    <row r="127" spans="1:16" x14ac:dyDescent="0.2">
      <c r="A127" t="s">
        <v>28</v>
      </c>
      <c r="B127" t="s">
        <v>231</v>
      </c>
      <c r="C127">
        <v>22</v>
      </c>
      <c r="D127">
        <v>37462936</v>
      </c>
      <c r="E127" t="s">
        <v>89</v>
      </c>
      <c r="F127" t="s">
        <v>88</v>
      </c>
      <c r="G127" s="27">
        <v>30030</v>
      </c>
      <c r="H127" t="s">
        <v>433</v>
      </c>
      <c r="I127" t="s">
        <v>372</v>
      </c>
      <c r="J127" s="3">
        <v>0.56069999999999998</v>
      </c>
      <c r="K127" s="3">
        <v>6.2549999999999994E-2</v>
      </c>
      <c r="L127" s="2">
        <v>2.0630000000000002E-3</v>
      </c>
      <c r="M127" s="3">
        <f t="shared" si="1"/>
        <v>-463.2</v>
      </c>
      <c r="N127">
        <v>6.8359044302701221E-202</v>
      </c>
      <c r="O127">
        <v>407995</v>
      </c>
      <c r="P127" s="9" t="b">
        <v>0</v>
      </c>
    </row>
    <row r="128" spans="1:16" x14ac:dyDescent="0.2">
      <c r="A128" t="s">
        <v>28</v>
      </c>
      <c r="B128" t="s">
        <v>231</v>
      </c>
      <c r="C128">
        <v>22</v>
      </c>
      <c r="D128">
        <v>37462936</v>
      </c>
      <c r="E128" t="s">
        <v>89</v>
      </c>
      <c r="F128" t="s">
        <v>88</v>
      </c>
      <c r="G128" s="27">
        <v>30040</v>
      </c>
      <c r="H128" t="s">
        <v>434</v>
      </c>
      <c r="I128" t="s">
        <v>372</v>
      </c>
      <c r="J128" s="3">
        <v>0.56069999999999998</v>
      </c>
      <c r="K128" s="3">
        <v>0.16539999999999999</v>
      </c>
      <c r="L128" s="2">
        <v>2.6080000000000001E-3</v>
      </c>
      <c r="M128" s="3">
        <v>-2016</v>
      </c>
      <c r="N128" t="s">
        <v>375</v>
      </c>
      <c r="O128">
        <v>407993</v>
      </c>
      <c r="P128" s="9" t="b">
        <v>0</v>
      </c>
    </row>
    <row r="129" spans="1:16" x14ac:dyDescent="0.2">
      <c r="A129" t="s">
        <v>28</v>
      </c>
      <c r="B129" t="s">
        <v>231</v>
      </c>
      <c r="C129">
        <v>22</v>
      </c>
      <c r="D129">
        <v>37462936</v>
      </c>
      <c r="E129" t="s">
        <v>89</v>
      </c>
      <c r="F129" t="s">
        <v>88</v>
      </c>
      <c r="G129" s="27">
        <v>30050</v>
      </c>
      <c r="H129" t="s">
        <v>435</v>
      </c>
      <c r="I129" t="s">
        <v>372</v>
      </c>
      <c r="J129" s="3">
        <v>0.56069999999999998</v>
      </c>
      <c r="K129" s="3">
        <v>0.19109999999999999</v>
      </c>
      <c r="L129" s="2">
        <v>2.5899999999999999E-3</v>
      </c>
      <c r="M129" s="3">
        <v>-2728</v>
      </c>
      <c r="N129" t="s">
        <v>375</v>
      </c>
      <c r="O129">
        <v>407992</v>
      </c>
      <c r="P129" s="9" t="b">
        <v>0</v>
      </c>
    </row>
    <row r="130" spans="1:16" x14ac:dyDescent="0.2">
      <c r="A130" t="s">
        <v>28</v>
      </c>
      <c r="B130" t="s">
        <v>231</v>
      </c>
      <c r="C130">
        <v>22</v>
      </c>
      <c r="D130">
        <v>37462936</v>
      </c>
      <c r="E130" t="s">
        <v>89</v>
      </c>
      <c r="F130" t="s">
        <v>88</v>
      </c>
      <c r="G130" s="27">
        <v>30060</v>
      </c>
      <c r="H130" t="s">
        <v>436</v>
      </c>
      <c r="I130" t="s">
        <v>372</v>
      </c>
      <c r="J130" s="3">
        <v>0.56069999999999998</v>
      </c>
      <c r="K130" s="3">
        <v>6.9459999999999994E-2</v>
      </c>
      <c r="L130" s="2">
        <v>2.3240000000000001E-3</v>
      </c>
      <c r="M130" s="3">
        <f t="shared" si="1"/>
        <v>-450.5</v>
      </c>
      <c r="N130">
        <v>2.240453334430902E-196</v>
      </c>
      <c r="O130">
        <v>408000</v>
      </c>
      <c r="P130" s="9" t="b">
        <v>0</v>
      </c>
    </row>
    <row r="131" spans="1:16" x14ac:dyDescent="0.2">
      <c r="A131" t="s">
        <v>28</v>
      </c>
      <c r="B131" t="s">
        <v>231</v>
      </c>
      <c r="C131">
        <v>22</v>
      </c>
      <c r="D131">
        <v>37462936</v>
      </c>
      <c r="E131" t="s">
        <v>89</v>
      </c>
      <c r="F131" t="s">
        <v>88</v>
      </c>
      <c r="G131" s="27">
        <v>30070</v>
      </c>
      <c r="H131" t="s">
        <v>437</v>
      </c>
      <c r="I131" t="s">
        <v>372</v>
      </c>
      <c r="J131" s="3">
        <v>0.56069999999999998</v>
      </c>
      <c r="K131" s="3">
        <v>-0.13800000000000001</v>
      </c>
      <c r="L131" s="2">
        <v>2.5690000000000001E-3</v>
      </c>
      <c r="M131" s="3">
        <v>-1448</v>
      </c>
      <c r="N131" t="s">
        <v>375</v>
      </c>
      <c r="O131">
        <v>407993</v>
      </c>
      <c r="P131" t="b">
        <v>1</v>
      </c>
    </row>
    <row r="132" spans="1:16" x14ac:dyDescent="0.2">
      <c r="A132" t="s">
        <v>28</v>
      </c>
      <c r="B132" t="s">
        <v>231</v>
      </c>
      <c r="C132">
        <v>22</v>
      </c>
      <c r="D132">
        <v>37462936</v>
      </c>
      <c r="E132" t="s">
        <v>89</v>
      </c>
      <c r="F132" t="s">
        <v>88</v>
      </c>
      <c r="G132" s="27">
        <v>30080</v>
      </c>
      <c r="H132" t="s">
        <v>438</v>
      </c>
      <c r="I132" t="s">
        <v>372</v>
      </c>
      <c r="J132" s="3">
        <v>0.56069999999999998</v>
      </c>
      <c r="K132" s="3">
        <v>-3.9260000000000003E-2</v>
      </c>
      <c r="L132" s="2">
        <v>2.6949999999999999E-3</v>
      </c>
      <c r="M132" s="3">
        <f t="shared" si="1"/>
        <v>-109</v>
      </c>
      <c r="N132">
        <v>4.5909384738829458E-48</v>
      </c>
      <c r="O132">
        <v>407992</v>
      </c>
      <c r="P132" t="b">
        <v>1</v>
      </c>
    </row>
    <row r="133" spans="1:16" x14ac:dyDescent="0.2">
      <c r="A133" t="s">
        <v>28</v>
      </c>
      <c r="B133" t="s">
        <v>231</v>
      </c>
      <c r="C133">
        <v>22</v>
      </c>
      <c r="D133">
        <v>37462936</v>
      </c>
      <c r="E133" t="s">
        <v>89</v>
      </c>
      <c r="F133" t="s">
        <v>88</v>
      </c>
      <c r="G133" s="27">
        <v>30090</v>
      </c>
      <c r="H133" t="s">
        <v>439</v>
      </c>
      <c r="I133" t="s">
        <v>372</v>
      </c>
      <c r="J133" s="3">
        <v>0.56069999999999998</v>
      </c>
      <c r="K133" s="3">
        <v>-3.6409999999999998E-2</v>
      </c>
      <c r="L133" s="2">
        <v>2.6150000000000001E-3</v>
      </c>
      <c r="M133" s="3">
        <f t="shared" si="1"/>
        <v>-99.74</v>
      </c>
      <c r="N133">
        <v>4.8246784579839829E-44</v>
      </c>
      <c r="O133">
        <v>407988</v>
      </c>
      <c r="P133" t="b">
        <v>1</v>
      </c>
    </row>
    <row r="134" spans="1:16" x14ac:dyDescent="0.2">
      <c r="A134" t="s">
        <v>28</v>
      </c>
      <c r="B134" t="s">
        <v>231</v>
      </c>
      <c r="C134">
        <v>22</v>
      </c>
      <c r="D134">
        <v>37462936</v>
      </c>
      <c r="E134" t="s">
        <v>89</v>
      </c>
      <c r="F134" t="s">
        <v>88</v>
      </c>
      <c r="G134" s="27">
        <v>30100</v>
      </c>
      <c r="H134" t="s">
        <v>440</v>
      </c>
      <c r="I134" t="s">
        <v>372</v>
      </c>
      <c r="J134" s="3">
        <v>0.56069999999999998</v>
      </c>
      <c r="K134" s="3">
        <v>1.4460000000000001E-2</v>
      </c>
      <c r="L134" s="2">
        <v>2.8509999999999998E-3</v>
      </c>
      <c r="M134" s="3">
        <f t="shared" si="1"/>
        <v>-14.75</v>
      </c>
      <c r="N134">
        <v>3.9278635454810392E-7</v>
      </c>
      <c r="O134">
        <v>407987</v>
      </c>
      <c r="P134" s="9" t="b">
        <v>0</v>
      </c>
    </row>
    <row r="135" spans="1:16" x14ac:dyDescent="0.2">
      <c r="A135" t="s">
        <v>28</v>
      </c>
      <c r="B135" t="s">
        <v>231</v>
      </c>
      <c r="C135">
        <v>22</v>
      </c>
      <c r="D135">
        <v>37462936</v>
      </c>
      <c r="E135" t="s">
        <v>89</v>
      </c>
      <c r="F135" t="s">
        <v>88</v>
      </c>
      <c r="G135" s="27">
        <v>30110</v>
      </c>
      <c r="H135" t="s">
        <v>441</v>
      </c>
      <c r="I135" t="s">
        <v>372</v>
      </c>
      <c r="J135" s="3">
        <v>0.56069999999999998</v>
      </c>
      <c r="K135" s="3">
        <v>2.598E-2</v>
      </c>
      <c r="L135" s="2">
        <v>2.6749999999999999E-3</v>
      </c>
      <c r="M135" s="3">
        <f t="shared" ref="M135:M194" si="2">LN(N135)</f>
        <v>-49.66</v>
      </c>
      <c r="N135">
        <v>2.7097924516968134E-22</v>
      </c>
      <c r="O135">
        <v>407987</v>
      </c>
      <c r="P135" s="9" t="b">
        <v>0</v>
      </c>
    </row>
    <row r="136" spans="1:16" x14ac:dyDescent="0.2">
      <c r="A136" t="s">
        <v>28</v>
      </c>
      <c r="B136" t="s">
        <v>231</v>
      </c>
      <c r="C136">
        <v>22</v>
      </c>
      <c r="D136">
        <v>37462936</v>
      </c>
      <c r="E136" t="s">
        <v>89</v>
      </c>
      <c r="F136" t="s">
        <v>88</v>
      </c>
      <c r="G136" s="27">
        <v>30130</v>
      </c>
      <c r="H136" t="s">
        <v>443</v>
      </c>
      <c r="I136" t="s">
        <v>372</v>
      </c>
      <c r="J136" s="3">
        <v>0.56069999999999998</v>
      </c>
      <c r="K136" s="3">
        <v>1.303E-2</v>
      </c>
      <c r="L136" s="2">
        <v>2.5769999999999999E-3</v>
      </c>
      <c r="M136" s="3">
        <f t="shared" si="2"/>
        <v>-14.66</v>
      </c>
      <c r="N136">
        <v>4.2977672813685232E-7</v>
      </c>
      <c r="O136">
        <v>407265</v>
      </c>
      <c r="P136" s="9" t="b">
        <v>0</v>
      </c>
    </row>
    <row r="137" spans="1:16" x14ac:dyDescent="0.2">
      <c r="A137" t="s">
        <v>28</v>
      </c>
      <c r="B137" t="s">
        <v>231</v>
      </c>
      <c r="C137">
        <v>22</v>
      </c>
      <c r="D137">
        <v>37462936</v>
      </c>
      <c r="E137" t="s">
        <v>89</v>
      </c>
      <c r="F137" t="s">
        <v>88</v>
      </c>
      <c r="G137" s="27">
        <v>30240</v>
      </c>
      <c r="H137" t="s">
        <v>450</v>
      </c>
      <c r="I137" t="s">
        <v>372</v>
      </c>
      <c r="J137" s="3">
        <v>0.56089999999999995</v>
      </c>
      <c r="K137" s="3">
        <v>4.8250000000000001E-2</v>
      </c>
      <c r="L137" s="2">
        <v>2.6419999999999998E-3</v>
      </c>
      <c r="M137" s="3">
        <f t="shared" si="2"/>
        <v>-169.9</v>
      </c>
      <c r="N137">
        <v>1.6344345140514861E-74</v>
      </c>
      <c r="O137">
        <v>401344</v>
      </c>
      <c r="P137" s="9" t="b">
        <v>0</v>
      </c>
    </row>
    <row r="138" spans="1:16" x14ac:dyDescent="0.2">
      <c r="A138" t="s">
        <v>28</v>
      </c>
      <c r="B138" t="s">
        <v>231</v>
      </c>
      <c r="C138">
        <v>22</v>
      </c>
      <c r="D138">
        <v>37462936</v>
      </c>
      <c r="E138" t="s">
        <v>89</v>
      </c>
      <c r="F138" t="s">
        <v>88</v>
      </c>
      <c r="G138" s="27">
        <v>30250</v>
      </c>
      <c r="H138" t="s">
        <v>451</v>
      </c>
      <c r="I138" t="s">
        <v>372</v>
      </c>
      <c r="J138" s="3">
        <v>0.56089999999999995</v>
      </c>
      <c r="K138" s="3">
        <v>4.2560000000000001E-2</v>
      </c>
      <c r="L138" s="2">
        <v>2.6220000000000002E-3</v>
      </c>
      <c r="M138" s="3">
        <f t="shared" si="2"/>
        <v>-134.80000000000001</v>
      </c>
      <c r="N138">
        <v>2.864862874302561E-59</v>
      </c>
      <c r="O138">
        <v>401345</v>
      </c>
      <c r="P138" s="9" t="b">
        <v>0</v>
      </c>
    </row>
    <row r="139" spans="1:16" x14ac:dyDescent="0.2">
      <c r="A139" t="s">
        <v>28</v>
      </c>
      <c r="B139" t="s">
        <v>231</v>
      </c>
      <c r="C139">
        <v>22</v>
      </c>
      <c r="D139">
        <v>37462936</v>
      </c>
      <c r="E139" t="s">
        <v>89</v>
      </c>
      <c r="F139" t="s">
        <v>88</v>
      </c>
      <c r="G139" s="27">
        <v>30270</v>
      </c>
      <c r="H139" t="s">
        <v>453</v>
      </c>
      <c r="I139" t="s">
        <v>372</v>
      </c>
      <c r="J139" s="3">
        <v>0.56089999999999995</v>
      </c>
      <c r="K139" s="3">
        <v>7.0819999999999994E-2</v>
      </c>
      <c r="L139" s="2">
        <v>2.6549999999999998E-3</v>
      </c>
      <c r="M139" s="3">
        <f t="shared" si="2"/>
        <v>-359.3</v>
      </c>
      <c r="N139">
        <v>9.0780517087156609E-157</v>
      </c>
      <c r="O139">
        <v>401345</v>
      </c>
      <c r="P139" s="9" t="b">
        <v>0</v>
      </c>
    </row>
    <row r="140" spans="1:16" x14ac:dyDescent="0.2">
      <c r="A140" t="s">
        <v>28</v>
      </c>
      <c r="B140" t="s">
        <v>231</v>
      </c>
      <c r="C140">
        <v>22</v>
      </c>
      <c r="D140">
        <v>37462936</v>
      </c>
      <c r="E140" t="s">
        <v>89</v>
      </c>
      <c r="F140" t="s">
        <v>88</v>
      </c>
      <c r="G140" s="27">
        <v>30280</v>
      </c>
      <c r="H140" t="s">
        <v>454</v>
      </c>
      <c r="I140" t="s">
        <v>372</v>
      </c>
      <c r="J140" s="3">
        <v>0.56089999999999995</v>
      </c>
      <c r="K140" s="3">
        <v>-1.821E-2</v>
      </c>
      <c r="L140" s="2">
        <v>2.545E-3</v>
      </c>
      <c r="M140" s="3">
        <f t="shared" si="2"/>
        <v>-27.8</v>
      </c>
      <c r="N140">
        <v>8.4452673616397313E-13</v>
      </c>
      <c r="O140">
        <v>401344</v>
      </c>
      <c r="P140" t="b">
        <v>1</v>
      </c>
    </row>
    <row r="141" spans="1:16" x14ac:dyDescent="0.2">
      <c r="A141" t="s">
        <v>28</v>
      </c>
      <c r="B141" t="s">
        <v>231</v>
      </c>
      <c r="C141">
        <v>22</v>
      </c>
      <c r="D141">
        <v>37462936</v>
      </c>
      <c r="E141" t="s">
        <v>89</v>
      </c>
      <c r="F141" t="s">
        <v>88</v>
      </c>
      <c r="G141" s="27">
        <v>30290</v>
      </c>
      <c r="H141" t="s">
        <v>455</v>
      </c>
      <c r="I141" t="s">
        <v>372</v>
      </c>
      <c r="J141" s="3">
        <v>0.56089999999999995</v>
      </c>
      <c r="K141" s="3">
        <v>3.0030000000000001E-2</v>
      </c>
      <c r="L141" s="2">
        <v>2.6640000000000001E-3</v>
      </c>
      <c r="M141" s="3">
        <f t="shared" si="2"/>
        <v>-66.209999999999994</v>
      </c>
      <c r="N141">
        <v>1.7593909478942654E-29</v>
      </c>
      <c r="O141">
        <v>401345</v>
      </c>
      <c r="P141" s="9" t="b">
        <v>0</v>
      </c>
    </row>
    <row r="142" spans="1:16" x14ac:dyDescent="0.2">
      <c r="A142" t="s">
        <v>28</v>
      </c>
      <c r="B142" t="s">
        <v>231</v>
      </c>
      <c r="C142">
        <v>22</v>
      </c>
      <c r="D142">
        <v>37462936</v>
      </c>
      <c r="E142" t="s">
        <v>89</v>
      </c>
      <c r="F142" t="s">
        <v>88</v>
      </c>
      <c r="G142" s="27">
        <v>30300</v>
      </c>
      <c r="H142" t="s">
        <v>456</v>
      </c>
      <c r="I142" t="s">
        <v>372</v>
      </c>
      <c r="J142" s="3">
        <v>0.56089999999999995</v>
      </c>
      <c r="K142" s="3">
        <v>2.614E-2</v>
      </c>
      <c r="L142" s="2">
        <v>2.6440000000000001E-3</v>
      </c>
      <c r="M142" s="3">
        <f t="shared" si="2"/>
        <v>-51.4</v>
      </c>
      <c r="N142">
        <v>4.7562385671073786E-23</v>
      </c>
      <c r="O142">
        <v>401345</v>
      </c>
      <c r="P142" s="9" t="b">
        <v>0</v>
      </c>
    </row>
    <row r="143" spans="1:16" x14ac:dyDescent="0.2">
      <c r="A143" t="s">
        <v>42</v>
      </c>
      <c r="B143" t="s">
        <v>272</v>
      </c>
      <c r="C143">
        <v>2</v>
      </c>
      <c r="D143">
        <v>211540507</v>
      </c>
      <c r="E143" t="s">
        <v>83</v>
      </c>
      <c r="F143" t="s">
        <v>89</v>
      </c>
      <c r="G143" s="27">
        <v>30000</v>
      </c>
      <c r="H143" t="s">
        <v>430</v>
      </c>
      <c r="I143" t="s">
        <v>372</v>
      </c>
      <c r="J143" s="3">
        <v>0.31559999999999999</v>
      </c>
      <c r="K143" s="3">
        <v>-1.584E-2</v>
      </c>
      <c r="L143" s="2">
        <v>2.3159999999999999E-3</v>
      </c>
      <c r="M143" s="3">
        <f t="shared" si="2"/>
        <v>-25.56</v>
      </c>
      <c r="N143">
        <v>7.9329194138909997E-12</v>
      </c>
      <c r="O143">
        <v>407990</v>
      </c>
      <c r="P143" t="b">
        <v>0</v>
      </c>
    </row>
    <row r="144" spans="1:16" x14ac:dyDescent="0.2">
      <c r="A144" t="s">
        <v>42</v>
      </c>
      <c r="B144" t="s">
        <v>272</v>
      </c>
      <c r="C144">
        <v>2</v>
      </c>
      <c r="D144">
        <v>211540507</v>
      </c>
      <c r="E144" t="s">
        <v>83</v>
      </c>
      <c r="F144" t="s">
        <v>89</v>
      </c>
      <c r="G144" s="27">
        <v>30040</v>
      </c>
      <c r="H144" t="s">
        <v>434</v>
      </c>
      <c r="I144" t="s">
        <v>372</v>
      </c>
      <c r="J144" s="3">
        <v>0.31559999999999999</v>
      </c>
      <c r="K144" s="3">
        <v>2.0039999999999999E-2</v>
      </c>
      <c r="L144" s="2">
        <v>2.7729999999999999E-3</v>
      </c>
      <c r="M144" s="3">
        <f t="shared" si="2"/>
        <v>-28.34</v>
      </c>
      <c r="N144">
        <v>4.9214647958266517E-13</v>
      </c>
      <c r="O144">
        <v>407993</v>
      </c>
      <c r="P144" s="9" t="b">
        <v>1</v>
      </c>
    </row>
    <row r="145" spans="1:16" x14ac:dyDescent="0.2">
      <c r="A145" t="s">
        <v>42</v>
      </c>
      <c r="B145" t="s">
        <v>272</v>
      </c>
      <c r="C145">
        <v>2</v>
      </c>
      <c r="D145">
        <v>211540507</v>
      </c>
      <c r="E145" t="s">
        <v>83</v>
      </c>
      <c r="F145" t="s">
        <v>89</v>
      </c>
      <c r="G145" s="27">
        <v>30050</v>
      </c>
      <c r="H145" t="s">
        <v>435</v>
      </c>
      <c r="I145" t="s">
        <v>372</v>
      </c>
      <c r="J145" s="3">
        <v>0.31559999999999999</v>
      </c>
      <c r="K145" s="3">
        <v>1.8579999999999999E-2</v>
      </c>
      <c r="L145" s="2">
        <v>2.7539999999999999E-3</v>
      </c>
      <c r="M145" s="3">
        <f t="shared" si="2"/>
        <v>-24.92</v>
      </c>
      <c r="N145">
        <v>1.504462998551128E-11</v>
      </c>
      <c r="O145">
        <v>407992</v>
      </c>
      <c r="P145" s="9" t="b">
        <v>1</v>
      </c>
    </row>
    <row r="146" spans="1:16" x14ac:dyDescent="0.2">
      <c r="A146" t="s">
        <v>42</v>
      </c>
      <c r="B146" t="s">
        <v>272</v>
      </c>
      <c r="C146">
        <v>2</v>
      </c>
      <c r="D146">
        <v>211540507</v>
      </c>
      <c r="E146" t="s">
        <v>83</v>
      </c>
      <c r="F146" t="s">
        <v>89</v>
      </c>
      <c r="G146" s="27">
        <v>30070</v>
      </c>
      <c r="H146" t="s">
        <v>437</v>
      </c>
      <c r="I146" t="s">
        <v>372</v>
      </c>
      <c r="J146" s="3">
        <v>0.31559999999999999</v>
      </c>
      <c r="K146" s="3">
        <v>1.3690000000000001E-2</v>
      </c>
      <c r="L146" s="2">
        <v>2.7309999999999999E-3</v>
      </c>
      <c r="M146" s="3">
        <f t="shared" si="2"/>
        <v>-14.43</v>
      </c>
      <c r="N146">
        <v>5.4091699430050104E-7</v>
      </c>
      <c r="O146">
        <v>407993</v>
      </c>
      <c r="P146" s="9" t="b">
        <v>1</v>
      </c>
    </row>
    <row r="147" spans="1:16" x14ac:dyDescent="0.2">
      <c r="A147" t="s">
        <v>42</v>
      </c>
      <c r="B147" t="s">
        <v>272</v>
      </c>
      <c r="C147">
        <v>2</v>
      </c>
      <c r="D147">
        <v>211540507</v>
      </c>
      <c r="E147" t="s">
        <v>83</v>
      </c>
      <c r="F147" t="s">
        <v>89</v>
      </c>
      <c r="G147" s="27">
        <v>30080</v>
      </c>
      <c r="H147" t="s">
        <v>438</v>
      </c>
      <c r="I147" t="s">
        <v>372</v>
      </c>
      <c r="J147" s="3">
        <v>0.31559999999999999</v>
      </c>
      <c r="K147" s="3">
        <v>-3.0190000000000002E-2</v>
      </c>
      <c r="L147" s="2">
        <v>2.8660000000000001E-3</v>
      </c>
      <c r="M147" s="3">
        <f t="shared" si="2"/>
        <v>-58.06</v>
      </c>
      <c r="N147">
        <v>6.093437776930999E-26</v>
      </c>
      <c r="O147">
        <v>407992</v>
      </c>
      <c r="P147" s="9" t="b">
        <v>0</v>
      </c>
    </row>
    <row r="148" spans="1:16" x14ac:dyDescent="0.2">
      <c r="A148" t="s">
        <v>42</v>
      </c>
      <c r="B148" t="s">
        <v>272</v>
      </c>
      <c r="C148">
        <v>2</v>
      </c>
      <c r="D148">
        <v>211540507</v>
      </c>
      <c r="E148" t="s">
        <v>83</v>
      </c>
      <c r="F148" t="s">
        <v>89</v>
      </c>
      <c r="G148" s="27">
        <v>30090</v>
      </c>
      <c r="H148" t="s">
        <v>439</v>
      </c>
      <c r="I148" t="s">
        <v>372</v>
      </c>
      <c r="J148" s="3">
        <v>0.31559999999999999</v>
      </c>
      <c r="K148" s="3">
        <v>-1.66E-2</v>
      </c>
      <c r="L148" s="2">
        <v>2.7810000000000001E-3</v>
      </c>
      <c r="M148" s="3">
        <f t="shared" si="2"/>
        <v>-19.86</v>
      </c>
      <c r="N148">
        <v>2.3708910073107362E-9</v>
      </c>
      <c r="O148">
        <v>407988</v>
      </c>
      <c r="P148" s="9" t="b">
        <v>0</v>
      </c>
    </row>
    <row r="149" spans="1:16" x14ac:dyDescent="0.2">
      <c r="A149" t="s">
        <v>42</v>
      </c>
      <c r="B149" t="s">
        <v>272</v>
      </c>
      <c r="C149">
        <v>2</v>
      </c>
      <c r="D149">
        <v>211540507</v>
      </c>
      <c r="E149" t="s">
        <v>83</v>
      </c>
      <c r="F149" t="s">
        <v>89</v>
      </c>
      <c r="G149" s="27">
        <v>30100</v>
      </c>
      <c r="H149" t="s">
        <v>440</v>
      </c>
      <c r="I149" t="s">
        <v>372</v>
      </c>
      <c r="J149" s="3">
        <v>0.31559999999999999</v>
      </c>
      <c r="K149" s="3">
        <v>3.0030000000000001E-2</v>
      </c>
      <c r="L149" s="2">
        <v>3.0309999999999998E-3</v>
      </c>
      <c r="M149" s="3">
        <f t="shared" si="2"/>
        <v>-51.6</v>
      </c>
      <c r="N149">
        <v>3.8940787838663543E-23</v>
      </c>
      <c r="O149">
        <v>407987</v>
      </c>
      <c r="P149" s="9" t="b">
        <v>1</v>
      </c>
    </row>
    <row r="150" spans="1:16" x14ac:dyDescent="0.2">
      <c r="A150" t="s">
        <v>42</v>
      </c>
      <c r="B150" t="s">
        <v>272</v>
      </c>
      <c r="C150">
        <v>2</v>
      </c>
      <c r="D150">
        <v>211540507</v>
      </c>
      <c r="E150" t="s">
        <v>83</v>
      </c>
      <c r="F150" t="s">
        <v>89</v>
      </c>
      <c r="G150" s="27">
        <v>30110</v>
      </c>
      <c r="H150" t="s">
        <v>441</v>
      </c>
      <c r="I150" t="s">
        <v>372</v>
      </c>
      <c r="J150" s="3">
        <v>0.31559999999999999</v>
      </c>
      <c r="K150" s="3">
        <v>1.787E-2</v>
      </c>
      <c r="L150" s="2">
        <v>2.8440000000000002E-3</v>
      </c>
      <c r="M150" s="3">
        <f t="shared" si="2"/>
        <v>-21.83</v>
      </c>
      <c r="N150">
        <v>3.3063700630809102E-10</v>
      </c>
      <c r="O150">
        <v>407987</v>
      </c>
      <c r="P150" s="9" t="b">
        <v>1</v>
      </c>
    </row>
    <row r="151" spans="1:16" x14ac:dyDescent="0.2">
      <c r="A151" t="s">
        <v>42</v>
      </c>
      <c r="B151" t="s">
        <v>272</v>
      </c>
      <c r="C151">
        <v>2</v>
      </c>
      <c r="D151">
        <v>211540507</v>
      </c>
      <c r="E151" t="s">
        <v>83</v>
      </c>
      <c r="F151" t="s">
        <v>89</v>
      </c>
      <c r="G151" s="27">
        <v>30140</v>
      </c>
      <c r="H151" t="s">
        <v>444</v>
      </c>
      <c r="I151" t="s">
        <v>372</v>
      </c>
      <c r="J151" s="3">
        <v>0.31569999999999998</v>
      </c>
      <c r="K151" s="3">
        <v>-1.6060000000000001E-2</v>
      </c>
      <c r="L151" s="2">
        <v>2.3029999999999999E-3</v>
      </c>
      <c r="M151" s="3">
        <f t="shared" si="2"/>
        <v>-26.5</v>
      </c>
      <c r="N151">
        <v>3.0988191387218256E-12</v>
      </c>
      <c r="O151">
        <v>407265</v>
      </c>
      <c r="P151" s="9" t="b">
        <v>0</v>
      </c>
    </row>
    <row r="152" spans="1:16" x14ac:dyDescent="0.2">
      <c r="A152" t="s">
        <v>42</v>
      </c>
      <c r="B152" t="s">
        <v>272</v>
      </c>
      <c r="C152">
        <v>2</v>
      </c>
      <c r="D152">
        <v>211540507</v>
      </c>
      <c r="E152" t="s">
        <v>83</v>
      </c>
      <c r="F152" t="s">
        <v>89</v>
      </c>
      <c r="G152" s="27">
        <v>30150</v>
      </c>
      <c r="H152" t="s">
        <v>445</v>
      </c>
      <c r="I152" t="s">
        <v>372</v>
      </c>
      <c r="J152" s="3">
        <v>0.31569999999999998</v>
      </c>
      <c r="K152" s="3">
        <v>1.7489999999999999E-2</v>
      </c>
      <c r="L152" s="2">
        <v>2.7659999999999998E-3</v>
      </c>
      <c r="M152" s="3">
        <f t="shared" si="2"/>
        <v>-22.09</v>
      </c>
      <c r="N152">
        <v>2.549381880391969E-10</v>
      </c>
      <c r="O152">
        <v>407265</v>
      </c>
      <c r="P152" s="9" t="b">
        <v>1</v>
      </c>
    </row>
    <row r="153" spans="1:16" x14ac:dyDescent="0.2">
      <c r="A153" t="s">
        <v>42</v>
      </c>
      <c r="B153" t="s">
        <v>272</v>
      </c>
      <c r="C153">
        <v>2</v>
      </c>
      <c r="D153">
        <v>211540507</v>
      </c>
      <c r="E153" t="s">
        <v>83</v>
      </c>
      <c r="F153" t="s">
        <v>89</v>
      </c>
      <c r="G153" s="27">
        <v>30210</v>
      </c>
      <c r="H153" t="s">
        <v>449</v>
      </c>
      <c r="I153" t="s">
        <v>372</v>
      </c>
      <c r="J153" s="3">
        <v>0.31569999999999998</v>
      </c>
      <c r="K153" s="3">
        <v>2.3179999999999999E-2</v>
      </c>
      <c r="L153" s="2">
        <v>2.7680000000000001E-3</v>
      </c>
      <c r="M153" s="3">
        <f t="shared" si="2"/>
        <v>-37.44</v>
      </c>
      <c r="N153">
        <v>5.4955934538162174E-17</v>
      </c>
      <c r="O153">
        <v>407270</v>
      </c>
      <c r="P153" s="9" t="b">
        <v>1</v>
      </c>
    </row>
    <row r="154" spans="1:16" x14ac:dyDescent="0.2">
      <c r="A154" t="s">
        <v>56</v>
      </c>
      <c r="B154" t="s">
        <v>304</v>
      </c>
      <c r="C154">
        <v>1</v>
      </c>
      <c r="D154">
        <v>199029020</v>
      </c>
      <c r="E154" t="s">
        <v>89</v>
      </c>
      <c r="F154" t="s">
        <v>83</v>
      </c>
      <c r="G154" s="27">
        <v>30010</v>
      </c>
      <c r="H154" t="s">
        <v>431</v>
      </c>
      <c r="I154" t="s">
        <v>372</v>
      </c>
      <c r="J154" s="3">
        <v>0.66110000000000002</v>
      </c>
      <c r="K154" s="3">
        <v>2.0330000000000001E-2</v>
      </c>
      <c r="L154" s="2">
        <v>2.3379999999999998E-3</v>
      </c>
      <c r="M154" s="3">
        <f t="shared" si="2"/>
        <v>-40.21</v>
      </c>
      <c r="N154">
        <v>3.4436490306397653E-18</v>
      </c>
      <c r="O154">
        <v>407995</v>
      </c>
      <c r="P154" t="b">
        <v>0</v>
      </c>
    </row>
    <row r="155" spans="1:16" x14ac:dyDescent="0.2">
      <c r="A155" t="s">
        <v>56</v>
      </c>
      <c r="B155" t="s">
        <v>304</v>
      </c>
      <c r="C155">
        <v>1</v>
      </c>
      <c r="D155">
        <v>199029020</v>
      </c>
      <c r="E155" t="s">
        <v>89</v>
      </c>
      <c r="F155" t="s">
        <v>83</v>
      </c>
      <c r="G155" s="27">
        <v>30020</v>
      </c>
      <c r="H155" t="s">
        <v>432</v>
      </c>
      <c r="I155" t="s">
        <v>372</v>
      </c>
      <c r="J155" s="3">
        <v>0.66110000000000002</v>
      </c>
      <c r="K155" s="3">
        <v>1.35E-2</v>
      </c>
      <c r="L155" s="2">
        <v>2.117E-3</v>
      </c>
      <c r="M155" s="3">
        <f t="shared" si="2"/>
        <v>-22.43</v>
      </c>
      <c r="N155">
        <v>1.814574363851741E-10</v>
      </c>
      <c r="O155">
        <v>407994</v>
      </c>
      <c r="P155" t="b">
        <v>0</v>
      </c>
    </row>
    <row r="156" spans="1:16" x14ac:dyDescent="0.2">
      <c r="A156" t="s">
        <v>56</v>
      </c>
      <c r="B156" t="s">
        <v>304</v>
      </c>
      <c r="C156">
        <v>1</v>
      </c>
      <c r="D156">
        <v>199029020</v>
      </c>
      <c r="E156" t="s">
        <v>89</v>
      </c>
      <c r="F156" t="s">
        <v>83</v>
      </c>
      <c r="G156" s="27">
        <v>30030</v>
      </c>
      <c r="H156" t="s">
        <v>433</v>
      </c>
      <c r="I156" t="s">
        <v>372</v>
      </c>
      <c r="J156" s="3">
        <v>0.66110000000000002</v>
      </c>
      <c r="K156" s="3">
        <v>1.325E-2</v>
      </c>
      <c r="L156" s="2">
        <v>2.183E-3</v>
      </c>
      <c r="M156" s="3">
        <f t="shared" si="2"/>
        <v>-20.46</v>
      </c>
      <c r="N156">
        <v>1.3011725727228178E-9</v>
      </c>
      <c r="O156">
        <v>407995</v>
      </c>
      <c r="P156" t="b">
        <v>0</v>
      </c>
    </row>
    <row r="157" spans="1:16" x14ac:dyDescent="0.2">
      <c r="A157" t="s">
        <v>56</v>
      </c>
      <c r="B157" t="s">
        <v>304</v>
      </c>
      <c r="C157">
        <v>1</v>
      </c>
      <c r="D157">
        <v>199029020</v>
      </c>
      <c r="E157" t="s">
        <v>89</v>
      </c>
      <c r="F157" t="s">
        <v>83</v>
      </c>
      <c r="G157" s="27">
        <v>30040</v>
      </c>
      <c r="H157" t="s">
        <v>434</v>
      </c>
      <c r="I157" t="s">
        <v>372</v>
      </c>
      <c r="J157" s="3">
        <v>0.66110000000000002</v>
      </c>
      <c r="K157" s="3">
        <v>-1.559E-2</v>
      </c>
      <c r="L157" s="2">
        <v>2.7590000000000002E-3</v>
      </c>
      <c r="M157" s="3">
        <f t="shared" si="2"/>
        <v>-17.940000000000001</v>
      </c>
      <c r="N157">
        <v>1.6171749096081416E-8</v>
      </c>
      <c r="O157">
        <v>407993</v>
      </c>
      <c r="P157" s="9" t="b">
        <v>1</v>
      </c>
    </row>
    <row r="158" spans="1:16" x14ac:dyDescent="0.2">
      <c r="A158" t="s">
        <v>56</v>
      </c>
      <c r="B158" t="s">
        <v>304</v>
      </c>
      <c r="C158">
        <v>1</v>
      </c>
      <c r="D158">
        <v>199029020</v>
      </c>
      <c r="E158" t="s">
        <v>89</v>
      </c>
      <c r="F158" t="s">
        <v>83</v>
      </c>
      <c r="G158" s="27">
        <v>30110</v>
      </c>
      <c r="H158" t="s">
        <v>441</v>
      </c>
      <c r="I158" t="s">
        <v>372</v>
      </c>
      <c r="J158" s="3">
        <v>0.66110000000000002</v>
      </c>
      <c r="K158" s="3">
        <v>-1.4999999999999999E-2</v>
      </c>
      <c r="L158" s="2">
        <v>2.8300000000000001E-3</v>
      </c>
      <c r="M158" s="3">
        <f t="shared" si="2"/>
        <v>-15.98</v>
      </c>
      <c r="N158">
        <v>1.148085360487332E-7</v>
      </c>
      <c r="O158">
        <v>407987</v>
      </c>
      <c r="P158" s="9" t="b">
        <v>1</v>
      </c>
    </row>
    <row r="159" spans="1:16" x14ac:dyDescent="0.2">
      <c r="A159" t="s">
        <v>56</v>
      </c>
      <c r="B159" t="s">
        <v>304</v>
      </c>
      <c r="C159">
        <v>1</v>
      </c>
      <c r="D159">
        <v>199029020</v>
      </c>
      <c r="E159" t="s">
        <v>89</v>
      </c>
      <c r="F159" t="s">
        <v>83</v>
      </c>
      <c r="G159" s="27">
        <v>30240</v>
      </c>
      <c r="H159" t="s">
        <v>450</v>
      </c>
      <c r="I159" t="s">
        <v>372</v>
      </c>
      <c r="J159" s="3">
        <v>0.66100000000000003</v>
      </c>
      <c r="K159" s="3">
        <v>-1.6230000000000001E-2</v>
      </c>
      <c r="L159" s="2">
        <v>2.7959999999999999E-3</v>
      </c>
      <c r="M159" s="3">
        <f t="shared" si="2"/>
        <v>-18.86</v>
      </c>
      <c r="N159">
        <v>6.4447499424297362E-9</v>
      </c>
      <c r="O159">
        <v>401344</v>
      </c>
      <c r="P159" s="9" t="b">
        <v>1</v>
      </c>
    </row>
    <row r="160" spans="1:16" x14ac:dyDescent="0.2">
      <c r="A160" t="s">
        <v>56</v>
      </c>
      <c r="B160" t="s">
        <v>304</v>
      </c>
      <c r="C160">
        <v>1</v>
      </c>
      <c r="D160">
        <v>199029020</v>
      </c>
      <c r="E160" t="s">
        <v>89</v>
      </c>
      <c r="F160" t="s">
        <v>83</v>
      </c>
      <c r="G160" s="27">
        <v>30290</v>
      </c>
      <c r="H160" t="s">
        <v>455</v>
      </c>
      <c r="I160" t="s">
        <v>372</v>
      </c>
      <c r="J160" s="3">
        <v>0.66100000000000003</v>
      </c>
      <c r="K160" s="3">
        <v>-1.4760000000000001E-2</v>
      </c>
      <c r="L160" s="2">
        <v>2.8189999999999999E-3</v>
      </c>
      <c r="M160" s="3">
        <f t="shared" si="2"/>
        <v>-15.61</v>
      </c>
      <c r="N160">
        <v>1.6621229169657332E-7</v>
      </c>
      <c r="O160">
        <v>401345</v>
      </c>
      <c r="P160" s="9" t="b">
        <v>1</v>
      </c>
    </row>
    <row r="161" spans="1:16" x14ac:dyDescent="0.2">
      <c r="A161" t="s">
        <v>56</v>
      </c>
      <c r="B161" t="s">
        <v>298</v>
      </c>
      <c r="C161">
        <v>8</v>
      </c>
      <c r="D161">
        <v>86260295</v>
      </c>
      <c r="E161" t="s">
        <v>89</v>
      </c>
      <c r="F161" t="s">
        <v>84</v>
      </c>
      <c r="G161" s="27">
        <v>30040</v>
      </c>
      <c r="H161" t="s">
        <v>434</v>
      </c>
      <c r="I161" t="s">
        <v>372</v>
      </c>
      <c r="J161" s="3">
        <v>0.59089999999999998</v>
      </c>
      <c r="K161" s="3">
        <v>-1.6140000000000002E-2</v>
      </c>
      <c r="L161" s="2">
        <v>2.627E-3</v>
      </c>
      <c r="M161" s="3">
        <f t="shared" si="2"/>
        <v>-20.94</v>
      </c>
      <c r="N161">
        <v>8.0514397787454734E-10</v>
      </c>
      <c r="O161">
        <v>407993</v>
      </c>
      <c r="P161" s="9" t="b">
        <v>1</v>
      </c>
    </row>
    <row r="162" spans="1:16" x14ac:dyDescent="0.2">
      <c r="A162" t="s">
        <v>56</v>
      </c>
      <c r="B162" t="s">
        <v>298</v>
      </c>
      <c r="C162">
        <v>8</v>
      </c>
      <c r="D162">
        <v>86260295</v>
      </c>
      <c r="E162" t="s">
        <v>89</v>
      </c>
      <c r="F162" t="s">
        <v>84</v>
      </c>
      <c r="G162" s="27">
        <v>30060</v>
      </c>
      <c r="H162" t="s">
        <v>436</v>
      </c>
      <c r="I162" t="s">
        <v>372</v>
      </c>
      <c r="J162" s="3">
        <v>0.59089999999999998</v>
      </c>
      <c r="K162" s="3">
        <v>1.763E-2</v>
      </c>
      <c r="L162" s="2">
        <v>2.3410000000000002E-3</v>
      </c>
      <c r="M162" s="3">
        <f t="shared" si="2"/>
        <v>-30.64</v>
      </c>
      <c r="N162">
        <v>4.9342036985206416E-14</v>
      </c>
      <c r="O162">
        <v>408000</v>
      </c>
      <c r="P162" t="b">
        <v>0</v>
      </c>
    </row>
    <row r="163" spans="1:16" x14ac:dyDescent="0.2">
      <c r="A163" t="s">
        <v>56</v>
      </c>
      <c r="B163" t="s">
        <v>298</v>
      </c>
      <c r="C163">
        <v>8</v>
      </c>
      <c r="D163">
        <v>86260295</v>
      </c>
      <c r="E163" t="s">
        <v>89</v>
      </c>
      <c r="F163" t="s">
        <v>84</v>
      </c>
      <c r="G163" s="27">
        <v>30240</v>
      </c>
      <c r="H163" t="s">
        <v>450</v>
      </c>
      <c r="I163" t="s">
        <v>372</v>
      </c>
      <c r="J163" s="3">
        <v>0.59089999999999998</v>
      </c>
      <c r="K163" s="3">
        <v>2.4969999999999999E-2</v>
      </c>
      <c r="L163" s="2">
        <v>2.6610000000000002E-3</v>
      </c>
      <c r="M163" s="3">
        <f t="shared" si="2"/>
        <v>-46.52</v>
      </c>
      <c r="N163">
        <v>6.260668401877313E-21</v>
      </c>
      <c r="O163">
        <v>401344</v>
      </c>
      <c r="P163" t="b">
        <v>0</v>
      </c>
    </row>
    <row r="164" spans="1:16" x14ac:dyDescent="0.2">
      <c r="A164" t="s">
        <v>56</v>
      </c>
      <c r="B164" t="s">
        <v>298</v>
      </c>
      <c r="C164">
        <v>8</v>
      </c>
      <c r="D164">
        <v>86260295</v>
      </c>
      <c r="E164" t="s">
        <v>89</v>
      </c>
      <c r="F164" t="s">
        <v>84</v>
      </c>
      <c r="G164" s="27">
        <v>30250</v>
      </c>
      <c r="H164" t="s">
        <v>451</v>
      </c>
      <c r="I164" t="s">
        <v>372</v>
      </c>
      <c r="J164" s="3">
        <v>0.59089999999999998</v>
      </c>
      <c r="K164" s="3">
        <v>2.4889999999999999E-2</v>
      </c>
      <c r="L164" s="2">
        <v>2.64E-3</v>
      </c>
      <c r="M164" s="3">
        <f t="shared" si="2"/>
        <v>-46.92</v>
      </c>
      <c r="N164">
        <v>4.1966515313602785E-21</v>
      </c>
      <c r="O164">
        <v>401345</v>
      </c>
      <c r="P164" t="b">
        <v>0</v>
      </c>
    </row>
    <row r="165" spans="1:16" x14ac:dyDescent="0.2">
      <c r="A165" t="s">
        <v>56</v>
      </c>
      <c r="B165" t="s">
        <v>298</v>
      </c>
      <c r="C165">
        <v>8</v>
      </c>
      <c r="D165">
        <v>86260295</v>
      </c>
      <c r="E165" t="s">
        <v>89</v>
      </c>
      <c r="F165" t="s">
        <v>84</v>
      </c>
      <c r="G165" s="27">
        <v>30260</v>
      </c>
      <c r="H165" t="s">
        <v>452</v>
      </c>
      <c r="I165" t="s">
        <v>372</v>
      </c>
      <c r="J165" s="3">
        <v>0.59089999999999998</v>
      </c>
      <c r="K165" s="3">
        <v>-2.3400000000000001E-2</v>
      </c>
      <c r="L165" s="2">
        <v>2.6640000000000001E-3</v>
      </c>
      <c r="M165" s="3">
        <f t="shared" si="2"/>
        <v>-40.98</v>
      </c>
      <c r="N165">
        <v>1.5944545038635104E-18</v>
      </c>
      <c r="O165">
        <v>401344</v>
      </c>
      <c r="P165" s="9" t="b">
        <v>1</v>
      </c>
    </row>
    <row r="166" spans="1:16" x14ac:dyDescent="0.2">
      <c r="A166" t="s">
        <v>56</v>
      </c>
      <c r="B166" t="s">
        <v>298</v>
      </c>
      <c r="C166">
        <v>8</v>
      </c>
      <c r="D166">
        <v>86260295</v>
      </c>
      <c r="E166" t="s">
        <v>89</v>
      </c>
      <c r="F166" t="s">
        <v>84</v>
      </c>
      <c r="G166" s="27">
        <v>30270</v>
      </c>
      <c r="H166" t="s">
        <v>453</v>
      </c>
      <c r="I166" t="s">
        <v>372</v>
      </c>
      <c r="J166" s="3">
        <v>0.59089999999999998</v>
      </c>
      <c r="K166" s="3">
        <v>-1.6910000000000001E-2</v>
      </c>
      <c r="L166" s="2">
        <v>2.6740000000000002E-3</v>
      </c>
      <c r="M166" s="3">
        <f t="shared" si="2"/>
        <v>-22.09</v>
      </c>
      <c r="N166">
        <v>2.549381880391969E-10</v>
      </c>
      <c r="O166">
        <v>401345</v>
      </c>
      <c r="P166" s="9" t="b">
        <v>1</v>
      </c>
    </row>
    <row r="167" spans="1:16" x14ac:dyDescent="0.2">
      <c r="A167" t="s">
        <v>56</v>
      </c>
      <c r="B167" t="s">
        <v>298</v>
      </c>
      <c r="C167">
        <v>8</v>
      </c>
      <c r="D167">
        <v>86260295</v>
      </c>
      <c r="E167" t="s">
        <v>89</v>
      </c>
      <c r="F167" t="s">
        <v>84</v>
      </c>
      <c r="G167" s="27">
        <v>30280</v>
      </c>
      <c r="H167" t="s">
        <v>454</v>
      </c>
      <c r="I167" t="s">
        <v>372</v>
      </c>
      <c r="J167" s="3">
        <v>0.59089999999999998</v>
      </c>
      <c r="K167" s="3">
        <v>2.3279999999999999E-2</v>
      </c>
      <c r="L167" s="2">
        <v>2.5630000000000002E-3</v>
      </c>
      <c r="M167" s="3">
        <f t="shared" si="2"/>
        <v>-43.7</v>
      </c>
      <c r="N167">
        <v>1.050342988860803E-19</v>
      </c>
      <c r="O167">
        <v>401344</v>
      </c>
      <c r="P167" t="b">
        <v>0</v>
      </c>
    </row>
    <row r="168" spans="1:16" x14ac:dyDescent="0.2">
      <c r="A168" t="s">
        <v>56</v>
      </c>
      <c r="B168" t="s">
        <v>298</v>
      </c>
      <c r="C168">
        <v>8</v>
      </c>
      <c r="D168">
        <v>86260295</v>
      </c>
      <c r="E168" t="s">
        <v>89</v>
      </c>
      <c r="F168" t="s">
        <v>84</v>
      </c>
      <c r="G168" s="27">
        <v>30290</v>
      </c>
      <c r="H168" t="s">
        <v>455</v>
      </c>
      <c r="I168" t="s">
        <v>372</v>
      </c>
      <c r="J168" s="3">
        <v>0.59089999999999998</v>
      </c>
      <c r="K168" s="3">
        <v>3.0040000000000001E-2</v>
      </c>
      <c r="L168" s="2">
        <v>2.6830000000000001E-3</v>
      </c>
      <c r="M168" s="3">
        <f t="shared" si="2"/>
        <v>-65.3</v>
      </c>
      <c r="N168">
        <v>4.3708945768869807E-29</v>
      </c>
      <c r="O168">
        <v>401345</v>
      </c>
      <c r="P168" t="b">
        <v>0</v>
      </c>
    </row>
    <row r="169" spans="1:16" x14ac:dyDescent="0.2">
      <c r="A169" t="s">
        <v>56</v>
      </c>
      <c r="B169" t="s">
        <v>298</v>
      </c>
      <c r="C169">
        <v>8</v>
      </c>
      <c r="D169">
        <v>86260295</v>
      </c>
      <c r="E169" t="s">
        <v>89</v>
      </c>
      <c r="F169" t="s">
        <v>84</v>
      </c>
      <c r="G169" s="27">
        <v>30300</v>
      </c>
      <c r="H169" t="s">
        <v>456</v>
      </c>
      <c r="I169" t="s">
        <v>372</v>
      </c>
      <c r="J169" s="3">
        <v>0.59089999999999998</v>
      </c>
      <c r="K169" s="3">
        <v>2.9669999999999998E-2</v>
      </c>
      <c r="L169" s="2">
        <v>2.663E-3</v>
      </c>
      <c r="M169" s="3">
        <f t="shared" si="2"/>
        <v>-64.7</v>
      </c>
      <c r="N169">
        <v>7.9642891830706409E-29</v>
      </c>
      <c r="O169">
        <v>401345</v>
      </c>
      <c r="P169" t="b">
        <v>0</v>
      </c>
    </row>
    <row r="170" spans="1:16" x14ac:dyDescent="0.2">
      <c r="A170" t="s">
        <v>56</v>
      </c>
      <c r="B170" t="s">
        <v>295</v>
      </c>
      <c r="C170">
        <v>15</v>
      </c>
      <c r="D170">
        <v>75355944</v>
      </c>
      <c r="E170" t="s">
        <v>89</v>
      </c>
      <c r="F170" t="s">
        <v>88</v>
      </c>
      <c r="G170" s="27">
        <v>30000</v>
      </c>
      <c r="H170" t="s">
        <v>430</v>
      </c>
      <c r="I170" t="s">
        <v>372</v>
      </c>
      <c r="J170" s="3">
        <v>0.1822</v>
      </c>
      <c r="K170" s="3">
        <v>-1.806E-2</v>
      </c>
      <c r="L170" s="2">
        <v>2.7880000000000001E-3</v>
      </c>
      <c r="M170" s="3">
        <f t="shared" si="2"/>
        <v>-23.11</v>
      </c>
      <c r="N170">
        <v>9.1929420663827241E-11</v>
      </c>
      <c r="O170">
        <v>407990</v>
      </c>
      <c r="P170" s="9" t="b">
        <v>1</v>
      </c>
    </row>
    <row r="171" spans="1:16" x14ac:dyDescent="0.2">
      <c r="A171" t="s">
        <v>56</v>
      </c>
      <c r="B171" t="s">
        <v>295</v>
      </c>
      <c r="C171">
        <v>15</v>
      </c>
      <c r="D171">
        <v>75355944</v>
      </c>
      <c r="E171" t="s">
        <v>89</v>
      </c>
      <c r="F171" t="s">
        <v>88</v>
      </c>
      <c r="G171" s="27">
        <v>30040</v>
      </c>
      <c r="H171" t="s">
        <v>434</v>
      </c>
      <c r="I171" t="s">
        <v>372</v>
      </c>
      <c r="J171" s="3">
        <v>0.1822</v>
      </c>
      <c r="K171" s="3">
        <v>-2.852E-2</v>
      </c>
      <c r="L171" s="2">
        <v>3.3379999999999998E-3</v>
      </c>
      <c r="M171" s="3">
        <f t="shared" si="2"/>
        <v>-38.880000000000003</v>
      </c>
      <c r="N171">
        <v>1.3020586396408104E-17</v>
      </c>
      <c r="O171">
        <v>407993</v>
      </c>
      <c r="P171" s="9" t="b">
        <v>1</v>
      </c>
    </row>
    <row r="172" spans="1:16" x14ac:dyDescent="0.2">
      <c r="A172" t="s">
        <v>56</v>
      </c>
      <c r="B172" t="s">
        <v>295</v>
      </c>
      <c r="C172">
        <v>15</v>
      </c>
      <c r="D172">
        <v>75355944</v>
      </c>
      <c r="E172" t="s">
        <v>89</v>
      </c>
      <c r="F172" t="s">
        <v>88</v>
      </c>
      <c r="G172" s="27">
        <v>30050</v>
      </c>
      <c r="H172" t="s">
        <v>435</v>
      </c>
      <c r="I172" t="s">
        <v>372</v>
      </c>
      <c r="J172" s="3">
        <v>0.1822</v>
      </c>
      <c r="K172" s="3">
        <v>-1.729E-2</v>
      </c>
      <c r="L172" s="2">
        <v>3.3149999999999998E-3</v>
      </c>
      <c r="M172" s="3">
        <f t="shared" si="2"/>
        <v>-15.52</v>
      </c>
      <c r="N172">
        <v>1.8186521521009957E-7</v>
      </c>
      <c r="O172">
        <v>407992</v>
      </c>
      <c r="P172" s="9" t="b">
        <v>1</v>
      </c>
    </row>
    <row r="173" spans="1:16" x14ac:dyDescent="0.2">
      <c r="A173" t="s">
        <v>56</v>
      </c>
      <c r="B173" t="s">
        <v>295</v>
      </c>
      <c r="C173">
        <v>15</v>
      </c>
      <c r="D173">
        <v>75355944</v>
      </c>
      <c r="E173" t="s">
        <v>89</v>
      </c>
      <c r="F173" t="s">
        <v>88</v>
      </c>
      <c r="G173" s="27">
        <v>30080</v>
      </c>
      <c r="H173" t="s">
        <v>438</v>
      </c>
      <c r="I173" t="s">
        <v>372</v>
      </c>
      <c r="J173" s="3">
        <v>0.1822</v>
      </c>
      <c r="K173" s="3">
        <v>-2.4490000000000001E-2</v>
      </c>
      <c r="L173" s="2">
        <v>3.4499999999999999E-3</v>
      </c>
      <c r="M173" s="3">
        <f t="shared" si="2"/>
        <v>-27.41</v>
      </c>
      <c r="N173">
        <v>1.2473497692345828E-12</v>
      </c>
      <c r="O173">
        <v>407992</v>
      </c>
      <c r="P173" s="9" t="b">
        <v>1</v>
      </c>
    </row>
    <row r="174" spans="1:16" x14ac:dyDescent="0.2">
      <c r="A174" t="s">
        <v>56</v>
      </c>
      <c r="B174" t="s">
        <v>295</v>
      </c>
      <c r="C174">
        <v>15</v>
      </c>
      <c r="D174">
        <v>75355944</v>
      </c>
      <c r="E174" t="s">
        <v>89</v>
      </c>
      <c r="F174" t="s">
        <v>88</v>
      </c>
      <c r="G174" s="27">
        <v>30090</v>
      </c>
      <c r="H174" t="s">
        <v>439</v>
      </c>
      <c r="I174" t="s">
        <v>372</v>
      </c>
      <c r="J174" s="3">
        <v>0.1822</v>
      </c>
      <c r="K174" s="3">
        <v>-1.9369999999999998E-2</v>
      </c>
      <c r="L174" s="2">
        <v>3.3479999999999998E-3</v>
      </c>
      <c r="M174" s="3">
        <f t="shared" si="2"/>
        <v>-18.739999999999998</v>
      </c>
      <c r="N174">
        <v>7.2664352693058968E-9</v>
      </c>
      <c r="O174">
        <v>407988</v>
      </c>
      <c r="P174" s="9" t="b">
        <v>1</v>
      </c>
    </row>
    <row r="175" spans="1:16" x14ac:dyDescent="0.2">
      <c r="A175" t="s">
        <v>56</v>
      </c>
      <c r="B175" t="s">
        <v>295</v>
      </c>
      <c r="C175">
        <v>15</v>
      </c>
      <c r="D175">
        <v>75355944</v>
      </c>
      <c r="E175" t="s">
        <v>89</v>
      </c>
      <c r="F175" t="s">
        <v>88</v>
      </c>
      <c r="G175" s="27">
        <v>30110</v>
      </c>
      <c r="H175" t="s">
        <v>441</v>
      </c>
      <c r="I175" t="s">
        <v>372</v>
      </c>
      <c r="J175" s="3">
        <v>0.1822</v>
      </c>
      <c r="K175" s="3">
        <v>2.4750000000000001E-2</v>
      </c>
      <c r="L175" s="2">
        <v>3.424E-3</v>
      </c>
      <c r="M175" s="3">
        <f t="shared" si="2"/>
        <v>-28.35</v>
      </c>
      <c r="N175">
        <v>4.8724954029105522E-13</v>
      </c>
      <c r="O175">
        <v>407987</v>
      </c>
      <c r="P175" t="b">
        <v>0</v>
      </c>
    </row>
    <row r="176" spans="1:16" x14ac:dyDescent="0.2">
      <c r="A176" t="s">
        <v>56</v>
      </c>
      <c r="B176" t="s">
        <v>295</v>
      </c>
      <c r="C176">
        <v>15</v>
      </c>
      <c r="D176">
        <v>75355944</v>
      </c>
      <c r="E176" t="s">
        <v>89</v>
      </c>
      <c r="F176" t="s">
        <v>88</v>
      </c>
      <c r="G176" s="27">
        <v>30140</v>
      </c>
      <c r="H176" t="s">
        <v>444</v>
      </c>
      <c r="I176" t="s">
        <v>372</v>
      </c>
      <c r="J176" s="3">
        <v>0.18229999999999999</v>
      </c>
      <c r="K176" s="3">
        <v>-1.874E-2</v>
      </c>
      <c r="L176" s="2">
        <v>2.7720000000000002E-3</v>
      </c>
      <c r="M176" s="3">
        <f t="shared" si="2"/>
        <v>-25.01</v>
      </c>
      <c r="N176">
        <v>1.3749756514625386E-11</v>
      </c>
      <c r="O176">
        <v>407265</v>
      </c>
      <c r="P176" s="9" t="b">
        <v>1</v>
      </c>
    </row>
    <row r="177" spans="1:16" x14ac:dyDescent="0.2">
      <c r="A177" t="s">
        <v>56</v>
      </c>
      <c r="B177" t="s">
        <v>295</v>
      </c>
      <c r="C177">
        <v>15</v>
      </c>
      <c r="D177">
        <v>75355944</v>
      </c>
      <c r="E177" t="s">
        <v>89</v>
      </c>
      <c r="F177" t="s">
        <v>88</v>
      </c>
      <c r="G177" s="27">
        <v>30240</v>
      </c>
      <c r="H177" t="s">
        <v>450</v>
      </c>
      <c r="I177" t="s">
        <v>372</v>
      </c>
      <c r="J177" s="3">
        <v>0.1822</v>
      </c>
      <c r="K177" s="3">
        <v>2.068E-2</v>
      </c>
      <c r="L177" s="2">
        <v>3.382E-3</v>
      </c>
      <c r="M177" s="3">
        <f t="shared" si="2"/>
        <v>-20.76</v>
      </c>
      <c r="N177">
        <v>9.6393235012437025E-10</v>
      </c>
      <c r="O177">
        <v>401344</v>
      </c>
      <c r="P177" t="b">
        <v>0</v>
      </c>
    </row>
    <row r="178" spans="1:16" x14ac:dyDescent="0.2">
      <c r="A178" t="s">
        <v>56</v>
      </c>
      <c r="B178" t="s">
        <v>295</v>
      </c>
      <c r="C178">
        <v>15</v>
      </c>
      <c r="D178">
        <v>75355944</v>
      </c>
      <c r="E178" t="s">
        <v>89</v>
      </c>
      <c r="F178" t="s">
        <v>88</v>
      </c>
      <c r="G178" s="27">
        <v>30250</v>
      </c>
      <c r="H178" t="s">
        <v>451</v>
      </c>
      <c r="I178" t="s">
        <v>372</v>
      </c>
      <c r="J178" s="3">
        <v>0.1822</v>
      </c>
      <c r="K178" s="3">
        <v>2.0539999999999999E-2</v>
      </c>
      <c r="L178" s="2">
        <v>3.356E-3</v>
      </c>
      <c r="M178" s="3">
        <f t="shared" si="2"/>
        <v>-20.8</v>
      </c>
      <c r="N178">
        <v>9.2613602205677541E-10</v>
      </c>
      <c r="O178">
        <v>401345</v>
      </c>
      <c r="P178" t="b">
        <v>0</v>
      </c>
    </row>
    <row r="179" spans="1:16" x14ac:dyDescent="0.2">
      <c r="A179" t="s">
        <v>56</v>
      </c>
      <c r="B179" t="s">
        <v>295</v>
      </c>
      <c r="C179">
        <v>15</v>
      </c>
      <c r="D179">
        <v>75355944</v>
      </c>
      <c r="E179" t="s">
        <v>89</v>
      </c>
      <c r="F179" t="s">
        <v>88</v>
      </c>
      <c r="G179" s="27">
        <v>30260</v>
      </c>
      <c r="H179" t="s">
        <v>452</v>
      </c>
      <c r="I179" t="s">
        <v>372</v>
      </c>
      <c r="J179" s="3">
        <v>0.1822</v>
      </c>
      <c r="K179" s="3">
        <v>-2.9319999999999999E-2</v>
      </c>
      <c r="L179" s="2">
        <v>3.3860000000000001E-3</v>
      </c>
      <c r="M179" s="3">
        <f t="shared" si="2"/>
        <v>-39.869999999999997</v>
      </c>
      <c r="N179">
        <v>4.8381464083440103E-18</v>
      </c>
      <c r="O179">
        <v>401344</v>
      </c>
      <c r="P179" s="9" t="b">
        <v>1</v>
      </c>
    </row>
    <row r="180" spans="1:16" x14ac:dyDescent="0.2">
      <c r="A180" t="s">
        <v>56</v>
      </c>
      <c r="B180" t="s">
        <v>295</v>
      </c>
      <c r="C180">
        <v>15</v>
      </c>
      <c r="D180">
        <v>75355944</v>
      </c>
      <c r="E180" t="s">
        <v>89</v>
      </c>
      <c r="F180" t="s">
        <v>88</v>
      </c>
      <c r="G180" s="27">
        <v>30270</v>
      </c>
      <c r="H180" t="s">
        <v>453</v>
      </c>
      <c r="I180" t="s">
        <v>372</v>
      </c>
      <c r="J180" s="3">
        <v>0.1822</v>
      </c>
      <c r="K180" s="3">
        <v>-2.4160000000000001E-2</v>
      </c>
      <c r="L180" s="2">
        <v>3.3990000000000001E-3</v>
      </c>
      <c r="M180" s="3">
        <f t="shared" si="2"/>
        <v>-27.47</v>
      </c>
      <c r="N180">
        <v>1.1747097736396286E-12</v>
      </c>
      <c r="O180">
        <v>401345</v>
      </c>
      <c r="P180" s="9" t="b">
        <v>1</v>
      </c>
    </row>
    <row r="181" spans="1:16" x14ac:dyDescent="0.2">
      <c r="A181" t="s">
        <v>9</v>
      </c>
      <c r="B181" t="s">
        <v>136</v>
      </c>
      <c r="C181">
        <v>8</v>
      </c>
      <c r="D181">
        <v>71570989</v>
      </c>
      <c r="E181" t="s">
        <v>84</v>
      </c>
      <c r="F181" t="s">
        <v>83</v>
      </c>
      <c r="G181" s="27">
        <v>3148</v>
      </c>
      <c r="H181" t="s">
        <v>461</v>
      </c>
      <c r="I181" t="s">
        <v>364</v>
      </c>
      <c r="J181" s="3">
        <v>0.52249999999999996</v>
      </c>
      <c r="K181" s="3">
        <v>-3.1919999999999997E-2</v>
      </c>
      <c r="L181" s="2">
        <v>3.16E-3</v>
      </c>
      <c r="M181" s="3">
        <f t="shared" si="2"/>
        <v>-53.57</v>
      </c>
      <c r="N181">
        <v>5.4305598505173122E-24</v>
      </c>
      <c r="O181">
        <v>242809</v>
      </c>
      <c r="P181" t="b">
        <v>1</v>
      </c>
    </row>
    <row r="182" spans="1:16" x14ac:dyDescent="0.2">
      <c r="A182" t="s">
        <v>28</v>
      </c>
      <c r="B182" t="s">
        <v>256</v>
      </c>
      <c r="C182">
        <v>1</v>
      </c>
      <c r="D182">
        <v>220074279</v>
      </c>
      <c r="E182" t="s">
        <v>84</v>
      </c>
      <c r="F182" t="s">
        <v>88</v>
      </c>
      <c r="G182" s="27">
        <v>3148</v>
      </c>
      <c r="H182" t="s">
        <v>461</v>
      </c>
      <c r="I182" t="s">
        <v>364</v>
      </c>
      <c r="J182" s="3">
        <v>0.8044</v>
      </c>
      <c r="K182" s="3">
        <v>-3.474E-2</v>
      </c>
      <c r="L182" s="2">
        <v>4.0130000000000001E-3</v>
      </c>
      <c r="M182" s="3">
        <f t="shared" si="2"/>
        <v>-39.869999999999997</v>
      </c>
      <c r="N182">
        <v>4.8381464083440103E-18</v>
      </c>
      <c r="O182">
        <v>242809</v>
      </c>
      <c r="P182" t="b">
        <v>1</v>
      </c>
    </row>
    <row r="183" spans="1:16" x14ac:dyDescent="0.2">
      <c r="A183" t="s">
        <v>28</v>
      </c>
      <c r="B183" t="s">
        <v>252</v>
      </c>
      <c r="C183">
        <v>4</v>
      </c>
      <c r="D183">
        <v>103188709</v>
      </c>
      <c r="E183" t="s">
        <v>83</v>
      </c>
      <c r="F183" t="s">
        <v>84</v>
      </c>
      <c r="G183" s="27">
        <v>47</v>
      </c>
      <c r="H183" t="s">
        <v>462</v>
      </c>
      <c r="I183" t="s">
        <v>364</v>
      </c>
      <c r="J183" s="3">
        <v>7.4569999999999997E-2</v>
      </c>
      <c r="K183" s="3">
        <v>-2.6190000000000001E-2</v>
      </c>
      <c r="L183" s="2">
        <v>2.7889999999999998E-3</v>
      </c>
      <c r="M183" s="3">
        <f t="shared" si="2"/>
        <v>-46.57</v>
      </c>
      <c r="N183">
        <v>5.9553320009075782E-21</v>
      </c>
      <c r="O183">
        <v>418827</v>
      </c>
      <c r="P183" t="b">
        <v>1</v>
      </c>
    </row>
    <row r="184" spans="1:16" x14ac:dyDescent="0.2">
      <c r="A184" t="s">
        <v>28</v>
      </c>
      <c r="B184" t="s">
        <v>244</v>
      </c>
      <c r="C184">
        <v>15</v>
      </c>
      <c r="D184">
        <v>65998702</v>
      </c>
      <c r="E184" t="s">
        <v>84</v>
      </c>
      <c r="F184" t="s">
        <v>83</v>
      </c>
      <c r="G184" s="27">
        <v>3148</v>
      </c>
      <c r="H184" t="s">
        <v>461</v>
      </c>
      <c r="I184" t="s">
        <v>364</v>
      </c>
      <c r="J184" s="3">
        <v>0.24390000000000001</v>
      </c>
      <c r="K184" s="3">
        <v>-2.3120000000000002E-2</v>
      </c>
      <c r="L184" s="2">
        <v>3.669E-3</v>
      </c>
      <c r="M184" s="3">
        <f t="shared" si="2"/>
        <v>-21.94</v>
      </c>
      <c r="N184">
        <v>2.9619591664304056E-10</v>
      </c>
      <c r="O184">
        <v>242809</v>
      </c>
      <c r="P184" t="b">
        <v>0</v>
      </c>
    </row>
    <row r="185" spans="1:16" x14ac:dyDescent="0.2">
      <c r="A185" t="s">
        <v>28</v>
      </c>
      <c r="B185" t="s">
        <v>226</v>
      </c>
      <c r="C185">
        <v>22</v>
      </c>
      <c r="D185">
        <v>29154455</v>
      </c>
      <c r="E185" t="s">
        <v>89</v>
      </c>
      <c r="F185" t="s">
        <v>88</v>
      </c>
      <c r="G185" s="27">
        <v>3148</v>
      </c>
      <c r="H185" t="s">
        <v>461</v>
      </c>
      <c r="I185" t="s">
        <v>364</v>
      </c>
      <c r="J185" s="3">
        <v>0.42670000000000002</v>
      </c>
      <c r="K185" s="3">
        <v>-2.2950000000000002E-2</v>
      </c>
      <c r="L185" s="2">
        <v>3.1849999999999999E-3</v>
      </c>
      <c r="M185" s="3">
        <f t="shared" si="2"/>
        <v>-28.19</v>
      </c>
      <c r="N185">
        <v>5.7179263241731546E-13</v>
      </c>
      <c r="O185">
        <v>242809</v>
      </c>
      <c r="P185" t="b">
        <v>1</v>
      </c>
    </row>
    <row r="186" spans="1:16" x14ac:dyDescent="0.2">
      <c r="A186" t="s">
        <v>42</v>
      </c>
      <c r="B186" t="s">
        <v>272</v>
      </c>
      <c r="C186">
        <v>2</v>
      </c>
      <c r="D186">
        <v>211540507</v>
      </c>
      <c r="E186" t="s">
        <v>83</v>
      </c>
      <c r="F186" t="s">
        <v>89</v>
      </c>
      <c r="G186" s="27">
        <v>47</v>
      </c>
      <c r="H186" t="s">
        <v>462</v>
      </c>
      <c r="I186" t="s">
        <v>364</v>
      </c>
      <c r="J186" s="3">
        <v>0.31559999999999999</v>
      </c>
      <c r="K186" s="3">
        <v>8.7089999999999997E-3</v>
      </c>
      <c r="L186" s="2">
        <v>1.573E-3</v>
      </c>
      <c r="M186" s="3">
        <f t="shared" si="2"/>
        <v>-17.29</v>
      </c>
      <c r="N186">
        <v>3.0977645670112584E-8</v>
      </c>
      <c r="O186">
        <v>418827</v>
      </c>
      <c r="P186" t="b">
        <v>1</v>
      </c>
    </row>
    <row r="187" spans="1:16" x14ac:dyDescent="0.2">
      <c r="A187" t="s">
        <v>28</v>
      </c>
      <c r="B187" t="s">
        <v>252</v>
      </c>
      <c r="C187">
        <v>4</v>
      </c>
      <c r="D187">
        <v>103188709</v>
      </c>
      <c r="E187" t="s">
        <v>83</v>
      </c>
      <c r="F187" t="s">
        <v>84</v>
      </c>
      <c r="G187" s="27">
        <v>20016</v>
      </c>
      <c r="H187" t="s">
        <v>419</v>
      </c>
      <c r="I187" t="s">
        <v>403</v>
      </c>
      <c r="J187" s="3">
        <v>7.3910000000000003E-2</v>
      </c>
      <c r="K187" s="3">
        <v>-6.3719999999999999E-2</v>
      </c>
      <c r="L187" s="2">
        <v>7.5709999999999996E-3</v>
      </c>
      <c r="M187" s="3">
        <f t="shared" si="2"/>
        <v>-37.78</v>
      </c>
      <c r="N187">
        <v>3.9116003263948407E-17</v>
      </c>
      <c r="O187">
        <v>135088</v>
      </c>
      <c r="P187" t="b">
        <v>1</v>
      </c>
    </row>
    <row r="188" spans="1:16" x14ac:dyDescent="0.2">
      <c r="A188" t="s">
        <v>28</v>
      </c>
      <c r="B188" t="s">
        <v>252</v>
      </c>
      <c r="C188">
        <v>4</v>
      </c>
      <c r="D188">
        <v>103188709</v>
      </c>
      <c r="E188" t="s">
        <v>83</v>
      </c>
      <c r="F188" t="s">
        <v>84</v>
      </c>
      <c r="G188" s="27">
        <v>20018</v>
      </c>
      <c r="H188" t="s">
        <v>420</v>
      </c>
      <c r="I188" t="s">
        <v>403</v>
      </c>
      <c r="J188" s="3">
        <v>7.2620000000000004E-2</v>
      </c>
      <c r="K188" s="3">
        <v>-4.9459999999999997E-2</v>
      </c>
      <c r="L188" s="2">
        <v>7.9279999999999993E-3</v>
      </c>
      <c r="M188" s="3">
        <f t="shared" si="2"/>
        <v>-21.54</v>
      </c>
      <c r="N188">
        <v>4.4187238378858388E-10</v>
      </c>
      <c r="O188">
        <v>137999</v>
      </c>
      <c r="P188" t="b">
        <v>1</v>
      </c>
    </row>
    <row r="189" spans="1:16" x14ac:dyDescent="0.2">
      <c r="A189" t="s">
        <v>28</v>
      </c>
      <c r="B189" t="s">
        <v>252</v>
      </c>
      <c r="C189">
        <v>4</v>
      </c>
      <c r="D189">
        <v>103188709</v>
      </c>
      <c r="E189" t="s">
        <v>83</v>
      </c>
      <c r="F189" t="s">
        <v>84</v>
      </c>
      <c r="G189" s="27">
        <v>20414</v>
      </c>
      <c r="H189" t="s">
        <v>421</v>
      </c>
      <c r="I189" t="s">
        <v>403</v>
      </c>
      <c r="J189" s="3">
        <v>7.4029999999999999E-2</v>
      </c>
      <c r="K189" s="3">
        <v>-2.1899999999999999E-2</v>
      </c>
      <c r="L189" s="2">
        <v>3.6359999999999999E-3</v>
      </c>
      <c r="M189" s="3">
        <f t="shared" si="2"/>
        <v>-20.18</v>
      </c>
      <c r="N189">
        <v>1.7216202219653638E-9</v>
      </c>
      <c r="O189" s="9">
        <v>124903</v>
      </c>
      <c r="P189" t="b">
        <v>1</v>
      </c>
    </row>
    <row r="190" spans="1:16" s="20" customFormat="1" x14ac:dyDescent="0.2">
      <c r="A190" t="s">
        <v>28</v>
      </c>
      <c r="B190" t="s">
        <v>252</v>
      </c>
      <c r="C190">
        <v>4</v>
      </c>
      <c r="D190">
        <v>103188709</v>
      </c>
      <c r="E190" t="s">
        <v>83</v>
      </c>
      <c r="F190" t="s">
        <v>84</v>
      </c>
      <c r="G190" s="27">
        <v>20416</v>
      </c>
      <c r="H190" t="s">
        <v>530</v>
      </c>
      <c r="I190" t="s">
        <v>403</v>
      </c>
      <c r="J190" s="3">
        <v>7.2639999999999996E-2</v>
      </c>
      <c r="K190" s="3">
        <v>-5.3339999999999999E-2</v>
      </c>
      <c r="L190" s="2">
        <v>8.8699999999999994E-3</v>
      </c>
      <c r="M190" s="3">
        <f t="shared" si="2"/>
        <v>-20.12</v>
      </c>
      <c r="N190">
        <v>1.8280792709543551E-9</v>
      </c>
      <c r="O190" s="9">
        <v>125153</v>
      </c>
      <c r="P190" t="b">
        <v>1</v>
      </c>
    </row>
    <row r="191" spans="1:16" x14ac:dyDescent="0.2">
      <c r="A191" t="s">
        <v>28</v>
      </c>
      <c r="B191" t="s">
        <v>252</v>
      </c>
      <c r="C191">
        <v>4</v>
      </c>
      <c r="D191">
        <v>103188709</v>
      </c>
      <c r="E191" t="s">
        <v>83</v>
      </c>
      <c r="F191" t="s">
        <v>84</v>
      </c>
      <c r="G191" s="27">
        <v>1558</v>
      </c>
      <c r="H191" t="s">
        <v>476</v>
      </c>
      <c r="I191" t="s">
        <v>403</v>
      </c>
      <c r="J191" s="3">
        <v>7.4590000000000004E-2</v>
      </c>
      <c r="K191" s="3">
        <v>5.5359999999999999E-2</v>
      </c>
      <c r="L191" s="2">
        <v>6.6220000000000003E-3</v>
      </c>
      <c r="M191" s="3">
        <f t="shared" si="2"/>
        <v>-37.299999999999997</v>
      </c>
      <c r="N191">
        <v>6.321437159096094E-17</v>
      </c>
      <c r="O191">
        <v>420008</v>
      </c>
      <c r="P191" t="b">
        <v>0</v>
      </c>
    </row>
    <row r="192" spans="1:16" x14ac:dyDescent="0.2">
      <c r="A192" t="s">
        <v>28</v>
      </c>
      <c r="B192" t="s">
        <v>252</v>
      </c>
      <c r="C192">
        <v>4</v>
      </c>
      <c r="D192">
        <v>103188709</v>
      </c>
      <c r="E192" t="s">
        <v>83</v>
      </c>
      <c r="F192" t="s">
        <v>84</v>
      </c>
      <c r="G192" s="27">
        <v>20403</v>
      </c>
      <c r="H192" t="s">
        <v>529</v>
      </c>
      <c r="I192" t="s">
        <v>403</v>
      </c>
      <c r="J192" s="3">
        <v>7.2940000000000005E-2</v>
      </c>
      <c r="K192" s="3">
        <v>-5.6559999999999999E-2</v>
      </c>
      <c r="L192" s="2">
        <v>9.4310000000000001E-3</v>
      </c>
      <c r="M192" s="3">
        <f t="shared" si="2"/>
        <v>-20.03</v>
      </c>
      <c r="N192">
        <v>2.0002373268528243E-9</v>
      </c>
      <c r="O192">
        <v>136187</v>
      </c>
      <c r="P192" t="b">
        <v>1</v>
      </c>
    </row>
    <row r="193" spans="1:16" x14ac:dyDescent="0.2">
      <c r="A193" t="s">
        <v>28</v>
      </c>
      <c r="B193" t="s">
        <v>221</v>
      </c>
      <c r="C193">
        <v>6</v>
      </c>
      <c r="D193">
        <v>26093141</v>
      </c>
      <c r="E193" t="s">
        <v>88</v>
      </c>
      <c r="F193" t="s">
        <v>89</v>
      </c>
      <c r="G193" s="27">
        <v>3062</v>
      </c>
      <c r="H193" t="s">
        <v>458</v>
      </c>
      <c r="I193" t="s">
        <v>521</v>
      </c>
      <c r="J193" s="3">
        <v>7.8100000000000003E-2</v>
      </c>
      <c r="K193" s="3">
        <v>2.077E-2</v>
      </c>
      <c r="L193" s="2">
        <v>2.9659999999999999E-3</v>
      </c>
      <c r="M193" s="3">
        <f t="shared" si="2"/>
        <v>-26.7</v>
      </c>
      <c r="N193">
        <v>2.5370985270981849E-12</v>
      </c>
      <c r="O193">
        <v>383471</v>
      </c>
      <c r="P193" t="b">
        <v>0</v>
      </c>
    </row>
    <row r="194" spans="1:16" x14ac:dyDescent="0.2">
      <c r="A194" t="s">
        <v>28</v>
      </c>
      <c r="B194" t="s">
        <v>221</v>
      </c>
      <c r="C194">
        <v>6</v>
      </c>
      <c r="D194">
        <v>26093141</v>
      </c>
      <c r="E194" t="s">
        <v>88</v>
      </c>
      <c r="F194" t="s">
        <v>89</v>
      </c>
      <c r="G194" s="27">
        <v>3063</v>
      </c>
      <c r="H194" t="s">
        <v>459</v>
      </c>
      <c r="I194" t="s">
        <v>521</v>
      </c>
      <c r="J194" s="3">
        <v>7.8100000000000003E-2</v>
      </c>
      <c r="K194" s="3">
        <v>1.985E-2</v>
      </c>
      <c r="L194" s="2">
        <v>3.0479999999999999E-3</v>
      </c>
      <c r="M194" s="3">
        <f t="shared" si="2"/>
        <v>-23.33</v>
      </c>
      <c r="N194">
        <v>7.3775088168521749E-11</v>
      </c>
      <c r="O194">
        <v>383471</v>
      </c>
      <c r="P194" t="b">
        <v>0</v>
      </c>
    </row>
  </sheetData>
  <autoFilter ref="C5:C327" xr:uid="{CAD87D7E-41BE-EE42-ADAC-516F9EE6B2C6}"/>
  <sortState xmlns:xlrd2="http://schemas.microsoft.com/office/spreadsheetml/2017/richdata2" ref="A6:P197">
    <sortCondition ref="I6:I197"/>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A68D4-793E-1F4F-B192-A5BC00366016}">
  <dimension ref="A1:P21"/>
  <sheetViews>
    <sheetView workbookViewId="0">
      <selection activeCell="A2" sqref="A2"/>
    </sheetView>
  </sheetViews>
  <sheetFormatPr baseColWidth="10" defaultRowHeight="16" x14ac:dyDescent="0.2"/>
  <cols>
    <col min="3" max="3" width="5.6640625" customWidth="1"/>
    <col min="4" max="4" width="11" bestFit="1" customWidth="1"/>
    <col min="5" max="5" width="5.83203125" customWidth="1"/>
    <col min="6" max="6" width="6.1640625" customWidth="1"/>
    <col min="7" max="7" width="8.33203125" customWidth="1"/>
    <col min="9" max="9" width="27.1640625" customWidth="1"/>
    <col min="10" max="10" width="23.1640625" customWidth="1"/>
    <col min="11" max="12" width="11" bestFit="1" customWidth="1"/>
    <col min="13" max="13" width="11" customWidth="1"/>
    <col min="14" max="14" width="12.1640625" bestFit="1" customWidth="1"/>
  </cols>
  <sheetData>
    <row r="1" spans="1:16" ht="21" x14ac:dyDescent="0.25">
      <c r="A1" s="19" t="s">
        <v>573</v>
      </c>
    </row>
    <row r="2" spans="1:16" x14ac:dyDescent="0.2">
      <c r="A2" t="s">
        <v>527</v>
      </c>
    </row>
    <row r="3" spans="1:16" x14ac:dyDescent="0.2">
      <c r="A3" t="s">
        <v>542</v>
      </c>
    </row>
    <row r="5" spans="1:16" x14ac:dyDescent="0.2">
      <c r="A5" s="1" t="s">
        <v>62</v>
      </c>
      <c r="B5" s="1" t="s">
        <v>102</v>
      </c>
      <c r="C5" s="1" t="s">
        <v>101</v>
      </c>
      <c r="D5" s="1" t="s">
        <v>100</v>
      </c>
      <c r="E5" s="1" t="s">
        <v>99</v>
      </c>
      <c r="F5" s="1" t="s">
        <v>98</v>
      </c>
      <c r="G5" s="1" t="s">
        <v>346</v>
      </c>
      <c r="H5" s="1" t="s">
        <v>506</v>
      </c>
      <c r="I5" s="1" t="s">
        <v>385</v>
      </c>
      <c r="J5" s="1" t="s">
        <v>376</v>
      </c>
      <c r="K5" s="1" t="s">
        <v>378</v>
      </c>
      <c r="L5" s="1" t="s">
        <v>330</v>
      </c>
      <c r="M5" s="1" t="s">
        <v>540</v>
      </c>
      <c r="N5" s="1" t="s">
        <v>77</v>
      </c>
      <c r="O5" s="1" t="s">
        <v>71</v>
      </c>
      <c r="P5" s="1" t="s">
        <v>532</v>
      </c>
    </row>
    <row r="6" spans="1:16" x14ac:dyDescent="0.2">
      <c r="A6" t="s">
        <v>12</v>
      </c>
      <c r="B6" t="s">
        <v>144</v>
      </c>
      <c r="C6">
        <v>7</v>
      </c>
      <c r="D6">
        <v>1286128</v>
      </c>
      <c r="E6" t="s">
        <v>83</v>
      </c>
      <c r="F6" t="s">
        <v>84</v>
      </c>
      <c r="G6">
        <v>0.24299999999999999</v>
      </c>
      <c r="H6" s="21">
        <v>30670</v>
      </c>
      <c r="I6" t="s">
        <v>500</v>
      </c>
      <c r="J6" t="s">
        <v>402</v>
      </c>
      <c r="K6">
        <v>-5.6800000000000003E-2</v>
      </c>
      <c r="L6">
        <v>2.833E-3</v>
      </c>
      <c r="M6">
        <f>LN(N6)</f>
        <v>-204.3</v>
      </c>
      <c r="N6">
        <v>1.8777481689807115E-89</v>
      </c>
      <c r="O6">
        <v>400687</v>
      </c>
      <c r="P6" t="b">
        <v>1</v>
      </c>
    </row>
    <row r="7" spans="1:16" x14ac:dyDescent="0.2">
      <c r="A7" t="s">
        <v>12</v>
      </c>
      <c r="B7" t="s">
        <v>144</v>
      </c>
      <c r="C7">
        <v>7</v>
      </c>
      <c r="D7">
        <v>1286128</v>
      </c>
      <c r="E7" t="s">
        <v>83</v>
      </c>
      <c r="F7" t="s">
        <v>84</v>
      </c>
      <c r="G7">
        <v>0.24299999999999999</v>
      </c>
      <c r="H7" s="21">
        <v>30700</v>
      </c>
      <c r="I7" t="s">
        <v>394</v>
      </c>
      <c r="J7" t="s">
        <v>402</v>
      </c>
      <c r="K7">
        <v>-5.108E-2</v>
      </c>
      <c r="L7">
        <v>2.503E-3</v>
      </c>
      <c r="M7">
        <f t="shared" ref="M7:M18" si="0">LN(N7)</f>
        <v>-211.5</v>
      </c>
      <c r="N7">
        <v>1.4019001346663099E-92</v>
      </c>
      <c r="O7">
        <v>400761</v>
      </c>
      <c r="P7" t="b">
        <v>1</v>
      </c>
    </row>
    <row r="8" spans="1:16" x14ac:dyDescent="0.2">
      <c r="A8" t="s">
        <v>12</v>
      </c>
      <c r="B8" t="s">
        <v>144</v>
      </c>
      <c r="C8">
        <v>7</v>
      </c>
      <c r="D8">
        <v>1286128</v>
      </c>
      <c r="E8" t="s">
        <v>83</v>
      </c>
      <c r="F8" t="s">
        <v>84</v>
      </c>
      <c r="G8">
        <v>0.2429</v>
      </c>
      <c r="H8" s="21">
        <v>30720</v>
      </c>
      <c r="I8" t="s">
        <v>396</v>
      </c>
      <c r="J8" t="s">
        <v>402</v>
      </c>
      <c r="K8">
        <v>-4.8219999999999999E-2</v>
      </c>
      <c r="L8">
        <v>2.97E-3</v>
      </c>
      <c r="M8">
        <f t="shared" si="0"/>
        <v>-134.80000000000001</v>
      </c>
      <c r="N8">
        <v>2.864862874302561E-59</v>
      </c>
      <c r="O8">
        <v>400940</v>
      </c>
      <c r="P8" t="b">
        <v>1</v>
      </c>
    </row>
    <row r="9" spans="1:16" x14ac:dyDescent="0.2">
      <c r="A9" t="s">
        <v>12</v>
      </c>
      <c r="B9" t="s">
        <v>144</v>
      </c>
      <c r="C9">
        <v>7</v>
      </c>
      <c r="D9">
        <v>1286128</v>
      </c>
      <c r="E9" t="s">
        <v>83</v>
      </c>
      <c r="F9" t="s">
        <v>84</v>
      </c>
      <c r="G9">
        <v>0.24299999999999999</v>
      </c>
      <c r="H9" s="21">
        <v>30880</v>
      </c>
      <c r="I9" t="s">
        <v>504</v>
      </c>
      <c r="J9" t="s">
        <v>402</v>
      </c>
      <c r="K9">
        <v>-4.2320000000000003E-2</v>
      </c>
      <c r="L9">
        <v>2.679E-3</v>
      </c>
      <c r="M9">
        <f t="shared" si="0"/>
        <v>-127.8</v>
      </c>
      <c r="N9">
        <v>3.1417036223108944E-56</v>
      </c>
      <c r="O9">
        <v>400469</v>
      </c>
      <c r="P9" t="b">
        <v>1</v>
      </c>
    </row>
    <row r="10" spans="1:16" x14ac:dyDescent="0.2">
      <c r="A10" t="s">
        <v>27</v>
      </c>
      <c r="B10" t="s">
        <v>207</v>
      </c>
      <c r="C10">
        <v>10</v>
      </c>
      <c r="D10">
        <v>71093392</v>
      </c>
      <c r="E10" t="s">
        <v>83</v>
      </c>
      <c r="F10" t="s">
        <v>84</v>
      </c>
      <c r="G10">
        <v>0.1308</v>
      </c>
      <c r="H10" s="21">
        <v>30640</v>
      </c>
      <c r="I10" t="s">
        <v>391</v>
      </c>
      <c r="J10" t="s">
        <v>371</v>
      </c>
      <c r="K10">
        <v>-2.7519999999999999E-2</v>
      </c>
      <c r="L10">
        <v>3.7309999999999999E-3</v>
      </c>
      <c r="M10">
        <f t="shared" si="0"/>
        <v>-29.44</v>
      </c>
      <c r="N10">
        <v>1.6382133199687633E-13</v>
      </c>
      <c r="O10">
        <v>399003</v>
      </c>
      <c r="P10" t="b">
        <v>1</v>
      </c>
    </row>
    <row r="11" spans="1:16" x14ac:dyDescent="0.2">
      <c r="A11" t="s">
        <v>27</v>
      </c>
      <c r="B11" t="s">
        <v>207</v>
      </c>
      <c r="C11">
        <v>10</v>
      </c>
      <c r="D11">
        <v>71093392</v>
      </c>
      <c r="E11" t="s">
        <v>83</v>
      </c>
      <c r="F11" t="s">
        <v>84</v>
      </c>
      <c r="G11">
        <v>0.13270000000000001</v>
      </c>
      <c r="H11" s="21">
        <v>30660</v>
      </c>
      <c r="I11" t="s">
        <v>499</v>
      </c>
      <c r="J11" t="s">
        <v>371</v>
      </c>
      <c r="K11">
        <v>8.1430000000000002E-2</v>
      </c>
      <c r="L11">
        <v>3.9909999999999998E-3</v>
      </c>
      <c r="M11">
        <f t="shared" si="0"/>
        <v>-211.4</v>
      </c>
      <c r="N11">
        <v>1.549339258879531E-92</v>
      </c>
      <c r="O11">
        <v>340934</v>
      </c>
      <c r="P11" t="b">
        <v>0</v>
      </c>
    </row>
    <row r="12" spans="1:16" x14ac:dyDescent="0.2">
      <c r="A12" t="s">
        <v>27</v>
      </c>
      <c r="B12" t="s">
        <v>207</v>
      </c>
      <c r="C12">
        <v>10</v>
      </c>
      <c r="D12">
        <v>71093392</v>
      </c>
      <c r="E12" t="s">
        <v>83</v>
      </c>
      <c r="F12" t="s">
        <v>84</v>
      </c>
      <c r="G12">
        <v>0.13070000000000001</v>
      </c>
      <c r="H12" s="21">
        <v>30690</v>
      </c>
      <c r="I12" t="s">
        <v>393</v>
      </c>
      <c r="J12" t="s">
        <v>371</v>
      </c>
      <c r="K12">
        <v>-3.0970000000000001E-2</v>
      </c>
      <c r="L12">
        <v>3.6120000000000002E-3</v>
      </c>
      <c r="M12">
        <f t="shared" si="0"/>
        <v>-39.15</v>
      </c>
      <c r="N12">
        <v>9.939648659259368E-18</v>
      </c>
      <c r="O12">
        <v>400963</v>
      </c>
      <c r="P12" t="b">
        <v>1</v>
      </c>
    </row>
    <row r="13" spans="1:16" x14ac:dyDescent="0.2">
      <c r="A13" t="s">
        <v>27</v>
      </c>
      <c r="B13" t="s">
        <v>207</v>
      </c>
      <c r="C13">
        <v>10</v>
      </c>
      <c r="D13">
        <v>71093392</v>
      </c>
      <c r="E13" t="s">
        <v>83</v>
      </c>
      <c r="F13" t="s">
        <v>84</v>
      </c>
      <c r="G13">
        <v>0.1308</v>
      </c>
      <c r="H13" s="21">
        <v>30750</v>
      </c>
      <c r="I13" t="s">
        <v>398</v>
      </c>
      <c r="J13" t="s">
        <v>371</v>
      </c>
      <c r="K13">
        <v>-0.37219999999999998</v>
      </c>
      <c r="L13">
        <v>3.6700000000000001E-3</v>
      </c>
      <c r="M13">
        <v>-5148</v>
      </c>
      <c r="N13" t="s">
        <v>386</v>
      </c>
      <c r="O13">
        <v>400825</v>
      </c>
      <c r="P13" t="b">
        <v>1</v>
      </c>
    </row>
    <row r="14" spans="1:16" x14ac:dyDescent="0.2">
      <c r="A14" t="s">
        <v>27</v>
      </c>
      <c r="B14" t="s">
        <v>207</v>
      </c>
      <c r="C14">
        <v>10</v>
      </c>
      <c r="D14">
        <v>71093392</v>
      </c>
      <c r="E14" t="s">
        <v>83</v>
      </c>
      <c r="F14" t="s">
        <v>84</v>
      </c>
      <c r="G14">
        <v>0.1308</v>
      </c>
      <c r="H14" s="21">
        <v>30760</v>
      </c>
      <c r="I14" t="s">
        <v>399</v>
      </c>
      <c r="J14" t="s">
        <v>371</v>
      </c>
      <c r="K14">
        <v>-2.2859999999999998E-2</v>
      </c>
      <c r="L14">
        <v>3.8180000000000002E-3</v>
      </c>
      <c r="M14">
        <f t="shared" si="0"/>
        <v>-19.97</v>
      </c>
      <c r="N14">
        <v>2.1239250954165296E-9</v>
      </c>
      <c r="O14">
        <v>367021</v>
      </c>
      <c r="P14" t="b">
        <v>1</v>
      </c>
    </row>
    <row r="15" spans="1:16" x14ac:dyDescent="0.2">
      <c r="A15" t="s">
        <v>27</v>
      </c>
      <c r="B15" t="s">
        <v>207</v>
      </c>
      <c r="C15">
        <v>10</v>
      </c>
      <c r="D15">
        <v>71093392</v>
      </c>
      <c r="E15" t="s">
        <v>83</v>
      </c>
      <c r="F15" t="s">
        <v>84</v>
      </c>
      <c r="G15">
        <v>0.13070000000000001</v>
      </c>
      <c r="H15" s="21">
        <v>30770</v>
      </c>
      <c r="I15" t="s">
        <v>400</v>
      </c>
      <c r="J15" t="s">
        <v>371</v>
      </c>
      <c r="K15">
        <v>-2.376E-2</v>
      </c>
      <c r="L15">
        <v>3.754E-3</v>
      </c>
      <c r="M15">
        <f t="shared" si="0"/>
        <v>-22.13</v>
      </c>
      <c r="N15">
        <v>2.4494191870468971E-10</v>
      </c>
      <c r="O15">
        <v>398797</v>
      </c>
      <c r="P15" t="b">
        <v>1</v>
      </c>
    </row>
    <row r="16" spans="1:16" x14ac:dyDescent="0.2">
      <c r="A16" t="s">
        <v>27</v>
      </c>
      <c r="B16" t="s">
        <v>207</v>
      </c>
      <c r="C16">
        <v>10</v>
      </c>
      <c r="D16">
        <v>71093392</v>
      </c>
      <c r="E16" t="s">
        <v>83</v>
      </c>
      <c r="F16" t="s">
        <v>84</v>
      </c>
      <c r="G16">
        <v>0.13070000000000001</v>
      </c>
      <c r="H16" s="21">
        <v>30780</v>
      </c>
      <c r="I16" t="s">
        <v>401</v>
      </c>
      <c r="J16" t="s">
        <v>371</v>
      </c>
      <c r="K16">
        <v>-2.64E-2</v>
      </c>
      <c r="L16">
        <v>3.5899999999999999E-3</v>
      </c>
      <c r="M16">
        <f t="shared" si="0"/>
        <v>-29.28</v>
      </c>
      <c r="N16">
        <v>1.9224611399869286E-13</v>
      </c>
      <c r="O16">
        <v>400223</v>
      </c>
      <c r="P16" t="b">
        <v>1</v>
      </c>
    </row>
    <row r="17" spans="1:16" x14ac:dyDescent="0.2">
      <c r="A17" t="s">
        <v>27</v>
      </c>
      <c r="B17" t="s">
        <v>207</v>
      </c>
      <c r="C17">
        <v>10</v>
      </c>
      <c r="D17">
        <v>71093392</v>
      </c>
      <c r="E17" t="s">
        <v>83</v>
      </c>
      <c r="F17" t="s">
        <v>84</v>
      </c>
      <c r="G17">
        <v>0.13070000000000001</v>
      </c>
      <c r="H17" s="21">
        <v>30840</v>
      </c>
      <c r="I17" t="s">
        <v>525</v>
      </c>
      <c r="J17" t="s">
        <v>371</v>
      </c>
      <c r="K17">
        <v>0.1023</v>
      </c>
      <c r="L17">
        <v>3.8349999999999999E-3</v>
      </c>
      <c r="M17">
        <f t="shared" si="0"/>
        <v>-359.6</v>
      </c>
      <c r="N17">
        <v>6.7251861141072881E-157</v>
      </c>
      <c r="O17">
        <v>363650</v>
      </c>
      <c r="P17" t="b">
        <v>0</v>
      </c>
    </row>
    <row r="18" spans="1:16" x14ac:dyDescent="0.2">
      <c r="A18" t="s">
        <v>45</v>
      </c>
      <c r="B18" t="s">
        <v>278</v>
      </c>
      <c r="C18" s="8" t="s">
        <v>72</v>
      </c>
      <c r="D18">
        <v>106239318</v>
      </c>
      <c r="E18" t="s">
        <v>83</v>
      </c>
      <c r="F18" t="s">
        <v>84</v>
      </c>
      <c r="G18">
        <v>0.1522</v>
      </c>
      <c r="H18" s="21">
        <v>30700</v>
      </c>
      <c r="I18" t="s">
        <v>394</v>
      </c>
      <c r="J18" t="s">
        <v>402</v>
      </c>
      <c r="K18">
        <v>1.9980000000000001E-2</v>
      </c>
      <c r="L18">
        <v>2.3869999999999998E-3</v>
      </c>
      <c r="M18">
        <f t="shared" si="0"/>
        <v>-37.409999999999997</v>
      </c>
      <c r="N18">
        <v>5.6629591912501949E-17</v>
      </c>
      <c r="O18">
        <v>400761</v>
      </c>
      <c r="P18" t="b">
        <v>0</v>
      </c>
    </row>
    <row r="21" spans="1:16" x14ac:dyDescent="0.2">
      <c r="I21" s="12"/>
    </row>
  </sheetData>
  <sortState xmlns:xlrd2="http://schemas.microsoft.com/office/spreadsheetml/2017/richdata2" ref="A2:O19">
    <sortCondition ref="A2:A19"/>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942AB-FF33-0842-8BF5-C2FDF4FC06B7}">
  <dimension ref="A1:P33"/>
  <sheetViews>
    <sheetView zoomScaleNormal="100" workbookViewId="0">
      <selection activeCell="A2" sqref="A2"/>
    </sheetView>
  </sheetViews>
  <sheetFormatPr baseColWidth="10" defaultRowHeight="16" x14ac:dyDescent="0.2"/>
  <cols>
    <col min="3" max="3" width="5.33203125" customWidth="1"/>
    <col min="4" max="4" width="12.1640625" customWidth="1"/>
    <col min="5" max="5" width="6.1640625" customWidth="1"/>
    <col min="6" max="6" width="6.5" customWidth="1"/>
    <col min="7" max="7" width="6.5" style="5" customWidth="1"/>
    <col min="8" max="8" width="17.33203125" customWidth="1"/>
    <col min="9" max="9" width="62.1640625" customWidth="1"/>
    <col min="10" max="10" width="24.1640625" customWidth="1"/>
    <col min="11" max="12" width="11" bestFit="1" customWidth="1"/>
    <col min="13" max="13" width="11" customWidth="1"/>
    <col min="14" max="14" width="12.1640625" bestFit="1" customWidth="1"/>
    <col min="15" max="15" width="9.6640625" customWidth="1"/>
  </cols>
  <sheetData>
    <row r="1" spans="1:16" ht="21" x14ac:dyDescent="0.25">
      <c r="A1" s="19" t="s">
        <v>574</v>
      </c>
    </row>
    <row r="2" spans="1:16" x14ac:dyDescent="0.2">
      <c r="A2" t="s">
        <v>404</v>
      </c>
    </row>
    <row r="3" spans="1:16" x14ac:dyDescent="0.2">
      <c r="A3" t="s">
        <v>542</v>
      </c>
    </row>
    <row r="5" spans="1:16" x14ac:dyDescent="0.2">
      <c r="A5" s="1" t="s">
        <v>320</v>
      </c>
      <c r="B5" s="1" t="s">
        <v>409</v>
      </c>
      <c r="C5" s="1" t="s">
        <v>101</v>
      </c>
      <c r="D5" s="1" t="s">
        <v>100</v>
      </c>
      <c r="E5" s="1" t="s">
        <v>99</v>
      </c>
      <c r="F5" s="1" t="s">
        <v>98</v>
      </c>
      <c r="G5" s="29" t="s">
        <v>346</v>
      </c>
      <c r="H5" s="28" t="s">
        <v>506</v>
      </c>
      <c r="I5" s="1" t="s">
        <v>385</v>
      </c>
      <c r="J5" s="1" t="s">
        <v>376</v>
      </c>
      <c r="K5" s="18" t="s">
        <v>378</v>
      </c>
      <c r="L5" s="1" t="s">
        <v>330</v>
      </c>
      <c r="M5" s="1" t="s">
        <v>540</v>
      </c>
      <c r="N5" s="1" t="s">
        <v>77</v>
      </c>
      <c r="O5" s="1" t="s">
        <v>71</v>
      </c>
      <c r="P5" s="1" t="s">
        <v>532</v>
      </c>
    </row>
    <row r="6" spans="1:16" s="20" customFormat="1" x14ac:dyDescent="0.2">
      <c r="A6" t="s">
        <v>12</v>
      </c>
      <c r="B6" t="s">
        <v>144</v>
      </c>
      <c r="C6">
        <v>7</v>
      </c>
      <c r="D6">
        <v>1286128</v>
      </c>
      <c r="E6" t="s">
        <v>83</v>
      </c>
      <c r="F6" t="s">
        <v>84</v>
      </c>
      <c r="G6" s="5">
        <v>0.2429</v>
      </c>
      <c r="H6" s="21" t="s">
        <v>474</v>
      </c>
      <c r="I6" t="s">
        <v>411</v>
      </c>
      <c r="J6" t="s">
        <v>402</v>
      </c>
      <c r="K6" s="3">
        <v>5.6579999999999998E-2</v>
      </c>
      <c r="L6" s="7">
        <v>2.6090000000000002E-3</v>
      </c>
      <c r="M6" s="3">
        <f>LN(N6)</f>
        <v>-238.5</v>
      </c>
      <c r="N6">
        <v>2.6349117010153511E-104</v>
      </c>
      <c r="O6">
        <v>401570</v>
      </c>
      <c r="P6" t="b">
        <v>0</v>
      </c>
    </row>
    <row r="7" spans="1:16" s="20" customFormat="1" x14ac:dyDescent="0.2">
      <c r="A7" t="s">
        <v>12</v>
      </c>
      <c r="B7" t="s">
        <v>144</v>
      </c>
      <c r="C7">
        <v>7</v>
      </c>
      <c r="D7">
        <v>1286128</v>
      </c>
      <c r="E7" t="s">
        <v>83</v>
      </c>
      <c r="F7" t="s">
        <v>84</v>
      </c>
      <c r="G7" s="5">
        <v>0.24310000000000001</v>
      </c>
      <c r="H7" s="21">
        <v>51</v>
      </c>
      <c r="I7" t="s">
        <v>466</v>
      </c>
      <c r="J7" t="s">
        <v>522</v>
      </c>
      <c r="K7" s="3">
        <v>-1.376E-2</v>
      </c>
      <c r="L7" s="7">
        <v>2.4620000000000002E-3</v>
      </c>
      <c r="M7" s="3">
        <f t="shared" ref="M7:M33" si="0">LN(N7)</f>
        <v>-17.59</v>
      </c>
      <c r="N7">
        <v>2.2948804346241509E-8</v>
      </c>
      <c r="O7">
        <v>419245</v>
      </c>
      <c r="P7" t="b">
        <v>1</v>
      </c>
    </row>
    <row r="8" spans="1:16" s="20" customFormat="1" x14ac:dyDescent="0.2">
      <c r="A8" t="s">
        <v>12</v>
      </c>
      <c r="B8" t="s">
        <v>144</v>
      </c>
      <c r="C8">
        <v>7</v>
      </c>
      <c r="D8">
        <v>1286128</v>
      </c>
      <c r="E8" t="s">
        <v>83</v>
      </c>
      <c r="F8" t="s">
        <v>84</v>
      </c>
      <c r="G8" s="5">
        <v>0.24310000000000001</v>
      </c>
      <c r="H8" s="21">
        <v>50</v>
      </c>
      <c r="I8" t="s">
        <v>465</v>
      </c>
      <c r="J8" t="s">
        <v>522</v>
      </c>
      <c r="K8" s="3">
        <v>-1.306E-2</v>
      </c>
      <c r="L8" s="7">
        <v>2.3969999999999998E-3</v>
      </c>
      <c r="M8" s="3">
        <f t="shared" si="0"/>
        <v>-16.79</v>
      </c>
      <c r="N8">
        <v>5.1073503332526343E-8</v>
      </c>
      <c r="O8">
        <v>419596</v>
      </c>
      <c r="P8" t="b">
        <v>1</v>
      </c>
    </row>
    <row r="9" spans="1:16" s="20" customFormat="1" x14ac:dyDescent="0.2">
      <c r="A9" t="s">
        <v>12</v>
      </c>
      <c r="B9" t="s">
        <v>144</v>
      </c>
      <c r="C9">
        <v>7</v>
      </c>
      <c r="D9">
        <v>1286128</v>
      </c>
      <c r="E9" t="s">
        <v>83</v>
      </c>
      <c r="F9" t="s">
        <v>84</v>
      </c>
      <c r="G9" s="5">
        <v>0.24310000000000001</v>
      </c>
      <c r="H9" s="21">
        <v>23101</v>
      </c>
      <c r="I9" t="s">
        <v>426</v>
      </c>
      <c r="J9" t="s">
        <v>522</v>
      </c>
      <c r="K9" s="3">
        <v>-1.001E-2</v>
      </c>
      <c r="L9" s="7">
        <v>2.0070000000000001E-3</v>
      </c>
      <c r="M9" s="3">
        <f t="shared" si="0"/>
        <v>-14.31</v>
      </c>
      <c r="N9">
        <v>6.0988220803959362E-7</v>
      </c>
      <c r="O9">
        <v>413158</v>
      </c>
      <c r="P9" t="b">
        <v>1</v>
      </c>
    </row>
    <row r="10" spans="1:16" s="20" customFormat="1" x14ac:dyDescent="0.2">
      <c r="A10" t="s">
        <v>12</v>
      </c>
      <c r="B10" t="s">
        <v>144</v>
      </c>
      <c r="C10">
        <v>7</v>
      </c>
      <c r="D10">
        <v>1286128</v>
      </c>
      <c r="E10" t="s">
        <v>83</v>
      </c>
      <c r="F10" t="s">
        <v>84</v>
      </c>
      <c r="G10" s="5">
        <v>0.2432</v>
      </c>
      <c r="H10" s="21">
        <v>30030</v>
      </c>
      <c r="I10" t="s">
        <v>433</v>
      </c>
      <c r="J10" t="s">
        <v>372</v>
      </c>
      <c r="K10" s="3">
        <v>2.7859999999999999E-2</v>
      </c>
      <c r="L10" s="7">
        <v>2.4629999999999999E-3</v>
      </c>
      <c r="M10" s="3">
        <f t="shared" si="0"/>
        <v>-66.650000000000006</v>
      </c>
      <c r="N10">
        <v>1.1331118493678848E-29</v>
      </c>
      <c r="O10">
        <v>407995</v>
      </c>
      <c r="P10" t="b">
        <v>0</v>
      </c>
    </row>
    <row r="11" spans="1:16" s="20" customFormat="1" x14ac:dyDescent="0.2">
      <c r="A11" t="s">
        <v>12</v>
      </c>
      <c r="B11" t="s">
        <v>144</v>
      </c>
      <c r="C11">
        <v>7</v>
      </c>
      <c r="D11">
        <v>1286128</v>
      </c>
      <c r="E11" t="s">
        <v>83</v>
      </c>
      <c r="F11" t="s">
        <v>84</v>
      </c>
      <c r="G11" s="5">
        <v>0.2432</v>
      </c>
      <c r="H11" s="21">
        <v>30020</v>
      </c>
      <c r="I11" t="s">
        <v>432</v>
      </c>
      <c r="J11" t="s">
        <v>372</v>
      </c>
      <c r="K11" s="3">
        <v>2.7359999999999999E-2</v>
      </c>
      <c r="L11" s="7">
        <v>2.3879999999999999E-3</v>
      </c>
      <c r="M11" s="3">
        <f t="shared" si="0"/>
        <v>-68.31</v>
      </c>
      <c r="N11">
        <v>2.1544873137975811E-30</v>
      </c>
      <c r="O11">
        <v>407994</v>
      </c>
      <c r="P11" t="b">
        <v>0</v>
      </c>
    </row>
    <row r="12" spans="1:16" s="20" customFormat="1" x14ac:dyDescent="0.2">
      <c r="A12" t="s">
        <v>12</v>
      </c>
      <c r="B12" t="s">
        <v>144</v>
      </c>
      <c r="C12">
        <v>7</v>
      </c>
      <c r="D12">
        <v>1286128</v>
      </c>
      <c r="E12" t="s">
        <v>83</v>
      </c>
      <c r="F12" t="s">
        <v>84</v>
      </c>
      <c r="G12" s="5">
        <v>0.2432</v>
      </c>
      <c r="H12" s="21">
        <v>30010</v>
      </c>
      <c r="I12" t="s">
        <v>431</v>
      </c>
      <c r="J12" t="s">
        <v>372</v>
      </c>
      <c r="K12" s="3">
        <v>2.699E-2</v>
      </c>
      <c r="L12" s="7">
        <v>2.637E-3</v>
      </c>
      <c r="M12" s="3">
        <f t="shared" si="0"/>
        <v>-54.94</v>
      </c>
      <c r="N12">
        <v>1.3799430522844675E-24</v>
      </c>
      <c r="O12">
        <v>407995</v>
      </c>
      <c r="P12" t="b">
        <v>0</v>
      </c>
    </row>
    <row r="13" spans="1:16" s="20" customFormat="1" x14ac:dyDescent="0.2">
      <c r="A13" t="s">
        <v>27</v>
      </c>
      <c r="B13" t="s">
        <v>207</v>
      </c>
      <c r="C13">
        <v>10</v>
      </c>
      <c r="D13">
        <v>71093392</v>
      </c>
      <c r="E13" t="s">
        <v>83</v>
      </c>
      <c r="F13" t="s">
        <v>84</v>
      </c>
      <c r="G13" s="5">
        <v>0.13070000000000001</v>
      </c>
      <c r="H13" s="21">
        <v>30030</v>
      </c>
      <c r="I13" t="s">
        <v>433</v>
      </c>
      <c r="J13" t="s">
        <v>372</v>
      </c>
      <c r="K13" s="3">
        <v>0.11890000000000001</v>
      </c>
      <c r="L13" s="7">
        <v>3.026E-3</v>
      </c>
      <c r="M13">
        <v>-776.6</v>
      </c>
      <c r="N13" t="s">
        <v>386</v>
      </c>
      <c r="O13">
        <v>407995</v>
      </c>
      <c r="P13" t="b">
        <v>0</v>
      </c>
    </row>
    <row r="14" spans="1:16" s="20" customFormat="1" x14ac:dyDescent="0.2">
      <c r="A14" t="s">
        <v>27</v>
      </c>
      <c r="B14" t="s">
        <v>207</v>
      </c>
      <c r="C14">
        <v>10</v>
      </c>
      <c r="D14">
        <v>71093392</v>
      </c>
      <c r="E14" t="s">
        <v>83</v>
      </c>
      <c r="F14" t="s">
        <v>84</v>
      </c>
      <c r="G14" s="5">
        <v>0.13070000000000001</v>
      </c>
      <c r="H14" s="21">
        <v>30020</v>
      </c>
      <c r="I14" t="s">
        <v>432</v>
      </c>
      <c r="J14" t="s">
        <v>372</v>
      </c>
      <c r="K14" s="3">
        <v>0.1174</v>
      </c>
      <c r="L14" s="7">
        <v>2.934E-3</v>
      </c>
      <c r="M14" s="10">
        <v>-804</v>
      </c>
      <c r="N14" t="s">
        <v>386</v>
      </c>
      <c r="O14">
        <v>407994</v>
      </c>
      <c r="P14" t="b">
        <v>0</v>
      </c>
    </row>
    <row r="15" spans="1:16" x14ac:dyDescent="0.2">
      <c r="A15" t="s">
        <v>27</v>
      </c>
      <c r="B15" t="s">
        <v>207</v>
      </c>
      <c r="C15">
        <v>10</v>
      </c>
      <c r="D15">
        <v>71093392</v>
      </c>
      <c r="E15" t="s">
        <v>83</v>
      </c>
      <c r="F15" t="s">
        <v>84</v>
      </c>
      <c r="G15" s="5">
        <v>0.13070000000000001</v>
      </c>
      <c r="H15" s="21">
        <v>30300</v>
      </c>
      <c r="I15" t="s">
        <v>456</v>
      </c>
      <c r="J15" t="s">
        <v>372</v>
      </c>
      <c r="K15" s="3">
        <v>0.1061</v>
      </c>
      <c r="L15" s="7">
        <v>3.8790000000000001E-3</v>
      </c>
      <c r="M15" s="3">
        <f t="shared" si="0"/>
        <v>-377.8</v>
      </c>
      <c r="N15">
        <v>8.3858045688027064E-165</v>
      </c>
      <c r="O15">
        <v>401345</v>
      </c>
      <c r="P15" t="b">
        <v>0</v>
      </c>
    </row>
    <row r="16" spans="1:16" x14ac:dyDescent="0.2">
      <c r="A16" t="s">
        <v>27</v>
      </c>
      <c r="B16" t="s">
        <v>207</v>
      </c>
      <c r="C16">
        <v>10</v>
      </c>
      <c r="D16">
        <v>71093392</v>
      </c>
      <c r="E16" t="s">
        <v>83</v>
      </c>
      <c r="F16" t="s">
        <v>84</v>
      </c>
      <c r="G16" s="5">
        <v>0.13070000000000001</v>
      </c>
      <c r="H16" s="21">
        <v>30290</v>
      </c>
      <c r="I16" t="s">
        <v>455</v>
      </c>
      <c r="J16" t="s">
        <v>372</v>
      </c>
      <c r="K16" s="3">
        <v>9.4649999999999998E-2</v>
      </c>
      <c r="L16" s="7">
        <v>3.908E-3</v>
      </c>
      <c r="M16" s="3">
        <f t="shared" si="0"/>
        <v>-296.7</v>
      </c>
      <c r="N16">
        <v>1.3958129372150913E-129</v>
      </c>
      <c r="O16">
        <v>401345</v>
      </c>
      <c r="P16" t="b">
        <v>0</v>
      </c>
    </row>
    <row r="17" spans="1:16" x14ac:dyDescent="0.2">
      <c r="A17" t="s">
        <v>27</v>
      </c>
      <c r="B17" t="s">
        <v>207</v>
      </c>
      <c r="C17">
        <v>10</v>
      </c>
      <c r="D17">
        <v>71093392</v>
      </c>
      <c r="E17" t="s">
        <v>83</v>
      </c>
      <c r="F17" t="s">
        <v>84</v>
      </c>
      <c r="G17" s="5">
        <v>0.13070000000000001</v>
      </c>
      <c r="H17" s="21">
        <v>30280</v>
      </c>
      <c r="I17" t="s">
        <v>454</v>
      </c>
      <c r="J17" t="s">
        <v>372</v>
      </c>
      <c r="K17" s="3">
        <v>4.1239999999999999E-2</v>
      </c>
      <c r="L17" s="7">
        <v>3.7330000000000002E-3</v>
      </c>
      <c r="M17" s="3">
        <f t="shared" si="0"/>
        <v>-63.63</v>
      </c>
      <c r="N17">
        <v>2.3218925416212695E-28</v>
      </c>
      <c r="O17">
        <v>401344</v>
      </c>
      <c r="P17" t="b">
        <v>0</v>
      </c>
    </row>
    <row r="18" spans="1:16" x14ac:dyDescent="0.2">
      <c r="A18" t="s">
        <v>27</v>
      </c>
      <c r="B18" t="s">
        <v>207</v>
      </c>
      <c r="C18">
        <v>10</v>
      </c>
      <c r="D18">
        <v>71093392</v>
      </c>
      <c r="E18" t="s">
        <v>83</v>
      </c>
      <c r="F18" t="s">
        <v>84</v>
      </c>
      <c r="G18" s="5">
        <v>0.13070000000000001</v>
      </c>
      <c r="H18" s="21">
        <v>30120</v>
      </c>
      <c r="I18" t="s">
        <v>442</v>
      </c>
      <c r="J18" t="s">
        <v>372</v>
      </c>
      <c r="K18" s="3">
        <v>-2.163E-2</v>
      </c>
      <c r="L18" s="7">
        <v>3.8149999999999998E-3</v>
      </c>
      <c r="M18" s="3">
        <f t="shared" si="0"/>
        <v>-18.059999999999999</v>
      </c>
      <c r="N18">
        <v>1.4343054770776863E-8</v>
      </c>
      <c r="O18">
        <v>407265</v>
      </c>
      <c r="P18" t="b">
        <v>1</v>
      </c>
    </row>
    <row r="19" spans="1:16" x14ac:dyDescent="0.2">
      <c r="A19" t="s">
        <v>27</v>
      </c>
      <c r="B19" t="s">
        <v>207</v>
      </c>
      <c r="C19">
        <v>10</v>
      </c>
      <c r="D19">
        <v>71093392</v>
      </c>
      <c r="E19" t="s">
        <v>83</v>
      </c>
      <c r="F19" t="s">
        <v>84</v>
      </c>
      <c r="G19" s="5">
        <v>0.13070000000000001</v>
      </c>
      <c r="H19" s="21">
        <v>30180</v>
      </c>
      <c r="I19" t="s">
        <v>446</v>
      </c>
      <c r="J19" t="s">
        <v>372</v>
      </c>
      <c r="K19" s="3">
        <v>-2.0799999999999999E-2</v>
      </c>
      <c r="L19" s="7">
        <v>3.6800000000000001E-3</v>
      </c>
      <c r="M19" s="3">
        <f t="shared" si="0"/>
        <v>-17.96</v>
      </c>
      <c r="N19">
        <v>1.5851527009028729E-8</v>
      </c>
      <c r="O19">
        <v>407282</v>
      </c>
      <c r="P19" t="b">
        <v>1</v>
      </c>
    </row>
    <row r="20" spans="1:16" x14ac:dyDescent="0.2">
      <c r="A20" t="s">
        <v>27</v>
      </c>
      <c r="B20" t="s">
        <v>207</v>
      </c>
      <c r="C20">
        <v>10</v>
      </c>
      <c r="D20">
        <v>71093392</v>
      </c>
      <c r="E20" t="s">
        <v>83</v>
      </c>
      <c r="F20" t="s">
        <v>84</v>
      </c>
      <c r="G20" s="5">
        <v>0.13070000000000001</v>
      </c>
      <c r="H20" s="21">
        <v>30050</v>
      </c>
      <c r="I20" t="s">
        <v>435</v>
      </c>
      <c r="J20" t="s">
        <v>372</v>
      </c>
      <c r="K20" s="3">
        <v>8.4669999999999995E-2</v>
      </c>
      <c r="L20" s="7">
        <v>3.7989999999999999E-3</v>
      </c>
      <c r="M20" s="3">
        <f t="shared" si="0"/>
        <v>-251.7</v>
      </c>
      <c r="N20">
        <v>4.8761707494216432E-110</v>
      </c>
      <c r="O20">
        <v>407992</v>
      </c>
      <c r="P20" t="b">
        <v>0</v>
      </c>
    </row>
    <row r="21" spans="1:16" x14ac:dyDescent="0.2">
      <c r="A21" t="s">
        <v>27</v>
      </c>
      <c r="B21" t="s">
        <v>207</v>
      </c>
      <c r="C21">
        <v>10</v>
      </c>
      <c r="D21">
        <v>71093392</v>
      </c>
      <c r="E21" t="s">
        <v>83</v>
      </c>
      <c r="F21" t="s">
        <v>84</v>
      </c>
      <c r="G21" s="5">
        <v>0.13070000000000001</v>
      </c>
      <c r="H21" s="21">
        <v>30040</v>
      </c>
      <c r="I21" t="s">
        <v>434</v>
      </c>
      <c r="J21" t="s">
        <v>372</v>
      </c>
      <c r="K21" s="3">
        <v>9.5180000000000001E-2</v>
      </c>
      <c r="L21" s="7">
        <v>3.8249999999999998E-3</v>
      </c>
      <c r="M21" s="3">
        <f t="shared" si="0"/>
        <v>-313.10000000000002</v>
      </c>
      <c r="N21">
        <v>1.0529256756055447E-136</v>
      </c>
      <c r="O21">
        <v>407993</v>
      </c>
      <c r="P21" t="b">
        <v>0</v>
      </c>
    </row>
    <row r="22" spans="1:16" x14ac:dyDescent="0.2">
      <c r="A22" t="s">
        <v>27</v>
      </c>
      <c r="B22" t="s">
        <v>207</v>
      </c>
      <c r="C22">
        <v>10</v>
      </c>
      <c r="D22">
        <v>71093392</v>
      </c>
      <c r="E22" t="s">
        <v>83</v>
      </c>
      <c r="F22" t="s">
        <v>84</v>
      </c>
      <c r="G22" s="5">
        <v>0.13070000000000001</v>
      </c>
      <c r="H22" s="21">
        <v>30260</v>
      </c>
      <c r="I22" t="s">
        <v>452</v>
      </c>
      <c r="J22" t="s">
        <v>372</v>
      </c>
      <c r="K22" s="3">
        <v>6.157E-2</v>
      </c>
      <c r="L22" s="7">
        <v>3.8809999999999999E-3</v>
      </c>
      <c r="M22" s="3">
        <f t="shared" si="0"/>
        <v>-128.80000000000001</v>
      </c>
      <c r="N22">
        <v>1.1557681729020115E-56</v>
      </c>
      <c r="O22">
        <v>401344</v>
      </c>
      <c r="P22" t="b">
        <v>0</v>
      </c>
    </row>
    <row r="23" spans="1:16" x14ac:dyDescent="0.2">
      <c r="A23" t="s">
        <v>27</v>
      </c>
      <c r="B23" t="s">
        <v>207</v>
      </c>
      <c r="C23">
        <v>10</v>
      </c>
      <c r="D23">
        <v>71093392</v>
      </c>
      <c r="E23" t="s">
        <v>83</v>
      </c>
      <c r="F23" t="s">
        <v>84</v>
      </c>
      <c r="G23" s="5">
        <v>0.13070000000000001</v>
      </c>
      <c r="H23" s="21">
        <v>30270</v>
      </c>
      <c r="I23" t="s">
        <v>453</v>
      </c>
      <c r="J23" t="s">
        <v>372</v>
      </c>
      <c r="K23" s="3">
        <v>9.0870000000000006E-2</v>
      </c>
      <c r="L23" s="7">
        <v>3.895E-3</v>
      </c>
      <c r="M23" s="3">
        <f t="shared" si="0"/>
        <v>-275.60000000000002</v>
      </c>
      <c r="N23">
        <v>2.0344208001367979E-120</v>
      </c>
      <c r="O23">
        <v>401345</v>
      </c>
      <c r="P23" t="b">
        <v>0</v>
      </c>
    </row>
    <row r="24" spans="1:16" x14ac:dyDescent="0.2">
      <c r="A24" t="s">
        <v>27</v>
      </c>
      <c r="B24" t="s">
        <v>207</v>
      </c>
      <c r="C24">
        <v>10</v>
      </c>
      <c r="D24">
        <v>71093392</v>
      </c>
      <c r="E24" t="s">
        <v>83</v>
      </c>
      <c r="F24" t="s">
        <v>84</v>
      </c>
      <c r="G24" s="5">
        <v>0.13070000000000001</v>
      </c>
      <c r="H24" s="21">
        <v>30190</v>
      </c>
      <c r="I24" t="s">
        <v>447</v>
      </c>
      <c r="J24" t="s">
        <v>372</v>
      </c>
      <c r="K24" s="3">
        <v>2.0580000000000001E-2</v>
      </c>
      <c r="L24" s="7">
        <v>3.7420000000000001E-3</v>
      </c>
      <c r="M24" s="3">
        <f t="shared" si="0"/>
        <v>-17.09</v>
      </c>
      <c r="N24">
        <v>3.7836181862783926E-8</v>
      </c>
      <c r="O24">
        <v>407270</v>
      </c>
      <c r="P24" t="b">
        <v>0</v>
      </c>
    </row>
    <row r="25" spans="1:16" x14ac:dyDescent="0.2">
      <c r="A25" t="s">
        <v>27</v>
      </c>
      <c r="B25" t="s">
        <v>207</v>
      </c>
      <c r="C25">
        <v>10</v>
      </c>
      <c r="D25">
        <v>71093392</v>
      </c>
      <c r="E25" t="s">
        <v>83</v>
      </c>
      <c r="F25" t="s">
        <v>84</v>
      </c>
      <c r="G25" s="5">
        <v>0.13070000000000001</v>
      </c>
      <c r="H25" s="21">
        <v>30080</v>
      </c>
      <c r="I25" t="s">
        <v>438</v>
      </c>
      <c r="J25" t="s">
        <v>372</v>
      </c>
      <c r="K25" s="3">
        <v>-2.351E-2</v>
      </c>
      <c r="L25" s="7">
        <v>3.9529999999999999E-3</v>
      </c>
      <c r="M25" s="3">
        <f t="shared" si="0"/>
        <v>-19.72</v>
      </c>
      <c r="N25">
        <v>2.7271738056557604E-9</v>
      </c>
      <c r="O25">
        <v>407992</v>
      </c>
      <c r="P25" t="b">
        <v>1</v>
      </c>
    </row>
    <row r="26" spans="1:16" x14ac:dyDescent="0.2">
      <c r="A26" t="s">
        <v>27</v>
      </c>
      <c r="B26" t="s">
        <v>207</v>
      </c>
      <c r="C26">
        <v>10</v>
      </c>
      <c r="D26">
        <v>71093392</v>
      </c>
      <c r="E26" t="s">
        <v>83</v>
      </c>
      <c r="F26" t="s">
        <v>84</v>
      </c>
      <c r="G26" s="5">
        <v>0.13070000000000001</v>
      </c>
      <c r="H26" s="21">
        <v>30090</v>
      </c>
      <c r="I26" t="s">
        <v>439</v>
      </c>
      <c r="J26" t="s">
        <v>372</v>
      </c>
      <c r="K26" s="3">
        <v>-2.4719999999999999E-2</v>
      </c>
      <c r="L26" s="7">
        <v>3.836E-3</v>
      </c>
      <c r="M26" s="3">
        <f t="shared" si="0"/>
        <v>-22.88</v>
      </c>
      <c r="N26">
        <v>1.1570236976030416E-10</v>
      </c>
      <c r="O26">
        <v>407988</v>
      </c>
      <c r="P26" t="b">
        <v>1</v>
      </c>
    </row>
    <row r="27" spans="1:16" x14ac:dyDescent="0.2">
      <c r="A27" t="s">
        <v>27</v>
      </c>
      <c r="B27" t="s">
        <v>207</v>
      </c>
      <c r="C27">
        <v>10</v>
      </c>
      <c r="D27">
        <v>71093392</v>
      </c>
      <c r="E27" t="s">
        <v>83</v>
      </c>
      <c r="F27" t="s">
        <v>84</v>
      </c>
      <c r="G27" s="5">
        <v>0.13070000000000001</v>
      </c>
      <c r="H27" s="21">
        <v>30010</v>
      </c>
      <c r="I27" t="s">
        <v>431</v>
      </c>
      <c r="J27" t="s">
        <v>372</v>
      </c>
      <c r="K27" s="3">
        <v>7.2400000000000006E-2</v>
      </c>
      <c r="L27" s="7">
        <v>3.2399999999999998E-3</v>
      </c>
      <c r="M27" s="3">
        <f t="shared" si="0"/>
        <v>-252.9</v>
      </c>
      <c r="N27">
        <v>1.4686744060213587E-110</v>
      </c>
      <c r="O27">
        <v>407995</v>
      </c>
      <c r="P27" t="b">
        <v>0</v>
      </c>
    </row>
    <row r="28" spans="1:16" x14ac:dyDescent="0.2">
      <c r="A28" t="s">
        <v>27</v>
      </c>
      <c r="B28" t="s">
        <v>207</v>
      </c>
      <c r="C28">
        <v>10</v>
      </c>
      <c r="D28">
        <v>71093392</v>
      </c>
      <c r="E28" t="s">
        <v>83</v>
      </c>
      <c r="F28" t="s">
        <v>84</v>
      </c>
      <c r="G28" s="5">
        <v>0.13070000000000001</v>
      </c>
      <c r="H28" s="21">
        <v>30070</v>
      </c>
      <c r="I28" t="s">
        <v>437</v>
      </c>
      <c r="J28" t="s">
        <v>372</v>
      </c>
      <c r="K28" s="3">
        <v>3.4669999999999999E-2</v>
      </c>
      <c r="L28" s="7">
        <v>3.7669999999999999E-3</v>
      </c>
      <c r="M28" s="3">
        <f t="shared" si="0"/>
        <v>-44.82</v>
      </c>
      <c r="N28">
        <v>3.4270569468925311E-20</v>
      </c>
      <c r="O28">
        <v>407993</v>
      </c>
      <c r="P28" t="b">
        <v>0</v>
      </c>
    </row>
    <row r="29" spans="1:16" x14ac:dyDescent="0.2">
      <c r="A29" t="s">
        <v>27</v>
      </c>
      <c r="B29" t="s">
        <v>207</v>
      </c>
      <c r="C29">
        <v>10</v>
      </c>
      <c r="D29">
        <v>71093392</v>
      </c>
      <c r="E29" t="s">
        <v>83</v>
      </c>
      <c r="F29" t="s">
        <v>84</v>
      </c>
      <c r="G29" s="5">
        <v>0.13070000000000001</v>
      </c>
      <c r="H29" s="21">
        <v>30250</v>
      </c>
      <c r="I29" t="s">
        <v>451</v>
      </c>
      <c r="J29" t="s">
        <v>372</v>
      </c>
      <c r="K29" s="3">
        <v>0.1124</v>
      </c>
      <c r="L29" s="7">
        <v>3.846E-3</v>
      </c>
      <c r="M29" s="3">
        <f t="shared" si="0"/>
        <v>-430.9</v>
      </c>
      <c r="N29">
        <v>7.2863117330364184E-188</v>
      </c>
      <c r="O29">
        <v>401345</v>
      </c>
      <c r="P29" t="b">
        <v>0</v>
      </c>
    </row>
    <row r="30" spans="1:16" x14ac:dyDescent="0.2">
      <c r="A30" t="s">
        <v>27</v>
      </c>
      <c r="B30" t="s">
        <v>207</v>
      </c>
      <c r="C30">
        <v>10</v>
      </c>
      <c r="D30">
        <v>71093392</v>
      </c>
      <c r="E30" t="s">
        <v>83</v>
      </c>
      <c r="F30" t="s">
        <v>84</v>
      </c>
      <c r="G30" s="5">
        <v>0.13070000000000001</v>
      </c>
      <c r="H30" s="21">
        <v>30240</v>
      </c>
      <c r="I30" t="s">
        <v>450</v>
      </c>
      <c r="J30" t="s">
        <v>372</v>
      </c>
      <c r="K30" s="3">
        <v>9.8500000000000004E-2</v>
      </c>
      <c r="L30" s="7">
        <v>3.8760000000000001E-3</v>
      </c>
      <c r="M30" s="3">
        <f t="shared" si="0"/>
        <v>-326.39999999999998</v>
      </c>
      <c r="N30">
        <v>1.7631168938405531E-142</v>
      </c>
      <c r="O30">
        <v>401344</v>
      </c>
      <c r="P30" t="b">
        <v>0</v>
      </c>
    </row>
    <row r="31" spans="1:16" s="20" customFormat="1" x14ac:dyDescent="0.2">
      <c r="A31" t="str">
        <f>INDEX('Suplementary Table 2'!$A:$A,MATCH(B31,'Suplementary Table 2'!$D:$D,0))</f>
        <v>Magnesium</v>
      </c>
      <c r="B31" t="str">
        <f>INDEX('Suplementary Table 2'!$D:$D,MATCH(D31,'Suplementary Table 2'!$F:$F,0))</f>
        <v>rs16926246</v>
      </c>
      <c r="C31">
        <v>10</v>
      </c>
      <c r="D31">
        <v>71093392</v>
      </c>
      <c r="E31" t="s">
        <v>83</v>
      </c>
      <c r="F31" t="s">
        <v>84</v>
      </c>
      <c r="G31" s="5">
        <v>0.13270000000000001</v>
      </c>
      <c r="H31" s="21" t="s">
        <v>475</v>
      </c>
      <c r="I31" t="s">
        <v>412</v>
      </c>
      <c r="J31" t="s">
        <v>371</v>
      </c>
      <c r="K31">
        <f>0.08</f>
        <v>0.08</v>
      </c>
      <c r="L31">
        <v>4.0930000000000003E-3</v>
      </c>
      <c r="M31" s="3">
        <f t="shared" si="0"/>
        <v>-197.2</v>
      </c>
      <c r="N31">
        <v>2.2757689549933973E-86</v>
      </c>
      <c r="O31" s="9">
        <v>342781</v>
      </c>
      <c r="P31" t="b">
        <v>0</v>
      </c>
    </row>
    <row r="32" spans="1:16" s="20" customFormat="1" x14ac:dyDescent="0.2">
      <c r="A32" t="s">
        <v>43</v>
      </c>
      <c r="B32" t="s">
        <v>336</v>
      </c>
      <c r="C32">
        <v>20</v>
      </c>
      <c r="D32">
        <v>50220088</v>
      </c>
      <c r="E32" t="s">
        <v>84</v>
      </c>
      <c r="F32" t="s">
        <v>89</v>
      </c>
      <c r="G32" s="5">
        <v>0.43490000000000001</v>
      </c>
      <c r="H32" s="21">
        <v>50</v>
      </c>
      <c r="I32" t="s">
        <v>465</v>
      </c>
      <c r="J32" t="s">
        <v>522</v>
      </c>
      <c r="K32" s="3">
        <v>1.04E-2</v>
      </c>
      <c r="L32" s="7">
        <v>2.0100000000000001E-3</v>
      </c>
      <c r="M32" s="3">
        <f t="shared" si="0"/>
        <v>-15.29</v>
      </c>
      <c r="N32">
        <v>2.2889556166925803E-7</v>
      </c>
      <c r="O32">
        <v>419596</v>
      </c>
      <c r="P32" t="b">
        <v>0</v>
      </c>
    </row>
    <row r="33" spans="1:16" s="20" customFormat="1" x14ac:dyDescent="0.2">
      <c r="A33" t="s">
        <v>45</v>
      </c>
      <c r="B33" t="s">
        <v>278</v>
      </c>
      <c r="C33" s="8" t="s">
        <v>72</v>
      </c>
      <c r="D33">
        <v>106239318</v>
      </c>
      <c r="E33" t="s">
        <v>83</v>
      </c>
      <c r="F33" t="s">
        <v>84</v>
      </c>
      <c r="G33" s="5">
        <v>0.1522</v>
      </c>
      <c r="H33" s="21" t="s">
        <v>474</v>
      </c>
      <c r="I33" t="s">
        <v>411</v>
      </c>
      <c r="J33" t="s">
        <v>402</v>
      </c>
      <c r="K33" s="3">
        <v>-1.8110000000000001E-2</v>
      </c>
      <c r="L33" s="7">
        <v>2.4880000000000002E-3</v>
      </c>
      <c r="M33" s="3">
        <f t="shared" si="0"/>
        <v>-28.73</v>
      </c>
      <c r="N33">
        <v>3.3321115726151397E-13</v>
      </c>
      <c r="O33">
        <v>401570</v>
      </c>
      <c r="P33" t="b">
        <v>1</v>
      </c>
    </row>
  </sheetData>
  <sortState xmlns:xlrd2="http://schemas.microsoft.com/office/spreadsheetml/2017/richdata2" ref="A6:O30">
    <sortCondition ref="A6:A30"/>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ED9F9-9F5E-C445-8055-FD58357085F4}">
  <dimension ref="A1:V47"/>
  <sheetViews>
    <sheetView tabSelected="1" workbookViewId="0">
      <selection activeCell="M48" sqref="M48"/>
    </sheetView>
  </sheetViews>
  <sheetFormatPr baseColWidth="10" defaultRowHeight="16" x14ac:dyDescent="0.2"/>
  <cols>
    <col min="1" max="1" width="25" customWidth="1"/>
    <col min="2" max="2" width="12.1640625" customWidth="1"/>
    <col min="3" max="3" width="24" customWidth="1"/>
    <col min="4" max="4" width="8.1640625" customWidth="1"/>
    <col min="5" max="5" width="7.6640625" customWidth="1"/>
    <col min="6" max="6" width="9.6640625" customWidth="1"/>
    <col min="7" max="7" width="7.83203125" customWidth="1"/>
    <col min="8" max="8" width="7.5" customWidth="1"/>
    <col min="9" max="9" width="8.5" customWidth="1"/>
    <col min="10" max="10" width="6.83203125" style="3" customWidth="1"/>
    <col min="11" max="11" width="9.33203125" style="3" customWidth="1"/>
    <col min="12" max="12" width="8.6640625" style="3" customWidth="1"/>
    <col min="13" max="13" width="11.5" customWidth="1"/>
    <col min="16" max="16" width="11.1640625" customWidth="1"/>
    <col min="17" max="17" width="70.33203125" customWidth="1"/>
    <col min="22" max="22" width="12" customWidth="1"/>
    <col min="23" max="23" width="16" customWidth="1"/>
  </cols>
  <sheetData>
    <row r="1" spans="1:22" ht="21" x14ac:dyDescent="0.25">
      <c r="A1" s="19" t="s">
        <v>575</v>
      </c>
    </row>
    <row r="2" spans="1:22" x14ac:dyDescent="0.2">
      <c r="A2" t="s">
        <v>578</v>
      </c>
    </row>
    <row r="3" spans="1:22" x14ac:dyDescent="0.2">
      <c r="A3" t="s">
        <v>561</v>
      </c>
    </row>
    <row r="4" spans="1:22" x14ac:dyDescent="0.2">
      <c r="A4" t="s">
        <v>562</v>
      </c>
    </row>
    <row r="5" spans="1:22" x14ac:dyDescent="0.2">
      <c r="A5" t="s">
        <v>559</v>
      </c>
    </row>
    <row r="6" spans="1:22" x14ac:dyDescent="0.2">
      <c r="A6" t="s">
        <v>594</v>
      </c>
    </row>
    <row r="8" spans="1:22" s="1" customFormat="1" x14ac:dyDescent="0.2">
      <c r="A8" s="1" t="s">
        <v>481</v>
      </c>
      <c r="B8" s="1" t="s">
        <v>480</v>
      </c>
      <c r="C8" s="1" t="s">
        <v>482</v>
      </c>
      <c r="D8" s="1" t="s">
        <v>483</v>
      </c>
      <c r="E8" s="1" t="s">
        <v>557</v>
      </c>
      <c r="F8" s="1" t="s">
        <v>558</v>
      </c>
      <c r="G8" s="1" t="s">
        <v>484</v>
      </c>
      <c r="H8" s="1" t="s">
        <v>330</v>
      </c>
      <c r="I8" s="1" t="s">
        <v>77</v>
      </c>
      <c r="J8" s="18" t="s">
        <v>485</v>
      </c>
      <c r="K8" s="18" t="s">
        <v>486</v>
      </c>
      <c r="L8" s="18" t="s">
        <v>487</v>
      </c>
      <c r="M8" s="1" t="s">
        <v>488</v>
      </c>
      <c r="N8" s="1" t="s">
        <v>381</v>
      </c>
      <c r="O8" s="1" t="s">
        <v>382</v>
      </c>
      <c r="P8" s="1" t="s">
        <v>581</v>
      </c>
      <c r="Q8" s="1" t="s">
        <v>585</v>
      </c>
      <c r="S8" s="51"/>
    </row>
    <row r="9" spans="1:22" x14ac:dyDescent="0.2">
      <c r="A9" t="s">
        <v>496</v>
      </c>
      <c r="B9" t="s">
        <v>42</v>
      </c>
      <c r="C9" t="s">
        <v>490</v>
      </c>
      <c r="D9">
        <v>2</v>
      </c>
      <c r="E9" s="2">
        <v>1.4E-2</v>
      </c>
      <c r="F9">
        <v>41</v>
      </c>
      <c r="G9">
        <v>4.1118495999999997E-2</v>
      </c>
      <c r="H9">
        <v>4.9202019999999999E-2</v>
      </c>
      <c r="I9" s="5">
        <v>0.4033195</v>
      </c>
      <c r="J9" s="3">
        <f>EXP(G9)</f>
        <v>1.0419755681673473</v>
      </c>
      <c r="K9" s="3">
        <f>EXP(G9-1.96*H9)</f>
        <v>0.94618472143936649</v>
      </c>
      <c r="L9" s="3">
        <f>EXP(G9+1.96*H9)</f>
        <v>1.1474641896627167</v>
      </c>
      <c r="M9" s="10">
        <f>SUM(N9,O9)</f>
        <v>898130</v>
      </c>
      <c r="N9">
        <v>74124</v>
      </c>
      <c r="O9" s="10">
        <v>824006</v>
      </c>
      <c r="P9">
        <v>30297969</v>
      </c>
      <c r="Q9" s="53" t="s">
        <v>593</v>
      </c>
      <c r="V9" s="3"/>
    </row>
    <row r="10" spans="1:22" x14ac:dyDescent="0.2">
      <c r="A10" t="s">
        <v>496</v>
      </c>
      <c r="B10" t="s">
        <v>28</v>
      </c>
      <c r="C10" t="s">
        <v>490</v>
      </c>
      <c r="D10">
        <v>10</v>
      </c>
      <c r="E10" s="2">
        <v>7.8E-2</v>
      </c>
      <c r="F10">
        <v>238</v>
      </c>
      <c r="G10">
        <v>-3.1004706999999999E-2</v>
      </c>
      <c r="H10">
        <v>2.2369420000000001E-2</v>
      </c>
      <c r="I10" s="5">
        <v>0.16573750000000001</v>
      </c>
      <c r="J10" s="3">
        <f>EXP(G10)</f>
        <v>0.96947100976524325</v>
      </c>
      <c r="K10" s="3">
        <f>EXP(G10-1.96*H10)</f>
        <v>0.92788379939993315</v>
      </c>
      <c r="L10" s="3">
        <f t="shared" ref="L10:L12" si="0">EXP(G10+1.96*H10)</f>
        <v>1.0129221346283461</v>
      </c>
      <c r="M10" s="10">
        <f t="shared" ref="M10:M13" si="1">SUM(N10,O10)</f>
        <v>898130</v>
      </c>
      <c r="N10">
        <v>74124</v>
      </c>
      <c r="O10" s="10">
        <v>824006</v>
      </c>
      <c r="P10">
        <v>30297969</v>
      </c>
      <c r="Q10" s="53" t="s">
        <v>593</v>
      </c>
      <c r="V10" s="3"/>
    </row>
    <row r="11" spans="1:22" x14ac:dyDescent="0.2">
      <c r="A11" t="s">
        <v>496</v>
      </c>
      <c r="B11" t="s">
        <v>56</v>
      </c>
      <c r="C11" t="s">
        <v>490</v>
      </c>
      <c r="D11">
        <v>3</v>
      </c>
      <c r="E11" s="2">
        <v>2.9000000000000001E-2</v>
      </c>
      <c r="F11">
        <v>85</v>
      </c>
      <c r="G11">
        <v>-4.6613119999999999E-3</v>
      </c>
      <c r="H11">
        <v>3.4844020000000003E-2</v>
      </c>
      <c r="I11" s="5">
        <v>0.89357929999999997</v>
      </c>
      <c r="J11" s="3">
        <f>EXP(G11)</f>
        <v>0.99534953505440105</v>
      </c>
      <c r="K11" s="3">
        <f>EXP(G11-1.96*H11)</f>
        <v>0.92964211339979896</v>
      </c>
      <c r="L11" s="3">
        <f t="shared" si="0"/>
        <v>1.065701179682838</v>
      </c>
      <c r="M11" s="10">
        <f t="shared" si="1"/>
        <v>898130</v>
      </c>
      <c r="N11">
        <v>74124</v>
      </c>
      <c r="O11" s="10">
        <v>824006</v>
      </c>
      <c r="P11">
        <v>30297969</v>
      </c>
      <c r="Q11" s="53" t="s">
        <v>593</v>
      </c>
      <c r="V11" s="3"/>
    </row>
    <row r="12" spans="1:22" x14ac:dyDescent="0.2">
      <c r="A12" t="s">
        <v>496</v>
      </c>
      <c r="B12" t="s">
        <v>16</v>
      </c>
      <c r="C12" t="s">
        <v>489</v>
      </c>
      <c r="D12">
        <v>1</v>
      </c>
      <c r="E12" s="2">
        <v>4.5999999999999999E-3</v>
      </c>
      <c r="F12">
        <v>13</v>
      </c>
      <c r="G12">
        <v>6.6666700000000004E-3</v>
      </c>
      <c r="H12">
        <v>0.04</v>
      </c>
      <c r="I12" s="5">
        <v>0.86763230000000002</v>
      </c>
      <c r="J12" s="3">
        <f>EXP(G12)</f>
        <v>1.0066889417096492</v>
      </c>
      <c r="K12" s="3">
        <f>EXP(G12-1.96*H12)</f>
        <v>0.93077907357450307</v>
      </c>
      <c r="L12" s="3">
        <f t="shared" si="0"/>
        <v>1.0887896538849025</v>
      </c>
      <c r="M12" s="10">
        <f t="shared" si="1"/>
        <v>898130</v>
      </c>
      <c r="N12">
        <v>74124</v>
      </c>
      <c r="O12" s="10">
        <v>824006</v>
      </c>
      <c r="P12">
        <v>30297969</v>
      </c>
      <c r="Q12" s="53" t="s">
        <v>593</v>
      </c>
      <c r="V12" s="3"/>
    </row>
    <row r="13" spans="1:22" x14ac:dyDescent="0.2">
      <c r="A13" t="s">
        <v>347</v>
      </c>
      <c r="B13" t="s">
        <v>42</v>
      </c>
      <c r="C13" t="s">
        <v>490</v>
      </c>
      <c r="D13">
        <v>2</v>
      </c>
      <c r="E13" s="2">
        <v>1.4E-2</v>
      </c>
      <c r="F13">
        <v>41</v>
      </c>
      <c r="G13">
        <v>3.1570519999999998E-2</v>
      </c>
      <c r="H13">
        <v>7.3393650000000005E-2</v>
      </c>
      <c r="I13" s="5">
        <v>0.66708420000000002</v>
      </c>
      <c r="J13" s="3">
        <f>EXP(G13)</f>
        <v>1.032074154898821</v>
      </c>
      <c r="K13" s="3">
        <f>EXP(G13-1.96*H13)</f>
        <v>0.89379303596904425</v>
      </c>
      <c r="L13" s="3">
        <f t="shared" ref="L13" si="2">EXP(G13+1.96*H13)</f>
        <v>1.1917491167910679</v>
      </c>
      <c r="M13" s="10">
        <f t="shared" si="1"/>
        <v>765406</v>
      </c>
      <c r="N13">
        <v>30234</v>
      </c>
      <c r="O13" s="10">
        <v>735172</v>
      </c>
      <c r="P13" s="30">
        <v>32581359</v>
      </c>
      <c r="Q13" s="52" t="s">
        <v>590</v>
      </c>
      <c r="V13" s="3"/>
    </row>
    <row r="14" spans="1:22" x14ac:dyDescent="0.2">
      <c r="A14" t="s">
        <v>493</v>
      </c>
      <c r="B14" t="s">
        <v>3</v>
      </c>
      <c r="C14" t="s">
        <v>489</v>
      </c>
      <c r="D14">
        <v>1</v>
      </c>
      <c r="E14" s="2">
        <v>9.4999999999999998E-3</v>
      </c>
      <c r="F14">
        <v>27</v>
      </c>
      <c r="G14" s="5">
        <v>-5.5199999999999999E-2</v>
      </c>
      <c r="H14" s="5">
        <v>5.7200000000000001E-2</v>
      </c>
      <c r="I14" s="5">
        <v>0.33452730000000003</v>
      </c>
      <c r="J14" s="3">
        <v>0.94629586985233427</v>
      </c>
      <c r="K14" s="3">
        <v>0.84593563824039553</v>
      </c>
      <c r="L14" s="3">
        <v>1.0585626527831804</v>
      </c>
      <c r="M14">
        <v>487511</v>
      </c>
      <c r="N14">
        <v>85934</v>
      </c>
      <c r="O14" s="10">
        <v>401577</v>
      </c>
      <c r="P14">
        <v>35379992</v>
      </c>
      <c r="Q14" s="52" t="s">
        <v>591</v>
      </c>
      <c r="V14" s="3"/>
    </row>
    <row r="15" spans="1:22" x14ac:dyDescent="0.2">
      <c r="A15" t="s">
        <v>493</v>
      </c>
      <c r="B15" t="s">
        <v>42</v>
      </c>
      <c r="C15" t="s">
        <v>490</v>
      </c>
      <c r="D15">
        <v>2</v>
      </c>
      <c r="E15" s="2">
        <v>1.4E-2</v>
      </c>
      <c r="F15">
        <v>41</v>
      </c>
      <c r="G15" s="5">
        <v>5.35056093E-2</v>
      </c>
      <c r="H15" s="5">
        <v>5.4370889999999998E-2</v>
      </c>
      <c r="I15" s="5">
        <v>0.32507350000000002</v>
      </c>
      <c r="J15" s="3">
        <v>1.0549629093544419</v>
      </c>
      <c r="K15" s="3">
        <v>0.94832184528325836</v>
      </c>
      <c r="L15" s="3">
        <v>1.1735960166362693</v>
      </c>
      <c r="M15">
        <v>487511</v>
      </c>
      <c r="N15">
        <v>85934</v>
      </c>
      <c r="O15" s="10">
        <v>401577</v>
      </c>
      <c r="P15">
        <v>35379992</v>
      </c>
      <c r="Q15" t="s">
        <v>591</v>
      </c>
      <c r="V15" s="3"/>
    </row>
    <row r="16" spans="1:22" x14ac:dyDescent="0.2">
      <c r="A16" t="s">
        <v>493</v>
      </c>
      <c r="B16" t="s">
        <v>28</v>
      </c>
      <c r="C16" t="s">
        <v>490</v>
      </c>
      <c r="D16">
        <v>10</v>
      </c>
      <c r="E16" s="2">
        <v>7.8E-2</v>
      </c>
      <c r="F16">
        <v>238</v>
      </c>
      <c r="G16" s="5">
        <v>9.2172469999999996E-3</v>
      </c>
      <c r="H16" s="5">
        <v>2.247033E-2</v>
      </c>
      <c r="I16" s="5">
        <v>0.68166190000000004</v>
      </c>
      <c r="J16" s="3">
        <v>1.0092598566350219</v>
      </c>
      <c r="K16" s="3">
        <v>0.96577479849510406</v>
      </c>
      <c r="L16" s="3">
        <v>1.054702876697718</v>
      </c>
      <c r="M16">
        <v>487511</v>
      </c>
      <c r="N16">
        <v>85934</v>
      </c>
      <c r="O16" s="10">
        <v>401577</v>
      </c>
      <c r="P16">
        <v>35379992</v>
      </c>
      <c r="Q16" t="s">
        <v>591</v>
      </c>
      <c r="V16" s="3"/>
    </row>
    <row r="17" spans="1:22" x14ac:dyDescent="0.2">
      <c r="A17" t="s">
        <v>493</v>
      </c>
      <c r="B17" t="s">
        <v>16</v>
      </c>
      <c r="C17" t="s">
        <v>489</v>
      </c>
      <c r="D17">
        <v>1</v>
      </c>
      <c r="E17" s="2">
        <v>4.5999999999999999E-3</v>
      </c>
      <c r="F17">
        <v>13</v>
      </c>
      <c r="G17" s="5">
        <v>-4.2857142899999999E-2</v>
      </c>
      <c r="H17" s="5">
        <v>5.0476189999999997E-2</v>
      </c>
      <c r="I17" s="5">
        <v>0.39584979999999997</v>
      </c>
      <c r="J17" s="3">
        <f>EXP(G17)</f>
        <v>0.95804824428533819</v>
      </c>
      <c r="K17" s="3">
        <f>EXP(G17-1.96*H17)</f>
        <v>0.86780306361526982</v>
      </c>
      <c r="L17" s="3">
        <f>EXP(G17+1.96*H17)</f>
        <v>1.0576782646450069</v>
      </c>
      <c r="M17">
        <v>487511</v>
      </c>
      <c r="N17">
        <v>85934</v>
      </c>
      <c r="O17" s="10">
        <v>401577</v>
      </c>
      <c r="P17">
        <v>35379992</v>
      </c>
      <c r="Q17" t="s">
        <v>591</v>
      </c>
      <c r="V17" s="3"/>
    </row>
    <row r="18" spans="1:22" x14ac:dyDescent="0.2">
      <c r="A18" t="s">
        <v>493</v>
      </c>
      <c r="B18" t="s">
        <v>9</v>
      </c>
      <c r="C18" t="s">
        <v>490</v>
      </c>
      <c r="D18">
        <v>3</v>
      </c>
      <c r="E18" s="2">
        <v>3.2000000000000002E-3</v>
      </c>
      <c r="F18">
        <v>9</v>
      </c>
      <c r="G18" s="5">
        <v>-5.283683E-3</v>
      </c>
      <c r="H18" s="5">
        <v>7.0133619999999994E-2</v>
      </c>
      <c r="I18" s="5">
        <v>0.93994630000000001</v>
      </c>
      <c r="J18" s="3">
        <f>EXP(G18)</f>
        <v>0.99473025110109603</v>
      </c>
      <c r="K18" s="3">
        <f>EXP(G18-1.96*H18)</f>
        <v>0.86697461808092535</v>
      </c>
      <c r="L18" s="3">
        <f>EXP(G18+1.96*H18)</f>
        <v>1.1413116968128916</v>
      </c>
      <c r="M18">
        <v>487511</v>
      </c>
      <c r="N18">
        <v>85934</v>
      </c>
      <c r="O18" s="10">
        <v>401577</v>
      </c>
      <c r="P18">
        <v>35379992</v>
      </c>
      <c r="Q18" t="s">
        <v>591</v>
      </c>
      <c r="V18" s="3"/>
    </row>
    <row r="19" spans="1:22" x14ac:dyDescent="0.2">
      <c r="A19" t="s">
        <v>493</v>
      </c>
      <c r="B19" t="s">
        <v>25</v>
      </c>
      <c r="C19" t="s">
        <v>489</v>
      </c>
      <c r="D19">
        <v>1</v>
      </c>
      <c r="E19" s="2">
        <v>7.0000000000000001E-3</v>
      </c>
      <c r="F19">
        <v>20</v>
      </c>
      <c r="G19" s="5">
        <v>-6.6666670000000003E-4</v>
      </c>
      <c r="H19" s="5">
        <v>5.3333329999999998E-2</v>
      </c>
      <c r="I19" s="5">
        <v>0.99002670000000004</v>
      </c>
      <c r="J19" s="3">
        <v>0.99933355547286995</v>
      </c>
      <c r="K19" s="3">
        <v>0.90014448153797755</v>
      </c>
      <c r="L19" s="3">
        <v>1.1094525107655324</v>
      </c>
      <c r="M19">
        <v>487511</v>
      </c>
      <c r="N19">
        <v>85934</v>
      </c>
      <c r="O19" s="10">
        <v>401577</v>
      </c>
      <c r="P19">
        <v>35379992</v>
      </c>
      <c r="Q19" t="s">
        <v>591</v>
      </c>
      <c r="V19" s="3"/>
    </row>
    <row r="20" spans="1:22" x14ac:dyDescent="0.2">
      <c r="A20" t="s">
        <v>493</v>
      </c>
      <c r="B20" t="s">
        <v>56</v>
      </c>
      <c r="C20" t="s">
        <v>490</v>
      </c>
      <c r="D20">
        <v>3</v>
      </c>
      <c r="E20" s="2">
        <v>2.9000000000000001E-2</v>
      </c>
      <c r="F20">
        <v>85</v>
      </c>
      <c r="G20" s="5">
        <v>2.4248974199999999E-2</v>
      </c>
      <c r="H20" s="5">
        <v>3.7224420000000001E-2</v>
      </c>
      <c r="I20" s="5">
        <v>0.51477119999999998</v>
      </c>
      <c r="J20" s="3">
        <v>1.0245453715026531</v>
      </c>
      <c r="K20" s="3">
        <v>0.95245645553503933</v>
      </c>
      <c r="L20" s="3">
        <v>1.1020905073060245</v>
      </c>
      <c r="M20">
        <v>487511</v>
      </c>
      <c r="N20">
        <v>85934</v>
      </c>
      <c r="O20" s="10">
        <v>401577</v>
      </c>
      <c r="P20">
        <v>35379992</v>
      </c>
      <c r="Q20" t="s">
        <v>591</v>
      </c>
      <c r="V20" s="3"/>
    </row>
    <row r="21" spans="1:22" x14ac:dyDescent="0.2">
      <c r="A21" t="s">
        <v>497</v>
      </c>
      <c r="B21" t="s">
        <v>56</v>
      </c>
      <c r="C21" t="s">
        <v>490</v>
      </c>
      <c r="D21">
        <v>3</v>
      </c>
      <c r="E21" s="2">
        <v>2.9000000000000001E-2</v>
      </c>
      <c r="F21">
        <v>85</v>
      </c>
      <c r="G21" s="5">
        <v>-1.6787658E-2</v>
      </c>
      <c r="H21" s="5">
        <v>1.3126311999999999E-2</v>
      </c>
      <c r="I21" s="5">
        <v>0.20092109999999999</v>
      </c>
      <c r="J21" s="3" t="s">
        <v>86</v>
      </c>
      <c r="K21" s="3" t="s">
        <v>86</v>
      </c>
      <c r="L21" s="3" t="s">
        <v>86</v>
      </c>
      <c r="M21">
        <v>365403</v>
      </c>
      <c r="N21" t="s">
        <v>86</v>
      </c>
      <c r="O21" t="s">
        <v>86</v>
      </c>
      <c r="P21">
        <v>30598549</v>
      </c>
      <c r="Q21" t="s">
        <v>592</v>
      </c>
      <c r="V21" s="3"/>
    </row>
    <row r="22" spans="1:22" x14ac:dyDescent="0.2">
      <c r="A22" t="s">
        <v>497</v>
      </c>
      <c r="B22" t="s">
        <v>16</v>
      </c>
      <c r="C22" t="s">
        <v>489</v>
      </c>
      <c r="D22">
        <v>1</v>
      </c>
      <c r="E22" s="2">
        <v>4.5999999999999999E-3</v>
      </c>
      <c r="F22">
        <v>13</v>
      </c>
      <c r="G22" s="5">
        <v>8.1019999999999998E-3</v>
      </c>
      <c r="H22" s="5">
        <v>1.1587286E-2</v>
      </c>
      <c r="I22" s="5">
        <v>0.48441790000000001</v>
      </c>
      <c r="J22" s="3" t="s">
        <v>86</v>
      </c>
      <c r="K22" s="3" t="s">
        <v>86</v>
      </c>
      <c r="L22" s="3" t="s">
        <v>86</v>
      </c>
      <c r="M22">
        <v>365403</v>
      </c>
      <c r="N22" t="s">
        <v>86</v>
      </c>
      <c r="O22" t="s">
        <v>86</v>
      </c>
      <c r="P22">
        <v>30598549</v>
      </c>
      <c r="Q22" t="s">
        <v>592</v>
      </c>
      <c r="V22" s="3"/>
    </row>
    <row r="23" spans="1:22" x14ac:dyDescent="0.2">
      <c r="A23" t="s">
        <v>497</v>
      </c>
      <c r="B23" t="s">
        <v>9</v>
      </c>
      <c r="C23" t="s">
        <v>490</v>
      </c>
      <c r="D23">
        <v>3</v>
      </c>
      <c r="E23" s="2">
        <v>3.2000000000000002E-3</v>
      </c>
      <c r="F23">
        <v>9</v>
      </c>
      <c r="G23" s="5">
        <v>6.0894381999999997E-2</v>
      </c>
      <c r="H23" s="5">
        <v>8.5048660999999998E-2</v>
      </c>
      <c r="I23" s="5">
        <v>0.47399469999999999</v>
      </c>
      <c r="J23" s="3" t="s">
        <v>86</v>
      </c>
      <c r="K23" s="3" t="s">
        <v>86</v>
      </c>
      <c r="L23" s="3" t="s">
        <v>86</v>
      </c>
      <c r="M23">
        <v>365403</v>
      </c>
      <c r="N23" t="s">
        <v>86</v>
      </c>
      <c r="O23" t="s">
        <v>86</v>
      </c>
      <c r="P23">
        <v>30598549</v>
      </c>
      <c r="Q23" t="s">
        <v>592</v>
      </c>
      <c r="V23" s="3"/>
    </row>
    <row r="24" spans="1:22" x14ac:dyDescent="0.2">
      <c r="A24" t="s">
        <v>497</v>
      </c>
      <c r="B24" t="s">
        <v>28</v>
      </c>
      <c r="C24" t="s">
        <v>490</v>
      </c>
      <c r="D24">
        <v>10</v>
      </c>
      <c r="E24" s="2">
        <v>7.8E-2</v>
      </c>
      <c r="F24">
        <v>238</v>
      </c>
      <c r="G24" s="5">
        <v>2.8938034000000001E-2</v>
      </c>
      <c r="H24" s="5">
        <v>1.8999044E-2</v>
      </c>
      <c r="I24" s="5">
        <v>0.1277259</v>
      </c>
      <c r="J24" s="3" t="s">
        <v>86</v>
      </c>
      <c r="K24" s="3" t="s">
        <v>86</v>
      </c>
      <c r="L24" s="3" t="s">
        <v>86</v>
      </c>
      <c r="M24">
        <v>365403</v>
      </c>
      <c r="N24" t="s">
        <v>86</v>
      </c>
      <c r="O24" t="s">
        <v>86</v>
      </c>
      <c r="P24">
        <v>30598549</v>
      </c>
      <c r="Q24" t="s">
        <v>592</v>
      </c>
      <c r="V24" s="3"/>
    </row>
    <row r="25" spans="1:22" s="20" customFormat="1" x14ac:dyDescent="0.2">
      <c r="A25" t="s">
        <v>497</v>
      </c>
      <c r="B25" t="s">
        <v>45</v>
      </c>
      <c r="C25" t="s">
        <v>489</v>
      </c>
      <c r="D25">
        <v>1</v>
      </c>
      <c r="E25" s="2">
        <v>1.9E-2</v>
      </c>
      <c r="F25">
        <v>42</v>
      </c>
      <c r="G25" s="5">
        <v>-1.7380346000000001E-2</v>
      </c>
      <c r="H25" s="5">
        <v>1.0030346000000001E-2</v>
      </c>
      <c r="I25" s="5">
        <v>8.3135440000000005E-2</v>
      </c>
      <c r="J25" s="3" t="s">
        <v>86</v>
      </c>
      <c r="K25" s="3" t="s">
        <v>86</v>
      </c>
      <c r="L25" s="3" t="s">
        <v>86</v>
      </c>
      <c r="M25">
        <v>361755</v>
      </c>
      <c r="N25" t="s">
        <v>86</v>
      </c>
      <c r="O25" t="s">
        <v>86</v>
      </c>
      <c r="P25">
        <v>30598549</v>
      </c>
      <c r="Q25" t="s">
        <v>592</v>
      </c>
      <c r="S25"/>
      <c r="V25" s="3"/>
    </row>
    <row r="26" spans="1:22" s="20" customFormat="1" x14ac:dyDescent="0.2">
      <c r="A26" t="s">
        <v>523</v>
      </c>
      <c r="B26" t="s">
        <v>45</v>
      </c>
      <c r="C26" t="s">
        <v>489</v>
      </c>
      <c r="D26">
        <v>1</v>
      </c>
      <c r="E26" s="2">
        <v>1.9E-2</v>
      </c>
      <c r="F26">
        <v>42</v>
      </c>
      <c r="G26">
        <v>5.4576540000000002E-3</v>
      </c>
      <c r="H26">
        <v>3.2150270000000002E-2</v>
      </c>
      <c r="I26" s="5">
        <v>0.86520319999999995</v>
      </c>
      <c r="J26" s="3">
        <f>EXP(G26)</f>
        <v>1.0054725741242012</v>
      </c>
      <c r="K26" s="3">
        <f>EXP(G26-1.96*H26)</f>
        <v>0.94406819479207038</v>
      </c>
      <c r="L26" s="3">
        <f>EXP(G26+1.96*H26)</f>
        <v>1.0708708363367891</v>
      </c>
      <c r="M26">
        <v>426795</v>
      </c>
      <c r="N26">
        <v>53184</v>
      </c>
      <c r="O26">
        <v>373611</v>
      </c>
      <c r="P26">
        <v>30598549</v>
      </c>
      <c r="Q26" t="s">
        <v>592</v>
      </c>
      <c r="S26"/>
      <c r="V26" s="3"/>
    </row>
    <row r="27" spans="1:22" x14ac:dyDescent="0.2">
      <c r="A27" t="s">
        <v>491</v>
      </c>
      <c r="B27" t="s">
        <v>42</v>
      </c>
      <c r="C27" t="s">
        <v>490</v>
      </c>
      <c r="D27">
        <v>2</v>
      </c>
      <c r="E27" s="2">
        <v>1.4E-2</v>
      </c>
      <c r="F27">
        <v>41</v>
      </c>
      <c r="G27">
        <v>3.6919740000000001E-4</v>
      </c>
      <c r="H27">
        <v>6.4882819999999994E-2</v>
      </c>
      <c r="I27" s="5">
        <v>0.99545989999999995</v>
      </c>
      <c r="J27" s="3">
        <f>EXP(G27)</f>
        <v>1.0003692655617482</v>
      </c>
      <c r="K27" s="3">
        <f>EXP(G27-1.96*H27)</f>
        <v>0.88090884169615258</v>
      </c>
      <c r="L27" s="3">
        <f>EXP(G27+1.96*H27)</f>
        <v>1.1360297684760112</v>
      </c>
      <c r="M27">
        <f>SUM(N27:O27)</f>
        <v>417438</v>
      </c>
      <c r="N27">
        <v>18404</v>
      </c>
      <c r="O27">
        <v>399034</v>
      </c>
      <c r="P27" t="s">
        <v>86</v>
      </c>
      <c r="Q27" t="s">
        <v>582</v>
      </c>
      <c r="V27" s="3"/>
    </row>
    <row r="28" spans="1:22" x14ac:dyDescent="0.2">
      <c r="A28" t="s">
        <v>492</v>
      </c>
      <c r="B28" t="s">
        <v>9</v>
      </c>
      <c r="C28" t="s">
        <v>490</v>
      </c>
      <c r="D28">
        <v>3</v>
      </c>
      <c r="E28" s="2">
        <v>3.2000000000000002E-3</v>
      </c>
      <c r="F28">
        <v>9</v>
      </c>
      <c r="G28" s="2">
        <v>-0.155822977917982</v>
      </c>
      <c r="H28" s="2">
        <v>8.5658371880219603E-2</v>
      </c>
      <c r="I28" s="5">
        <v>6.8892909903606803E-2</v>
      </c>
      <c r="J28" s="3">
        <v>0.85571065664622903</v>
      </c>
      <c r="K28" s="3">
        <v>0.72345756515319004</v>
      </c>
      <c r="L28" s="3">
        <v>1.0121405361804101</v>
      </c>
      <c r="M28">
        <f>N28+O28</f>
        <v>41505</v>
      </c>
      <c r="N28">
        <v>14802</v>
      </c>
      <c r="O28">
        <v>26703</v>
      </c>
      <c r="P28">
        <v>31604244</v>
      </c>
      <c r="Q28" t="s">
        <v>589</v>
      </c>
      <c r="V28" s="3"/>
    </row>
    <row r="29" spans="1:22" x14ac:dyDescent="0.2">
      <c r="A29" t="s">
        <v>492</v>
      </c>
      <c r="B29" t="s">
        <v>28</v>
      </c>
      <c r="C29" t="s">
        <v>490</v>
      </c>
      <c r="D29">
        <v>10</v>
      </c>
      <c r="E29" s="2">
        <v>7.8E-2</v>
      </c>
      <c r="F29">
        <v>238</v>
      </c>
      <c r="G29" s="2">
        <v>-3.39484385316738E-2</v>
      </c>
      <c r="H29" s="2">
        <v>6.13720313895161E-2</v>
      </c>
      <c r="I29" s="5">
        <v>0.58015513015866804</v>
      </c>
      <c r="J29" s="3">
        <v>0.96662134376840603</v>
      </c>
      <c r="K29" s="3">
        <v>0.85706834018684996</v>
      </c>
      <c r="L29" s="3">
        <v>1.09017773544749</v>
      </c>
      <c r="M29">
        <f t="shared" ref="M29:M34" si="3">N29+O29</f>
        <v>41505</v>
      </c>
      <c r="N29">
        <v>14802</v>
      </c>
      <c r="O29">
        <v>26703</v>
      </c>
      <c r="P29">
        <v>31604244</v>
      </c>
      <c r="Q29" t="s">
        <v>589</v>
      </c>
      <c r="V29" s="3"/>
    </row>
    <row r="30" spans="1:22" x14ac:dyDescent="0.2">
      <c r="A30" t="s">
        <v>492</v>
      </c>
      <c r="B30" t="s">
        <v>56</v>
      </c>
      <c r="C30" t="s">
        <v>490</v>
      </c>
      <c r="D30">
        <v>3</v>
      </c>
      <c r="E30" s="2">
        <v>2.9000000000000001E-2</v>
      </c>
      <c r="F30">
        <v>85</v>
      </c>
      <c r="G30" s="2">
        <v>5.9026211091397197E-2</v>
      </c>
      <c r="H30" s="2">
        <v>5.4341151747042897E-2</v>
      </c>
      <c r="I30" s="5">
        <v>0.27738358172150501</v>
      </c>
      <c r="J30" s="3">
        <v>1.0608030451813399</v>
      </c>
      <c r="K30" s="3">
        <v>0.95362721264042305</v>
      </c>
      <c r="L30" s="3">
        <v>1.18002410769113</v>
      </c>
      <c r="M30">
        <f t="shared" si="3"/>
        <v>41505</v>
      </c>
      <c r="N30">
        <v>14802</v>
      </c>
      <c r="O30">
        <v>26703</v>
      </c>
      <c r="P30">
        <v>31604244</v>
      </c>
      <c r="Q30" t="s">
        <v>589</v>
      </c>
      <c r="V30" s="3"/>
    </row>
    <row r="31" spans="1:22" x14ac:dyDescent="0.2">
      <c r="A31" t="s">
        <v>492</v>
      </c>
      <c r="B31" t="s">
        <v>42</v>
      </c>
      <c r="C31" t="s">
        <v>490</v>
      </c>
      <c r="D31">
        <v>2</v>
      </c>
      <c r="E31" s="2">
        <v>1.4E-2</v>
      </c>
      <c r="F31">
        <v>41</v>
      </c>
      <c r="G31" s="2">
        <v>-0.152225098225546</v>
      </c>
      <c r="H31" s="2">
        <v>0.14879307938689901</v>
      </c>
      <c r="I31" s="5">
        <v>0.30627677572996398</v>
      </c>
      <c r="J31" s="3">
        <v>0.85879494576385995</v>
      </c>
      <c r="K31" s="3">
        <v>0.64155553135069698</v>
      </c>
      <c r="L31" s="3">
        <v>1.14959457572877</v>
      </c>
      <c r="M31">
        <f t="shared" si="3"/>
        <v>41505</v>
      </c>
      <c r="N31">
        <v>14802</v>
      </c>
      <c r="O31">
        <v>26703</v>
      </c>
      <c r="P31">
        <v>31604244</v>
      </c>
      <c r="Q31" t="s">
        <v>589</v>
      </c>
      <c r="V31" s="3"/>
    </row>
    <row r="32" spans="1:22" x14ac:dyDescent="0.2">
      <c r="A32" t="s">
        <v>492</v>
      </c>
      <c r="B32" t="s">
        <v>25</v>
      </c>
      <c r="C32" t="s">
        <v>489</v>
      </c>
      <c r="D32">
        <v>1</v>
      </c>
      <c r="E32" s="2">
        <v>7.0000000000000001E-3</v>
      </c>
      <c r="F32">
        <v>20</v>
      </c>
      <c r="G32" s="2">
        <v>-0.35194254191688301</v>
      </c>
      <c r="H32" s="2">
        <v>0.15349957069609199</v>
      </c>
      <c r="I32" s="5">
        <v>2.1860000000000199E-2</v>
      </c>
      <c r="J32" s="3">
        <v>0.70332053226498104</v>
      </c>
      <c r="K32" s="3">
        <v>0.52058520785075102</v>
      </c>
      <c r="L32" s="3">
        <v>0.95019943641447602</v>
      </c>
      <c r="M32">
        <f t="shared" si="3"/>
        <v>41505</v>
      </c>
      <c r="N32">
        <v>14802</v>
      </c>
      <c r="O32">
        <v>26703</v>
      </c>
      <c r="P32">
        <v>31604244</v>
      </c>
      <c r="Q32" t="s">
        <v>589</v>
      </c>
      <c r="V32" s="3"/>
    </row>
    <row r="33" spans="1:22" x14ac:dyDescent="0.2">
      <c r="A33" t="s">
        <v>492</v>
      </c>
      <c r="B33" t="s">
        <v>3</v>
      </c>
      <c r="C33" t="s">
        <v>489</v>
      </c>
      <c r="D33">
        <v>1</v>
      </c>
      <c r="E33" s="2">
        <v>9.4999999999999998E-3</v>
      </c>
      <c r="F33">
        <v>27</v>
      </c>
      <c r="G33" s="2">
        <v>-4.0989265806198001E-2</v>
      </c>
      <c r="H33" s="2">
        <v>0.11954927473460999</v>
      </c>
      <c r="I33" s="5">
        <v>0.73170000000000002</v>
      </c>
      <c r="J33" s="3">
        <v>0.95983943299499397</v>
      </c>
      <c r="K33" s="3">
        <v>0.75933984795309295</v>
      </c>
      <c r="L33" s="3">
        <v>1.21327985040641</v>
      </c>
      <c r="M33">
        <f t="shared" si="3"/>
        <v>41505</v>
      </c>
      <c r="N33">
        <v>14802</v>
      </c>
      <c r="O33">
        <v>26703</v>
      </c>
      <c r="P33">
        <v>31604244</v>
      </c>
      <c r="Q33" t="s">
        <v>589</v>
      </c>
      <c r="V33" s="3"/>
    </row>
    <row r="34" spans="1:22" x14ac:dyDescent="0.2">
      <c r="A34" t="s">
        <v>560</v>
      </c>
      <c r="B34" t="s">
        <v>16</v>
      </c>
      <c r="C34" t="s">
        <v>489</v>
      </c>
      <c r="D34">
        <v>1</v>
      </c>
      <c r="E34" s="2">
        <v>4.5999999999999999E-3</v>
      </c>
      <c r="F34">
        <v>13</v>
      </c>
      <c r="G34">
        <v>-4.7714289999999999E-2</v>
      </c>
      <c r="H34">
        <v>0.1029524</v>
      </c>
      <c r="I34" s="5">
        <v>0.64303489999999996</v>
      </c>
      <c r="J34" s="3">
        <f>EXP(G34)</f>
        <v>0.95340614583776861</v>
      </c>
      <c r="K34" s="3">
        <f>EXP(G34-1.96*H34)</f>
        <v>0.77918950631451134</v>
      </c>
      <c r="L34" s="3">
        <f>EXP(G34+1.96*H34)</f>
        <v>1.1665753601080036</v>
      </c>
      <c r="M34">
        <f t="shared" si="3"/>
        <v>418975</v>
      </c>
      <c r="N34" s="10">
        <v>7937</v>
      </c>
      <c r="O34" s="10">
        <v>411038</v>
      </c>
      <c r="P34" t="s">
        <v>86</v>
      </c>
      <c r="Q34" t="s">
        <v>582</v>
      </c>
      <c r="V34" s="3"/>
    </row>
    <row r="35" spans="1:22" x14ac:dyDescent="0.2">
      <c r="A35" t="s">
        <v>494</v>
      </c>
      <c r="B35" t="s">
        <v>3</v>
      </c>
      <c r="C35" t="s">
        <v>489</v>
      </c>
      <c r="D35">
        <v>1</v>
      </c>
      <c r="E35" s="2">
        <v>9.4999999999999998E-3</v>
      </c>
      <c r="F35">
        <v>27</v>
      </c>
      <c r="G35" s="2">
        <v>0.21840000000000001</v>
      </c>
      <c r="H35" s="2">
        <v>0.1196</v>
      </c>
      <c r="I35" s="5">
        <v>6.7837164628621396E-2</v>
      </c>
      <c r="J35" s="3">
        <v>1.2440846019463401</v>
      </c>
      <c r="K35" s="3">
        <v>0.98411157414413197</v>
      </c>
      <c r="L35" s="3">
        <v>1.5727347766903801</v>
      </c>
      <c r="M35">
        <f t="shared" ref="M35:M46" si="4">N35+O35</f>
        <v>468692</v>
      </c>
      <c r="N35">
        <v>26421</v>
      </c>
      <c r="O35">
        <v>442271</v>
      </c>
      <c r="P35">
        <v>31701892</v>
      </c>
      <c r="Q35" t="s">
        <v>583</v>
      </c>
      <c r="V35" s="3"/>
    </row>
    <row r="36" spans="1:22" x14ac:dyDescent="0.2">
      <c r="A36" t="s">
        <v>494</v>
      </c>
      <c r="B36" t="s">
        <v>42</v>
      </c>
      <c r="C36" t="s">
        <v>490</v>
      </c>
      <c r="D36">
        <v>2</v>
      </c>
      <c r="E36" s="2">
        <v>1.4E-2</v>
      </c>
      <c r="F36">
        <v>41</v>
      </c>
      <c r="G36" s="2">
        <v>5.7448098180832297E-2</v>
      </c>
      <c r="H36" s="2">
        <v>9.5066902954173998E-2</v>
      </c>
      <c r="I36" s="5">
        <v>0.54565001878959996</v>
      </c>
      <c r="J36" s="3">
        <v>1.0591302984389399</v>
      </c>
      <c r="K36" s="3">
        <v>0.87907678372887899</v>
      </c>
      <c r="L36" s="3">
        <v>1.27606258046433</v>
      </c>
      <c r="M36">
        <f t="shared" si="4"/>
        <v>468692</v>
      </c>
      <c r="N36">
        <v>26421</v>
      </c>
      <c r="O36">
        <v>442271</v>
      </c>
      <c r="P36">
        <v>31701892</v>
      </c>
      <c r="Q36" t="s">
        <v>583</v>
      </c>
      <c r="V36" s="3"/>
    </row>
    <row r="37" spans="1:22" x14ac:dyDescent="0.2">
      <c r="A37" t="s">
        <v>494</v>
      </c>
      <c r="B37" t="s">
        <v>25</v>
      </c>
      <c r="C37" t="s">
        <v>489</v>
      </c>
      <c r="D37">
        <v>1</v>
      </c>
      <c r="E37" s="2">
        <v>7.0000000000000001E-3</v>
      </c>
      <c r="F37" s="10">
        <v>20</v>
      </c>
      <c r="G37" s="2">
        <v>4.7666666666666697E-2</v>
      </c>
      <c r="H37" s="2">
        <v>0.152</v>
      </c>
      <c r="I37" s="5">
        <v>0.75382752480257298</v>
      </c>
      <c r="J37" s="3">
        <v>1.04882099005348</v>
      </c>
      <c r="K37" s="3">
        <v>0.77860351186176802</v>
      </c>
      <c r="L37" s="3">
        <v>1.4128185301225</v>
      </c>
      <c r="M37">
        <f t="shared" si="4"/>
        <v>468692</v>
      </c>
      <c r="N37">
        <v>26421</v>
      </c>
      <c r="O37">
        <v>442271</v>
      </c>
      <c r="P37">
        <v>31701892</v>
      </c>
      <c r="Q37" t="s">
        <v>583</v>
      </c>
      <c r="V37" s="3"/>
    </row>
    <row r="38" spans="1:22" x14ac:dyDescent="0.2">
      <c r="A38" t="s">
        <v>494</v>
      </c>
      <c r="B38" t="s">
        <v>9</v>
      </c>
      <c r="C38" t="s">
        <v>490</v>
      </c>
      <c r="D38">
        <v>3</v>
      </c>
      <c r="E38" s="2">
        <v>3.2000000000000002E-3</v>
      </c>
      <c r="F38">
        <v>9</v>
      </c>
      <c r="G38" s="2">
        <v>1.91165148595673E-2</v>
      </c>
      <c r="H38" s="2">
        <v>0.100774460214586</v>
      </c>
      <c r="I38" s="5">
        <v>0.84954733323793996</v>
      </c>
      <c r="J38" s="3">
        <v>1.0193004053424</v>
      </c>
      <c r="K38" s="3">
        <v>0.83660651949277398</v>
      </c>
      <c r="L38" s="3">
        <v>1.2418900547907501</v>
      </c>
      <c r="M38">
        <f t="shared" si="4"/>
        <v>468692</v>
      </c>
      <c r="N38">
        <v>26421</v>
      </c>
      <c r="O38">
        <v>442271</v>
      </c>
      <c r="P38">
        <v>31701892</v>
      </c>
      <c r="Q38" t="s">
        <v>583</v>
      </c>
      <c r="V38" s="3"/>
    </row>
    <row r="39" spans="1:22" x14ac:dyDescent="0.2">
      <c r="A39" t="s">
        <v>494</v>
      </c>
      <c r="B39" t="s">
        <v>28</v>
      </c>
      <c r="C39" t="s">
        <v>490</v>
      </c>
      <c r="D39">
        <v>10</v>
      </c>
      <c r="E39" s="2">
        <v>7.8E-2</v>
      </c>
      <c r="F39">
        <v>238</v>
      </c>
      <c r="G39" s="2">
        <v>2.5750156557873698E-2</v>
      </c>
      <c r="H39" s="2">
        <v>3.8536200421007499E-2</v>
      </c>
      <c r="I39" s="5">
        <v>0.50400150614649297</v>
      </c>
      <c r="J39" s="3">
        <v>1.02608455594841</v>
      </c>
      <c r="K39" s="3">
        <v>0.95143796039630602</v>
      </c>
      <c r="L39" s="3">
        <v>1.10658767022213</v>
      </c>
      <c r="M39">
        <f t="shared" si="4"/>
        <v>468692</v>
      </c>
      <c r="N39">
        <v>26421</v>
      </c>
      <c r="O39">
        <v>442271</v>
      </c>
      <c r="P39">
        <v>31701892</v>
      </c>
      <c r="Q39" t="s">
        <v>583</v>
      </c>
      <c r="V39" s="3"/>
    </row>
    <row r="40" spans="1:22" x14ac:dyDescent="0.2">
      <c r="A40" t="s">
        <v>494</v>
      </c>
      <c r="B40" t="s">
        <v>16</v>
      </c>
      <c r="C40" t="s">
        <v>489</v>
      </c>
      <c r="D40">
        <v>1</v>
      </c>
      <c r="E40" s="2">
        <v>4.5999999999999999E-3</v>
      </c>
      <c r="F40">
        <v>13</v>
      </c>
      <c r="G40" s="2">
        <v>0.16</v>
      </c>
      <c r="H40" s="2">
        <v>0.140952380952381</v>
      </c>
      <c r="I40" s="5">
        <v>0.25631870220165298</v>
      </c>
      <c r="J40" s="3">
        <v>1.1735108709918101</v>
      </c>
      <c r="K40" s="3">
        <v>0.89023779489645405</v>
      </c>
      <c r="L40" s="3">
        <v>1.5469212520865101</v>
      </c>
      <c r="M40">
        <f t="shared" si="4"/>
        <v>468692</v>
      </c>
      <c r="N40">
        <v>26421</v>
      </c>
      <c r="O40">
        <v>442271</v>
      </c>
      <c r="P40">
        <v>31701892</v>
      </c>
      <c r="Q40" t="s">
        <v>583</v>
      </c>
      <c r="V40" s="3"/>
    </row>
    <row r="41" spans="1:22" x14ac:dyDescent="0.2">
      <c r="A41" t="s">
        <v>494</v>
      </c>
      <c r="B41" t="s">
        <v>56</v>
      </c>
      <c r="C41" t="s">
        <v>490</v>
      </c>
      <c r="D41">
        <v>3</v>
      </c>
      <c r="E41" s="2">
        <v>2.9000000000000001E-2</v>
      </c>
      <c r="F41">
        <v>85</v>
      </c>
      <c r="G41" s="2">
        <v>3.16286482222536E-2</v>
      </c>
      <c r="H41" s="2">
        <v>6.1243750039497301E-2</v>
      </c>
      <c r="I41" s="5">
        <v>0.60554797887662604</v>
      </c>
      <c r="J41" s="3">
        <v>1.03213414927835</v>
      </c>
      <c r="K41" s="3">
        <v>0.91538631387217695</v>
      </c>
      <c r="L41" s="3">
        <v>1.16377193537033</v>
      </c>
      <c r="M41">
        <f t="shared" si="4"/>
        <v>468692</v>
      </c>
      <c r="N41">
        <v>26421</v>
      </c>
      <c r="O41">
        <v>442271</v>
      </c>
      <c r="P41">
        <v>31701892</v>
      </c>
      <c r="Q41" t="s">
        <v>583</v>
      </c>
      <c r="V41" s="3"/>
    </row>
    <row r="42" spans="1:22" x14ac:dyDescent="0.2">
      <c r="A42" t="s">
        <v>495</v>
      </c>
      <c r="B42" t="s">
        <v>42</v>
      </c>
      <c r="C42" t="s">
        <v>490</v>
      </c>
      <c r="D42">
        <v>2</v>
      </c>
      <c r="E42" s="2">
        <v>1.4E-2</v>
      </c>
      <c r="F42">
        <v>41</v>
      </c>
      <c r="G42" s="2">
        <v>4.5273133216696397E-2</v>
      </c>
      <c r="H42" s="2">
        <v>4.1911254462993201E-2</v>
      </c>
      <c r="I42" s="5">
        <v>0.28004679576568797</v>
      </c>
      <c r="J42" s="3">
        <v>1.0463136038841601</v>
      </c>
      <c r="K42" s="3">
        <v>0.96379860176347498</v>
      </c>
      <c r="L42" s="3">
        <v>1.1358930752440699</v>
      </c>
      <c r="M42">
        <f>N42+O42</f>
        <v>140306</v>
      </c>
      <c r="N42">
        <v>79194</v>
      </c>
      <c r="O42">
        <v>61112</v>
      </c>
      <c r="P42">
        <v>29892016</v>
      </c>
      <c r="Q42" t="s">
        <v>586</v>
      </c>
      <c r="V42" s="3"/>
    </row>
    <row r="43" spans="1:22" x14ac:dyDescent="0.2">
      <c r="A43" t="s">
        <v>495</v>
      </c>
      <c r="B43" t="s">
        <v>56</v>
      </c>
      <c r="C43" t="s">
        <v>490</v>
      </c>
      <c r="D43">
        <v>3</v>
      </c>
      <c r="E43" s="2">
        <v>2.9000000000000001E-2</v>
      </c>
      <c r="F43">
        <v>85</v>
      </c>
      <c r="G43" s="2">
        <v>5.9336547555151199E-2</v>
      </c>
      <c r="H43" s="2">
        <v>2.6632201296508399E-2</v>
      </c>
      <c r="I43" s="5">
        <v>2.5880507323089101E-2</v>
      </c>
      <c r="J43" s="3">
        <v>1.0611323021346899</v>
      </c>
      <c r="K43" s="3">
        <v>1.0071629651976099</v>
      </c>
      <c r="L43" s="3">
        <v>1.1179936132905199</v>
      </c>
      <c r="M43">
        <f>N43+O43</f>
        <v>140306</v>
      </c>
      <c r="N43">
        <v>79194</v>
      </c>
      <c r="O43">
        <v>61112</v>
      </c>
      <c r="P43">
        <v>29892016</v>
      </c>
      <c r="Q43" t="s">
        <v>586</v>
      </c>
      <c r="V43" s="3"/>
    </row>
    <row r="44" spans="1:22" x14ac:dyDescent="0.2">
      <c r="A44" t="s">
        <v>580</v>
      </c>
      <c r="B44" t="s">
        <v>42</v>
      </c>
      <c r="C44" t="s">
        <v>490</v>
      </c>
      <c r="D44">
        <v>2</v>
      </c>
      <c r="E44" s="2">
        <v>1.4E-2</v>
      </c>
      <c r="F44">
        <v>41</v>
      </c>
      <c r="G44" s="2">
        <v>-0.11133128559118199</v>
      </c>
      <c r="H44" s="2">
        <v>9.0454926805940902E-2</v>
      </c>
      <c r="I44" s="5">
        <v>0.218400315531909</v>
      </c>
      <c r="J44" s="3">
        <v>0.89464231772092495</v>
      </c>
      <c r="K44" s="3">
        <v>0.74929467960003604</v>
      </c>
      <c r="L44" s="3">
        <v>1.0681843851931601</v>
      </c>
      <c r="M44">
        <f>N44+O44</f>
        <v>32072</v>
      </c>
      <c r="N44">
        <v>19948</v>
      </c>
      <c r="O44">
        <v>12124</v>
      </c>
      <c r="P44">
        <v>30510241</v>
      </c>
      <c r="Q44" t="s">
        <v>587</v>
      </c>
      <c r="V44" s="3"/>
    </row>
    <row r="45" spans="1:22" x14ac:dyDescent="0.2">
      <c r="A45" t="s">
        <v>580</v>
      </c>
      <c r="B45" t="s">
        <v>56</v>
      </c>
      <c r="C45" t="s">
        <v>490</v>
      </c>
      <c r="D45">
        <v>3</v>
      </c>
      <c r="E45" s="2">
        <v>2.9000000000000001E-2</v>
      </c>
      <c r="F45">
        <v>85</v>
      </c>
      <c r="G45" s="2">
        <v>-4.7043028804895699E-2</v>
      </c>
      <c r="H45" s="2">
        <v>5.4906280573668802E-2</v>
      </c>
      <c r="I45" s="5">
        <v>0.39156219483075999</v>
      </c>
      <c r="J45" s="3">
        <v>0.95404634523311005</v>
      </c>
      <c r="K45" s="3">
        <v>0.85670697466541101</v>
      </c>
      <c r="L45" s="3">
        <v>1.0624454519097799</v>
      </c>
      <c r="M45">
        <f t="shared" si="4"/>
        <v>32072</v>
      </c>
      <c r="N45">
        <v>19948</v>
      </c>
      <c r="O45">
        <v>12124</v>
      </c>
      <c r="P45">
        <v>30510241</v>
      </c>
      <c r="Q45" t="s">
        <v>587</v>
      </c>
      <c r="V45" s="3"/>
    </row>
    <row r="46" spans="1:22" x14ac:dyDescent="0.2">
      <c r="A46" t="s">
        <v>584</v>
      </c>
      <c r="B46" t="s">
        <v>9</v>
      </c>
      <c r="C46" t="s">
        <v>490</v>
      </c>
      <c r="D46">
        <v>3</v>
      </c>
      <c r="E46" s="2">
        <v>3.2000000000000002E-3</v>
      </c>
      <c r="F46">
        <v>9</v>
      </c>
      <c r="G46" s="2">
        <v>3.63623438822471E-2</v>
      </c>
      <c r="H46" s="2">
        <v>6.07103793427968E-2</v>
      </c>
      <c r="I46" s="5">
        <v>0.54920774144319295</v>
      </c>
      <c r="J46" s="3">
        <v>1.03703154045599</v>
      </c>
      <c r="K46" s="3">
        <v>0.92069174049139502</v>
      </c>
      <c r="L46" s="3">
        <v>1.1680721881207901</v>
      </c>
      <c r="M46">
        <f t="shared" si="4"/>
        <v>1026690</v>
      </c>
      <c r="N46">
        <v>31313</v>
      </c>
      <c r="O46">
        <v>995377</v>
      </c>
      <c r="P46" s="9">
        <v>35470158</v>
      </c>
      <c r="Q46" t="s">
        <v>588</v>
      </c>
      <c r="V46" s="3"/>
    </row>
    <row r="47" spans="1:22" x14ac:dyDescent="0.2">
      <c r="A47" t="s">
        <v>584</v>
      </c>
      <c r="B47" t="s">
        <v>56</v>
      </c>
      <c r="C47" t="s">
        <v>490</v>
      </c>
      <c r="D47">
        <v>2</v>
      </c>
      <c r="E47" s="2">
        <v>2.9000000000000001E-2</v>
      </c>
      <c r="F47">
        <v>85</v>
      </c>
      <c r="G47" s="2">
        <v>7.3378065804277706E-2</v>
      </c>
      <c r="H47" s="2">
        <v>5.5512233915268397E-2</v>
      </c>
      <c r="I47" s="5">
        <v>0.186222788265482</v>
      </c>
      <c r="J47" s="3">
        <v>1.0761373107341199</v>
      </c>
      <c r="K47" s="3">
        <v>0.96519424024565303</v>
      </c>
      <c r="L47" s="3">
        <v>1.1998325966587999</v>
      </c>
      <c r="M47">
        <f>N47+O47</f>
        <v>1026690</v>
      </c>
      <c r="N47">
        <v>31313</v>
      </c>
      <c r="O47">
        <v>995377</v>
      </c>
      <c r="P47" s="9">
        <v>35470158</v>
      </c>
      <c r="Q47" t="s">
        <v>588</v>
      </c>
      <c r="V47"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7"/>
  <sheetViews>
    <sheetView zoomScaleNormal="100" workbookViewId="0">
      <selection activeCell="Z37" sqref="Z37"/>
    </sheetView>
  </sheetViews>
  <sheetFormatPr baseColWidth="10" defaultRowHeight="16" x14ac:dyDescent="0.2"/>
  <cols>
    <col min="2" max="2" width="15.33203125" customWidth="1"/>
    <col min="3" max="3" width="16" customWidth="1"/>
    <col min="4" max="9" width="10.83203125" style="2"/>
    <col min="10" max="10" width="10.83203125" style="3"/>
    <col min="11" max="11" width="6.5" customWidth="1"/>
    <col min="12" max="12" width="7.6640625" style="37" customWidth="1"/>
    <col min="13" max="13" width="7" style="10" customWidth="1"/>
    <col min="14" max="14" width="8" style="3" customWidth="1"/>
    <col min="15" max="15" width="9.33203125" customWidth="1"/>
    <col min="16" max="16" width="8.6640625" style="37" customWidth="1"/>
    <col min="17" max="17" width="9.5" style="37" customWidth="1"/>
    <col min="18" max="18" width="10.83203125" style="37"/>
    <col min="19" max="19" width="7.33203125" style="37" customWidth="1"/>
    <col min="20" max="20" width="13.5" customWidth="1"/>
    <col min="21" max="21" width="14.33203125" customWidth="1"/>
    <col min="25" max="27" width="12.1640625" bestFit="1" customWidth="1"/>
    <col min="31" max="31" width="12.1640625" bestFit="1" customWidth="1"/>
    <col min="32" max="32" width="13.6640625" customWidth="1"/>
    <col min="33" max="33" width="12.83203125" customWidth="1"/>
    <col min="34" max="34" width="13.6640625" customWidth="1"/>
  </cols>
  <sheetData>
    <row r="1" spans="1:22" s="1" customFormat="1" ht="21" x14ac:dyDescent="0.25">
      <c r="A1" s="19" t="s">
        <v>564</v>
      </c>
      <c r="D1" s="4"/>
      <c r="E1" s="4"/>
      <c r="F1" s="4"/>
      <c r="G1" s="4"/>
      <c r="H1" s="4"/>
      <c r="I1" s="4"/>
      <c r="J1" s="18"/>
      <c r="L1" s="36"/>
      <c r="M1" s="34"/>
      <c r="N1" s="18"/>
      <c r="P1" s="36"/>
      <c r="Q1" s="36"/>
      <c r="R1" s="36"/>
      <c r="S1" s="36"/>
    </row>
    <row r="2" spans="1:22" x14ac:dyDescent="0.2">
      <c r="A2" t="s">
        <v>555</v>
      </c>
    </row>
    <row r="3" spans="1:22" x14ac:dyDescent="0.2">
      <c r="A3" t="s">
        <v>563</v>
      </c>
    </row>
    <row r="4" spans="1:22" x14ac:dyDescent="0.2">
      <c r="A4" t="s">
        <v>556</v>
      </c>
    </row>
    <row r="6" spans="1:22" s="35" customFormat="1" ht="37" customHeight="1" x14ac:dyDescent="0.2">
      <c r="A6" s="35" t="s">
        <v>60</v>
      </c>
      <c r="B6" s="35" t="s">
        <v>543</v>
      </c>
      <c r="C6" s="35" t="s">
        <v>63</v>
      </c>
      <c r="D6" s="35" t="s">
        <v>64</v>
      </c>
      <c r="E6" s="35" t="s">
        <v>66</v>
      </c>
      <c r="F6" s="35" t="s">
        <v>65</v>
      </c>
      <c r="G6" s="35" t="s">
        <v>67</v>
      </c>
      <c r="H6" s="35" t="s">
        <v>68</v>
      </c>
      <c r="I6" s="35" t="s">
        <v>69</v>
      </c>
      <c r="J6" s="35" t="s">
        <v>70</v>
      </c>
      <c r="K6" s="35" t="s">
        <v>71</v>
      </c>
      <c r="L6" s="38" t="s">
        <v>551</v>
      </c>
      <c r="M6" s="35" t="s">
        <v>548</v>
      </c>
      <c r="N6" s="35" t="s">
        <v>341</v>
      </c>
      <c r="O6" s="35" t="s">
        <v>544</v>
      </c>
      <c r="P6" s="38" t="s">
        <v>545</v>
      </c>
      <c r="Q6" s="38" t="s">
        <v>546</v>
      </c>
      <c r="R6" s="38" t="s">
        <v>549</v>
      </c>
      <c r="S6" s="38" t="s">
        <v>550</v>
      </c>
      <c r="T6" s="35" t="s">
        <v>552</v>
      </c>
      <c r="V6" s="37"/>
    </row>
    <row r="7" spans="1:22" x14ac:dyDescent="0.2">
      <c r="A7" t="s">
        <v>58</v>
      </c>
      <c r="B7" t="s">
        <v>0</v>
      </c>
      <c r="C7" t="s">
        <v>1</v>
      </c>
      <c r="D7" s="2">
        <v>2.0529999999999999</v>
      </c>
      <c r="E7" s="2">
        <v>5.7032499999999997</v>
      </c>
      <c r="F7" s="2">
        <v>11.792</v>
      </c>
      <c r="G7" s="2">
        <v>18.542750000000002</v>
      </c>
      <c r="H7" s="2">
        <v>97.796999999999997</v>
      </c>
      <c r="I7" s="2">
        <v>15.0983454545455</v>
      </c>
      <c r="J7" s="2">
        <v>13.733644970528299</v>
      </c>
      <c r="K7">
        <v>440</v>
      </c>
      <c r="L7" s="37">
        <v>0</v>
      </c>
      <c r="M7" s="10">
        <v>313</v>
      </c>
      <c r="N7" s="3">
        <v>1</v>
      </c>
      <c r="O7">
        <v>50</v>
      </c>
      <c r="P7" s="37">
        <v>50</v>
      </c>
      <c r="Q7" s="37">
        <v>65.8</v>
      </c>
      <c r="R7" s="37">
        <v>57.71</v>
      </c>
      <c r="S7" s="37">
        <v>4.1269999999999998</v>
      </c>
      <c r="T7" s="12"/>
    </row>
    <row r="8" spans="1:22" x14ac:dyDescent="0.2">
      <c r="A8" t="s">
        <v>58</v>
      </c>
      <c r="B8" t="s">
        <v>2</v>
      </c>
      <c r="C8" t="s">
        <v>1</v>
      </c>
      <c r="D8" s="2">
        <v>0.02</v>
      </c>
      <c r="E8" s="2">
        <v>3.6999999999999998E-2</v>
      </c>
      <c r="F8" s="2">
        <v>5.6000000000000001E-2</v>
      </c>
      <c r="G8" s="2">
        <v>8.6999999999999994E-2</v>
      </c>
      <c r="H8" s="2">
        <v>0.56100000000000005</v>
      </c>
      <c r="I8" s="2">
        <v>7.3909090909090897E-2</v>
      </c>
      <c r="J8" s="2">
        <v>6.1368032690730101E-2</v>
      </c>
      <c r="K8">
        <v>550</v>
      </c>
      <c r="L8" s="37">
        <v>0</v>
      </c>
      <c r="M8" s="10">
        <v>202</v>
      </c>
      <c r="N8" s="3">
        <v>0.99857799999999997</v>
      </c>
      <c r="O8">
        <v>51.09</v>
      </c>
      <c r="P8" s="37">
        <v>50.1</v>
      </c>
      <c r="Q8" s="37">
        <v>65.3</v>
      </c>
      <c r="R8" s="37">
        <v>57.79</v>
      </c>
      <c r="S8" s="37">
        <v>4.1980000000000004</v>
      </c>
    </row>
    <row r="9" spans="1:22" x14ac:dyDescent="0.2">
      <c r="A9" t="s">
        <v>58</v>
      </c>
      <c r="B9" t="s">
        <v>3</v>
      </c>
      <c r="C9" t="s">
        <v>1</v>
      </c>
      <c r="D9" s="2">
        <v>9.0479999999999998E-4</v>
      </c>
      <c r="E9" s="2">
        <v>1.4830000000000001</v>
      </c>
      <c r="F9" s="2">
        <v>2.7349999999999999</v>
      </c>
      <c r="G9" s="2">
        <v>5.0999999999999996</v>
      </c>
      <c r="H9" s="2">
        <v>77.516000000000005</v>
      </c>
      <c r="I9" s="2">
        <v>4.40078921530794</v>
      </c>
      <c r="J9" s="2">
        <v>5.4018814419887304</v>
      </c>
      <c r="K9">
        <v>2793</v>
      </c>
      <c r="L9" s="37">
        <v>2.69</v>
      </c>
      <c r="M9" s="10">
        <v>11</v>
      </c>
      <c r="N9" s="3">
        <v>1.004</v>
      </c>
      <c r="O9">
        <v>59.95</v>
      </c>
      <c r="P9" s="37">
        <v>19.399999999999999</v>
      </c>
      <c r="Q9" s="37">
        <v>91.4</v>
      </c>
      <c r="R9" s="37">
        <v>53.18</v>
      </c>
      <c r="S9" s="37">
        <v>15.09</v>
      </c>
      <c r="T9" t="s">
        <v>577</v>
      </c>
    </row>
    <row r="10" spans="1:22" x14ac:dyDescent="0.2">
      <c r="A10" t="s">
        <v>58</v>
      </c>
      <c r="B10" t="s">
        <v>4</v>
      </c>
      <c r="C10" t="s">
        <v>1</v>
      </c>
      <c r="D10" s="2">
        <v>0.39800000000000002</v>
      </c>
      <c r="E10" s="5">
        <v>61.543500000000002</v>
      </c>
      <c r="F10" s="5">
        <v>68.364000000000004</v>
      </c>
      <c r="G10" s="5">
        <v>75.941000000000003</v>
      </c>
      <c r="H10" s="5">
        <v>518.59</v>
      </c>
      <c r="I10" s="5">
        <v>71.265714859437793</v>
      </c>
      <c r="J10" s="5">
        <v>24.9736478329351</v>
      </c>
      <c r="K10">
        <v>746</v>
      </c>
      <c r="L10" s="37">
        <v>0</v>
      </c>
      <c r="M10" s="10">
        <v>1</v>
      </c>
      <c r="N10" s="3">
        <v>1.0004299999999999</v>
      </c>
      <c r="O10">
        <v>50.07</v>
      </c>
      <c r="P10" s="37">
        <v>50</v>
      </c>
      <c r="Q10" s="37">
        <v>65.8</v>
      </c>
      <c r="R10" s="37">
        <v>57.62</v>
      </c>
      <c r="S10" s="37">
        <v>4.21</v>
      </c>
    </row>
    <row r="11" spans="1:22" x14ac:dyDescent="0.2">
      <c r="A11" t="s">
        <v>58</v>
      </c>
      <c r="B11" t="s">
        <v>5</v>
      </c>
      <c r="C11" t="s">
        <v>1</v>
      </c>
      <c r="D11" s="7">
        <v>2.1100000000000001E-5</v>
      </c>
      <c r="E11" s="2">
        <v>3.8378000000000002E-3</v>
      </c>
      <c r="F11" s="2">
        <v>7.2272500000000002E-3</v>
      </c>
      <c r="G11" s="2">
        <v>1.15125E-2</v>
      </c>
      <c r="H11" s="2">
        <v>0.35899999999999999</v>
      </c>
      <c r="I11" s="2">
        <v>1.6802154323725099E-2</v>
      </c>
      <c r="J11" s="2">
        <v>2.98369790861467E-2</v>
      </c>
      <c r="K11">
        <v>1789</v>
      </c>
      <c r="L11" s="37">
        <v>71.599999999999994</v>
      </c>
      <c r="M11" s="10">
        <v>417</v>
      </c>
      <c r="N11" s="3">
        <v>1.00909</v>
      </c>
      <c r="O11">
        <v>48.72</v>
      </c>
      <c r="P11" s="37">
        <v>19.399999999999999</v>
      </c>
      <c r="Q11" s="37">
        <v>91.4</v>
      </c>
      <c r="R11" s="37">
        <v>56.47</v>
      </c>
      <c r="S11" s="37">
        <v>16.149999999999999</v>
      </c>
    </row>
    <row r="12" spans="1:22" x14ac:dyDescent="0.2">
      <c r="A12" t="s">
        <v>58</v>
      </c>
      <c r="B12" t="s">
        <v>547</v>
      </c>
      <c r="C12" t="s">
        <v>1</v>
      </c>
      <c r="D12" s="7">
        <v>1.01E-5</v>
      </c>
      <c r="E12" s="2">
        <v>1.6985500000000001E-3</v>
      </c>
      <c r="F12" s="2">
        <v>3.5135000000000001E-3</v>
      </c>
      <c r="G12" s="2">
        <v>5.4161499999999998E-3</v>
      </c>
      <c r="H12" s="2">
        <v>4.9169999999999998</v>
      </c>
      <c r="I12" s="2">
        <v>1.1955889249492899E-2</v>
      </c>
      <c r="J12" s="2">
        <v>0.17528637403981601</v>
      </c>
      <c r="K12">
        <v>1479</v>
      </c>
      <c r="L12" s="37">
        <v>76.67</v>
      </c>
      <c r="M12" s="10">
        <v>0</v>
      </c>
      <c r="N12" s="3">
        <v>0.99605399999999999</v>
      </c>
      <c r="O12">
        <v>47.73</v>
      </c>
      <c r="P12" s="37">
        <v>19.399999999999999</v>
      </c>
      <c r="Q12" s="37">
        <v>91.4</v>
      </c>
      <c r="R12" s="37">
        <v>56.21</v>
      </c>
      <c r="S12" s="37">
        <v>17.73</v>
      </c>
      <c r="T12" t="s">
        <v>553</v>
      </c>
    </row>
    <row r="13" spans="1:22" x14ac:dyDescent="0.2">
      <c r="A13" t="s">
        <v>58</v>
      </c>
      <c r="B13" t="s">
        <v>6</v>
      </c>
      <c r="C13" t="s">
        <v>1</v>
      </c>
      <c r="D13" s="2">
        <v>0.1</v>
      </c>
      <c r="E13" s="5">
        <v>17.481249999999999</v>
      </c>
      <c r="F13" s="5">
        <v>25.250499999999999</v>
      </c>
      <c r="G13" s="5">
        <v>34.442749999999997</v>
      </c>
      <c r="H13" s="5">
        <v>167.40799999999999</v>
      </c>
      <c r="I13" s="5">
        <v>28.019032538955098</v>
      </c>
      <c r="J13" s="5">
        <v>16.4172205005347</v>
      </c>
      <c r="K13">
        <v>2166</v>
      </c>
      <c r="L13" s="37">
        <v>0</v>
      </c>
      <c r="M13" s="10">
        <v>15</v>
      </c>
      <c r="N13" s="3">
        <v>1.00023</v>
      </c>
      <c r="O13">
        <v>48.49</v>
      </c>
      <c r="P13" s="37">
        <v>19.399999999999999</v>
      </c>
      <c r="Q13" s="37">
        <v>91.4</v>
      </c>
      <c r="R13" s="37">
        <v>56.65</v>
      </c>
      <c r="S13" s="37">
        <v>14.79</v>
      </c>
      <c r="T13" t="s">
        <v>577</v>
      </c>
    </row>
    <row r="14" spans="1:22" x14ac:dyDescent="0.2">
      <c r="A14" t="s">
        <v>58</v>
      </c>
      <c r="B14" t="s">
        <v>7</v>
      </c>
      <c r="C14" t="s">
        <v>8</v>
      </c>
      <c r="D14" s="2">
        <v>0.22305554999999999</v>
      </c>
      <c r="E14" s="2">
        <v>1.3005394100000001</v>
      </c>
      <c r="F14" s="2">
        <v>1.6135356599999999</v>
      </c>
      <c r="G14" s="2">
        <v>1.9828976199999999</v>
      </c>
      <c r="H14" s="2">
        <v>11.319746</v>
      </c>
      <c r="I14" s="2">
        <v>1.7012699976786501</v>
      </c>
      <c r="J14" s="2">
        <v>0.67751637092764005</v>
      </c>
      <c r="K14">
        <v>2181</v>
      </c>
      <c r="L14" s="37">
        <v>0</v>
      </c>
      <c r="M14" s="10">
        <v>0</v>
      </c>
      <c r="N14" s="3">
        <v>0.97880199999999995</v>
      </c>
      <c r="O14">
        <v>48.52</v>
      </c>
      <c r="P14" s="37">
        <v>19.399999999999999</v>
      </c>
      <c r="Q14" s="37">
        <v>91.4</v>
      </c>
      <c r="R14" s="37">
        <v>56.66</v>
      </c>
      <c r="S14" s="37">
        <v>14.74</v>
      </c>
    </row>
    <row r="15" spans="1:22" x14ac:dyDescent="0.2">
      <c r="A15" t="s">
        <v>58</v>
      </c>
      <c r="B15" t="s">
        <v>9</v>
      </c>
      <c r="C15" t="s">
        <v>1</v>
      </c>
      <c r="D15" s="2">
        <v>1.6E-2</v>
      </c>
      <c r="E15" s="2">
        <v>0.217</v>
      </c>
      <c r="F15" s="2">
        <v>0.34749999999999998</v>
      </c>
      <c r="G15" s="2">
        <v>0.61199999999999999</v>
      </c>
      <c r="H15" s="2">
        <v>6.4390000000000001</v>
      </c>
      <c r="I15" s="2">
        <v>0.59272675250357698</v>
      </c>
      <c r="J15" s="2">
        <v>0.67759540047156397</v>
      </c>
      <c r="K15">
        <v>2781</v>
      </c>
      <c r="L15" s="37">
        <v>0.04</v>
      </c>
      <c r="M15" s="10">
        <v>23</v>
      </c>
      <c r="N15" s="3">
        <v>1</v>
      </c>
      <c r="O15">
        <v>60.09</v>
      </c>
      <c r="P15" s="37">
        <v>19.399999999999999</v>
      </c>
      <c r="Q15" s="37">
        <v>91.4</v>
      </c>
      <c r="R15" s="37">
        <v>53.14</v>
      </c>
      <c r="S15" s="37">
        <v>15.11</v>
      </c>
      <c r="T15" t="s">
        <v>577</v>
      </c>
    </row>
    <row r="16" spans="1:22" x14ac:dyDescent="0.2">
      <c r="A16" t="s">
        <v>58</v>
      </c>
      <c r="B16" t="s">
        <v>10</v>
      </c>
      <c r="C16" t="s">
        <v>8</v>
      </c>
      <c r="D16" s="5">
        <v>45.881202180000002</v>
      </c>
      <c r="E16" s="5">
        <v>56.689942000000002</v>
      </c>
      <c r="F16" s="5">
        <v>59.642093819999999</v>
      </c>
      <c r="G16" s="5">
        <v>63.001868870000003</v>
      </c>
      <c r="H16" s="5">
        <v>97.523154000000005</v>
      </c>
      <c r="I16" s="5">
        <v>60.731437309999997</v>
      </c>
      <c r="J16" s="5">
        <v>6.7430430000000001</v>
      </c>
      <c r="K16">
        <v>1464</v>
      </c>
      <c r="L16" s="37">
        <v>0</v>
      </c>
      <c r="M16" s="10">
        <v>0</v>
      </c>
      <c r="N16" s="3">
        <v>1.0026200000000001</v>
      </c>
      <c r="O16">
        <v>47.74</v>
      </c>
      <c r="P16" s="37">
        <v>19.399999999999999</v>
      </c>
      <c r="Q16" s="37">
        <v>91.4</v>
      </c>
      <c r="R16" s="37">
        <v>56.21</v>
      </c>
      <c r="S16" s="37">
        <v>17.73</v>
      </c>
    </row>
    <row r="17" spans="1:20" x14ac:dyDescent="0.2">
      <c r="A17" t="s">
        <v>58</v>
      </c>
      <c r="B17" t="s">
        <v>11</v>
      </c>
      <c r="C17" t="s">
        <v>1</v>
      </c>
      <c r="D17" s="2">
        <v>2.621</v>
      </c>
      <c r="E17" s="2">
        <v>4.7050000000000001</v>
      </c>
      <c r="F17" s="2">
        <v>5.4569999999999999</v>
      </c>
      <c r="G17" s="2">
        <v>6.1924999999999999</v>
      </c>
      <c r="H17" s="2">
        <v>18.91</v>
      </c>
      <c r="I17" s="2">
        <v>5.5671111111111102</v>
      </c>
      <c r="J17" s="2">
        <v>1.4264842304616401</v>
      </c>
      <c r="K17">
        <v>746</v>
      </c>
      <c r="L17" s="37">
        <v>0</v>
      </c>
      <c r="M17" s="10">
        <v>1</v>
      </c>
      <c r="N17" s="3">
        <v>1.00911</v>
      </c>
      <c r="O17">
        <v>50.07</v>
      </c>
      <c r="P17" s="37">
        <v>50</v>
      </c>
      <c r="Q17" s="37">
        <v>65.8</v>
      </c>
      <c r="R17" s="37">
        <v>57.62</v>
      </c>
      <c r="S17" s="37">
        <v>4.21</v>
      </c>
    </row>
    <row r="18" spans="1:20" x14ac:dyDescent="0.2">
      <c r="A18" t="s">
        <v>58</v>
      </c>
      <c r="B18" t="s">
        <v>12</v>
      </c>
      <c r="C18" t="s">
        <v>1</v>
      </c>
      <c r="D18" s="2">
        <v>1.196</v>
      </c>
      <c r="E18" s="2">
        <v>3.754</v>
      </c>
      <c r="F18" s="2">
        <v>4.5910000000000002</v>
      </c>
      <c r="G18" s="2">
        <v>5.6440000000000001</v>
      </c>
      <c r="H18" s="2">
        <v>36.040999999999997</v>
      </c>
      <c r="I18" s="2">
        <v>4.8640045516613597</v>
      </c>
      <c r="J18" s="2">
        <v>1.80534809170412</v>
      </c>
      <c r="K18">
        <v>2197</v>
      </c>
      <c r="L18" s="37">
        <v>0</v>
      </c>
      <c r="M18" s="10">
        <v>0</v>
      </c>
      <c r="N18" s="3">
        <v>1.002</v>
      </c>
      <c r="O18">
        <v>48.52</v>
      </c>
      <c r="P18" s="37">
        <v>19.399999999999999</v>
      </c>
      <c r="Q18" s="37">
        <v>91.4</v>
      </c>
      <c r="R18" s="37">
        <v>56.66</v>
      </c>
      <c r="S18" s="37">
        <v>14.74</v>
      </c>
      <c r="T18" t="s">
        <v>577</v>
      </c>
    </row>
    <row r="19" spans="1:20" x14ac:dyDescent="0.2">
      <c r="A19" t="s">
        <v>58</v>
      </c>
      <c r="B19" t="s">
        <v>13</v>
      </c>
      <c r="C19" t="s">
        <v>14</v>
      </c>
      <c r="D19" s="2">
        <v>1.7204272519999999</v>
      </c>
      <c r="E19" s="2">
        <v>2.5610671627500001</v>
      </c>
      <c r="F19" s="2">
        <v>2.7772558859999998</v>
      </c>
      <c r="G19" s="2">
        <v>3.1057706110000001</v>
      </c>
      <c r="H19" s="2">
        <v>4.0161576339999998</v>
      </c>
      <c r="I19" s="2">
        <v>2.8581055098542798</v>
      </c>
      <c r="J19" s="2">
        <v>0.41199576823703898</v>
      </c>
      <c r="K19">
        <v>748</v>
      </c>
      <c r="L19" s="37">
        <v>0</v>
      </c>
      <c r="M19" s="10">
        <v>0</v>
      </c>
      <c r="N19" s="3">
        <v>0.99280299999999999</v>
      </c>
      <c r="O19">
        <v>50</v>
      </c>
      <c r="P19" s="37">
        <v>50</v>
      </c>
      <c r="Q19" s="37">
        <v>65.8</v>
      </c>
      <c r="R19" s="37">
        <v>57.62</v>
      </c>
      <c r="S19" s="37">
        <v>4.2080000000000002</v>
      </c>
    </row>
    <row r="20" spans="1:20" x14ac:dyDescent="0.2">
      <c r="A20" t="s">
        <v>58</v>
      </c>
      <c r="B20" t="s">
        <v>15</v>
      </c>
      <c r="C20" t="s">
        <v>1</v>
      </c>
      <c r="D20" s="2">
        <v>5.3999999999999999E-2</v>
      </c>
      <c r="E20" s="2">
        <v>0.40100000000000002</v>
      </c>
      <c r="F20" s="2">
        <v>0.61099999999999999</v>
      </c>
      <c r="G20" s="2">
        <v>1.0985</v>
      </c>
      <c r="H20" s="2">
        <v>46.213999999999999</v>
      </c>
      <c r="I20" s="2">
        <v>1.02015323943662</v>
      </c>
      <c r="J20" s="2">
        <v>1.78551445858139</v>
      </c>
      <c r="K20">
        <v>1775</v>
      </c>
      <c r="L20" s="37">
        <v>0</v>
      </c>
      <c r="M20" s="10">
        <v>429</v>
      </c>
      <c r="N20" s="3">
        <v>0.97622699999999996</v>
      </c>
      <c r="O20">
        <v>48.9</v>
      </c>
      <c r="P20" s="37">
        <v>19.399999999999999</v>
      </c>
      <c r="Q20" s="37">
        <v>91.4</v>
      </c>
      <c r="R20" s="37">
        <v>56.42</v>
      </c>
      <c r="S20" s="37">
        <v>16.27</v>
      </c>
      <c r="T20" t="s">
        <v>577</v>
      </c>
    </row>
    <row r="21" spans="1:20" x14ac:dyDescent="0.2">
      <c r="A21" t="s">
        <v>58</v>
      </c>
      <c r="B21" t="s">
        <v>61</v>
      </c>
      <c r="C21" t="s">
        <v>1</v>
      </c>
      <c r="D21" s="2">
        <v>0.04</v>
      </c>
      <c r="E21" s="2">
        <v>0.11</v>
      </c>
      <c r="F21" s="2">
        <v>0.32500000000000001</v>
      </c>
      <c r="G21" s="2">
        <v>0.48</v>
      </c>
      <c r="H21" s="2">
        <v>1.4570000000000001</v>
      </c>
      <c r="I21" s="2">
        <v>0.33482106893880698</v>
      </c>
      <c r="J21" s="2">
        <v>0.24951483103132999</v>
      </c>
      <c r="K21">
        <v>1291</v>
      </c>
      <c r="L21" s="37">
        <v>0</v>
      </c>
      <c r="M21" s="10">
        <v>82</v>
      </c>
      <c r="N21" s="3">
        <v>0.99982599999999999</v>
      </c>
      <c r="O21">
        <v>74.13</v>
      </c>
      <c r="P21" s="37">
        <v>20.3</v>
      </c>
      <c r="Q21" s="37">
        <v>65.8</v>
      </c>
      <c r="R21" s="37">
        <v>49.58</v>
      </c>
      <c r="S21" s="37">
        <v>10.54</v>
      </c>
    </row>
    <row r="22" spans="1:20" x14ac:dyDescent="0.2">
      <c r="A22" t="s">
        <v>58</v>
      </c>
      <c r="B22" t="s">
        <v>16</v>
      </c>
      <c r="C22" t="s">
        <v>8</v>
      </c>
      <c r="D22" s="2">
        <v>0.442079</v>
      </c>
      <c r="E22" s="2">
        <v>0.89642999999999995</v>
      </c>
      <c r="F22" s="2">
        <v>0.982734</v>
      </c>
      <c r="G22" s="2">
        <v>1.0925594999999999</v>
      </c>
      <c r="H22" s="2">
        <v>2.1752829999999999</v>
      </c>
      <c r="I22" s="2">
        <v>1.0116421727563001</v>
      </c>
      <c r="J22" s="2">
        <v>0.17655731761910301</v>
      </c>
      <c r="K22">
        <v>2819</v>
      </c>
      <c r="L22" s="37">
        <v>0</v>
      </c>
      <c r="M22" s="10">
        <v>0</v>
      </c>
      <c r="N22" s="3">
        <v>1.0087299999999999</v>
      </c>
      <c r="O22">
        <v>58.88</v>
      </c>
      <c r="P22" s="37">
        <v>19.399999999999999</v>
      </c>
      <c r="Q22" s="37">
        <v>91.4</v>
      </c>
      <c r="R22" s="37">
        <v>53.18</v>
      </c>
      <c r="S22" s="37">
        <v>15.96</v>
      </c>
      <c r="T22" t="s">
        <v>577</v>
      </c>
    </row>
    <row r="23" spans="1:20" x14ac:dyDescent="0.2">
      <c r="A23" t="s">
        <v>58</v>
      </c>
      <c r="B23" t="s">
        <v>17</v>
      </c>
      <c r="C23" t="s">
        <v>1</v>
      </c>
      <c r="D23" s="2">
        <v>0.02</v>
      </c>
      <c r="E23" s="2">
        <v>6.6000000000000003E-2</v>
      </c>
      <c r="F23" s="2">
        <v>0.08</v>
      </c>
      <c r="G23" s="2">
        <v>0.105</v>
      </c>
      <c r="H23" s="2">
        <v>1.8080000000000001</v>
      </c>
      <c r="I23" s="2">
        <v>0.102362034239678</v>
      </c>
      <c r="J23" s="2">
        <v>9.7978953935516505E-2</v>
      </c>
      <c r="K23">
        <v>1986</v>
      </c>
      <c r="L23" s="37">
        <v>0</v>
      </c>
      <c r="M23" s="10">
        <v>215</v>
      </c>
      <c r="N23" s="3">
        <v>1.0065999999999999</v>
      </c>
      <c r="O23">
        <v>48.29</v>
      </c>
      <c r="P23" s="37">
        <v>19.399999999999999</v>
      </c>
      <c r="Q23" s="37">
        <v>91.4</v>
      </c>
      <c r="R23" s="37">
        <v>56.57</v>
      </c>
      <c r="S23" s="37">
        <v>15.44</v>
      </c>
      <c r="T23" t="s">
        <v>577</v>
      </c>
    </row>
    <row r="24" spans="1:20" x14ac:dyDescent="0.2">
      <c r="A24" t="s">
        <v>58</v>
      </c>
      <c r="B24" t="s">
        <v>18</v>
      </c>
      <c r="C24" t="s">
        <v>1</v>
      </c>
      <c r="D24" s="2">
        <v>0.20200000000000001</v>
      </c>
      <c r="E24" s="2">
        <v>0.65600000000000003</v>
      </c>
      <c r="F24" s="2">
        <v>1.2765</v>
      </c>
      <c r="G24" s="2">
        <v>2.1697500000000001</v>
      </c>
      <c r="H24" s="2">
        <v>12.395</v>
      </c>
      <c r="I24" s="2">
        <v>1.76103901734104</v>
      </c>
      <c r="J24" s="2">
        <v>1.6407252155429</v>
      </c>
      <c r="K24">
        <v>692</v>
      </c>
      <c r="L24" s="37">
        <v>0</v>
      </c>
      <c r="M24" s="10">
        <v>56</v>
      </c>
      <c r="N24" s="3">
        <v>1.0083200000000001</v>
      </c>
      <c r="O24">
        <v>58.58</v>
      </c>
      <c r="P24" s="37">
        <v>50</v>
      </c>
      <c r="Q24" s="37">
        <v>65.8</v>
      </c>
      <c r="R24" s="37">
        <v>57.61</v>
      </c>
      <c r="S24" s="37">
        <v>4.2279999999999998</v>
      </c>
    </row>
    <row r="25" spans="1:20" x14ac:dyDescent="0.2">
      <c r="A25" t="s">
        <v>58</v>
      </c>
      <c r="B25" t="s">
        <v>19</v>
      </c>
      <c r="C25" t="s">
        <v>1</v>
      </c>
      <c r="D25" s="2">
        <v>6.0000000000000001E-3</v>
      </c>
      <c r="E25" s="2">
        <v>8.0000000000000002E-3</v>
      </c>
      <c r="F25" s="2">
        <v>1.4E-2</v>
      </c>
      <c r="G25" s="2">
        <v>6.6000000000000003E-2</v>
      </c>
      <c r="H25" s="2">
        <v>0.78400000000000003</v>
      </c>
      <c r="I25" s="2">
        <v>4.3003189066059197E-2</v>
      </c>
      <c r="J25" s="2">
        <v>5.7469134745082702E-2</v>
      </c>
      <c r="K25">
        <v>2195</v>
      </c>
      <c r="L25" s="37">
        <v>0</v>
      </c>
      <c r="M25" s="10">
        <v>2</v>
      </c>
      <c r="N25" s="3">
        <v>0.97270000000000001</v>
      </c>
      <c r="O25">
        <v>48.47</v>
      </c>
      <c r="P25" s="37">
        <v>19.399999999999999</v>
      </c>
      <c r="Q25" s="37">
        <v>91.4</v>
      </c>
      <c r="R25" s="37">
        <v>56.66</v>
      </c>
      <c r="S25" s="37">
        <v>14.75</v>
      </c>
      <c r="T25" t="s">
        <v>577</v>
      </c>
    </row>
    <row r="26" spans="1:20" x14ac:dyDescent="0.2">
      <c r="A26" t="s">
        <v>58</v>
      </c>
      <c r="B26" t="s">
        <v>20</v>
      </c>
      <c r="C26" t="s">
        <v>1</v>
      </c>
      <c r="D26" s="2">
        <v>2E-3</v>
      </c>
      <c r="E26" s="2">
        <v>2E-3</v>
      </c>
      <c r="F26" s="2">
        <v>3.0000000000000001E-3</v>
      </c>
      <c r="G26" s="2">
        <v>4.0000000000000001E-3</v>
      </c>
      <c r="H26" s="2">
        <v>1.2999999999999999E-2</v>
      </c>
      <c r="I26" s="2">
        <v>3.1895424836601298E-3</v>
      </c>
      <c r="J26" s="2">
        <v>1.28421250469134E-3</v>
      </c>
      <c r="K26">
        <v>306</v>
      </c>
      <c r="L26" s="37">
        <v>1.31</v>
      </c>
      <c r="M26" s="10">
        <v>445</v>
      </c>
      <c r="N26" s="3">
        <v>1.03321</v>
      </c>
      <c r="O26">
        <v>52.94</v>
      </c>
      <c r="P26" s="37">
        <v>50.1</v>
      </c>
      <c r="Q26" s="37">
        <v>65.8</v>
      </c>
      <c r="R26" s="37">
        <v>57.78</v>
      </c>
      <c r="S26" s="37">
        <v>4.3319999999999999</v>
      </c>
    </row>
    <row r="27" spans="1:20" x14ac:dyDescent="0.2">
      <c r="A27" t="s">
        <v>58</v>
      </c>
      <c r="B27" t="s">
        <v>21</v>
      </c>
      <c r="C27" t="s">
        <v>1</v>
      </c>
      <c r="D27" s="2">
        <v>7.1849999999999995E-4</v>
      </c>
      <c r="E27" s="2">
        <v>2.5000000000000001E-2</v>
      </c>
      <c r="F27" s="2">
        <v>3.4000000000000002E-2</v>
      </c>
      <c r="G27" s="2">
        <v>6.3E-2</v>
      </c>
      <c r="H27" s="2">
        <v>0.36699999999999999</v>
      </c>
      <c r="I27" s="2">
        <v>5.0454855636695599E-2</v>
      </c>
      <c r="J27" s="2">
        <v>3.9826211675716303E-2</v>
      </c>
      <c r="K27">
        <v>2191</v>
      </c>
      <c r="L27" s="37">
        <v>0</v>
      </c>
      <c r="M27" s="10">
        <v>6</v>
      </c>
      <c r="N27" s="3">
        <v>0.98702400000000001</v>
      </c>
      <c r="O27">
        <v>48.52</v>
      </c>
      <c r="P27" s="37">
        <v>19.399999999999999</v>
      </c>
      <c r="Q27" s="37">
        <v>91.4</v>
      </c>
      <c r="R27" s="37">
        <v>56.66</v>
      </c>
      <c r="S27" s="37">
        <v>14.76</v>
      </c>
      <c r="T27" s="9" t="s">
        <v>577</v>
      </c>
    </row>
    <row r="28" spans="1:20" x14ac:dyDescent="0.2">
      <c r="A28" t="s">
        <v>58</v>
      </c>
      <c r="B28" t="s">
        <v>22</v>
      </c>
      <c r="C28" t="s">
        <v>1</v>
      </c>
      <c r="D28" s="2">
        <v>-1.8699999999999999E-3</v>
      </c>
      <c r="E28" s="2">
        <v>0</v>
      </c>
      <c r="F28" s="2">
        <v>4.4999999999999999E-4</v>
      </c>
      <c r="G28" s="2">
        <v>8.8999999999999995E-4</v>
      </c>
      <c r="H28" s="2">
        <v>0.10974</v>
      </c>
      <c r="I28" s="2">
        <v>6.47031778228533E-4</v>
      </c>
      <c r="J28" s="2">
        <v>3.2092257348131101E-3</v>
      </c>
      <c r="K28">
        <v>1479</v>
      </c>
      <c r="L28" s="37">
        <v>0</v>
      </c>
      <c r="M28" s="10">
        <v>0</v>
      </c>
      <c r="N28" s="3">
        <v>0.99849399999999999</v>
      </c>
      <c r="O28">
        <v>47.73</v>
      </c>
      <c r="P28" s="37">
        <v>19.399999999999999</v>
      </c>
      <c r="Q28" s="37">
        <v>91.4</v>
      </c>
      <c r="R28" s="37">
        <v>56.21</v>
      </c>
      <c r="S28" s="37">
        <v>17.73</v>
      </c>
    </row>
    <row r="29" spans="1:20" x14ac:dyDescent="0.2">
      <c r="A29" t="s">
        <v>58</v>
      </c>
      <c r="B29" t="s">
        <v>23</v>
      </c>
      <c r="C29" t="s">
        <v>8</v>
      </c>
      <c r="D29" s="5">
        <v>8.1589679999999998</v>
      </c>
      <c r="E29" s="5">
        <v>486.36250000000001</v>
      </c>
      <c r="F29" s="5">
        <v>529.54306299999996</v>
      </c>
      <c r="G29" s="5">
        <v>569.012563</v>
      </c>
      <c r="H29" s="5">
        <v>738.39655700000003</v>
      </c>
      <c r="I29" s="5">
        <v>512.68083323395501</v>
      </c>
      <c r="J29" s="5">
        <v>99.381289702057003</v>
      </c>
      <c r="K29">
        <v>2197</v>
      </c>
      <c r="L29" s="37">
        <v>0</v>
      </c>
      <c r="M29" s="10">
        <v>0</v>
      </c>
      <c r="N29" s="3">
        <v>0.99101799999999995</v>
      </c>
      <c r="O29">
        <v>48.52</v>
      </c>
      <c r="P29" s="37">
        <v>19.399999999999999</v>
      </c>
      <c r="Q29" s="37">
        <v>91.4</v>
      </c>
      <c r="R29" s="37">
        <v>56.66</v>
      </c>
      <c r="S29" s="37">
        <v>14.74</v>
      </c>
      <c r="T29" s="9" t="s">
        <v>577</v>
      </c>
    </row>
    <row r="30" spans="1:20" x14ac:dyDescent="0.2">
      <c r="A30" t="s">
        <v>58</v>
      </c>
      <c r="B30" t="s">
        <v>24</v>
      </c>
      <c r="C30" t="s">
        <v>1</v>
      </c>
      <c r="D30" s="2">
        <v>0.02</v>
      </c>
      <c r="E30" s="2">
        <v>4.3999999999999997E-2</v>
      </c>
      <c r="F30" s="2">
        <v>5.5E-2</v>
      </c>
      <c r="G30" s="2">
        <v>6.9000000000000006E-2</v>
      </c>
      <c r="H30" s="2">
        <v>0.22600000000000001</v>
      </c>
      <c r="I30" s="2">
        <v>5.8066235864297301E-2</v>
      </c>
      <c r="J30" s="2">
        <v>2.3002542575432199E-2</v>
      </c>
      <c r="K30">
        <v>619</v>
      </c>
      <c r="L30" s="37">
        <v>0</v>
      </c>
      <c r="M30" s="10">
        <v>130</v>
      </c>
      <c r="N30" s="3">
        <v>0.99597020000000003</v>
      </c>
      <c r="O30">
        <v>49.11</v>
      </c>
      <c r="P30" s="37">
        <v>50</v>
      </c>
      <c r="Q30" s="37">
        <v>65.8</v>
      </c>
      <c r="R30" s="37">
        <v>57.47</v>
      </c>
      <c r="S30" s="37">
        <v>4.1589999999999998</v>
      </c>
    </row>
    <row r="31" spans="1:20" x14ac:dyDescent="0.2">
      <c r="A31" t="s">
        <v>58</v>
      </c>
      <c r="B31" t="s">
        <v>25</v>
      </c>
      <c r="C31" t="s">
        <v>1</v>
      </c>
      <c r="D31" s="2">
        <v>3.464</v>
      </c>
      <c r="E31" s="2">
        <v>14.368</v>
      </c>
      <c r="F31" s="2">
        <v>19.256</v>
      </c>
      <c r="G31" s="2">
        <v>26.1755</v>
      </c>
      <c r="H31" s="2">
        <v>219.03800000000001</v>
      </c>
      <c r="I31" s="2">
        <v>22.298237318197899</v>
      </c>
      <c r="J31" s="2">
        <v>13.8574560121197</v>
      </c>
      <c r="K31">
        <v>2819</v>
      </c>
      <c r="L31" s="37">
        <v>0</v>
      </c>
      <c r="M31" s="10">
        <v>0</v>
      </c>
      <c r="N31" s="3">
        <v>0.998672</v>
      </c>
      <c r="O31">
        <v>59.88</v>
      </c>
      <c r="P31" s="37">
        <v>19.399999999999999</v>
      </c>
      <c r="Q31" s="37">
        <v>91.4</v>
      </c>
      <c r="R31" s="37">
        <v>53.18</v>
      </c>
      <c r="S31" s="37">
        <v>15.96</v>
      </c>
      <c r="T31" s="9" t="s">
        <v>577</v>
      </c>
    </row>
    <row r="32" spans="1:20" x14ac:dyDescent="0.2">
      <c r="A32" t="s">
        <v>58</v>
      </c>
      <c r="B32" t="s">
        <v>26</v>
      </c>
      <c r="C32" t="s">
        <v>1</v>
      </c>
      <c r="D32" s="2">
        <v>0.41899999999999998</v>
      </c>
      <c r="E32" s="2">
        <v>2.0024999999999999</v>
      </c>
      <c r="F32" s="2">
        <v>4.0449999999999999</v>
      </c>
      <c r="G32" s="2">
        <v>4.5525000000000002</v>
      </c>
      <c r="H32" s="2">
        <v>23.361999999999998</v>
      </c>
      <c r="I32" s="2">
        <v>3.6925756358768398</v>
      </c>
      <c r="J32" s="2">
        <v>1.9154746121823101</v>
      </c>
      <c r="K32">
        <v>747</v>
      </c>
      <c r="L32" s="37">
        <v>0</v>
      </c>
      <c r="M32" s="10">
        <v>1</v>
      </c>
      <c r="N32" s="3">
        <v>1.0186299999999999</v>
      </c>
      <c r="O32">
        <v>50.07</v>
      </c>
      <c r="P32" s="37">
        <v>50</v>
      </c>
      <c r="Q32" s="37">
        <v>65.8</v>
      </c>
      <c r="R32" s="37">
        <v>57.61</v>
      </c>
      <c r="S32" s="37">
        <v>4.2110000000000003</v>
      </c>
    </row>
    <row r="33" spans="1:20" x14ac:dyDescent="0.2">
      <c r="A33" t="s">
        <v>58</v>
      </c>
      <c r="B33" t="s">
        <v>27</v>
      </c>
      <c r="C33" t="s">
        <v>8</v>
      </c>
      <c r="D33" s="2">
        <v>27.948931999999999</v>
      </c>
      <c r="E33" s="2">
        <v>37.298352000000001</v>
      </c>
      <c r="F33" s="2">
        <v>40.147919000000002</v>
      </c>
      <c r="G33" s="2">
        <v>43.157535000000003</v>
      </c>
      <c r="H33" s="2">
        <v>75.020071000000002</v>
      </c>
      <c r="I33" s="2">
        <v>40.883852222576202</v>
      </c>
      <c r="J33" s="2">
        <v>5.6623667864497804</v>
      </c>
      <c r="K33">
        <f>2181</f>
        <v>2181</v>
      </c>
      <c r="L33" s="37">
        <v>0</v>
      </c>
      <c r="M33" s="10">
        <v>0</v>
      </c>
      <c r="N33" s="3">
        <v>1.0044500000000001</v>
      </c>
      <c r="O33">
        <v>48.52</v>
      </c>
      <c r="P33" s="37">
        <v>19.399999999999999</v>
      </c>
      <c r="Q33" s="37">
        <v>91.4</v>
      </c>
      <c r="R33" s="37">
        <v>56.66</v>
      </c>
      <c r="S33" s="37">
        <v>14.74</v>
      </c>
      <c r="T33" s="9" t="s">
        <v>577</v>
      </c>
    </row>
    <row r="34" spans="1:20" x14ac:dyDescent="0.2">
      <c r="A34" t="s">
        <v>58</v>
      </c>
      <c r="B34" t="s">
        <v>28</v>
      </c>
      <c r="C34" t="s">
        <v>1</v>
      </c>
      <c r="D34" s="2">
        <v>3.758</v>
      </c>
      <c r="E34" s="2">
        <v>7.5730000000000004</v>
      </c>
      <c r="F34" s="2">
        <v>9.2089999999999996</v>
      </c>
      <c r="G34" s="2">
        <v>11.321999999999999</v>
      </c>
      <c r="H34" s="2">
        <v>66.385000000000005</v>
      </c>
      <c r="I34" s="2">
        <v>9.9189634622206508</v>
      </c>
      <c r="J34" s="2">
        <v>3.75201131730811</v>
      </c>
      <c r="K34">
        <v>2819</v>
      </c>
      <c r="L34" s="37">
        <v>0</v>
      </c>
      <c r="M34" s="10">
        <v>0</v>
      </c>
      <c r="N34" s="3">
        <v>1.0076400000000001</v>
      </c>
      <c r="O34">
        <v>59.88</v>
      </c>
      <c r="P34" s="37">
        <v>19.399999999999999</v>
      </c>
      <c r="Q34" s="37">
        <v>91.4</v>
      </c>
      <c r="R34" s="37">
        <v>53.18</v>
      </c>
      <c r="S34" s="37">
        <v>15.96</v>
      </c>
      <c r="T34" s="9" t="s">
        <v>577</v>
      </c>
    </row>
    <row r="35" spans="1:20" x14ac:dyDescent="0.2">
      <c r="A35" t="s">
        <v>58</v>
      </c>
      <c r="B35" t="s">
        <v>29</v>
      </c>
      <c r="C35" t="s">
        <v>1</v>
      </c>
      <c r="D35" s="2">
        <v>0.218</v>
      </c>
      <c r="E35" s="2">
        <v>1.9550000000000001</v>
      </c>
      <c r="F35" s="2">
        <v>3.0369999999999999</v>
      </c>
      <c r="G35" s="2">
        <v>4.6219999999999999</v>
      </c>
      <c r="H35" s="2">
        <v>27.896000000000001</v>
      </c>
      <c r="I35" s="2">
        <v>3.7021206101454398</v>
      </c>
      <c r="J35" s="2">
        <v>2.7135688631030099</v>
      </c>
      <c r="K35">
        <v>2819</v>
      </c>
      <c r="L35" s="37">
        <v>0</v>
      </c>
      <c r="M35" s="10">
        <v>0</v>
      </c>
      <c r="N35" s="3">
        <v>0.98894400000000005</v>
      </c>
      <c r="O35">
        <v>59.88</v>
      </c>
      <c r="P35" s="37">
        <v>19.399999999999999</v>
      </c>
      <c r="Q35" s="37">
        <v>91.4</v>
      </c>
      <c r="R35" s="37">
        <v>53.18</v>
      </c>
      <c r="S35" s="37">
        <v>15.96</v>
      </c>
      <c r="T35" s="9" t="s">
        <v>577</v>
      </c>
    </row>
    <row r="36" spans="1:20" x14ac:dyDescent="0.2">
      <c r="A36" t="s">
        <v>58</v>
      </c>
      <c r="B36" t="s">
        <v>30</v>
      </c>
      <c r="C36" t="s">
        <v>1</v>
      </c>
      <c r="D36" s="2">
        <v>0.20200000000000001</v>
      </c>
      <c r="E36" s="2">
        <v>0.621</v>
      </c>
      <c r="F36" s="2">
        <v>0.85599999999999998</v>
      </c>
      <c r="G36" s="2">
        <v>1.2304999999999999</v>
      </c>
      <c r="H36" s="2">
        <v>20.140999999999998</v>
      </c>
      <c r="I36" s="2">
        <v>1.08375737868934</v>
      </c>
      <c r="J36" s="2">
        <v>0.91571260734117699</v>
      </c>
      <c r="K36">
        <v>1999</v>
      </c>
      <c r="L36" s="37">
        <v>0</v>
      </c>
      <c r="M36" s="10">
        <v>202</v>
      </c>
      <c r="N36" s="3">
        <v>0.99785100000000004</v>
      </c>
      <c r="O36">
        <v>48.77</v>
      </c>
      <c r="P36" s="37">
        <v>19.399999999999999</v>
      </c>
      <c r="Q36" s="37">
        <v>91.4</v>
      </c>
      <c r="R36" s="37">
        <v>56.59</v>
      </c>
      <c r="S36" s="37">
        <v>15.4</v>
      </c>
      <c r="T36" s="9" t="s">
        <v>577</v>
      </c>
    </row>
    <row r="37" spans="1:20" x14ac:dyDescent="0.2">
      <c r="A37" t="s">
        <v>58</v>
      </c>
      <c r="B37" t="s">
        <v>31</v>
      </c>
      <c r="C37" t="s">
        <v>1</v>
      </c>
      <c r="D37" s="2">
        <v>3.0000000000000001E-3</v>
      </c>
      <c r="E37" s="2">
        <v>2.1000000000000001E-2</v>
      </c>
      <c r="F37" s="2">
        <v>3.2000000000000001E-2</v>
      </c>
      <c r="G37" s="2">
        <v>4.2000000000000003E-2</v>
      </c>
      <c r="H37" s="2">
        <v>0.13700000000000001</v>
      </c>
      <c r="I37" s="2">
        <v>3.2418573351278603E-2</v>
      </c>
      <c r="J37" s="2">
        <v>1.6030329394482901E-2</v>
      </c>
      <c r="K37">
        <v>743</v>
      </c>
      <c r="L37" s="37">
        <v>0</v>
      </c>
      <c r="M37" s="10">
        <v>5</v>
      </c>
      <c r="N37" s="3">
        <v>1.0009330000000001</v>
      </c>
      <c r="O37">
        <v>50.07</v>
      </c>
      <c r="P37" s="37">
        <v>50</v>
      </c>
      <c r="Q37" s="37">
        <v>65.8</v>
      </c>
      <c r="R37" s="37">
        <v>57.63</v>
      </c>
      <c r="S37" s="37">
        <v>4.2050000000000001</v>
      </c>
    </row>
    <row r="38" spans="1:20" x14ac:dyDescent="0.2">
      <c r="A38" t="s">
        <v>58</v>
      </c>
      <c r="B38" t="s">
        <v>32</v>
      </c>
      <c r="C38" t="s">
        <v>1</v>
      </c>
      <c r="D38" s="2">
        <v>3.2870000000000002E-4</v>
      </c>
      <c r="E38" s="2">
        <v>0.33174999999999999</v>
      </c>
      <c r="F38" s="2">
        <v>0.54300000000000004</v>
      </c>
      <c r="G38" s="2">
        <v>0.93400000000000005</v>
      </c>
      <c r="H38" s="2">
        <v>16.041</v>
      </c>
      <c r="I38" s="2">
        <v>0.80373041427893699</v>
      </c>
      <c r="J38" s="2">
        <v>0.93133077703233402</v>
      </c>
      <c r="K38">
        <v>2108</v>
      </c>
      <c r="L38" s="37">
        <v>8.49</v>
      </c>
      <c r="M38" s="10">
        <v>90</v>
      </c>
      <c r="N38" s="3">
        <v>0.99786019999999997</v>
      </c>
      <c r="O38">
        <v>49</v>
      </c>
      <c r="P38" s="37">
        <v>19.399999999999999</v>
      </c>
      <c r="Q38" s="37">
        <v>91.4</v>
      </c>
      <c r="R38" s="37">
        <v>56.6</v>
      </c>
      <c r="S38" s="37">
        <v>15.02</v>
      </c>
      <c r="T38" s="9" t="s">
        <v>577</v>
      </c>
    </row>
    <row r="39" spans="1:20" x14ac:dyDescent="0.2">
      <c r="A39" t="s">
        <v>58</v>
      </c>
      <c r="B39" t="s">
        <v>33</v>
      </c>
      <c r="C39" t="s">
        <v>1</v>
      </c>
      <c r="D39" s="3">
        <v>0</v>
      </c>
      <c r="E39" s="2">
        <v>4.0000000000000001E-3</v>
      </c>
      <c r="F39" s="2">
        <v>8.9999999999999993E-3</v>
      </c>
      <c r="G39" s="2">
        <v>1.6E-2</v>
      </c>
      <c r="H39" s="2">
        <v>6.5000000000000002E-2</v>
      </c>
      <c r="I39" s="2">
        <v>1.1857142857142899E-2</v>
      </c>
      <c r="J39" s="2">
        <v>1.0543421773317199E-2</v>
      </c>
      <c r="K39">
        <v>343</v>
      </c>
      <c r="L39" s="37">
        <v>0</v>
      </c>
      <c r="M39" s="10">
        <v>410</v>
      </c>
      <c r="N39" s="3">
        <v>1.0138400000000001</v>
      </c>
      <c r="O39">
        <v>53.35</v>
      </c>
      <c r="P39" s="37">
        <v>50</v>
      </c>
      <c r="Q39" s="37">
        <v>65.8</v>
      </c>
      <c r="R39" s="37">
        <v>57.49</v>
      </c>
      <c r="S39" s="37">
        <v>4.258</v>
      </c>
    </row>
    <row r="40" spans="1:20" x14ac:dyDescent="0.2">
      <c r="A40" t="s">
        <v>58</v>
      </c>
      <c r="B40" t="s">
        <v>34</v>
      </c>
      <c r="C40" t="s">
        <v>1</v>
      </c>
      <c r="D40" s="3">
        <v>0</v>
      </c>
      <c r="E40" s="2">
        <v>2.9000000000000001E-2</v>
      </c>
      <c r="F40" s="2">
        <v>6.2E-2</v>
      </c>
      <c r="G40" s="2">
        <v>0.11700000000000001</v>
      </c>
      <c r="H40" s="2">
        <v>0.61099999999999999</v>
      </c>
      <c r="I40" s="2">
        <v>8.9829545454545495E-2</v>
      </c>
      <c r="J40" s="2">
        <v>9.0864040413904196E-2</v>
      </c>
      <c r="K40">
        <v>440</v>
      </c>
      <c r="L40" s="37">
        <v>0</v>
      </c>
      <c r="M40" s="10">
        <v>311</v>
      </c>
      <c r="N40" s="3">
        <v>0.99901799999999996</v>
      </c>
      <c r="O40">
        <v>50.68</v>
      </c>
      <c r="P40" s="37">
        <v>50.1</v>
      </c>
      <c r="Q40" s="37">
        <v>65.8</v>
      </c>
      <c r="R40" s="37">
        <v>57.46</v>
      </c>
      <c r="S40" s="37">
        <v>4.1970000000000001</v>
      </c>
    </row>
    <row r="41" spans="1:20" x14ac:dyDescent="0.2">
      <c r="A41" t="s">
        <v>58</v>
      </c>
      <c r="B41" t="s">
        <v>35</v>
      </c>
      <c r="C41" t="s">
        <v>8</v>
      </c>
      <c r="D41" s="5">
        <v>147.28295800000001</v>
      </c>
      <c r="E41" s="5">
        <v>347.39254775000001</v>
      </c>
      <c r="F41" s="5">
        <v>408.52010899999999</v>
      </c>
      <c r="G41" s="5">
        <v>504.04330325000001</v>
      </c>
      <c r="H41" s="5">
        <v>1013.051167</v>
      </c>
      <c r="I41" s="5">
        <v>433.458849034759</v>
      </c>
      <c r="J41" s="5">
        <v>131.79550423061701</v>
      </c>
      <c r="K41">
        <v>748</v>
      </c>
      <c r="L41" s="37">
        <v>0</v>
      </c>
      <c r="M41" s="10">
        <v>0</v>
      </c>
      <c r="N41" s="3">
        <v>1.0006600000000001</v>
      </c>
      <c r="O41">
        <v>50</v>
      </c>
      <c r="P41" s="37">
        <v>50</v>
      </c>
      <c r="Q41" s="37">
        <v>65.8</v>
      </c>
      <c r="R41" s="37">
        <v>57.62</v>
      </c>
      <c r="S41" s="37">
        <v>4.2080000000000002</v>
      </c>
      <c r="T41" s="39"/>
    </row>
    <row r="42" spans="1:20" x14ac:dyDescent="0.2">
      <c r="A42" t="s">
        <v>58</v>
      </c>
      <c r="B42" t="s">
        <v>36</v>
      </c>
      <c r="C42" t="s">
        <v>1</v>
      </c>
      <c r="D42" s="2">
        <v>0.01</v>
      </c>
      <c r="E42" s="2">
        <v>1.2999999999999999E-2</v>
      </c>
      <c r="F42" s="2">
        <v>1.9E-2</v>
      </c>
      <c r="G42" s="2">
        <v>2.5999999999999999E-2</v>
      </c>
      <c r="H42" s="2">
        <v>0.17</v>
      </c>
      <c r="I42" s="2">
        <v>2.3995798319327698E-2</v>
      </c>
      <c r="J42" s="2">
        <v>1.95716789055712E-2</v>
      </c>
      <c r="K42">
        <v>238</v>
      </c>
      <c r="L42" s="37">
        <v>0</v>
      </c>
      <c r="M42" s="10">
        <v>518</v>
      </c>
      <c r="N42" s="3">
        <v>1.0052209999999999</v>
      </c>
      <c r="O42">
        <v>54.2</v>
      </c>
      <c r="P42" s="37">
        <v>50.1</v>
      </c>
      <c r="Q42" s="37">
        <v>65.3</v>
      </c>
      <c r="R42" s="37">
        <v>57.49</v>
      </c>
      <c r="S42" s="37">
        <v>4.2140000000000004</v>
      </c>
    </row>
    <row r="43" spans="1:20" x14ac:dyDescent="0.2">
      <c r="A43" t="s">
        <v>58</v>
      </c>
      <c r="B43" t="s">
        <v>37</v>
      </c>
      <c r="C43" t="s">
        <v>1</v>
      </c>
      <c r="D43" s="2">
        <v>4.0000000000000001E-3</v>
      </c>
      <c r="E43" s="2">
        <v>1.0999999999999999E-2</v>
      </c>
      <c r="F43" s="2">
        <v>1.2999999999999999E-2</v>
      </c>
      <c r="G43" s="2">
        <v>1.6E-2</v>
      </c>
      <c r="H43" s="2">
        <v>8.3000000000000004E-2</v>
      </c>
      <c r="I43" s="2">
        <v>1.4199192462987901E-2</v>
      </c>
      <c r="J43" s="2">
        <v>5.8866791368947296E-3</v>
      </c>
      <c r="K43">
        <v>743</v>
      </c>
      <c r="L43" s="37">
        <v>0</v>
      </c>
      <c r="M43" s="10">
        <v>5</v>
      </c>
      <c r="N43" s="3">
        <v>1.0029189999999999</v>
      </c>
      <c r="O43">
        <v>50.07</v>
      </c>
      <c r="P43" s="37">
        <v>50</v>
      </c>
      <c r="Q43" s="37">
        <v>65.8</v>
      </c>
      <c r="R43" s="37">
        <v>57.63</v>
      </c>
      <c r="S43" s="37">
        <v>4.2050000000000001</v>
      </c>
    </row>
    <row r="44" spans="1:20" x14ac:dyDescent="0.2">
      <c r="A44" t="s">
        <v>58</v>
      </c>
      <c r="B44" t="s">
        <v>38</v>
      </c>
      <c r="C44" t="s">
        <v>1</v>
      </c>
      <c r="D44" s="2">
        <v>0.4</v>
      </c>
      <c r="E44" s="2">
        <v>0.91625000000000001</v>
      </c>
      <c r="F44" s="2">
        <v>1.415</v>
      </c>
      <c r="G44" s="2">
        <v>2.5840000000000001</v>
      </c>
      <c r="H44" s="2">
        <v>8.6509999999999998</v>
      </c>
      <c r="I44" s="2">
        <v>1.86318474576271</v>
      </c>
      <c r="J44" s="2">
        <v>1.3226849608690601</v>
      </c>
      <c r="K44">
        <v>590</v>
      </c>
      <c r="L44" s="37">
        <v>0</v>
      </c>
      <c r="M44" s="10">
        <v>161</v>
      </c>
      <c r="N44" s="3">
        <v>1.003471</v>
      </c>
      <c r="O44">
        <v>51.02</v>
      </c>
      <c r="P44" s="37">
        <v>50</v>
      </c>
      <c r="Q44" s="37">
        <v>65.8</v>
      </c>
      <c r="R44" s="37">
        <v>57.74</v>
      </c>
      <c r="S44" s="37">
        <v>4.2130000000000001</v>
      </c>
    </row>
    <row r="45" spans="1:20" x14ac:dyDescent="0.2">
      <c r="A45" t="s">
        <v>58</v>
      </c>
      <c r="B45" t="s">
        <v>39</v>
      </c>
      <c r="C45" t="s">
        <v>1</v>
      </c>
      <c r="D45" s="2">
        <v>5.0000000000000001E-3</v>
      </c>
      <c r="E45" s="2">
        <v>0.01</v>
      </c>
      <c r="F45" s="2">
        <v>1.4E-2</v>
      </c>
      <c r="G45" s="2">
        <v>2.1999999999999999E-2</v>
      </c>
      <c r="H45" s="2">
        <v>7.0999999999999994E-2</v>
      </c>
      <c r="I45" s="2">
        <v>1.7025641025641001E-2</v>
      </c>
      <c r="J45" s="2">
        <v>9.9475358643142595E-3</v>
      </c>
      <c r="K45">
        <v>546</v>
      </c>
      <c r="L45" s="37">
        <v>0</v>
      </c>
      <c r="M45" s="10">
        <v>204</v>
      </c>
      <c r="N45" s="3">
        <v>1.00193</v>
      </c>
      <c r="O45">
        <v>51.28</v>
      </c>
      <c r="P45" s="37">
        <v>50</v>
      </c>
      <c r="Q45" s="37">
        <v>65.8</v>
      </c>
      <c r="R45" s="37">
        <v>57.78</v>
      </c>
      <c r="S45" s="37">
        <v>4.1950000000000003</v>
      </c>
    </row>
    <row r="46" spans="1:20" x14ac:dyDescent="0.2">
      <c r="A46" t="s">
        <v>58</v>
      </c>
      <c r="B46" t="s">
        <v>40</v>
      </c>
      <c r="C46" t="s">
        <v>8</v>
      </c>
      <c r="D46" s="2">
        <v>1.152825</v>
      </c>
      <c r="E46" s="2">
        <v>2.0002599999999999</v>
      </c>
      <c r="F46" s="2">
        <v>2.2512970000000001</v>
      </c>
      <c r="G46" s="2">
        <v>2.542087</v>
      </c>
      <c r="H46" s="2">
        <v>4.4255339999999999</v>
      </c>
      <c r="I46" s="2">
        <v>2.29602938598088</v>
      </c>
      <c r="J46" s="2">
        <v>0.43008479570909802</v>
      </c>
      <c r="K46">
        <v>2197</v>
      </c>
      <c r="L46" s="37">
        <v>0</v>
      </c>
      <c r="M46" s="10">
        <v>0</v>
      </c>
      <c r="N46" s="3">
        <v>1.0004999999999999</v>
      </c>
      <c r="O46">
        <v>48.52</v>
      </c>
      <c r="P46" s="37">
        <v>19.399999999999999</v>
      </c>
      <c r="Q46" s="37">
        <v>91.4</v>
      </c>
      <c r="R46" s="37">
        <v>56.66</v>
      </c>
      <c r="S46" s="37">
        <v>14.74</v>
      </c>
      <c r="T46" s="9" t="s">
        <v>577</v>
      </c>
    </row>
    <row r="47" spans="1:20" x14ac:dyDescent="0.2">
      <c r="A47" t="s">
        <v>58</v>
      </c>
      <c r="B47" t="s">
        <v>41</v>
      </c>
      <c r="C47" t="s">
        <v>1</v>
      </c>
      <c r="D47" s="2">
        <v>5.0000000000000001E-3</v>
      </c>
      <c r="E47" s="2">
        <v>7.0000000000000001E-3</v>
      </c>
      <c r="F47" s="2">
        <v>8.9999999999999993E-3</v>
      </c>
      <c r="G47" s="2">
        <v>1.2E-2</v>
      </c>
      <c r="H47" s="2">
        <v>0.05</v>
      </c>
      <c r="I47" s="2">
        <v>1.06188925081433E-2</v>
      </c>
      <c r="J47" s="2">
        <v>5.0482671664475696E-3</v>
      </c>
      <c r="K47">
        <v>307</v>
      </c>
      <c r="L47" s="37">
        <v>0</v>
      </c>
      <c r="M47" s="10">
        <v>447</v>
      </c>
      <c r="N47" s="3">
        <v>1</v>
      </c>
      <c r="O47">
        <v>50.49</v>
      </c>
      <c r="P47" s="37">
        <v>50</v>
      </c>
      <c r="Q47" s="37">
        <v>65.3</v>
      </c>
      <c r="R47" s="37">
        <v>57.62</v>
      </c>
      <c r="S47" s="37">
        <v>4.274</v>
      </c>
    </row>
    <row r="48" spans="1:20" x14ac:dyDescent="0.2">
      <c r="A48" t="s">
        <v>58</v>
      </c>
      <c r="B48" t="s">
        <v>42</v>
      </c>
      <c r="C48" t="s">
        <v>1</v>
      </c>
      <c r="D48" s="5">
        <v>51.363999999999997</v>
      </c>
      <c r="E48" s="5">
        <v>94.980999999999995</v>
      </c>
      <c r="F48" s="5">
        <v>110.316</v>
      </c>
      <c r="G48" s="5">
        <v>129.482</v>
      </c>
      <c r="H48" s="5">
        <v>352.86799999999999</v>
      </c>
      <c r="I48" s="5">
        <v>113.43129017382</v>
      </c>
      <c r="J48" s="5">
        <v>25.324135561818998</v>
      </c>
      <c r="K48">
        <v>2819</v>
      </c>
      <c r="L48" s="37">
        <v>0</v>
      </c>
      <c r="M48" s="10">
        <v>0</v>
      </c>
      <c r="N48" s="3">
        <v>1</v>
      </c>
      <c r="O48">
        <v>59.88</v>
      </c>
      <c r="P48" s="37">
        <v>19.399999999999999</v>
      </c>
      <c r="Q48" s="37">
        <v>91.4</v>
      </c>
      <c r="R48" s="37">
        <v>53.18</v>
      </c>
      <c r="S48" s="37">
        <v>15.96</v>
      </c>
      <c r="T48" s="9" t="s">
        <v>577</v>
      </c>
    </row>
    <row r="49" spans="1:20" x14ac:dyDescent="0.2">
      <c r="A49" t="s">
        <v>58</v>
      </c>
      <c r="B49" t="s">
        <v>43</v>
      </c>
      <c r="C49" t="s">
        <v>8</v>
      </c>
      <c r="D49" s="2">
        <v>6.4365000000000006E-2</v>
      </c>
      <c r="E49" s="2">
        <v>0.450262</v>
      </c>
      <c r="F49" s="2">
        <v>0.84940499999999997</v>
      </c>
      <c r="G49" s="2">
        <v>1.3466450000000001</v>
      </c>
      <c r="H49" s="2">
        <v>6.2411620000000001</v>
      </c>
      <c r="I49" s="2">
        <v>1.03079065312046</v>
      </c>
      <c r="J49" s="2">
        <v>0.78595936161175095</v>
      </c>
      <c r="K49">
        <v>689</v>
      </c>
      <c r="L49" s="37">
        <v>0</v>
      </c>
      <c r="M49" s="10">
        <v>59</v>
      </c>
      <c r="N49" s="3">
        <v>0.98733570000000004</v>
      </c>
      <c r="O49">
        <v>50.22</v>
      </c>
      <c r="P49" s="37">
        <v>50</v>
      </c>
      <c r="Q49" s="37">
        <v>65.8</v>
      </c>
      <c r="R49" s="37">
        <v>57.55</v>
      </c>
      <c r="S49" s="37">
        <v>4.1959999999999997</v>
      </c>
    </row>
    <row r="50" spans="1:20" x14ac:dyDescent="0.2">
      <c r="A50" t="s">
        <v>58</v>
      </c>
      <c r="B50" t="s">
        <v>44</v>
      </c>
      <c r="C50" t="s">
        <v>1</v>
      </c>
      <c r="D50" s="2">
        <v>1.2349999999999999E-4</v>
      </c>
      <c r="E50" s="2">
        <v>5.4670000000000003E-2</v>
      </c>
      <c r="F50" s="2">
        <v>0.1031</v>
      </c>
      <c r="G50" s="2">
        <v>0.18978</v>
      </c>
      <c r="H50" s="2">
        <v>1.63733</v>
      </c>
      <c r="I50" s="2">
        <v>0.15349419722785701</v>
      </c>
      <c r="J50" s="2">
        <v>0.16778219128008401</v>
      </c>
      <c r="K50">
        <v>1479</v>
      </c>
      <c r="L50" s="37">
        <v>16.43</v>
      </c>
      <c r="M50" s="10">
        <v>0</v>
      </c>
      <c r="N50" s="3">
        <v>1.00116</v>
      </c>
      <c r="O50">
        <v>47.73</v>
      </c>
      <c r="P50" s="37">
        <v>19.399999999999999</v>
      </c>
      <c r="Q50" s="37">
        <v>91.4</v>
      </c>
      <c r="R50" s="37">
        <v>56.21</v>
      </c>
      <c r="S50" s="37">
        <v>17.73</v>
      </c>
    </row>
    <row r="51" spans="1:20" x14ac:dyDescent="0.2">
      <c r="A51" t="s">
        <v>58</v>
      </c>
      <c r="B51" t="s">
        <v>45</v>
      </c>
      <c r="C51" t="s">
        <v>1</v>
      </c>
      <c r="D51" s="2">
        <v>8.1859999999999999</v>
      </c>
      <c r="E51" s="2">
        <v>15.159000000000001</v>
      </c>
      <c r="F51" s="2">
        <v>18.175000000000001</v>
      </c>
      <c r="G51" s="2">
        <v>22.007999999999999</v>
      </c>
      <c r="H51" s="2">
        <v>86.353999999999999</v>
      </c>
      <c r="I51" s="2">
        <v>19.4570063723259</v>
      </c>
      <c r="J51" s="2">
        <v>6.4623342742597796</v>
      </c>
      <c r="K51">
        <v>2197</v>
      </c>
      <c r="L51" s="37">
        <v>0</v>
      </c>
      <c r="M51" s="10">
        <v>0</v>
      </c>
      <c r="N51" s="3">
        <v>1.00712</v>
      </c>
      <c r="O51">
        <v>48.52</v>
      </c>
      <c r="P51" s="37">
        <v>19.399999999999999</v>
      </c>
      <c r="Q51" s="37">
        <v>91.4</v>
      </c>
      <c r="R51" s="37">
        <v>56.66</v>
      </c>
      <c r="S51" s="37">
        <v>14.74</v>
      </c>
      <c r="T51" s="9" t="s">
        <v>577</v>
      </c>
    </row>
    <row r="52" spans="1:20" x14ac:dyDescent="0.2">
      <c r="A52" t="s">
        <v>58</v>
      </c>
      <c r="B52" t="s">
        <v>46</v>
      </c>
      <c r="C52" t="s">
        <v>8</v>
      </c>
      <c r="D52" s="5">
        <v>1553.061647</v>
      </c>
      <c r="E52" s="5">
        <v>1884.6496682500001</v>
      </c>
      <c r="F52" s="5">
        <v>2004.5643715000001</v>
      </c>
      <c r="G52" s="5">
        <v>2252.1371322499999</v>
      </c>
      <c r="H52" s="5">
        <v>3528.9090649999998</v>
      </c>
      <c r="I52" s="5">
        <v>2150.3180280173801</v>
      </c>
      <c r="J52" s="5">
        <v>397.72518101530301</v>
      </c>
      <c r="K52">
        <v>748</v>
      </c>
      <c r="L52" s="37">
        <v>0</v>
      </c>
      <c r="M52" s="10">
        <v>0</v>
      </c>
      <c r="N52" s="3">
        <v>1.00204</v>
      </c>
      <c r="O52">
        <v>50</v>
      </c>
      <c r="P52" s="37">
        <v>50</v>
      </c>
      <c r="Q52" s="37">
        <v>65.8</v>
      </c>
      <c r="R52" s="37">
        <v>57.62</v>
      </c>
      <c r="S52" s="37">
        <v>4.2080000000000002</v>
      </c>
    </row>
    <row r="53" spans="1:20" x14ac:dyDescent="0.2">
      <c r="A53" t="s">
        <v>58</v>
      </c>
      <c r="B53" t="s">
        <v>47</v>
      </c>
      <c r="C53" t="s">
        <v>1</v>
      </c>
      <c r="D53" s="2">
        <v>2E-3</v>
      </c>
      <c r="E53" s="2">
        <v>3.0000000000000001E-3</v>
      </c>
      <c r="F53" s="2">
        <v>4.0000000000000001E-3</v>
      </c>
      <c r="G53" s="2">
        <v>5.0000000000000001E-3</v>
      </c>
      <c r="H53" s="2">
        <v>2.4E-2</v>
      </c>
      <c r="I53" s="2">
        <v>4.4074889867841398E-3</v>
      </c>
      <c r="J53" s="2">
        <v>2.6939612534291899E-3</v>
      </c>
      <c r="K53">
        <v>454</v>
      </c>
      <c r="L53" s="37">
        <v>0</v>
      </c>
      <c r="M53" s="10">
        <v>298</v>
      </c>
      <c r="N53" s="3">
        <v>1.0004599999999999</v>
      </c>
      <c r="O53">
        <v>52.2</v>
      </c>
      <c r="P53" s="37">
        <v>50.1</v>
      </c>
      <c r="Q53" s="37">
        <v>65.8</v>
      </c>
      <c r="R53" s="37">
        <v>57.47</v>
      </c>
      <c r="S53" s="37">
        <v>4.202</v>
      </c>
    </row>
    <row r="54" spans="1:20" x14ac:dyDescent="0.2">
      <c r="A54" t="s">
        <v>58</v>
      </c>
      <c r="B54" t="s">
        <v>48</v>
      </c>
      <c r="C54" t="s">
        <v>1</v>
      </c>
      <c r="D54" s="2">
        <v>2E-3</v>
      </c>
      <c r="E54" s="2">
        <v>2E-3</v>
      </c>
      <c r="F54" s="2">
        <v>3.0000000000000001E-3</v>
      </c>
      <c r="G54" s="2">
        <v>3.0000000000000001E-3</v>
      </c>
      <c r="H54" s="2">
        <v>1.2999999999999999E-2</v>
      </c>
      <c r="I54" s="2">
        <v>2.9291338582677199E-3</v>
      </c>
      <c r="J54" s="2">
        <v>1.21513115403585E-3</v>
      </c>
      <c r="K54">
        <v>381</v>
      </c>
      <c r="L54" s="37">
        <v>0</v>
      </c>
      <c r="M54" s="10">
        <v>374</v>
      </c>
      <c r="N54" s="3">
        <v>1.02434</v>
      </c>
      <c r="O54">
        <v>51.71</v>
      </c>
      <c r="P54" s="37">
        <v>50</v>
      </c>
      <c r="Q54" s="37">
        <v>65.8</v>
      </c>
      <c r="R54" s="37">
        <v>57.45</v>
      </c>
      <c r="S54" s="37">
        <v>4.2300000000000004</v>
      </c>
    </row>
    <row r="55" spans="1:20" x14ac:dyDescent="0.2">
      <c r="A55" t="s">
        <v>58</v>
      </c>
      <c r="B55" t="s">
        <v>49</v>
      </c>
      <c r="C55" t="s">
        <v>1</v>
      </c>
      <c r="D55" s="2">
        <v>4.0000000000000001E-3</v>
      </c>
      <c r="E55" s="2">
        <v>0.02</v>
      </c>
      <c r="F55" s="2">
        <v>2.5999999999999999E-2</v>
      </c>
      <c r="G55" s="2">
        <v>3.2000000000000001E-2</v>
      </c>
      <c r="H55" s="2">
        <v>0.191</v>
      </c>
      <c r="I55" s="2">
        <v>2.74610832954028E-2</v>
      </c>
      <c r="J55" s="2">
        <v>1.21733068679378E-2</v>
      </c>
      <c r="K55">
        <v>2197</v>
      </c>
      <c r="L55" s="37">
        <v>0</v>
      </c>
      <c r="M55" s="10">
        <v>0</v>
      </c>
      <c r="N55" s="3">
        <v>0.99451400000000001</v>
      </c>
      <c r="O55">
        <v>48.52</v>
      </c>
      <c r="P55" s="37">
        <v>19.399999999999999</v>
      </c>
      <c r="Q55" s="37">
        <v>91.4</v>
      </c>
      <c r="R55" s="37">
        <v>56.66</v>
      </c>
      <c r="S55" s="37">
        <v>14.74</v>
      </c>
      <c r="T55" s="9" t="s">
        <v>577</v>
      </c>
    </row>
    <row r="56" spans="1:20" x14ac:dyDescent="0.2">
      <c r="A56" t="s">
        <v>58</v>
      </c>
      <c r="B56" t="s">
        <v>50</v>
      </c>
      <c r="C56" t="s">
        <v>1</v>
      </c>
      <c r="D56" s="7">
        <v>9.9999999999999995E-7</v>
      </c>
      <c r="E56" s="2">
        <v>1.4873499999999999E-3</v>
      </c>
      <c r="F56" s="2">
        <v>3.0163999999999998E-3</v>
      </c>
      <c r="G56" s="2">
        <v>4.5369E-3</v>
      </c>
      <c r="H56" s="2">
        <v>12.87575</v>
      </c>
      <c r="I56" s="2">
        <v>1.1756363286004099E-2</v>
      </c>
      <c r="J56" s="2">
        <v>0.33472921265491101</v>
      </c>
      <c r="K56">
        <v>1479</v>
      </c>
      <c r="L56" s="37">
        <v>97.7</v>
      </c>
      <c r="M56" s="10">
        <v>0</v>
      </c>
      <c r="N56" s="3">
        <v>0.97015189999999996</v>
      </c>
      <c r="O56">
        <v>47.73</v>
      </c>
      <c r="P56" s="37">
        <v>19.399999999999999</v>
      </c>
      <c r="Q56" s="37">
        <v>91.4</v>
      </c>
      <c r="R56" s="37">
        <v>56.21</v>
      </c>
      <c r="S56" s="37">
        <v>17.73</v>
      </c>
      <c r="T56" t="s">
        <v>553</v>
      </c>
    </row>
    <row r="57" spans="1:20" x14ac:dyDescent="0.2">
      <c r="A57" t="s">
        <v>58</v>
      </c>
      <c r="B57" t="s">
        <v>51</v>
      </c>
      <c r="C57" t="s">
        <v>1</v>
      </c>
      <c r="D57" s="2">
        <v>4.1000000000000002E-2</v>
      </c>
      <c r="E57" s="2">
        <v>0.11700000000000001</v>
      </c>
      <c r="F57" s="2">
        <v>0.1885</v>
      </c>
      <c r="G57" s="2">
        <v>0.34699999999999998</v>
      </c>
      <c r="H57" s="2">
        <v>6.7329999999999997</v>
      </c>
      <c r="I57" s="2">
        <v>0.49475365579302599</v>
      </c>
      <c r="J57" s="2">
        <v>0.84281760280221296</v>
      </c>
      <c r="K57">
        <v>1778</v>
      </c>
      <c r="L57" s="37">
        <v>0</v>
      </c>
      <c r="M57" s="10">
        <v>426</v>
      </c>
      <c r="N57" s="3">
        <v>1.0088200000000001</v>
      </c>
      <c r="O57">
        <v>50.22</v>
      </c>
      <c r="P57" s="37">
        <v>19.399999999999999</v>
      </c>
      <c r="Q57" s="37">
        <v>91.4</v>
      </c>
      <c r="R57" s="37">
        <v>56.4</v>
      </c>
      <c r="S57" s="37">
        <v>16.260000000000002</v>
      </c>
      <c r="T57" s="9" t="s">
        <v>577</v>
      </c>
    </row>
    <row r="58" spans="1:20" x14ac:dyDescent="0.2">
      <c r="A58" t="s">
        <v>58</v>
      </c>
      <c r="B58" t="s">
        <v>52</v>
      </c>
      <c r="C58" t="s">
        <v>1</v>
      </c>
      <c r="D58" s="2">
        <v>0.01</v>
      </c>
      <c r="E58" s="2">
        <v>2.3E-2</v>
      </c>
      <c r="F58" s="2">
        <v>2.3E-2</v>
      </c>
      <c r="G58" s="2">
        <v>0.03</v>
      </c>
      <c r="H58" s="2">
        <v>2.1120000000000001</v>
      </c>
      <c r="I58" s="2">
        <v>3.7319125070106603E-2</v>
      </c>
      <c r="J58" s="2">
        <v>6.6375599522932205E-2</v>
      </c>
      <c r="K58">
        <v>1783</v>
      </c>
      <c r="L58" s="37">
        <v>0</v>
      </c>
      <c r="M58" s="10">
        <v>417</v>
      </c>
      <c r="N58" s="3">
        <v>0.95232600000000001</v>
      </c>
      <c r="O58">
        <v>48.85</v>
      </c>
      <c r="P58" s="37">
        <v>19.399999999999999</v>
      </c>
      <c r="Q58" s="37">
        <v>91.4</v>
      </c>
      <c r="R58" s="37">
        <v>56.49</v>
      </c>
      <c r="S58" s="37">
        <v>16.239999999999998</v>
      </c>
      <c r="T58" s="9" t="s">
        <v>577</v>
      </c>
    </row>
    <row r="59" spans="1:20" x14ac:dyDescent="0.2">
      <c r="A59" t="s">
        <v>58</v>
      </c>
      <c r="B59" t="s">
        <v>53</v>
      </c>
      <c r="C59" t="s">
        <v>1</v>
      </c>
      <c r="D59" s="2">
        <v>1.2E-2</v>
      </c>
      <c r="E59" s="2">
        <v>2.1000000000000001E-2</v>
      </c>
      <c r="F59" s="2">
        <v>2.3E-2</v>
      </c>
      <c r="G59" s="2">
        <v>2.5999999999999999E-2</v>
      </c>
      <c r="H59" s="2">
        <v>0.19</v>
      </c>
      <c r="I59" s="2">
        <v>2.47024128686327E-2</v>
      </c>
      <c r="J59" s="2">
        <v>1.15445989961683E-2</v>
      </c>
      <c r="K59">
        <v>746</v>
      </c>
      <c r="L59" s="37">
        <v>0</v>
      </c>
      <c r="M59" s="10">
        <v>2</v>
      </c>
      <c r="N59" s="3">
        <v>0.99384700000000004</v>
      </c>
      <c r="O59">
        <v>50.07</v>
      </c>
      <c r="P59" s="37">
        <v>50</v>
      </c>
      <c r="Q59" s="37">
        <v>65.8</v>
      </c>
      <c r="R59" s="37">
        <v>57.62</v>
      </c>
      <c r="S59" s="37">
        <v>4.21</v>
      </c>
    </row>
    <row r="60" spans="1:20" x14ac:dyDescent="0.2">
      <c r="A60" t="s">
        <v>58</v>
      </c>
      <c r="B60" t="s">
        <v>54</v>
      </c>
      <c r="C60" t="s">
        <v>1</v>
      </c>
      <c r="D60" s="2">
        <v>0.03</v>
      </c>
      <c r="E60" s="2">
        <v>0.11700000000000001</v>
      </c>
      <c r="F60" s="2">
        <v>0.1605</v>
      </c>
      <c r="G60" s="2">
        <v>0.23125000000000001</v>
      </c>
      <c r="H60" s="2">
        <v>1.1299999999999999</v>
      </c>
      <c r="I60" s="2">
        <v>0.20113664596273301</v>
      </c>
      <c r="J60" s="2">
        <v>0.14676299900649301</v>
      </c>
      <c r="K60">
        <v>644</v>
      </c>
      <c r="L60" s="37">
        <v>0</v>
      </c>
      <c r="M60" s="10">
        <v>106</v>
      </c>
      <c r="N60" s="3">
        <v>0.99567249999999996</v>
      </c>
      <c r="O60">
        <v>50.47</v>
      </c>
      <c r="P60" s="37">
        <v>50</v>
      </c>
      <c r="Q60" s="37">
        <v>65.8</v>
      </c>
      <c r="R60" s="37">
        <v>57.67</v>
      </c>
      <c r="S60" s="37">
        <v>4.1689999999999996</v>
      </c>
    </row>
    <row r="61" spans="1:20" x14ac:dyDescent="0.2">
      <c r="A61" t="s">
        <v>58</v>
      </c>
      <c r="B61" t="s">
        <v>55</v>
      </c>
      <c r="C61" t="s">
        <v>1</v>
      </c>
      <c r="D61" s="2">
        <v>4.0000000000000001E-3</v>
      </c>
      <c r="E61" s="2">
        <v>1.0999999999999999E-2</v>
      </c>
      <c r="F61" s="2">
        <v>1.4500000000000001E-2</v>
      </c>
      <c r="G61" s="2">
        <v>0.02</v>
      </c>
      <c r="H61" s="2">
        <v>0.13500000000000001</v>
      </c>
      <c r="I61" s="2">
        <v>1.6987499999999999E-2</v>
      </c>
      <c r="J61" s="2">
        <v>1.12673224695499E-2</v>
      </c>
      <c r="K61">
        <v>720</v>
      </c>
      <c r="L61" s="37">
        <v>0</v>
      </c>
      <c r="M61" s="10">
        <v>28</v>
      </c>
      <c r="N61" s="3">
        <v>0.98976799999999998</v>
      </c>
      <c r="O61">
        <v>50.28</v>
      </c>
      <c r="P61" s="37">
        <v>50</v>
      </c>
      <c r="Q61" s="37">
        <v>65.8</v>
      </c>
      <c r="R61" s="37">
        <v>57.68</v>
      </c>
      <c r="S61" s="37">
        <v>4.2050000000000001</v>
      </c>
    </row>
    <row r="62" spans="1:20" x14ac:dyDescent="0.2">
      <c r="A62" t="s">
        <v>58</v>
      </c>
      <c r="B62" t="s">
        <v>56</v>
      </c>
      <c r="C62" t="s">
        <v>8</v>
      </c>
      <c r="D62" s="2">
        <v>3.7898830000000001</v>
      </c>
      <c r="E62" s="2">
        <v>6.5254899999999996</v>
      </c>
      <c r="F62" s="2">
        <v>7.2706400000000002</v>
      </c>
      <c r="G62" s="2">
        <v>8.1461240000000004</v>
      </c>
      <c r="H62" s="2">
        <v>17.152239000000002</v>
      </c>
      <c r="I62" s="2">
        <v>7.4508421042922999</v>
      </c>
      <c r="J62" s="2">
        <v>1.4016506861170701</v>
      </c>
      <c r="K62">
        <v>2819</v>
      </c>
      <c r="L62" s="37">
        <v>0</v>
      </c>
      <c r="M62" s="10">
        <v>0</v>
      </c>
      <c r="N62" s="3">
        <v>1.0135700000000001</v>
      </c>
      <c r="O62">
        <v>59.88</v>
      </c>
      <c r="P62" s="37">
        <v>19.399999999999999</v>
      </c>
      <c r="Q62" s="37">
        <v>91.4</v>
      </c>
      <c r="R62" s="37">
        <v>53.18</v>
      </c>
      <c r="S62" s="37">
        <v>15.96</v>
      </c>
      <c r="T62" s="9" t="s">
        <v>577</v>
      </c>
    </row>
    <row r="63" spans="1:20" s="44" customFormat="1" x14ac:dyDescent="0.2">
      <c r="A63" s="44" t="s">
        <v>58</v>
      </c>
      <c r="B63" s="44" t="s">
        <v>57</v>
      </c>
      <c r="C63" s="44" t="s">
        <v>1</v>
      </c>
      <c r="D63" s="45">
        <v>1.4999999999999999E-2</v>
      </c>
      <c r="E63" s="45">
        <v>4.1000000000000002E-2</v>
      </c>
      <c r="F63" s="45">
        <v>7.0999999999999994E-2</v>
      </c>
      <c r="G63" s="45">
        <v>0.121</v>
      </c>
      <c r="H63" s="45">
        <v>0.63700000000000001</v>
      </c>
      <c r="I63" s="45">
        <v>9.7160173160173197E-2</v>
      </c>
      <c r="J63" s="45">
        <v>8.7550062041372306E-2</v>
      </c>
      <c r="K63" s="44">
        <v>231</v>
      </c>
      <c r="L63" s="46">
        <v>0</v>
      </c>
      <c r="M63" s="47">
        <v>521</v>
      </c>
      <c r="N63" s="48">
        <v>1.0478479999999999</v>
      </c>
      <c r="O63" s="44">
        <v>63.64</v>
      </c>
      <c r="P63" s="46">
        <v>50</v>
      </c>
      <c r="Q63" s="46">
        <v>65.8</v>
      </c>
      <c r="R63" s="46">
        <v>57.6</v>
      </c>
      <c r="S63" s="46">
        <v>4.2460000000000004</v>
      </c>
    </row>
    <row r="64" spans="1:20" x14ac:dyDescent="0.2">
      <c r="A64" t="s">
        <v>59</v>
      </c>
      <c r="B64" t="s">
        <v>3</v>
      </c>
      <c r="C64" t="s">
        <v>1</v>
      </c>
      <c r="D64" s="2">
        <v>6.8372713624498996E-2</v>
      </c>
      <c r="E64" s="2">
        <v>0.62556999999999996</v>
      </c>
      <c r="F64" s="2">
        <v>1.1913066000000001</v>
      </c>
      <c r="G64" s="2">
        <v>2.415489939</v>
      </c>
      <c r="H64" s="2">
        <v>59.926643677999998</v>
      </c>
      <c r="I64" s="2">
        <v>2.1706490000000001</v>
      </c>
      <c r="J64" s="2">
        <v>3.2738999999999998</v>
      </c>
      <c r="K64">
        <v>2798</v>
      </c>
      <c r="L64" s="37">
        <v>1</v>
      </c>
      <c r="M64" s="10">
        <v>0</v>
      </c>
      <c r="N64" s="3">
        <v>0.99546999999999997</v>
      </c>
      <c r="O64">
        <v>100</v>
      </c>
      <c r="P64" s="37">
        <v>18</v>
      </c>
      <c r="Q64" s="37">
        <v>45</v>
      </c>
      <c r="R64" s="37">
        <v>29.92</v>
      </c>
      <c r="S64" s="37">
        <v>4.2030000000000003</v>
      </c>
    </row>
    <row r="65" spans="1:34" x14ac:dyDescent="0.2">
      <c r="A65" t="s">
        <v>59</v>
      </c>
      <c r="B65" t="s">
        <v>9</v>
      </c>
      <c r="C65" t="s">
        <v>1</v>
      </c>
      <c r="D65" s="2">
        <v>1.4100548188819799E-2</v>
      </c>
      <c r="E65" s="2">
        <v>0.11192912920968399</v>
      </c>
      <c r="F65" s="2">
        <v>0.154013355197683</v>
      </c>
      <c r="G65" s="2">
        <v>0.21698708057039201</v>
      </c>
      <c r="H65" s="2">
        <v>2.3496157913350499</v>
      </c>
      <c r="I65" s="2">
        <v>0.20046284677076401</v>
      </c>
      <c r="J65" s="2">
        <v>0.186570418407037</v>
      </c>
      <c r="K65">
        <v>2812</v>
      </c>
      <c r="L65" s="37">
        <v>1</v>
      </c>
      <c r="M65" s="10">
        <v>0</v>
      </c>
      <c r="N65" s="3">
        <v>1</v>
      </c>
      <c r="O65">
        <v>100</v>
      </c>
      <c r="P65" s="37">
        <v>18</v>
      </c>
      <c r="Q65" s="37">
        <v>45</v>
      </c>
      <c r="R65" s="37">
        <v>29.91</v>
      </c>
      <c r="S65" s="37">
        <v>4.2085999999999997</v>
      </c>
    </row>
    <row r="66" spans="1:34" x14ac:dyDescent="0.2">
      <c r="A66" t="s">
        <v>59</v>
      </c>
      <c r="B66" t="s">
        <v>61</v>
      </c>
      <c r="C66" t="s">
        <v>1</v>
      </c>
      <c r="D66" s="2">
        <v>2.9538791834430901E-2</v>
      </c>
      <c r="E66" s="2">
        <v>9.08474470179539E-2</v>
      </c>
      <c r="F66" s="2">
        <v>0.15430610542211801</v>
      </c>
      <c r="G66" s="2">
        <v>0.22853588603588901</v>
      </c>
      <c r="H66" s="2">
        <v>3.0873662106780002</v>
      </c>
      <c r="I66" s="2">
        <v>0.19386604856488099</v>
      </c>
      <c r="J66" s="2">
        <v>0.18568263730759901</v>
      </c>
      <c r="K66">
        <v>2812</v>
      </c>
      <c r="L66" s="37">
        <v>1</v>
      </c>
      <c r="M66" s="10">
        <v>0</v>
      </c>
      <c r="N66" s="3">
        <v>1</v>
      </c>
      <c r="O66">
        <v>100</v>
      </c>
      <c r="P66" s="37">
        <v>18</v>
      </c>
      <c r="Q66" s="37">
        <v>45</v>
      </c>
      <c r="R66" s="37">
        <v>29.91</v>
      </c>
      <c r="S66" s="37">
        <v>4.2085999999999997</v>
      </c>
    </row>
    <row r="67" spans="1:34" x14ac:dyDescent="0.2">
      <c r="A67" t="s">
        <v>59</v>
      </c>
      <c r="B67" t="s">
        <v>16</v>
      </c>
      <c r="C67" t="s">
        <v>8</v>
      </c>
      <c r="D67" s="2">
        <f>610.873692734044/1000</f>
        <v>0.61087369273404402</v>
      </c>
      <c r="E67" s="2">
        <f>1387.36383881587/1000</f>
        <v>1.38736383881587</v>
      </c>
      <c r="F67" s="2">
        <f>1541.38921012116/1000</f>
        <v>1.5413892101211599</v>
      </c>
      <c r="G67" s="2">
        <f>1699.99545329309/1000</f>
        <v>1.6999954532930899</v>
      </c>
      <c r="H67" s="2">
        <f>3633.48045228481/1000</f>
        <v>3.6334804522848101</v>
      </c>
      <c r="I67" s="2">
        <f>1553.01569562768/1000</f>
        <v>1.5530156956276802</v>
      </c>
      <c r="J67" s="2">
        <f>250.612644462869/1000</f>
        <v>0.25061264446286902</v>
      </c>
      <c r="K67">
        <v>2812</v>
      </c>
      <c r="L67" s="37">
        <v>1</v>
      </c>
      <c r="M67" s="10">
        <v>0</v>
      </c>
      <c r="N67" s="3">
        <v>1</v>
      </c>
      <c r="O67">
        <v>100</v>
      </c>
      <c r="P67" s="37">
        <v>18</v>
      </c>
      <c r="Q67" s="37">
        <v>45</v>
      </c>
      <c r="R67" s="37">
        <v>29.91</v>
      </c>
      <c r="S67" s="37">
        <v>4.2085999999999997</v>
      </c>
    </row>
    <row r="68" spans="1:34" x14ac:dyDescent="0.2">
      <c r="A68" t="s">
        <v>59</v>
      </c>
      <c r="B68" t="s">
        <v>29</v>
      </c>
      <c r="C68" t="s">
        <v>1</v>
      </c>
      <c r="D68" s="2">
        <v>3.0999999999999999E-3</v>
      </c>
      <c r="E68" s="2">
        <v>0.6</v>
      </c>
      <c r="F68" s="2">
        <v>1.0189999999999999</v>
      </c>
      <c r="G68" s="2">
        <v>1.544</v>
      </c>
      <c r="H68" s="2">
        <v>12.676</v>
      </c>
      <c r="I68" s="2">
        <v>1.19605745286375</v>
      </c>
      <c r="J68" s="2">
        <v>0.88829876209366598</v>
      </c>
      <c r="K68">
        <v>2811</v>
      </c>
      <c r="L68" s="37">
        <v>1</v>
      </c>
      <c r="M68" s="10">
        <v>0</v>
      </c>
      <c r="N68" s="3">
        <v>1</v>
      </c>
      <c r="O68">
        <v>100</v>
      </c>
      <c r="P68" s="37">
        <v>18</v>
      </c>
      <c r="Q68" s="37">
        <v>45</v>
      </c>
      <c r="R68" s="37">
        <v>29.91</v>
      </c>
      <c r="S68" s="37">
        <v>4.2085999999999997</v>
      </c>
    </row>
    <row r="69" spans="1:34" x14ac:dyDescent="0.2">
      <c r="A69" t="s">
        <v>59</v>
      </c>
      <c r="B69" t="s">
        <v>28</v>
      </c>
      <c r="C69" t="s">
        <v>1</v>
      </c>
      <c r="D69" s="2">
        <v>2.4091695474375099</v>
      </c>
      <c r="E69" s="2">
        <v>8.2001939010855107</v>
      </c>
      <c r="F69" s="2">
        <v>10.150795284650201</v>
      </c>
      <c r="G69" s="2">
        <v>12.754844242723401</v>
      </c>
      <c r="H69" s="2">
        <v>53.421832396034297</v>
      </c>
      <c r="I69" s="2">
        <v>10.8434022730815</v>
      </c>
      <c r="J69" s="2">
        <v>3.8191548354837801</v>
      </c>
      <c r="K69">
        <v>2812</v>
      </c>
      <c r="L69" s="37">
        <v>1</v>
      </c>
      <c r="M69" s="10">
        <v>0</v>
      </c>
      <c r="N69" s="3">
        <v>1</v>
      </c>
      <c r="O69">
        <v>100</v>
      </c>
      <c r="P69" s="37">
        <v>18</v>
      </c>
      <c r="Q69" s="37">
        <v>45</v>
      </c>
      <c r="R69" s="37">
        <v>29.91</v>
      </c>
      <c r="S69" s="37">
        <v>4.2085999999999997</v>
      </c>
    </row>
    <row r="70" spans="1:34" x14ac:dyDescent="0.2">
      <c r="A70" t="s">
        <v>59</v>
      </c>
      <c r="B70" t="s">
        <v>30</v>
      </c>
      <c r="C70" t="s">
        <v>1</v>
      </c>
      <c r="D70" s="2">
        <v>0.144923</v>
      </c>
      <c r="E70" s="2">
        <v>0.489842</v>
      </c>
      <c r="F70" s="2">
        <v>0.62540298999999999</v>
      </c>
      <c r="G70" s="2">
        <v>0.8228046</v>
      </c>
      <c r="H70" s="2">
        <v>7.2214890299999999</v>
      </c>
      <c r="I70" s="2">
        <v>0.72864479999999998</v>
      </c>
      <c r="J70" s="2">
        <v>0.43331765</v>
      </c>
      <c r="K70">
        <v>2798</v>
      </c>
      <c r="L70" s="37">
        <v>1</v>
      </c>
      <c r="M70" s="10">
        <v>0</v>
      </c>
      <c r="N70" s="3">
        <v>1.001031</v>
      </c>
      <c r="O70">
        <v>100</v>
      </c>
      <c r="P70" s="37">
        <v>18</v>
      </c>
      <c r="Q70" s="37">
        <v>45</v>
      </c>
      <c r="R70" s="37">
        <v>29.92</v>
      </c>
      <c r="S70" s="37">
        <v>4.2030000000000003</v>
      </c>
      <c r="AE70" s="10"/>
      <c r="AF70" s="10"/>
      <c r="AG70" s="10"/>
    </row>
    <row r="71" spans="1:34" x14ac:dyDescent="0.2">
      <c r="A71" t="s">
        <v>59</v>
      </c>
      <c r="B71" t="s">
        <v>25</v>
      </c>
      <c r="C71" t="s">
        <v>1</v>
      </c>
      <c r="D71" s="2">
        <v>1.85304988399254</v>
      </c>
      <c r="E71" s="2">
        <v>6.4383802452047503</v>
      </c>
      <c r="F71" s="2">
        <v>8.1772070374102803</v>
      </c>
      <c r="G71" s="2">
        <v>10.5263033828238</v>
      </c>
      <c r="H71" s="2">
        <v>211.61674940031099</v>
      </c>
      <c r="I71" s="2">
        <v>9.0873982754439595</v>
      </c>
      <c r="J71" s="2">
        <v>5.7795076164530599</v>
      </c>
      <c r="K71">
        <v>2812</v>
      </c>
      <c r="L71" s="37">
        <v>1</v>
      </c>
      <c r="M71" s="10">
        <v>0</v>
      </c>
      <c r="N71" s="3">
        <v>1</v>
      </c>
      <c r="O71">
        <v>100</v>
      </c>
      <c r="P71" s="37">
        <v>18</v>
      </c>
      <c r="Q71" s="37">
        <v>45</v>
      </c>
      <c r="R71" s="37">
        <v>29.91</v>
      </c>
      <c r="S71" s="37">
        <v>4.2085999999999997</v>
      </c>
      <c r="AE71" s="10"/>
      <c r="AF71" s="10"/>
      <c r="AG71" s="10"/>
    </row>
    <row r="72" spans="1:34" x14ac:dyDescent="0.2">
      <c r="A72" t="s">
        <v>59</v>
      </c>
      <c r="B72" t="s">
        <v>42</v>
      </c>
      <c r="C72" t="s">
        <v>1</v>
      </c>
      <c r="D72" s="5">
        <v>42.0794093735377</v>
      </c>
      <c r="E72" s="5">
        <v>89.499960732132294</v>
      </c>
      <c r="F72" s="5">
        <v>102.055907691892</v>
      </c>
      <c r="G72" s="5">
        <v>116.86767017178499</v>
      </c>
      <c r="H72" s="5">
        <v>353.12830746760397</v>
      </c>
      <c r="I72" s="5">
        <v>104.831852660381</v>
      </c>
      <c r="J72" s="5">
        <v>22.846886002655001</v>
      </c>
      <c r="K72">
        <v>2812</v>
      </c>
      <c r="L72" s="37">
        <v>1</v>
      </c>
      <c r="M72" s="10">
        <v>0</v>
      </c>
      <c r="N72" s="3">
        <v>1</v>
      </c>
      <c r="O72">
        <v>100</v>
      </c>
      <c r="P72" s="37">
        <v>18</v>
      </c>
      <c r="Q72" s="37">
        <v>45</v>
      </c>
      <c r="R72" s="37">
        <v>29.91</v>
      </c>
      <c r="S72" s="37">
        <v>4.2085999999999997</v>
      </c>
      <c r="U72" s="12"/>
      <c r="V72" s="12"/>
      <c r="W72" s="12"/>
      <c r="AE72" s="10"/>
      <c r="AF72" s="10"/>
      <c r="AG72" s="10"/>
    </row>
    <row r="73" spans="1:34" x14ac:dyDescent="0.2">
      <c r="A73" t="s">
        <v>59</v>
      </c>
      <c r="B73" t="s">
        <v>49</v>
      </c>
      <c r="C73" t="s">
        <v>1</v>
      </c>
      <c r="D73" s="2">
        <v>5.9964899589950802E-3</v>
      </c>
      <c r="E73" s="2">
        <v>1.4789040353920599E-2</v>
      </c>
      <c r="F73" s="2">
        <v>1.80501206152613E-2</v>
      </c>
      <c r="G73" s="2">
        <v>2.21895033790152E-2</v>
      </c>
      <c r="H73" s="2">
        <v>0.10343473920302899</v>
      </c>
      <c r="I73" s="2">
        <v>1.9045018224725201E-2</v>
      </c>
      <c r="J73" s="2">
        <v>6.8178216062595599E-3</v>
      </c>
      <c r="K73">
        <v>2812</v>
      </c>
      <c r="L73" s="37">
        <v>95</v>
      </c>
      <c r="M73" s="10">
        <v>0</v>
      </c>
      <c r="N73" s="3">
        <v>1</v>
      </c>
      <c r="O73">
        <v>100</v>
      </c>
      <c r="P73" s="37">
        <v>18</v>
      </c>
      <c r="Q73" s="37">
        <v>45</v>
      </c>
      <c r="R73" s="37">
        <v>29.91</v>
      </c>
      <c r="S73" s="37">
        <v>4.2085999999999997</v>
      </c>
      <c r="V73" s="12"/>
      <c r="W73" s="12"/>
      <c r="X73" s="12"/>
      <c r="AB73" s="12"/>
      <c r="AF73" s="40"/>
      <c r="AH73" s="10"/>
    </row>
    <row r="74" spans="1:34" s="44" customFormat="1" x14ac:dyDescent="0.2">
      <c r="A74" s="44" t="s">
        <v>59</v>
      </c>
      <c r="B74" s="44" t="s">
        <v>56</v>
      </c>
      <c r="C74" s="44" t="s">
        <v>8</v>
      </c>
      <c r="D74" s="45">
        <f>1153.33493220131/1000</f>
        <v>1.15333493220131</v>
      </c>
      <c r="E74" s="45">
        <f>4232.6464449412/1000</f>
        <v>4.2326464449411993</v>
      </c>
      <c r="F74" s="45">
        <f>4798.06341672871/1000</f>
        <v>4.7980634167287102</v>
      </c>
      <c r="G74" s="45">
        <f>5366.51515119972/1000</f>
        <v>5.36651515119972</v>
      </c>
      <c r="H74" s="45">
        <f>11057.6882705571/1000</f>
        <v>11.057688270557101</v>
      </c>
      <c r="I74" s="45">
        <f>4818.62499834808/1000</f>
        <v>4.8186249983480804</v>
      </c>
      <c r="J74" s="45">
        <f>930.933234109754/1000</f>
        <v>0.93093323410975404</v>
      </c>
      <c r="K74" s="44">
        <v>2812</v>
      </c>
      <c r="L74" s="46">
        <v>1</v>
      </c>
      <c r="M74" s="47">
        <v>0</v>
      </c>
      <c r="N74" s="48">
        <v>1</v>
      </c>
      <c r="O74" s="44">
        <v>100</v>
      </c>
      <c r="P74" s="46">
        <v>18</v>
      </c>
      <c r="Q74" s="46">
        <v>45</v>
      </c>
      <c r="R74" s="46">
        <v>29.91</v>
      </c>
      <c r="S74" s="46">
        <v>4.2085999999999997</v>
      </c>
      <c r="W74" s="49"/>
      <c r="Z74" s="49"/>
      <c r="AB74" s="49"/>
      <c r="AD74" s="49"/>
      <c r="AF74" s="47"/>
      <c r="AG74" s="50"/>
      <c r="AH74" s="47"/>
    </row>
    <row r="75" spans="1:34" x14ac:dyDescent="0.2">
      <c r="A75" t="s">
        <v>332</v>
      </c>
      <c r="B75" t="s">
        <v>0</v>
      </c>
      <c r="C75" t="s">
        <v>1</v>
      </c>
      <c r="D75" s="2" t="s">
        <v>554</v>
      </c>
      <c r="E75" s="3">
        <v>13.598695151999998</v>
      </c>
      <c r="F75" s="3">
        <v>17.187239706</v>
      </c>
      <c r="G75" s="3">
        <v>21.450322710000002</v>
      </c>
      <c r="H75" s="37" t="s">
        <v>554</v>
      </c>
      <c r="I75" s="37" t="s">
        <v>554</v>
      </c>
      <c r="J75" s="10" t="s">
        <v>554</v>
      </c>
      <c r="K75" s="10">
        <v>949</v>
      </c>
      <c r="L75" s="37" t="s">
        <v>554</v>
      </c>
      <c r="M75" s="10" t="s">
        <v>554</v>
      </c>
      <c r="N75" s="3">
        <v>1.02</v>
      </c>
      <c r="O75">
        <v>50.2</v>
      </c>
      <c r="P75" s="10">
        <v>70</v>
      </c>
      <c r="Q75" s="10">
        <v>70</v>
      </c>
      <c r="R75" s="10">
        <v>70</v>
      </c>
      <c r="S75" s="10">
        <v>70</v>
      </c>
      <c r="V75" s="5"/>
      <c r="W75" s="5"/>
      <c r="X75" s="5"/>
      <c r="AF75" s="3"/>
      <c r="AG75" s="3"/>
      <c r="AH75" s="3"/>
    </row>
    <row r="76" spans="1:34" x14ac:dyDescent="0.2">
      <c r="A76" t="s">
        <v>332</v>
      </c>
      <c r="B76" t="s">
        <v>9</v>
      </c>
      <c r="C76" t="s">
        <v>1</v>
      </c>
      <c r="D76" s="2" t="s">
        <v>554</v>
      </c>
      <c r="E76" s="3">
        <v>0.193348296</v>
      </c>
      <c r="F76" s="3">
        <v>0.27091243800000003</v>
      </c>
      <c r="G76" s="3">
        <v>0.42042013200000006</v>
      </c>
      <c r="H76" s="37" t="s">
        <v>554</v>
      </c>
      <c r="I76" s="37" t="s">
        <v>554</v>
      </c>
      <c r="J76" s="10" t="s">
        <v>554</v>
      </c>
      <c r="K76" s="10">
        <v>949</v>
      </c>
      <c r="L76" s="37" t="s">
        <v>554</v>
      </c>
      <c r="M76" s="10" t="s">
        <v>554</v>
      </c>
      <c r="N76" s="3">
        <v>1</v>
      </c>
      <c r="O76">
        <v>50.2</v>
      </c>
      <c r="P76" s="10">
        <v>70</v>
      </c>
      <c r="Q76" s="10">
        <v>70</v>
      </c>
      <c r="R76" s="10">
        <v>70</v>
      </c>
      <c r="S76" s="10">
        <v>70</v>
      </c>
      <c r="V76" s="5"/>
      <c r="W76" s="5"/>
      <c r="X76" s="5"/>
      <c r="AF76" s="3"/>
      <c r="AG76" s="3"/>
      <c r="AH76" s="3"/>
    </row>
    <row r="77" spans="1:34" x14ac:dyDescent="0.2">
      <c r="A77" t="s">
        <v>332</v>
      </c>
      <c r="B77" t="s">
        <v>61</v>
      </c>
      <c r="C77" t="s">
        <v>1</v>
      </c>
      <c r="D77" s="37" t="s">
        <v>554</v>
      </c>
      <c r="E77" s="3">
        <v>6.4237189090000008E-2</v>
      </c>
      <c r="F77" s="3">
        <v>8.4274477429999994E-2</v>
      </c>
      <c r="G77" s="3">
        <v>0.11197308189999999</v>
      </c>
      <c r="H77" s="37" t="s">
        <v>554</v>
      </c>
      <c r="I77" s="37" t="s">
        <v>554</v>
      </c>
      <c r="J77" s="10" t="s">
        <v>554</v>
      </c>
      <c r="K77" s="10">
        <v>949</v>
      </c>
      <c r="L77" s="37" t="s">
        <v>554</v>
      </c>
      <c r="M77" s="10" t="s">
        <v>554</v>
      </c>
      <c r="N77" s="3">
        <v>1</v>
      </c>
      <c r="O77">
        <v>50.2</v>
      </c>
      <c r="P77" s="10">
        <v>70</v>
      </c>
      <c r="Q77" s="10">
        <v>70</v>
      </c>
      <c r="R77" s="10">
        <v>70</v>
      </c>
      <c r="S77" s="10">
        <v>70</v>
      </c>
      <c r="V77" s="5"/>
      <c r="W77" s="5"/>
      <c r="X77" s="5"/>
      <c r="AF77" s="3"/>
      <c r="AG77" s="3"/>
      <c r="AH77" s="3"/>
    </row>
    <row r="78" spans="1:34" x14ac:dyDescent="0.2">
      <c r="A78" t="s">
        <v>332</v>
      </c>
      <c r="B78" t="s">
        <v>15</v>
      </c>
      <c r="C78" t="s">
        <v>1</v>
      </c>
      <c r="D78" s="37" t="s">
        <v>554</v>
      </c>
      <c r="E78" s="3">
        <v>0.49812321280000005</v>
      </c>
      <c r="F78" s="3">
        <v>0.61355468800000013</v>
      </c>
      <c r="G78" s="3">
        <v>0.8319385600000001</v>
      </c>
      <c r="H78" s="37" t="s">
        <v>554</v>
      </c>
      <c r="I78" s="37" t="s">
        <v>554</v>
      </c>
      <c r="J78" s="10" t="s">
        <v>554</v>
      </c>
      <c r="K78" s="10">
        <v>949</v>
      </c>
      <c r="L78" s="37" t="s">
        <v>554</v>
      </c>
      <c r="M78" s="10" t="s">
        <v>554</v>
      </c>
      <c r="N78" s="3">
        <v>1.01</v>
      </c>
      <c r="O78">
        <v>50.2</v>
      </c>
      <c r="P78" s="10">
        <v>70</v>
      </c>
      <c r="Q78" s="10">
        <v>70</v>
      </c>
      <c r="R78" s="10">
        <v>70</v>
      </c>
      <c r="S78" s="10">
        <v>70</v>
      </c>
      <c r="V78" s="5"/>
      <c r="W78" s="5"/>
      <c r="X78" s="37"/>
      <c r="AF78" s="3"/>
      <c r="AG78" s="3"/>
      <c r="AH78" s="3"/>
    </row>
    <row r="79" spans="1:34" x14ac:dyDescent="0.2">
      <c r="A79" t="s">
        <v>332</v>
      </c>
      <c r="B79" t="s">
        <v>16</v>
      </c>
      <c r="C79" t="s">
        <v>1</v>
      </c>
      <c r="D79" s="37" t="s">
        <v>554</v>
      </c>
      <c r="E79" s="3">
        <v>0.73713708</v>
      </c>
      <c r="F79" s="3">
        <v>0.81339264000000022</v>
      </c>
      <c r="G79" s="3">
        <v>0.89600283000000003</v>
      </c>
      <c r="H79" s="37" t="s">
        <v>554</v>
      </c>
      <c r="I79" s="37" t="s">
        <v>554</v>
      </c>
      <c r="J79" s="10" t="s">
        <v>554</v>
      </c>
      <c r="K79" s="10">
        <v>949</v>
      </c>
      <c r="L79" s="37" t="s">
        <v>554</v>
      </c>
      <c r="M79" s="10" t="s">
        <v>554</v>
      </c>
      <c r="N79" s="3">
        <v>1</v>
      </c>
      <c r="O79">
        <v>50.2</v>
      </c>
      <c r="P79" s="10">
        <v>70</v>
      </c>
      <c r="Q79" s="10">
        <v>70</v>
      </c>
      <c r="R79" s="10">
        <v>70</v>
      </c>
      <c r="S79" s="10">
        <v>70</v>
      </c>
      <c r="V79" s="5"/>
      <c r="W79" s="5"/>
      <c r="X79" s="5"/>
      <c r="AF79" s="3"/>
      <c r="AG79" s="3"/>
      <c r="AH79" s="3"/>
    </row>
    <row r="80" spans="1:34" x14ac:dyDescent="0.2">
      <c r="A80" t="s">
        <v>332</v>
      </c>
      <c r="B80" t="s">
        <v>29</v>
      </c>
      <c r="C80" t="s">
        <v>1</v>
      </c>
      <c r="D80" s="37" t="s">
        <v>554</v>
      </c>
      <c r="E80" s="3">
        <v>1.1754749800000002</v>
      </c>
      <c r="F80" s="3">
        <v>1.7892895599999998</v>
      </c>
      <c r="G80" s="3">
        <v>2.7380944500000002</v>
      </c>
      <c r="H80" s="37" t="s">
        <v>554</v>
      </c>
      <c r="I80" s="37" t="s">
        <v>554</v>
      </c>
      <c r="J80" s="10" t="s">
        <v>554</v>
      </c>
      <c r="K80" s="10">
        <v>949</v>
      </c>
      <c r="L80" s="37" t="s">
        <v>554</v>
      </c>
      <c r="M80" s="10" t="s">
        <v>554</v>
      </c>
      <c r="N80" s="3">
        <v>1.01</v>
      </c>
      <c r="O80">
        <v>50.2</v>
      </c>
      <c r="P80" s="10">
        <v>70</v>
      </c>
      <c r="Q80" s="10">
        <v>70</v>
      </c>
      <c r="R80" s="10">
        <v>70</v>
      </c>
      <c r="S80" s="10">
        <v>70</v>
      </c>
      <c r="V80" s="5"/>
      <c r="W80" s="5"/>
      <c r="X80" s="5"/>
      <c r="AF80" s="3"/>
      <c r="AG80" s="3"/>
      <c r="AH80" s="3"/>
    </row>
    <row r="81" spans="1:34" x14ac:dyDescent="0.2">
      <c r="A81" t="s">
        <v>332</v>
      </c>
      <c r="B81" t="s">
        <v>28</v>
      </c>
      <c r="C81" t="s">
        <v>1</v>
      </c>
      <c r="D81" s="37" t="s">
        <v>554</v>
      </c>
      <c r="E81" s="3">
        <v>6.3178758650000013</v>
      </c>
      <c r="F81" s="3">
        <v>7.5814510380000018</v>
      </c>
      <c r="G81" s="3">
        <v>9.064778415000001</v>
      </c>
      <c r="H81" s="37" t="s">
        <v>554</v>
      </c>
      <c r="I81" s="37" t="s">
        <v>554</v>
      </c>
      <c r="J81" s="10" t="s">
        <v>554</v>
      </c>
      <c r="K81" s="10">
        <v>949</v>
      </c>
      <c r="L81" s="37" t="s">
        <v>554</v>
      </c>
      <c r="M81" s="10" t="s">
        <v>554</v>
      </c>
      <c r="N81" s="3">
        <v>0.01</v>
      </c>
      <c r="O81">
        <v>50.2</v>
      </c>
      <c r="P81" s="10">
        <v>70</v>
      </c>
      <c r="Q81" s="10">
        <v>70</v>
      </c>
      <c r="R81" s="10">
        <v>70</v>
      </c>
      <c r="S81" s="10">
        <v>70</v>
      </c>
      <c r="V81" s="5"/>
      <c r="W81" s="5"/>
      <c r="X81" s="5"/>
      <c r="AF81" s="3"/>
      <c r="AG81" s="3"/>
      <c r="AH81" s="3"/>
    </row>
    <row r="82" spans="1:34" x14ac:dyDescent="0.2">
      <c r="A82" t="s">
        <v>332</v>
      </c>
      <c r="B82" t="s">
        <v>30</v>
      </c>
      <c r="C82" t="s">
        <v>1</v>
      </c>
      <c r="D82" s="37" t="s">
        <v>554</v>
      </c>
      <c r="E82" s="3">
        <v>0.77616269000000004</v>
      </c>
      <c r="F82" s="3">
        <v>0.93446534000000014</v>
      </c>
      <c r="G82" s="3">
        <v>1.1321038000000001</v>
      </c>
      <c r="H82" s="37" t="s">
        <v>554</v>
      </c>
      <c r="I82" s="37" t="s">
        <v>554</v>
      </c>
      <c r="J82" s="10" t="s">
        <v>554</v>
      </c>
      <c r="K82" s="10">
        <v>949</v>
      </c>
      <c r="L82" s="37" t="s">
        <v>554</v>
      </c>
      <c r="M82" s="10" t="s">
        <v>554</v>
      </c>
      <c r="N82" s="3">
        <v>0.99099999999999999</v>
      </c>
      <c r="O82">
        <v>50.2</v>
      </c>
      <c r="P82" s="10">
        <v>70</v>
      </c>
      <c r="Q82" s="10">
        <v>70</v>
      </c>
      <c r="R82" s="10">
        <v>70</v>
      </c>
      <c r="S82" s="10">
        <v>70</v>
      </c>
      <c r="V82" s="5"/>
      <c r="W82" s="5"/>
      <c r="X82" s="5"/>
      <c r="AF82" s="3"/>
      <c r="AG82" s="3"/>
      <c r="AH82" s="3"/>
    </row>
    <row r="83" spans="1:34" x14ac:dyDescent="0.2">
      <c r="A83" t="s">
        <v>332</v>
      </c>
      <c r="B83" t="s">
        <v>32</v>
      </c>
      <c r="C83" t="s">
        <v>1</v>
      </c>
      <c r="D83" s="37" t="s">
        <v>554</v>
      </c>
      <c r="E83" s="3">
        <v>4.0087592199999991</v>
      </c>
      <c r="F83" s="3">
        <v>5.3176220399999998</v>
      </c>
      <c r="G83" s="3">
        <v>6.3975806000000004</v>
      </c>
      <c r="H83" s="37" t="s">
        <v>554</v>
      </c>
      <c r="I83" s="37" t="s">
        <v>554</v>
      </c>
      <c r="J83" s="10" t="s">
        <v>554</v>
      </c>
      <c r="K83" s="10">
        <v>949</v>
      </c>
      <c r="L83" s="37" t="s">
        <v>554</v>
      </c>
      <c r="M83" s="10" t="s">
        <v>554</v>
      </c>
      <c r="N83" s="3">
        <v>0.98199999999999998</v>
      </c>
      <c r="O83">
        <v>50.2</v>
      </c>
      <c r="P83" s="10">
        <v>70</v>
      </c>
      <c r="Q83" s="10">
        <v>70</v>
      </c>
      <c r="R83" s="10">
        <v>70</v>
      </c>
      <c r="S83" s="10">
        <v>70</v>
      </c>
      <c r="V83" s="5"/>
      <c r="W83" s="5"/>
      <c r="X83" s="5"/>
      <c r="AF83" s="3"/>
      <c r="AG83" s="3"/>
      <c r="AH83" s="3"/>
    </row>
    <row r="84" spans="1:34" x14ac:dyDescent="0.2">
      <c r="A84" t="s">
        <v>332</v>
      </c>
      <c r="B84" t="s">
        <v>25</v>
      </c>
      <c r="C84" t="s">
        <v>1</v>
      </c>
      <c r="D84" s="37" t="s">
        <v>554</v>
      </c>
      <c r="E84" s="3">
        <v>12.225389999999999</v>
      </c>
      <c r="F84" s="3">
        <v>17.198429999999998</v>
      </c>
      <c r="G84" s="3">
        <v>22.793099999999999</v>
      </c>
      <c r="H84" s="37" t="s">
        <v>554</v>
      </c>
      <c r="I84" s="37" t="s">
        <v>554</v>
      </c>
      <c r="J84" s="10" t="s">
        <v>554</v>
      </c>
      <c r="K84" s="10">
        <v>949</v>
      </c>
      <c r="L84" s="37" t="s">
        <v>554</v>
      </c>
      <c r="M84" s="10" t="s">
        <v>554</v>
      </c>
      <c r="N84" s="3">
        <v>1.01</v>
      </c>
      <c r="O84">
        <v>50.2</v>
      </c>
      <c r="P84" s="10">
        <v>70</v>
      </c>
      <c r="Q84" s="10">
        <v>70</v>
      </c>
      <c r="R84" s="10">
        <v>70</v>
      </c>
      <c r="S84" s="10">
        <v>70</v>
      </c>
      <c r="V84" s="5"/>
      <c r="W84" s="5"/>
      <c r="X84" s="5"/>
      <c r="AF84" s="3"/>
      <c r="AG84" s="3"/>
      <c r="AH84" s="3"/>
    </row>
    <row r="85" spans="1:34" x14ac:dyDescent="0.2">
      <c r="A85" t="s">
        <v>332</v>
      </c>
      <c r="B85" t="s">
        <v>56</v>
      </c>
      <c r="C85" t="s">
        <v>8</v>
      </c>
      <c r="D85" s="37" t="s">
        <v>554</v>
      </c>
      <c r="E85" s="3">
        <v>5.7348784000000004</v>
      </c>
      <c r="F85" s="3">
        <v>6.2776319999999997</v>
      </c>
      <c r="G85" s="3">
        <v>6.8007679999999997</v>
      </c>
      <c r="H85" s="37" t="s">
        <v>554</v>
      </c>
      <c r="I85" s="37" t="s">
        <v>554</v>
      </c>
      <c r="J85" s="10" t="s">
        <v>554</v>
      </c>
      <c r="K85" s="10">
        <v>949</v>
      </c>
      <c r="L85" s="37" t="s">
        <v>554</v>
      </c>
      <c r="M85" s="10" t="s">
        <v>554</v>
      </c>
      <c r="N85" s="3">
        <v>1.02</v>
      </c>
      <c r="O85">
        <v>50.2</v>
      </c>
      <c r="P85" s="10">
        <v>70</v>
      </c>
      <c r="Q85" s="10">
        <v>70</v>
      </c>
      <c r="R85" s="10">
        <v>70</v>
      </c>
      <c r="S85" s="10">
        <v>70</v>
      </c>
      <c r="V85" s="5"/>
      <c r="W85" s="5"/>
      <c r="X85" s="5"/>
      <c r="AF85" s="3"/>
      <c r="AG85" s="3"/>
      <c r="AH85" s="3"/>
    </row>
    <row r="86" spans="1:34" x14ac:dyDescent="0.2">
      <c r="AE86" s="10"/>
      <c r="AF86" s="10"/>
      <c r="AG86" s="10"/>
    </row>
    <row r="87" spans="1:34" ht="21" x14ac:dyDescent="0.25">
      <c r="F87" s="41"/>
      <c r="AE87" s="10"/>
      <c r="AF87" s="10"/>
      <c r="AG87" s="10"/>
    </row>
  </sheetData>
  <pageMargins left="0.75" right="0.75" top="1" bottom="1" header="0.5" footer="0.5"/>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7CB5A-087D-354C-88E2-60280E28C103}">
  <dimension ref="A1:AJ57"/>
  <sheetViews>
    <sheetView workbookViewId="0">
      <selection activeCell="D42" sqref="D42"/>
    </sheetView>
  </sheetViews>
  <sheetFormatPr baseColWidth="10" defaultRowHeight="16" x14ac:dyDescent="0.2"/>
  <cols>
    <col min="1" max="2" width="14.33203125" customWidth="1"/>
    <col min="3" max="3" width="10.1640625" customWidth="1"/>
    <col min="4" max="4" width="14.33203125" customWidth="1"/>
    <col min="6" max="6" width="11.6640625" bestFit="1" customWidth="1"/>
    <col min="7" max="7" width="4.5" customWidth="1"/>
    <col min="8" max="8" width="4.6640625" customWidth="1"/>
    <col min="9" max="9" width="12.83203125" style="2" customWidth="1"/>
    <col min="10" max="10" width="7.1640625" customWidth="1"/>
    <col min="11" max="11" width="7.6640625" customWidth="1"/>
    <col min="12" max="12" width="8.33203125" customWidth="1"/>
    <col min="13" max="13" width="7.33203125" customWidth="1"/>
    <col min="17" max="17" width="7.83203125" customWidth="1"/>
    <col min="18" max="18" width="9.5" customWidth="1"/>
    <col min="19" max="19" width="7.1640625" customWidth="1"/>
    <col min="20" max="20" width="8.6640625" customWidth="1"/>
    <col min="21" max="21" width="18.83203125" customWidth="1"/>
    <col min="24" max="24" width="23" customWidth="1"/>
    <col min="25" max="25" width="31.33203125" customWidth="1"/>
    <col min="26" max="26" width="20.83203125" customWidth="1"/>
    <col min="27" max="27" width="19.83203125" customWidth="1"/>
    <col min="28" max="28" width="45" customWidth="1"/>
    <col min="33" max="33" width="22.5" customWidth="1"/>
    <col min="34" max="34" width="20" customWidth="1"/>
    <col min="35" max="35" width="21.6640625" customWidth="1"/>
  </cols>
  <sheetData>
    <row r="1" spans="1:36" ht="21" x14ac:dyDescent="0.25">
      <c r="A1" s="19" t="s">
        <v>565</v>
      </c>
    </row>
    <row r="2" spans="1:36" x14ac:dyDescent="0.2">
      <c r="A2" t="s">
        <v>509</v>
      </c>
    </row>
    <row r="3" spans="1:36" x14ac:dyDescent="0.2">
      <c r="A3" t="s">
        <v>508</v>
      </c>
    </row>
    <row r="4" spans="1:36" x14ac:dyDescent="0.2">
      <c r="A4" t="s">
        <v>514</v>
      </c>
    </row>
    <row r="5" spans="1:36" x14ac:dyDescent="0.2">
      <c r="A5" t="s">
        <v>512</v>
      </c>
    </row>
    <row r="7" spans="1:36" s="1" customFormat="1" x14ac:dyDescent="0.2">
      <c r="A7" s="1" t="s">
        <v>320</v>
      </c>
      <c r="B7" s="1" t="s">
        <v>90</v>
      </c>
      <c r="C7" s="1" t="s">
        <v>311</v>
      </c>
      <c r="D7" s="1" t="s">
        <v>102</v>
      </c>
      <c r="E7" s="1" t="s">
        <v>101</v>
      </c>
      <c r="F7" s="1" t="s">
        <v>100</v>
      </c>
      <c r="G7" s="1" t="s">
        <v>99</v>
      </c>
      <c r="H7" s="1" t="s">
        <v>98</v>
      </c>
      <c r="I7" s="4" t="s">
        <v>97</v>
      </c>
      <c r="J7" s="1" t="s">
        <v>73</v>
      </c>
      <c r="K7" s="1" t="s">
        <v>74</v>
      </c>
      <c r="L7" s="1" t="s">
        <v>75</v>
      </c>
      <c r="M7" s="1" t="s">
        <v>76</v>
      </c>
      <c r="N7" s="1" t="s">
        <v>330</v>
      </c>
      <c r="O7" s="1" t="s">
        <v>77</v>
      </c>
      <c r="P7" s="1" t="s">
        <v>78</v>
      </c>
      <c r="Q7" s="1" t="s">
        <v>79</v>
      </c>
      <c r="R7" s="1" t="s">
        <v>80</v>
      </c>
      <c r="S7" s="1" t="s">
        <v>81</v>
      </c>
      <c r="T7" s="1" t="s">
        <v>82</v>
      </c>
      <c r="U7" s="1" t="s">
        <v>85</v>
      </c>
      <c r="V7" s="1" t="s">
        <v>71</v>
      </c>
      <c r="W7" s="1" t="s">
        <v>104</v>
      </c>
      <c r="X7" s="1" t="s">
        <v>105</v>
      </c>
      <c r="Y7" s="1" t="s">
        <v>106</v>
      </c>
      <c r="Z7" s="1" t="s">
        <v>107</v>
      </c>
      <c r="AA7" s="1" t="s">
        <v>108</v>
      </c>
      <c r="AB7" s="1" t="s">
        <v>109</v>
      </c>
      <c r="AC7" s="1" t="s">
        <v>110</v>
      </c>
      <c r="AD7" s="1" t="s">
        <v>111</v>
      </c>
      <c r="AE7" s="1" t="s">
        <v>112</v>
      </c>
      <c r="AF7" s="1" t="s">
        <v>113</v>
      </c>
      <c r="AG7" s="1" t="s">
        <v>114</v>
      </c>
      <c r="AH7" s="1" t="s">
        <v>115</v>
      </c>
      <c r="AI7" s="1" t="s">
        <v>116</v>
      </c>
      <c r="AJ7" s="1" t="s">
        <v>117</v>
      </c>
    </row>
    <row r="8" spans="1:36" x14ac:dyDescent="0.2">
      <c r="A8" t="s">
        <v>3</v>
      </c>
      <c r="B8" t="s">
        <v>308</v>
      </c>
      <c r="D8" t="s">
        <v>122</v>
      </c>
      <c r="E8">
        <v>3</v>
      </c>
      <c r="F8" s="10">
        <v>45785915</v>
      </c>
      <c r="G8" t="s">
        <v>84</v>
      </c>
      <c r="H8" t="s">
        <v>88</v>
      </c>
      <c r="I8" s="2">
        <f>1-0.9006</f>
        <v>9.9400000000000044E-2</v>
      </c>
      <c r="J8">
        <v>3.8999999999999998E-3</v>
      </c>
      <c r="K8">
        <f>1-0.9048</f>
        <v>9.5199999999999951E-2</v>
      </c>
      <c r="L8">
        <f>1-0.8969</f>
        <v>0.10309999999999997</v>
      </c>
      <c r="M8" s="3">
        <v>0.25209999999999999</v>
      </c>
      <c r="N8">
        <v>3.1099999999999999E-2</v>
      </c>
      <c r="O8" s="7">
        <v>4.8329999999999998E-16</v>
      </c>
      <c r="P8" s="6" t="s">
        <v>93</v>
      </c>
      <c r="Q8">
        <v>0</v>
      </c>
      <c r="R8">
        <v>1.4E-2</v>
      </c>
      <c r="S8">
        <v>1</v>
      </c>
      <c r="T8">
        <v>0.90659999999999996</v>
      </c>
      <c r="U8" t="s">
        <v>309</v>
      </c>
      <c r="V8">
        <f>2798+2793</f>
        <v>5591</v>
      </c>
      <c r="W8" t="s">
        <v>118</v>
      </c>
      <c r="X8" s="11" t="s">
        <v>119</v>
      </c>
      <c r="Y8" t="s">
        <v>120</v>
      </c>
      <c r="Z8" t="s">
        <v>86</v>
      </c>
      <c r="AA8" t="s">
        <v>86</v>
      </c>
      <c r="AB8" t="s">
        <v>86</v>
      </c>
      <c r="AC8" t="s">
        <v>121</v>
      </c>
      <c r="AD8" t="s">
        <v>86</v>
      </c>
      <c r="AE8" t="s">
        <v>86</v>
      </c>
      <c r="AF8" t="s">
        <v>86</v>
      </c>
      <c r="AG8" t="s">
        <v>86</v>
      </c>
      <c r="AH8" t="s">
        <v>86</v>
      </c>
      <c r="AI8" t="s">
        <v>86</v>
      </c>
      <c r="AJ8" t="s">
        <v>86</v>
      </c>
    </row>
    <row r="9" spans="1:36" s="42" customFormat="1" x14ac:dyDescent="0.2">
      <c r="A9" t="s">
        <v>96</v>
      </c>
      <c r="B9" t="s">
        <v>308</v>
      </c>
      <c r="C9"/>
      <c r="D9" t="s">
        <v>127</v>
      </c>
      <c r="E9">
        <v>11</v>
      </c>
      <c r="F9" s="10">
        <v>44538835</v>
      </c>
      <c r="G9" t="s">
        <v>88</v>
      </c>
      <c r="H9" t="s">
        <v>89</v>
      </c>
      <c r="I9" s="2">
        <v>5.7999999999999996E-3</v>
      </c>
      <c r="J9" t="s">
        <v>86</v>
      </c>
      <c r="K9" t="s">
        <v>86</v>
      </c>
      <c r="L9" t="s">
        <v>86</v>
      </c>
      <c r="M9" s="3">
        <v>-0.96319999999999995</v>
      </c>
      <c r="N9">
        <v>0.17169999999999999</v>
      </c>
      <c r="O9" s="7">
        <v>2.0109999999999999E-8</v>
      </c>
      <c r="P9" t="s">
        <v>94</v>
      </c>
      <c r="Q9" t="s">
        <v>86</v>
      </c>
      <c r="R9" t="s">
        <v>86</v>
      </c>
      <c r="S9" t="s">
        <v>86</v>
      </c>
      <c r="T9" t="s">
        <v>86</v>
      </c>
      <c r="U9" t="s">
        <v>58</v>
      </c>
      <c r="V9">
        <v>2793</v>
      </c>
      <c r="W9" t="s">
        <v>123</v>
      </c>
      <c r="X9" s="11" t="s">
        <v>124</v>
      </c>
      <c r="Y9" t="s">
        <v>125</v>
      </c>
      <c r="Z9" t="s">
        <v>86</v>
      </c>
      <c r="AA9" t="s">
        <v>86</v>
      </c>
      <c r="AB9" t="s">
        <v>86</v>
      </c>
      <c r="AC9" t="s">
        <v>126</v>
      </c>
      <c r="AD9" t="s">
        <v>86</v>
      </c>
      <c r="AE9" t="s">
        <v>86</v>
      </c>
      <c r="AF9" t="s">
        <v>86</v>
      </c>
      <c r="AG9" t="s">
        <v>86</v>
      </c>
      <c r="AH9" t="s">
        <v>86</v>
      </c>
      <c r="AI9" t="s">
        <v>86</v>
      </c>
      <c r="AJ9" t="s">
        <v>86</v>
      </c>
    </row>
    <row r="10" spans="1:36" x14ac:dyDescent="0.2">
      <c r="A10" t="s">
        <v>9</v>
      </c>
      <c r="B10" t="s">
        <v>307</v>
      </c>
      <c r="C10" t="s">
        <v>314</v>
      </c>
      <c r="D10" t="s">
        <v>140</v>
      </c>
      <c r="E10">
        <v>4</v>
      </c>
      <c r="F10">
        <v>103268763</v>
      </c>
      <c r="G10" t="s">
        <v>88</v>
      </c>
      <c r="H10" t="s">
        <v>89</v>
      </c>
      <c r="I10" s="2">
        <v>0.1119</v>
      </c>
      <c r="J10">
        <v>6.8999999999999999E-3</v>
      </c>
      <c r="K10">
        <v>9.6000000000000002E-2</v>
      </c>
      <c r="L10">
        <v>0.1176</v>
      </c>
      <c r="M10" s="3">
        <v>-0.2079</v>
      </c>
      <c r="N10">
        <v>2.76E-2</v>
      </c>
      <c r="O10" s="7">
        <v>4.8479999999999999E-14</v>
      </c>
      <c r="P10" t="s">
        <v>95</v>
      </c>
      <c r="Q10">
        <v>0</v>
      </c>
      <c r="R10">
        <v>1.5589999999999999</v>
      </c>
      <c r="S10">
        <v>2</v>
      </c>
      <c r="T10">
        <v>0.45860000000000001</v>
      </c>
      <c r="U10" t="s">
        <v>310</v>
      </c>
      <c r="V10">
        <f>2781+949+2812</f>
        <v>6542</v>
      </c>
      <c r="W10" t="s">
        <v>123</v>
      </c>
      <c r="X10" s="11" t="s">
        <v>137</v>
      </c>
      <c r="Y10" t="s">
        <v>138</v>
      </c>
      <c r="Z10" t="s">
        <v>86</v>
      </c>
      <c r="AA10" t="s">
        <v>86</v>
      </c>
      <c r="AB10" t="s">
        <v>86</v>
      </c>
      <c r="AC10" t="s">
        <v>139</v>
      </c>
      <c r="AD10" t="s">
        <v>86</v>
      </c>
      <c r="AE10" t="s">
        <v>86</v>
      </c>
      <c r="AF10" t="s">
        <v>86</v>
      </c>
      <c r="AG10" t="s">
        <v>86</v>
      </c>
      <c r="AH10" t="s">
        <v>86</v>
      </c>
      <c r="AI10" t="s">
        <v>86</v>
      </c>
      <c r="AJ10" t="s">
        <v>86</v>
      </c>
    </row>
    <row r="11" spans="1:36" x14ac:dyDescent="0.2">
      <c r="A11" t="s">
        <v>9</v>
      </c>
      <c r="B11" t="s">
        <v>307</v>
      </c>
      <c r="C11" t="s">
        <v>315</v>
      </c>
      <c r="D11" t="s">
        <v>136</v>
      </c>
      <c r="E11">
        <v>8</v>
      </c>
      <c r="F11">
        <v>71570989</v>
      </c>
      <c r="G11" t="s">
        <v>84</v>
      </c>
      <c r="H11" t="s">
        <v>83</v>
      </c>
      <c r="I11" s="2">
        <f>1-0.4817</f>
        <v>0.51829999999999998</v>
      </c>
      <c r="J11">
        <v>8.0000000000000002E-3</v>
      </c>
      <c r="K11">
        <f>1-0.4902</f>
        <v>0.50980000000000003</v>
      </c>
      <c r="L11">
        <f>1-0.4728</f>
        <v>0.5272</v>
      </c>
      <c r="M11" s="3">
        <v>-0.114</v>
      </c>
      <c r="N11">
        <v>1.7399999999999999E-2</v>
      </c>
      <c r="O11" s="7">
        <v>5.1879999999999999E-11</v>
      </c>
      <c r="P11" s="6" t="s">
        <v>95</v>
      </c>
      <c r="Q11">
        <v>0</v>
      </c>
      <c r="R11">
        <v>0.93200000000000005</v>
      </c>
      <c r="S11">
        <v>2</v>
      </c>
      <c r="T11">
        <v>0.62739999999999996</v>
      </c>
      <c r="U11" t="s">
        <v>310</v>
      </c>
      <c r="V11">
        <f>2781+949+2812</f>
        <v>6542</v>
      </c>
      <c r="W11" t="s">
        <v>133</v>
      </c>
      <c r="X11" s="11" t="s">
        <v>134</v>
      </c>
      <c r="Y11" t="s">
        <v>86</v>
      </c>
      <c r="Z11" t="s">
        <v>86</v>
      </c>
      <c r="AA11" t="s">
        <v>86</v>
      </c>
      <c r="AB11" t="s">
        <v>86</v>
      </c>
      <c r="AC11" t="s">
        <v>135</v>
      </c>
      <c r="AD11" t="s">
        <v>86</v>
      </c>
      <c r="AE11" t="s">
        <v>86</v>
      </c>
      <c r="AF11" t="s">
        <v>86</v>
      </c>
      <c r="AG11" t="s">
        <v>86</v>
      </c>
      <c r="AH11" t="s">
        <v>86</v>
      </c>
      <c r="AI11" t="s">
        <v>86</v>
      </c>
      <c r="AJ11" t="s">
        <v>86</v>
      </c>
    </row>
    <row r="12" spans="1:36" x14ac:dyDescent="0.2">
      <c r="A12" t="s">
        <v>9</v>
      </c>
      <c r="B12" t="s">
        <v>308</v>
      </c>
      <c r="D12" t="s">
        <v>132</v>
      </c>
      <c r="E12">
        <v>15</v>
      </c>
      <c r="F12">
        <v>45393667</v>
      </c>
      <c r="G12" t="s">
        <v>89</v>
      </c>
      <c r="H12" t="s">
        <v>88</v>
      </c>
      <c r="I12" s="2">
        <f>1-0.9239</f>
        <v>7.6099999999999945E-2</v>
      </c>
      <c r="J12">
        <v>2E-3</v>
      </c>
      <c r="K12">
        <f>1-0.927</f>
        <v>7.2999999999999954E-2</v>
      </c>
      <c r="L12">
        <f>1-0.9218</f>
        <v>7.8200000000000047E-2</v>
      </c>
      <c r="M12" s="3">
        <v>0.20760000000000001</v>
      </c>
      <c r="N12">
        <v>3.2899999999999999E-2</v>
      </c>
      <c r="O12" s="7">
        <v>2.85E-10</v>
      </c>
      <c r="P12" s="6" t="s">
        <v>92</v>
      </c>
      <c r="Q12">
        <v>86.7</v>
      </c>
      <c r="R12">
        <v>15.09</v>
      </c>
      <c r="S12">
        <v>2</v>
      </c>
      <c r="T12">
        <v>5.287E-4</v>
      </c>
      <c r="U12" t="s">
        <v>310</v>
      </c>
      <c r="V12">
        <f>2781+949+2812</f>
        <v>6542</v>
      </c>
      <c r="W12" t="s">
        <v>128</v>
      </c>
      <c r="X12" s="11" t="s">
        <v>129</v>
      </c>
      <c r="Y12" t="s">
        <v>86</v>
      </c>
      <c r="Z12" t="s">
        <v>86</v>
      </c>
      <c r="AA12" t="s">
        <v>86</v>
      </c>
      <c r="AB12" t="s">
        <v>130</v>
      </c>
      <c r="AC12" t="s">
        <v>131</v>
      </c>
      <c r="AD12" t="s">
        <v>86</v>
      </c>
      <c r="AE12" t="s">
        <v>86</v>
      </c>
      <c r="AF12" t="s">
        <v>86</v>
      </c>
      <c r="AG12" t="s">
        <v>86</v>
      </c>
      <c r="AH12" t="s">
        <v>86</v>
      </c>
      <c r="AI12" t="s">
        <v>86</v>
      </c>
      <c r="AJ12" t="s">
        <v>86</v>
      </c>
    </row>
    <row r="13" spans="1:36" s="43" customFormat="1" x14ac:dyDescent="0.2">
      <c r="A13" t="s">
        <v>12</v>
      </c>
      <c r="B13" t="s">
        <v>308</v>
      </c>
      <c r="C13"/>
      <c r="D13" t="s">
        <v>144</v>
      </c>
      <c r="E13" s="8">
        <v>7</v>
      </c>
      <c r="F13">
        <v>1286128</v>
      </c>
      <c r="G13" t="s">
        <v>83</v>
      </c>
      <c r="H13" t="s">
        <v>84</v>
      </c>
      <c r="I13" s="2">
        <v>0.26224700000000001</v>
      </c>
      <c r="J13" t="s">
        <v>86</v>
      </c>
      <c r="K13"/>
      <c r="L13" t="s">
        <v>86</v>
      </c>
      <c r="M13" s="3">
        <v>-0.209643</v>
      </c>
      <c r="N13">
        <v>3.3655499999999998E-2</v>
      </c>
      <c r="O13" s="7">
        <v>4.7000000000000003E-10</v>
      </c>
      <c r="P13" s="6" t="s">
        <v>91</v>
      </c>
      <c r="Q13" t="s">
        <v>86</v>
      </c>
      <c r="R13" t="s">
        <v>86</v>
      </c>
      <c r="S13" t="s">
        <v>86</v>
      </c>
      <c r="T13" t="s">
        <v>86</v>
      </c>
      <c r="U13" t="s">
        <v>58</v>
      </c>
      <c r="V13">
        <v>2181</v>
      </c>
      <c r="W13" t="s">
        <v>123</v>
      </c>
      <c r="X13" s="11" t="s">
        <v>141</v>
      </c>
      <c r="Y13" t="s">
        <v>142</v>
      </c>
      <c r="Z13" t="s">
        <v>86</v>
      </c>
      <c r="AA13" t="s">
        <v>86</v>
      </c>
      <c r="AB13" t="s">
        <v>86</v>
      </c>
      <c r="AC13" t="s">
        <v>143</v>
      </c>
      <c r="AD13" t="s">
        <v>86</v>
      </c>
      <c r="AE13" t="s">
        <v>86</v>
      </c>
      <c r="AF13" t="s">
        <v>86</v>
      </c>
      <c r="AG13" t="s">
        <v>86</v>
      </c>
      <c r="AH13" t="s">
        <v>86</v>
      </c>
      <c r="AI13" t="s">
        <v>86</v>
      </c>
      <c r="AJ13" t="s">
        <v>86</v>
      </c>
    </row>
    <row r="14" spans="1:36" x14ac:dyDescent="0.2">
      <c r="A14" t="s">
        <v>16</v>
      </c>
      <c r="B14" t="s">
        <v>307</v>
      </c>
      <c r="C14" t="s">
        <v>316</v>
      </c>
      <c r="D14" t="s">
        <v>148</v>
      </c>
      <c r="E14">
        <v>3</v>
      </c>
      <c r="F14">
        <v>148929951</v>
      </c>
      <c r="G14" t="s">
        <v>84</v>
      </c>
      <c r="H14" t="s">
        <v>89</v>
      </c>
      <c r="I14" s="2">
        <v>0.20369999999999999</v>
      </c>
      <c r="J14">
        <v>4.7999999999999996E-3</v>
      </c>
      <c r="K14">
        <v>0.20030000000000001</v>
      </c>
      <c r="L14">
        <v>0.214</v>
      </c>
      <c r="M14" s="3">
        <v>0.21160000000000001</v>
      </c>
      <c r="N14">
        <v>2.1399999999999999E-2</v>
      </c>
      <c r="O14" s="7">
        <v>4.7119999999999999E-23</v>
      </c>
      <c r="P14" t="s">
        <v>92</v>
      </c>
      <c r="Q14">
        <v>63.6</v>
      </c>
      <c r="R14">
        <v>5.4939999999999998</v>
      </c>
      <c r="S14">
        <v>2</v>
      </c>
      <c r="T14">
        <v>6.4130000000000006E-2</v>
      </c>
      <c r="U14" t="s">
        <v>310</v>
      </c>
      <c r="V14">
        <f>2803+949+2812</f>
        <v>6564</v>
      </c>
      <c r="W14" t="s">
        <v>128</v>
      </c>
      <c r="X14" s="11" t="s">
        <v>145</v>
      </c>
      <c r="Y14" t="s">
        <v>86</v>
      </c>
      <c r="Z14" t="s">
        <v>86</v>
      </c>
      <c r="AA14" t="s">
        <v>86</v>
      </c>
      <c r="AB14" t="s">
        <v>146</v>
      </c>
      <c r="AC14" t="s">
        <v>147</v>
      </c>
      <c r="AD14" t="s">
        <v>86</v>
      </c>
      <c r="AE14" t="s">
        <v>86</v>
      </c>
      <c r="AF14" t="s">
        <v>86</v>
      </c>
      <c r="AG14" t="s">
        <v>86</v>
      </c>
      <c r="AH14" t="s">
        <v>86</v>
      </c>
      <c r="AI14" t="s">
        <v>86</v>
      </c>
      <c r="AJ14" t="s">
        <v>86</v>
      </c>
    </row>
    <row r="15" spans="1:36" s="43" customFormat="1" x14ac:dyDescent="0.2">
      <c r="A15" t="s">
        <v>19</v>
      </c>
      <c r="B15" t="s">
        <v>308</v>
      </c>
      <c r="C15"/>
      <c r="D15" t="s">
        <v>156</v>
      </c>
      <c r="E15" s="8">
        <v>7</v>
      </c>
      <c r="F15">
        <v>6923462</v>
      </c>
      <c r="G15" t="s">
        <v>88</v>
      </c>
      <c r="H15" t="s">
        <v>89</v>
      </c>
      <c r="I15" s="2">
        <v>3.2833900000000002E-3</v>
      </c>
      <c r="J15" t="s">
        <v>86</v>
      </c>
      <c r="K15" t="s">
        <v>86</v>
      </c>
      <c r="L15" t="s">
        <v>86</v>
      </c>
      <c r="M15" s="3">
        <v>1.04647</v>
      </c>
      <c r="N15">
        <v>0.17918400000000001</v>
      </c>
      <c r="O15" s="7">
        <v>5.2000000000000002E-9</v>
      </c>
      <c r="P15" s="6" t="s">
        <v>87</v>
      </c>
      <c r="Q15" t="s">
        <v>86</v>
      </c>
      <c r="R15" t="s">
        <v>86</v>
      </c>
      <c r="S15" t="s">
        <v>86</v>
      </c>
      <c r="T15" t="s">
        <v>86</v>
      </c>
      <c r="U15" t="s">
        <v>58</v>
      </c>
      <c r="V15">
        <v>2179</v>
      </c>
      <c r="W15" t="s">
        <v>123</v>
      </c>
      <c r="X15" s="11" t="s">
        <v>153</v>
      </c>
      <c r="Y15" t="s">
        <v>154</v>
      </c>
      <c r="Z15" t="s">
        <v>86</v>
      </c>
      <c r="AA15" t="s">
        <v>86</v>
      </c>
      <c r="AB15" t="s">
        <v>86</v>
      </c>
      <c r="AC15" t="s">
        <v>155</v>
      </c>
      <c r="AD15" t="s">
        <v>86</v>
      </c>
      <c r="AE15" t="s">
        <v>86</v>
      </c>
      <c r="AF15" t="s">
        <v>86</v>
      </c>
      <c r="AG15" t="s">
        <v>86</v>
      </c>
      <c r="AH15" t="s">
        <v>86</v>
      </c>
      <c r="AI15" t="s">
        <v>86</v>
      </c>
      <c r="AJ15" t="s">
        <v>86</v>
      </c>
    </row>
    <row r="16" spans="1:36" s="43" customFormat="1" x14ac:dyDescent="0.2">
      <c r="A16" t="s">
        <v>19</v>
      </c>
      <c r="B16" t="s">
        <v>308</v>
      </c>
      <c r="C16"/>
      <c r="D16" t="s">
        <v>152</v>
      </c>
      <c r="E16" s="8">
        <v>8</v>
      </c>
      <c r="F16">
        <v>2619960</v>
      </c>
      <c r="G16" t="s">
        <v>84</v>
      </c>
      <c r="H16" t="s">
        <v>83</v>
      </c>
      <c r="I16" s="2">
        <v>4.5094100000000002E-3</v>
      </c>
      <c r="J16" t="s">
        <v>86</v>
      </c>
      <c r="K16" t="s">
        <v>86</v>
      </c>
      <c r="L16" t="s">
        <v>86</v>
      </c>
      <c r="M16" s="3">
        <v>0.75771599999999995</v>
      </c>
      <c r="N16">
        <v>0.13419900000000001</v>
      </c>
      <c r="O16" s="7">
        <v>1.6000000000000001E-8</v>
      </c>
      <c r="P16" s="6" t="s">
        <v>87</v>
      </c>
      <c r="Q16" t="s">
        <v>86</v>
      </c>
      <c r="R16" t="s">
        <v>86</v>
      </c>
      <c r="S16" t="s">
        <v>86</v>
      </c>
      <c r="T16" t="s">
        <v>86</v>
      </c>
      <c r="U16" t="s">
        <v>58</v>
      </c>
      <c r="V16">
        <v>2179</v>
      </c>
      <c r="W16" t="s">
        <v>123</v>
      </c>
      <c r="X16" s="11" t="s">
        <v>149</v>
      </c>
      <c r="Y16" t="s">
        <v>150</v>
      </c>
      <c r="Z16" t="s">
        <v>86</v>
      </c>
      <c r="AA16" t="s">
        <v>86</v>
      </c>
      <c r="AB16" t="s">
        <v>86</v>
      </c>
      <c r="AC16" t="s">
        <v>151</v>
      </c>
      <c r="AD16" t="s">
        <v>86</v>
      </c>
      <c r="AE16" t="s">
        <v>86</v>
      </c>
      <c r="AF16" t="s">
        <v>86</v>
      </c>
      <c r="AG16" t="s">
        <v>86</v>
      </c>
      <c r="AH16" t="s">
        <v>86</v>
      </c>
      <c r="AI16" t="s">
        <v>86</v>
      </c>
      <c r="AJ16" t="s">
        <v>86</v>
      </c>
    </row>
    <row r="17" spans="1:36" s="43" customFormat="1" x14ac:dyDescent="0.2">
      <c r="A17" t="s">
        <v>19</v>
      </c>
      <c r="B17" t="s">
        <v>308</v>
      </c>
      <c r="C17"/>
      <c r="D17" t="s">
        <v>160</v>
      </c>
      <c r="E17" s="8">
        <v>12</v>
      </c>
      <c r="F17">
        <v>7744250</v>
      </c>
      <c r="G17" t="s">
        <v>84</v>
      </c>
      <c r="H17" t="s">
        <v>83</v>
      </c>
      <c r="I17" s="2">
        <v>3.46971E-3</v>
      </c>
      <c r="J17" t="s">
        <v>86</v>
      </c>
      <c r="K17" t="s">
        <v>86</v>
      </c>
      <c r="L17" t="s">
        <v>86</v>
      </c>
      <c r="M17" s="3">
        <v>0.871641</v>
      </c>
      <c r="N17">
        <v>0.151202</v>
      </c>
      <c r="O17" s="7">
        <v>8.2000000000000006E-9</v>
      </c>
      <c r="P17" s="6" t="s">
        <v>87</v>
      </c>
      <c r="Q17" t="s">
        <v>86</v>
      </c>
      <c r="R17" t="s">
        <v>86</v>
      </c>
      <c r="S17" t="s">
        <v>86</v>
      </c>
      <c r="T17" t="s">
        <v>86</v>
      </c>
      <c r="U17" t="s">
        <v>58</v>
      </c>
      <c r="V17">
        <v>2179</v>
      </c>
      <c r="W17" t="s">
        <v>123</v>
      </c>
      <c r="X17" s="11" t="s">
        <v>157</v>
      </c>
      <c r="Y17" t="s">
        <v>158</v>
      </c>
      <c r="Z17" t="s">
        <v>86</v>
      </c>
      <c r="AA17" t="s">
        <v>86</v>
      </c>
      <c r="AB17" t="s">
        <v>86</v>
      </c>
      <c r="AC17" t="s">
        <v>159</v>
      </c>
      <c r="AD17" t="s">
        <v>86</v>
      </c>
      <c r="AE17" t="s">
        <v>86</v>
      </c>
      <c r="AF17" t="s">
        <v>86</v>
      </c>
      <c r="AG17" t="s">
        <v>86</v>
      </c>
      <c r="AH17" t="s">
        <v>86</v>
      </c>
      <c r="AI17" t="s">
        <v>86</v>
      </c>
      <c r="AJ17" t="s">
        <v>86</v>
      </c>
    </row>
    <row r="18" spans="1:36" s="43" customFormat="1" x14ac:dyDescent="0.2">
      <c r="A18" t="s">
        <v>19</v>
      </c>
      <c r="B18" t="s">
        <v>308</v>
      </c>
      <c r="C18"/>
      <c r="D18" t="s">
        <v>167</v>
      </c>
      <c r="E18" s="8">
        <v>17</v>
      </c>
      <c r="F18">
        <v>77257083</v>
      </c>
      <c r="G18" t="s">
        <v>83</v>
      </c>
      <c r="H18" t="s">
        <v>84</v>
      </c>
      <c r="I18" s="2">
        <v>6.4518099999999997E-3</v>
      </c>
      <c r="J18" t="s">
        <v>86</v>
      </c>
      <c r="K18" t="s">
        <v>86</v>
      </c>
      <c r="L18" t="s">
        <v>86</v>
      </c>
      <c r="M18" s="3">
        <v>0.62221800000000005</v>
      </c>
      <c r="N18">
        <v>0.110902</v>
      </c>
      <c r="O18" s="7">
        <v>2E-8</v>
      </c>
      <c r="P18" s="6" t="s">
        <v>87</v>
      </c>
      <c r="Q18" t="s">
        <v>86</v>
      </c>
      <c r="R18" t="s">
        <v>86</v>
      </c>
      <c r="S18" t="s">
        <v>86</v>
      </c>
      <c r="T18" t="s">
        <v>86</v>
      </c>
      <c r="U18" t="s">
        <v>58</v>
      </c>
      <c r="V18">
        <v>2179</v>
      </c>
      <c r="W18" t="s">
        <v>128</v>
      </c>
      <c r="X18" s="11" t="s">
        <v>165</v>
      </c>
      <c r="Y18" t="s">
        <v>86</v>
      </c>
      <c r="Z18" t="s">
        <v>86</v>
      </c>
      <c r="AA18" t="s">
        <v>86</v>
      </c>
      <c r="AB18" t="s">
        <v>86</v>
      </c>
      <c r="AC18" t="s">
        <v>166</v>
      </c>
      <c r="AD18" t="s">
        <v>86</v>
      </c>
      <c r="AE18" t="s">
        <v>86</v>
      </c>
      <c r="AF18" t="s">
        <v>86</v>
      </c>
      <c r="AG18" t="s">
        <v>86</v>
      </c>
      <c r="AH18" t="s">
        <v>86</v>
      </c>
      <c r="AI18" t="s">
        <v>86</v>
      </c>
      <c r="AJ18" t="s">
        <v>86</v>
      </c>
    </row>
    <row r="19" spans="1:36" s="43" customFormat="1" x14ac:dyDescent="0.2">
      <c r="A19" t="s">
        <v>19</v>
      </c>
      <c r="B19" t="s">
        <v>308</v>
      </c>
      <c r="C19"/>
      <c r="D19" t="s">
        <v>164</v>
      </c>
      <c r="E19" s="8" t="s">
        <v>72</v>
      </c>
      <c r="F19">
        <v>22014252</v>
      </c>
      <c r="G19" t="s">
        <v>89</v>
      </c>
      <c r="H19" t="s">
        <v>88</v>
      </c>
      <c r="I19" s="2">
        <v>4.5518599999999996E-3</v>
      </c>
      <c r="J19" t="s">
        <v>86</v>
      </c>
      <c r="K19" t="s">
        <v>86</v>
      </c>
      <c r="L19" t="s">
        <v>86</v>
      </c>
      <c r="M19" s="3">
        <v>0.62899799999999995</v>
      </c>
      <c r="N19">
        <v>0.111299</v>
      </c>
      <c r="O19" s="7">
        <v>1.6000000000000001E-8</v>
      </c>
      <c r="P19" s="6" t="s">
        <v>87</v>
      </c>
      <c r="Q19" t="s">
        <v>86</v>
      </c>
      <c r="R19" t="s">
        <v>86</v>
      </c>
      <c r="S19" t="s">
        <v>86</v>
      </c>
      <c r="T19" t="s">
        <v>86</v>
      </c>
      <c r="U19" t="s">
        <v>58</v>
      </c>
      <c r="V19">
        <v>2179</v>
      </c>
      <c r="W19" t="s">
        <v>123</v>
      </c>
      <c r="X19" s="11" t="s">
        <v>161</v>
      </c>
      <c r="Y19" t="s">
        <v>162</v>
      </c>
      <c r="Z19" t="s">
        <v>86</v>
      </c>
      <c r="AA19" t="s">
        <v>86</v>
      </c>
      <c r="AB19" t="s">
        <v>86</v>
      </c>
      <c r="AC19" t="s">
        <v>163</v>
      </c>
      <c r="AD19" t="s">
        <v>86</v>
      </c>
      <c r="AE19" t="s">
        <v>86</v>
      </c>
      <c r="AF19" t="s">
        <v>86</v>
      </c>
      <c r="AG19" t="s">
        <v>86</v>
      </c>
      <c r="AH19" t="s">
        <v>86</v>
      </c>
      <c r="AI19" t="s">
        <v>86</v>
      </c>
      <c r="AJ19" t="s">
        <v>86</v>
      </c>
    </row>
    <row r="20" spans="1:36" s="43" customFormat="1" x14ac:dyDescent="0.2">
      <c r="A20" t="s">
        <v>21</v>
      </c>
      <c r="B20" t="s">
        <v>308</v>
      </c>
      <c r="C20"/>
      <c r="D20" t="s">
        <v>305</v>
      </c>
      <c r="E20" s="8">
        <v>1</v>
      </c>
      <c r="F20">
        <v>17462315</v>
      </c>
      <c r="G20" t="s">
        <v>89</v>
      </c>
      <c r="H20" t="s">
        <v>88</v>
      </c>
      <c r="I20" s="2">
        <v>3.3972400000000002E-3</v>
      </c>
      <c r="J20" t="s">
        <v>86</v>
      </c>
      <c r="K20" t="s">
        <v>86</v>
      </c>
      <c r="L20" t="s">
        <v>86</v>
      </c>
      <c r="M20" s="3">
        <v>-1.16882</v>
      </c>
      <c r="N20">
        <v>0.20374400000000001</v>
      </c>
      <c r="O20" s="7">
        <v>9.6999999999999992E-9</v>
      </c>
      <c r="P20" s="6" t="s">
        <v>91</v>
      </c>
      <c r="Q20" t="s">
        <v>86</v>
      </c>
      <c r="R20" t="s">
        <v>86</v>
      </c>
      <c r="S20" t="s">
        <v>86</v>
      </c>
      <c r="T20" t="s">
        <v>86</v>
      </c>
      <c r="U20" t="s">
        <v>58</v>
      </c>
      <c r="V20">
        <v>2175</v>
      </c>
      <c r="W20" t="s">
        <v>123</v>
      </c>
      <c r="X20" s="11" t="s">
        <v>172</v>
      </c>
      <c r="Y20" t="s">
        <v>173</v>
      </c>
      <c r="Z20" t="s">
        <v>86</v>
      </c>
      <c r="AA20" t="s">
        <v>86</v>
      </c>
      <c r="AB20" t="s">
        <v>86</v>
      </c>
      <c r="AC20" t="s">
        <v>174</v>
      </c>
      <c r="AD20" t="s">
        <v>86</v>
      </c>
      <c r="AE20" t="s">
        <v>86</v>
      </c>
      <c r="AF20" t="s">
        <v>86</v>
      </c>
      <c r="AG20" t="s">
        <v>86</v>
      </c>
      <c r="AH20" t="s">
        <v>86</v>
      </c>
      <c r="AI20" t="s">
        <v>86</v>
      </c>
      <c r="AJ20" t="s">
        <v>86</v>
      </c>
    </row>
    <row r="21" spans="1:36" s="43" customFormat="1" x14ac:dyDescent="0.2">
      <c r="A21" t="s">
        <v>21</v>
      </c>
      <c r="B21" t="s">
        <v>308</v>
      </c>
      <c r="C21"/>
      <c r="D21" t="s">
        <v>171</v>
      </c>
      <c r="E21" s="8">
        <v>9</v>
      </c>
      <c r="F21">
        <v>350106</v>
      </c>
      <c r="G21" t="s">
        <v>83</v>
      </c>
      <c r="H21" t="s">
        <v>84</v>
      </c>
      <c r="I21" s="2">
        <v>1.17117E-2</v>
      </c>
      <c r="J21" t="s">
        <v>86</v>
      </c>
      <c r="K21" t="s">
        <v>86</v>
      </c>
      <c r="L21" t="s">
        <v>86</v>
      </c>
      <c r="M21" s="3">
        <v>-0.66823900000000003</v>
      </c>
      <c r="N21">
        <v>0.120728</v>
      </c>
      <c r="O21" s="7">
        <v>3.1E-8</v>
      </c>
      <c r="P21" s="6" t="s">
        <v>91</v>
      </c>
      <c r="Q21" t="s">
        <v>86</v>
      </c>
      <c r="R21" t="s">
        <v>86</v>
      </c>
      <c r="S21" t="s">
        <v>86</v>
      </c>
      <c r="T21" t="s">
        <v>86</v>
      </c>
      <c r="U21" t="s">
        <v>58</v>
      </c>
      <c r="V21">
        <v>2175</v>
      </c>
      <c r="W21" t="s">
        <v>128</v>
      </c>
      <c r="X21" s="11" t="s">
        <v>168</v>
      </c>
      <c r="Y21" t="s">
        <v>86</v>
      </c>
      <c r="Z21" t="s">
        <v>86</v>
      </c>
      <c r="AA21" t="s">
        <v>86</v>
      </c>
      <c r="AB21" t="s">
        <v>169</v>
      </c>
      <c r="AC21" t="s">
        <v>170</v>
      </c>
      <c r="AD21" t="s">
        <v>86</v>
      </c>
      <c r="AE21" t="s">
        <v>86</v>
      </c>
      <c r="AF21" t="s">
        <v>86</v>
      </c>
      <c r="AG21" t="s">
        <v>86</v>
      </c>
      <c r="AH21" t="s">
        <v>86</v>
      </c>
      <c r="AI21" t="s">
        <v>86</v>
      </c>
      <c r="AJ21" t="s">
        <v>86</v>
      </c>
    </row>
    <row r="22" spans="1:36" s="43" customFormat="1" x14ac:dyDescent="0.2">
      <c r="A22" t="s">
        <v>21</v>
      </c>
      <c r="B22" t="s">
        <v>308</v>
      </c>
      <c r="C22"/>
      <c r="D22" t="s">
        <v>190</v>
      </c>
      <c r="E22" s="8">
        <v>11</v>
      </c>
      <c r="F22">
        <v>119455651</v>
      </c>
      <c r="G22" t="s">
        <v>88</v>
      </c>
      <c r="H22" t="s">
        <v>89</v>
      </c>
      <c r="I22" s="2">
        <v>2.5308000000000002E-3</v>
      </c>
      <c r="J22" t="s">
        <v>86</v>
      </c>
      <c r="K22" t="s">
        <v>86</v>
      </c>
      <c r="L22" t="s">
        <v>86</v>
      </c>
      <c r="M22" s="3">
        <v>-1.5100499999999999</v>
      </c>
      <c r="N22">
        <v>0.25190400000000002</v>
      </c>
      <c r="O22" s="7">
        <v>2.0000000000000001E-9</v>
      </c>
      <c r="P22" s="6" t="s">
        <v>91</v>
      </c>
      <c r="Q22" t="s">
        <v>86</v>
      </c>
      <c r="R22" t="s">
        <v>86</v>
      </c>
      <c r="S22" t="s">
        <v>86</v>
      </c>
      <c r="T22" t="s">
        <v>86</v>
      </c>
      <c r="U22" t="s">
        <v>58</v>
      </c>
      <c r="V22">
        <v>2175</v>
      </c>
      <c r="W22" t="s">
        <v>123</v>
      </c>
      <c r="X22" s="11" t="s">
        <v>187</v>
      </c>
      <c r="Y22" t="s">
        <v>188</v>
      </c>
      <c r="Z22" t="s">
        <v>86</v>
      </c>
      <c r="AA22" t="s">
        <v>86</v>
      </c>
      <c r="AB22" t="s">
        <v>86</v>
      </c>
      <c r="AC22" t="s">
        <v>189</v>
      </c>
      <c r="AD22" t="s">
        <v>86</v>
      </c>
      <c r="AE22" t="s">
        <v>86</v>
      </c>
      <c r="AF22" t="s">
        <v>86</v>
      </c>
      <c r="AG22" t="s">
        <v>86</v>
      </c>
      <c r="AH22" t="s">
        <v>86</v>
      </c>
      <c r="AI22" t="s">
        <v>86</v>
      </c>
      <c r="AJ22" t="s">
        <v>86</v>
      </c>
    </row>
    <row r="23" spans="1:36" s="43" customFormat="1" x14ac:dyDescent="0.2">
      <c r="A23" t="s">
        <v>21</v>
      </c>
      <c r="B23" t="s">
        <v>308</v>
      </c>
      <c r="C23"/>
      <c r="D23" t="s">
        <v>178</v>
      </c>
      <c r="E23" s="8" t="s">
        <v>72</v>
      </c>
      <c r="F23">
        <v>33204386</v>
      </c>
      <c r="G23" t="s">
        <v>84</v>
      </c>
      <c r="H23" t="s">
        <v>83</v>
      </c>
      <c r="I23" s="2">
        <v>2.7567799999999999E-3</v>
      </c>
      <c r="J23" t="s">
        <v>86</v>
      </c>
      <c r="K23" t="s">
        <v>86</v>
      </c>
      <c r="L23" t="s">
        <v>86</v>
      </c>
      <c r="M23" s="3">
        <v>-1.1928700000000001</v>
      </c>
      <c r="N23">
        <v>0.18424699999999999</v>
      </c>
      <c r="O23" s="7">
        <v>9.4999999999999995E-11</v>
      </c>
      <c r="P23" s="6" t="s">
        <v>91</v>
      </c>
      <c r="Q23" t="s">
        <v>86</v>
      </c>
      <c r="R23" t="s">
        <v>86</v>
      </c>
      <c r="S23" t="s">
        <v>86</v>
      </c>
      <c r="T23" t="s">
        <v>86</v>
      </c>
      <c r="U23" t="s">
        <v>58</v>
      </c>
      <c r="V23">
        <v>2175</v>
      </c>
      <c r="W23" t="s">
        <v>128</v>
      </c>
      <c r="X23" s="11" t="s">
        <v>175</v>
      </c>
      <c r="Y23" t="s">
        <v>86</v>
      </c>
      <c r="Z23" t="s">
        <v>86</v>
      </c>
      <c r="AA23" t="s">
        <v>86</v>
      </c>
      <c r="AB23" t="s">
        <v>176</v>
      </c>
      <c r="AC23" t="s">
        <v>177</v>
      </c>
      <c r="AD23" t="s">
        <v>86</v>
      </c>
      <c r="AE23" t="s">
        <v>86</v>
      </c>
      <c r="AF23" t="s">
        <v>86</v>
      </c>
      <c r="AG23" t="s">
        <v>86</v>
      </c>
      <c r="AH23" t="s">
        <v>86</v>
      </c>
      <c r="AI23" t="s">
        <v>86</v>
      </c>
      <c r="AJ23" t="s">
        <v>86</v>
      </c>
    </row>
    <row r="24" spans="1:36" s="43" customFormat="1" x14ac:dyDescent="0.2">
      <c r="A24" t="s">
        <v>21</v>
      </c>
      <c r="B24" t="s">
        <v>308</v>
      </c>
      <c r="C24"/>
      <c r="D24" t="s">
        <v>182</v>
      </c>
      <c r="E24" s="8" t="s">
        <v>72</v>
      </c>
      <c r="F24">
        <v>96460625</v>
      </c>
      <c r="G24" t="s">
        <v>89</v>
      </c>
      <c r="H24" t="s">
        <v>88</v>
      </c>
      <c r="I24" s="2">
        <v>6.5085100000000003E-3</v>
      </c>
      <c r="J24" t="s">
        <v>86</v>
      </c>
      <c r="K24" t="s">
        <v>86</v>
      </c>
      <c r="L24" t="s">
        <v>86</v>
      </c>
      <c r="M24" s="3">
        <v>-0.76069200000000003</v>
      </c>
      <c r="N24">
        <v>0.13925599999999999</v>
      </c>
      <c r="O24" s="7">
        <v>4.6999999999999997E-8</v>
      </c>
      <c r="P24" s="6" t="s">
        <v>91</v>
      </c>
      <c r="Q24" t="s">
        <v>86</v>
      </c>
      <c r="R24" t="s">
        <v>86</v>
      </c>
      <c r="S24" t="s">
        <v>86</v>
      </c>
      <c r="T24" t="s">
        <v>86</v>
      </c>
      <c r="U24" t="s">
        <v>58</v>
      </c>
      <c r="V24">
        <v>2175</v>
      </c>
      <c r="W24" t="s">
        <v>128</v>
      </c>
      <c r="X24" s="11" t="s">
        <v>179</v>
      </c>
      <c r="Y24" t="s">
        <v>86</v>
      </c>
      <c r="Z24" t="s">
        <v>86</v>
      </c>
      <c r="AA24" t="s">
        <v>86</v>
      </c>
      <c r="AB24" t="s">
        <v>180</v>
      </c>
      <c r="AC24" t="s">
        <v>181</v>
      </c>
      <c r="AD24" t="s">
        <v>86</v>
      </c>
      <c r="AE24" t="s">
        <v>86</v>
      </c>
      <c r="AF24" t="s">
        <v>86</v>
      </c>
      <c r="AG24" t="s">
        <v>86</v>
      </c>
      <c r="AH24" t="s">
        <v>86</v>
      </c>
      <c r="AI24" t="s">
        <v>86</v>
      </c>
      <c r="AJ24" t="s">
        <v>86</v>
      </c>
    </row>
    <row r="25" spans="1:36" s="43" customFormat="1" x14ac:dyDescent="0.2">
      <c r="A25" t="s">
        <v>21</v>
      </c>
      <c r="B25" t="s">
        <v>308</v>
      </c>
      <c r="C25"/>
      <c r="D25" t="s">
        <v>186</v>
      </c>
      <c r="E25" s="8" t="s">
        <v>72</v>
      </c>
      <c r="F25">
        <v>106133266</v>
      </c>
      <c r="G25" t="s">
        <v>84</v>
      </c>
      <c r="H25" t="s">
        <v>83</v>
      </c>
      <c r="I25" s="2">
        <v>5.3239100000000003E-3</v>
      </c>
      <c r="J25" t="s">
        <v>86</v>
      </c>
      <c r="K25" t="s">
        <v>86</v>
      </c>
      <c r="L25" t="s">
        <v>86</v>
      </c>
      <c r="M25" s="3">
        <v>-1.1409899999999999</v>
      </c>
      <c r="N25">
        <v>0.182119</v>
      </c>
      <c r="O25" s="7">
        <v>3.7000000000000001E-10</v>
      </c>
      <c r="P25" s="6" t="s">
        <v>91</v>
      </c>
      <c r="Q25" t="s">
        <v>86</v>
      </c>
      <c r="R25" t="s">
        <v>86</v>
      </c>
      <c r="S25" t="s">
        <v>86</v>
      </c>
      <c r="T25" t="s">
        <v>86</v>
      </c>
      <c r="U25" t="s">
        <v>58</v>
      </c>
      <c r="V25">
        <v>2175</v>
      </c>
      <c r="W25" t="s">
        <v>123</v>
      </c>
      <c r="X25" s="11" t="s">
        <v>183</v>
      </c>
      <c r="Y25" t="s">
        <v>184</v>
      </c>
      <c r="Z25" t="s">
        <v>86</v>
      </c>
      <c r="AA25" t="s">
        <v>86</v>
      </c>
      <c r="AB25" t="s">
        <v>86</v>
      </c>
      <c r="AC25" t="s">
        <v>185</v>
      </c>
      <c r="AD25" t="s">
        <v>86</v>
      </c>
      <c r="AE25" t="s">
        <v>86</v>
      </c>
      <c r="AF25" t="s">
        <v>86</v>
      </c>
      <c r="AG25" t="s">
        <v>86</v>
      </c>
      <c r="AH25" t="s">
        <v>86</v>
      </c>
      <c r="AI25" t="s">
        <v>86</v>
      </c>
      <c r="AJ25" t="s">
        <v>86</v>
      </c>
    </row>
    <row r="26" spans="1:36" s="43" customFormat="1" x14ac:dyDescent="0.2">
      <c r="A26" t="s">
        <v>23</v>
      </c>
      <c r="B26" t="s">
        <v>308</v>
      </c>
      <c r="C26"/>
      <c r="D26" t="s">
        <v>194</v>
      </c>
      <c r="E26" s="8">
        <v>3</v>
      </c>
      <c r="F26">
        <v>107876004</v>
      </c>
      <c r="G26" t="s">
        <v>88</v>
      </c>
      <c r="H26" t="s">
        <v>89</v>
      </c>
      <c r="I26" s="2">
        <v>6.6785899999999999E-3</v>
      </c>
      <c r="J26" t="s">
        <v>86</v>
      </c>
      <c r="K26" t="s">
        <v>86</v>
      </c>
      <c r="L26" t="s">
        <v>86</v>
      </c>
      <c r="M26" s="3">
        <v>0.98629299999999998</v>
      </c>
      <c r="N26">
        <v>0.17621400000000001</v>
      </c>
      <c r="O26" s="7">
        <v>2.1999999999999998E-8</v>
      </c>
      <c r="P26" t="s">
        <v>87</v>
      </c>
      <c r="Q26" t="s">
        <v>86</v>
      </c>
      <c r="R26" t="s">
        <v>86</v>
      </c>
      <c r="S26" t="s">
        <v>86</v>
      </c>
      <c r="T26" t="s">
        <v>86</v>
      </c>
      <c r="U26" t="s">
        <v>58</v>
      </c>
      <c r="V26">
        <v>2181</v>
      </c>
      <c r="W26" t="s">
        <v>123</v>
      </c>
      <c r="X26" s="11" t="s">
        <v>191</v>
      </c>
      <c r="Y26" t="s">
        <v>192</v>
      </c>
      <c r="Z26" t="s">
        <v>86</v>
      </c>
      <c r="AA26" t="s">
        <v>86</v>
      </c>
      <c r="AB26" t="s">
        <v>86</v>
      </c>
      <c r="AC26" t="s">
        <v>193</v>
      </c>
      <c r="AD26" t="s">
        <v>86</v>
      </c>
      <c r="AE26" t="s">
        <v>86</v>
      </c>
      <c r="AF26" t="s">
        <v>86</v>
      </c>
      <c r="AG26" t="s">
        <v>86</v>
      </c>
      <c r="AH26" t="s">
        <v>86</v>
      </c>
      <c r="AI26" t="s">
        <v>86</v>
      </c>
      <c r="AJ26" t="s">
        <v>86</v>
      </c>
    </row>
    <row r="27" spans="1:36" x14ac:dyDescent="0.2">
      <c r="A27" t="s">
        <v>25</v>
      </c>
      <c r="B27" t="s">
        <v>307</v>
      </c>
      <c r="C27" t="s">
        <v>317</v>
      </c>
      <c r="D27" t="s">
        <v>198</v>
      </c>
      <c r="E27">
        <v>9</v>
      </c>
      <c r="F27">
        <v>116152990</v>
      </c>
      <c r="G27" t="s">
        <v>83</v>
      </c>
      <c r="H27" t="s">
        <v>88</v>
      </c>
      <c r="I27" s="2">
        <f>1-0.917</f>
        <v>8.2999999999999963E-2</v>
      </c>
      <c r="J27">
        <v>3.8999999999999998E-3</v>
      </c>
      <c r="K27">
        <f>1-0.9213</f>
        <v>7.8699999999999992E-2</v>
      </c>
      <c r="L27">
        <f>1-0.91</f>
        <v>8.9999999999999969E-2</v>
      </c>
      <c r="M27" s="3">
        <v>-0.3014</v>
      </c>
      <c r="N27">
        <v>3.4000000000000002E-2</v>
      </c>
      <c r="O27" s="7">
        <v>7.1130000000000002E-19</v>
      </c>
      <c r="P27" s="6" t="s">
        <v>95</v>
      </c>
      <c r="Q27">
        <v>0</v>
      </c>
      <c r="R27">
        <v>1.714</v>
      </c>
      <c r="S27">
        <v>2</v>
      </c>
      <c r="T27">
        <v>0.4244</v>
      </c>
      <c r="U27" t="s">
        <v>310</v>
      </c>
      <c r="V27">
        <f>2803+949+2812</f>
        <v>6564</v>
      </c>
      <c r="W27" t="s">
        <v>128</v>
      </c>
      <c r="X27" s="11" t="s">
        <v>195</v>
      </c>
      <c r="Y27" t="s">
        <v>86</v>
      </c>
      <c r="Z27" t="s">
        <v>86</v>
      </c>
      <c r="AA27" t="s">
        <v>86</v>
      </c>
      <c r="AB27" t="s">
        <v>196</v>
      </c>
      <c r="AC27" t="s">
        <v>197</v>
      </c>
      <c r="AD27">
        <v>0.11020000000000001</v>
      </c>
      <c r="AE27" t="s">
        <v>86</v>
      </c>
      <c r="AF27" t="s">
        <v>86</v>
      </c>
      <c r="AG27" t="s">
        <v>86</v>
      </c>
      <c r="AH27" t="s">
        <v>86</v>
      </c>
      <c r="AI27" t="s">
        <v>86</v>
      </c>
      <c r="AJ27" t="s">
        <v>86</v>
      </c>
    </row>
    <row r="28" spans="1:36" s="43" customFormat="1" x14ac:dyDescent="0.2">
      <c r="A28" t="s">
        <v>27</v>
      </c>
      <c r="B28" t="s">
        <v>308</v>
      </c>
      <c r="C28"/>
      <c r="D28" t="s">
        <v>211</v>
      </c>
      <c r="E28" s="8">
        <v>7</v>
      </c>
      <c r="F28">
        <v>138668149</v>
      </c>
      <c r="G28" t="s">
        <v>89</v>
      </c>
      <c r="H28" t="s">
        <v>88</v>
      </c>
      <c r="I28" s="2">
        <v>2.3688699999999999E-3</v>
      </c>
      <c r="J28" t="s">
        <v>86</v>
      </c>
      <c r="K28" t="s">
        <v>86</v>
      </c>
      <c r="L28" t="s">
        <v>86</v>
      </c>
      <c r="M28" s="3">
        <v>-1.8266199999999999</v>
      </c>
      <c r="N28">
        <v>0.329428</v>
      </c>
      <c r="O28" s="7">
        <v>2.9000000000000002E-8</v>
      </c>
      <c r="P28" s="6" t="s">
        <v>91</v>
      </c>
      <c r="Q28" t="s">
        <v>86</v>
      </c>
      <c r="R28" t="s">
        <v>86</v>
      </c>
      <c r="S28" t="s">
        <v>86</v>
      </c>
      <c r="T28" t="s">
        <v>86</v>
      </c>
      <c r="U28" t="s">
        <v>58</v>
      </c>
      <c r="V28">
        <f>2181</f>
        <v>2181</v>
      </c>
      <c r="W28" t="s">
        <v>123</v>
      </c>
      <c r="X28" s="11" t="s">
        <v>208</v>
      </c>
      <c r="Y28" t="s">
        <v>209</v>
      </c>
      <c r="Z28" t="s">
        <v>86</v>
      </c>
      <c r="AA28" t="s">
        <v>86</v>
      </c>
      <c r="AB28" t="s">
        <v>86</v>
      </c>
      <c r="AC28" t="s">
        <v>210</v>
      </c>
      <c r="AD28" t="s">
        <v>86</v>
      </c>
      <c r="AE28" t="s">
        <v>86</v>
      </c>
      <c r="AF28" t="s">
        <v>86</v>
      </c>
      <c r="AG28" t="s">
        <v>86</v>
      </c>
      <c r="AH28" t="s">
        <v>86</v>
      </c>
      <c r="AI28" t="s">
        <v>86</v>
      </c>
      <c r="AJ28" t="s">
        <v>86</v>
      </c>
    </row>
    <row r="29" spans="1:36" s="43" customFormat="1" x14ac:dyDescent="0.2">
      <c r="A29" t="s">
        <v>27</v>
      </c>
      <c r="B29" t="s">
        <v>308</v>
      </c>
      <c r="C29"/>
      <c r="D29" t="s">
        <v>207</v>
      </c>
      <c r="E29" s="8">
        <v>10</v>
      </c>
      <c r="F29">
        <v>71093392</v>
      </c>
      <c r="G29" t="s">
        <v>83</v>
      </c>
      <c r="H29" t="s">
        <v>84</v>
      </c>
      <c r="I29" s="2">
        <v>0.13565099999999999</v>
      </c>
      <c r="J29" t="s">
        <v>86</v>
      </c>
      <c r="K29" t="s">
        <v>86</v>
      </c>
      <c r="L29" t="s">
        <v>86</v>
      </c>
      <c r="M29" s="3">
        <v>-0.23949899999999999</v>
      </c>
      <c r="N29">
        <v>4.2798500000000003E-2</v>
      </c>
      <c r="O29" s="7">
        <v>2.1999999999999998E-8</v>
      </c>
      <c r="P29" s="6" t="s">
        <v>91</v>
      </c>
      <c r="Q29" t="s">
        <v>86</v>
      </c>
      <c r="R29" t="s">
        <v>86</v>
      </c>
      <c r="S29" t="s">
        <v>86</v>
      </c>
      <c r="T29" t="s">
        <v>86</v>
      </c>
      <c r="U29" t="s">
        <v>58</v>
      </c>
      <c r="V29">
        <f>2181</f>
        <v>2181</v>
      </c>
      <c r="W29" t="s">
        <v>128</v>
      </c>
      <c r="X29" s="11" t="s">
        <v>204</v>
      </c>
      <c r="Y29" t="s">
        <v>86</v>
      </c>
      <c r="Z29" t="s">
        <v>86</v>
      </c>
      <c r="AA29" t="s">
        <v>86</v>
      </c>
      <c r="AB29" t="s">
        <v>205</v>
      </c>
      <c r="AC29" t="s">
        <v>206</v>
      </c>
      <c r="AD29" t="s">
        <v>86</v>
      </c>
      <c r="AE29" t="s">
        <v>86</v>
      </c>
      <c r="AF29" t="s">
        <v>86</v>
      </c>
      <c r="AG29" t="s">
        <v>86</v>
      </c>
      <c r="AH29" t="s">
        <v>86</v>
      </c>
      <c r="AI29" t="s">
        <v>86</v>
      </c>
      <c r="AJ29" t="s">
        <v>86</v>
      </c>
    </row>
    <row r="30" spans="1:36" s="43" customFormat="1" x14ac:dyDescent="0.2">
      <c r="A30" t="s">
        <v>27</v>
      </c>
      <c r="B30" t="s">
        <v>308</v>
      </c>
      <c r="C30"/>
      <c r="D30" t="s">
        <v>203</v>
      </c>
      <c r="E30" s="8">
        <v>11</v>
      </c>
      <c r="F30">
        <v>55541960</v>
      </c>
      <c r="G30" t="s">
        <v>89</v>
      </c>
      <c r="H30" t="s">
        <v>88</v>
      </c>
      <c r="I30" s="2">
        <v>1.5044500000000001E-2</v>
      </c>
      <c r="J30" t="s">
        <v>86</v>
      </c>
      <c r="K30" t="s">
        <v>86</v>
      </c>
      <c r="L30" t="s">
        <v>86</v>
      </c>
      <c r="M30" s="3">
        <v>-0.73058299999999998</v>
      </c>
      <c r="N30">
        <v>0.13181799999999999</v>
      </c>
      <c r="O30" s="7">
        <v>2.9999999999999997E-8</v>
      </c>
      <c r="P30" s="6" t="s">
        <v>91</v>
      </c>
      <c r="Q30" t="s">
        <v>86</v>
      </c>
      <c r="R30" t="s">
        <v>86</v>
      </c>
      <c r="S30" t="s">
        <v>86</v>
      </c>
      <c r="T30" t="s">
        <v>86</v>
      </c>
      <c r="U30" t="s">
        <v>58</v>
      </c>
      <c r="V30">
        <f>2181</f>
        <v>2181</v>
      </c>
      <c r="W30" t="s">
        <v>199</v>
      </c>
      <c r="X30" s="11" t="s">
        <v>200</v>
      </c>
      <c r="Y30" t="s">
        <v>201</v>
      </c>
      <c r="Z30" t="s">
        <v>86</v>
      </c>
      <c r="AA30" t="s">
        <v>86</v>
      </c>
      <c r="AB30" t="s">
        <v>86</v>
      </c>
      <c r="AC30" t="s">
        <v>202</v>
      </c>
      <c r="AD30" t="s">
        <v>86</v>
      </c>
      <c r="AE30" t="s">
        <v>86</v>
      </c>
      <c r="AF30" t="s">
        <v>86</v>
      </c>
      <c r="AG30" t="s">
        <v>86</v>
      </c>
      <c r="AH30" t="s">
        <v>86</v>
      </c>
      <c r="AI30" t="s">
        <v>86</v>
      </c>
      <c r="AJ30" t="s">
        <v>86</v>
      </c>
    </row>
    <row r="31" spans="1:36" x14ac:dyDescent="0.2">
      <c r="A31" t="s">
        <v>28</v>
      </c>
      <c r="B31" t="s">
        <v>307</v>
      </c>
      <c r="C31" t="s">
        <v>318</v>
      </c>
      <c r="D31" t="s">
        <v>256</v>
      </c>
      <c r="E31">
        <v>1</v>
      </c>
      <c r="F31">
        <v>220074279</v>
      </c>
      <c r="G31" t="s">
        <v>88</v>
      </c>
      <c r="H31" t="s">
        <v>84</v>
      </c>
      <c r="I31" s="2">
        <v>0.19489999999999999</v>
      </c>
      <c r="J31">
        <v>7.7999999999999996E-3</v>
      </c>
      <c r="K31">
        <v>0.18</v>
      </c>
      <c r="L31">
        <v>0.20230000000000001</v>
      </c>
      <c r="M31" s="3">
        <v>0.46920000000000001</v>
      </c>
      <c r="N31">
        <v>2.2200000000000001E-2</v>
      </c>
      <c r="O31" s="7">
        <v>6.2800000000000004E-99</v>
      </c>
      <c r="P31" t="s">
        <v>92</v>
      </c>
      <c r="Q31">
        <v>0</v>
      </c>
      <c r="R31">
        <v>1.792</v>
      </c>
      <c r="S31">
        <v>2</v>
      </c>
      <c r="T31">
        <v>0.40810000000000002</v>
      </c>
      <c r="U31" t="s">
        <v>310</v>
      </c>
      <c r="V31">
        <f t="shared" ref="V31:V40" si="0">2803+949+2812</f>
        <v>6564</v>
      </c>
      <c r="W31" t="s">
        <v>123</v>
      </c>
      <c r="X31" s="11" t="s">
        <v>253</v>
      </c>
      <c r="Y31" t="s">
        <v>254</v>
      </c>
      <c r="Z31" t="s">
        <v>86</v>
      </c>
      <c r="AA31" t="s">
        <v>86</v>
      </c>
      <c r="AB31" t="s">
        <v>86</v>
      </c>
      <c r="AC31" t="s">
        <v>255</v>
      </c>
      <c r="AD31" t="s">
        <v>86</v>
      </c>
      <c r="AE31" t="s">
        <v>86</v>
      </c>
      <c r="AF31" t="s">
        <v>86</v>
      </c>
      <c r="AG31" t="s">
        <v>86</v>
      </c>
      <c r="AH31" t="s">
        <v>86</v>
      </c>
      <c r="AI31" t="s">
        <v>86</v>
      </c>
      <c r="AJ31" t="s">
        <v>86</v>
      </c>
    </row>
    <row r="32" spans="1:36" x14ac:dyDescent="0.2">
      <c r="A32" t="s">
        <v>28</v>
      </c>
      <c r="B32" t="s">
        <v>307</v>
      </c>
      <c r="C32" t="s">
        <v>318</v>
      </c>
      <c r="D32" t="s">
        <v>252</v>
      </c>
      <c r="E32">
        <v>4</v>
      </c>
      <c r="F32">
        <v>103188709</v>
      </c>
      <c r="G32" t="s">
        <v>83</v>
      </c>
      <c r="H32" t="s">
        <v>84</v>
      </c>
      <c r="I32" s="2">
        <v>4.9599999999999998E-2</v>
      </c>
      <c r="J32">
        <v>1.0500000000000001E-2</v>
      </c>
      <c r="K32">
        <v>3.7999999999999999E-2</v>
      </c>
      <c r="L32">
        <v>5.9900000000000002E-2</v>
      </c>
      <c r="M32" s="3">
        <v>-0.42259999999999998</v>
      </c>
      <c r="N32">
        <v>4.1000000000000002E-2</v>
      </c>
      <c r="O32" s="7">
        <v>5.9589999999999997E-25</v>
      </c>
      <c r="P32" t="s">
        <v>95</v>
      </c>
      <c r="Q32">
        <v>84.8</v>
      </c>
      <c r="R32">
        <v>13.141999999999999</v>
      </c>
      <c r="S32">
        <v>2</v>
      </c>
      <c r="T32">
        <v>1.4E-3</v>
      </c>
      <c r="U32" t="s">
        <v>310</v>
      </c>
      <c r="V32">
        <f t="shared" si="0"/>
        <v>6564</v>
      </c>
      <c r="W32" t="s">
        <v>215</v>
      </c>
      <c r="X32" s="11" t="s">
        <v>249</v>
      </c>
      <c r="Y32" t="s">
        <v>86</v>
      </c>
      <c r="Z32" t="s">
        <v>217</v>
      </c>
      <c r="AA32" t="s">
        <v>250</v>
      </c>
      <c r="AB32" t="s">
        <v>251</v>
      </c>
      <c r="AC32" t="s">
        <v>139</v>
      </c>
      <c r="AD32">
        <v>4.24E-2</v>
      </c>
      <c r="AE32">
        <v>0.17899999999999999</v>
      </c>
      <c r="AF32" t="s">
        <v>84</v>
      </c>
      <c r="AG32">
        <v>0.88800000000000001</v>
      </c>
      <c r="AH32" t="s">
        <v>233</v>
      </c>
      <c r="AI32">
        <v>0.67900000000000005</v>
      </c>
      <c r="AJ32" t="s">
        <v>233</v>
      </c>
    </row>
    <row r="33" spans="1:36" x14ac:dyDescent="0.2">
      <c r="A33" t="s">
        <v>28</v>
      </c>
      <c r="B33" t="s">
        <v>308</v>
      </c>
      <c r="D33" t="s">
        <v>214</v>
      </c>
      <c r="E33">
        <v>6</v>
      </c>
      <c r="F33">
        <v>5119696</v>
      </c>
      <c r="G33" t="s">
        <v>83</v>
      </c>
      <c r="H33" t="s">
        <v>84</v>
      </c>
      <c r="I33" s="2">
        <v>0.30680000000000002</v>
      </c>
      <c r="J33">
        <v>5.9999999999999995E-4</v>
      </c>
      <c r="K33">
        <v>0.30620000000000003</v>
      </c>
      <c r="L33">
        <v>0.308</v>
      </c>
      <c r="M33" s="3">
        <v>0.14699999999999999</v>
      </c>
      <c r="N33">
        <v>1.9599999999999999E-2</v>
      </c>
      <c r="O33" s="7">
        <v>6.4629999999999998E-14</v>
      </c>
      <c r="P33" t="s">
        <v>92</v>
      </c>
      <c r="Q33">
        <v>0</v>
      </c>
      <c r="R33">
        <v>0.41899999999999998</v>
      </c>
      <c r="S33">
        <v>2</v>
      </c>
      <c r="T33">
        <v>0.81100000000000005</v>
      </c>
      <c r="U33" t="s">
        <v>310</v>
      </c>
      <c r="V33">
        <f t="shared" si="0"/>
        <v>6564</v>
      </c>
      <c r="W33" t="s">
        <v>133</v>
      </c>
      <c r="X33" s="11" t="s">
        <v>212</v>
      </c>
      <c r="Y33" t="s">
        <v>86</v>
      </c>
      <c r="Z33" t="s">
        <v>86</v>
      </c>
      <c r="AA33" t="s">
        <v>86</v>
      </c>
      <c r="AB33" t="s">
        <v>86</v>
      </c>
      <c r="AC33" t="s">
        <v>213</v>
      </c>
      <c r="AD33" t="s">
        <v>86</v>
      </c>
      <c r="AE33" t="s">
        <v>86</v>
      </c>
      <c r="AF33" t="s">
        <v>86</v>
      </c>
      <c r="AG33" t="s">
        <v>86</v>
      </c>
      <c r="AH33" t="s">
        <v>86</v>
      </c>
      <c r="AI33" t="s">
        <v>86</v>
      </c>
      <c r="AJ33" t="s">
        <v>86</v>
      </c>
    </row>
    <row r="34" spans="1:36" x14ac:dyDescent="0.2">
      <c r="A34" t="s">
        <v>28</v>
      </c>
      <c r="B34" t="s">
        <v>307</v>
      </c>
      <c r="C34" t="s">
        <v>536</v>
      </c>
      <c r="D34" t="s">
        <v>221</v>
      </c>
      <c r="E34">
        <v>6</v>
      </c>
      <c r="F34">
        <v>26093141</v>
      </c>
      <c r="G34" t="s">
        <v>88</v>
      </c>
      <c r="H34" t="s">
        <v>89</v>
      </c>
      <c r="I34" s="2">
        <v>7.9399999999999998E-2</v>
      </c>
      <c r="J34">
        <v>1.2999999999999999E-2</v>
      </c>
      <c r="K34">
        <v>5.8999999999999997E-2</v>
      </c>
      <c r="L34">
        <v>9.2200000000000004E-2</v>
      </c>
      <c r="M34" s="3">
        <v>-0.22470000000000001</v>
      </c>
      <c r="N34">
        <v>3.2500000000000001E-2</v>
      </c>
      <c r="O34" s="7">
        <v>4.5490000000000001E-12</v>
      </c>
      <c r="P34" t="s">
        <v>95</v>
      </c>
      <c r="Q34">
        <v>0</v>
      </c>
      <c r="R34">
        <v>1.206</v>
      </c>
      <c r="S34">
        <v>2</v>
      </c>
      <c r="T34">
        <v>0.54710000000000003</v>
      </c>
      <c r="U34" t="s">
        <v>310</v>
      </c>
      <c r="V34">
        <f t="shared" si="0"/>
        <v>6564</v>
      </c>
      <c r="W34" t="s">
        <v>215</v>
      </c>
      <c r="X34" s="11" t="s">
        <v>216</v>
      </c>
      <c r="Y34" t="s">
        <v>86</v>
      </c>
      <c r="Z34" t="s">
        <v>217</v>
      </c>
      <c r="AA34" t="s">
        <v>218</v>
      </c>
      <c r="AB34" t="s">
        <v>219</v>
      </c>
      <c r="AC34" t="s">
        <v>220</v>
      </c>
      <c r="AD34">
        <v>3.2399999999999998E-2</v>
      </c>
      <c r="AE34">
        <v>0</v>
      </c>
      <c r="AF34" t="s">
        <v>222</v>
      </c>
      <c r="AG34">
        <v>1</v>
      </c>
      <c r="AH34" t="s">
        <v>222</v>
      </c>
      <c r="AI34">
        <v>0.999</v>
      </c>
      <c r="AJ34" t="s">
        <v>222</v>
      </c>
    </row>
    <row r="35" spans="1:36" x14ac:dyDescent="0.2">
      <c r="A35" t="s">
        <v>28</v>
      </c>
      <c r="B35" t="s">
        <v>308</v>
      </c>
      <c r="D35" t="s">
        <v>248</v>
      </c>
      <c r="E35">
        <v>9</v>
      </c>
      <c r="F35">
        <v>88903367</v>
      </c>
      <c r="G35" t="s">
        <v>84</v>
      </c>
      <c r="H35" t="s">
        <v>89</v>
      </c>
      <c r="I35" s="2">
        <v>0.6512</v>
      </c>
      <c r="J35">
        <v>1.03E-2</v>
      </c>
      <c r="K35">
        <v>0.63100000000000001</v>
      </c>
      <c r="L35">
        <v>0.66120000000000001</v>
      </c>
      <c r="M35" s="3">
        <v>0.14829999999999999</v>
      </c>
      <c r="N35">
        <v>1.8100000000000002E-2</v>
      </c>
      <c r="O35" s="7">
        <v>2.562E-16</v>
      </c>
      <c r="P35" t="s">
        <v>92</v>
      </c>
      <c r="Q35">
        <v>0</v>
      </c>
      <c r="R35">
        <v>1.3560000000000001</v>
      </c>
      <c r="S35">
        <v>2</v>
      </c>
      <c r="T35">
        <v>0.50760000000000005</v>
      </c>
      <c r="U35" t="s">
        <v>310</v>
      </c>
      <c r="V35">
        <f t="shared" si="0"/>
        <v>6564</v>
      </c>
      <c r="W35" t="s">
        <v>118</v>
      </c>
      <c r="X35" s="11" t="s">
        <v>245</v>
      </c>
      <c r="Y35" t="s">
        <v>246</v>
      </c>
      <c r="Z35" t="s">
        <v>86</v>
      </c>
      <c r="AA35" t="s">
        <v>86</v>
      </c>
      <c r="AB35" t="s">
        <v>86</v>
      </c>
      <c r="AC35" t="s">
        <v>247</v>
      </c>
      <c r="AD35" t="s">
        <v>86</v>
      </c>
      <c r="AE35" t="s">
        <v>86</v>
      </c>
      <c r="AF35" t="s">
        <v>86</v>
      </c>
      <c r="AG35" t="s">
        <v>86</v>
      </c>
      <c r="AH35" t="s">
        <v>86</v>
      </c>
      <c r="AI35" t="s">
        <v>86</v>
      </c>
      <c r="AJ35" t="s">
        <v>86</v>
      </c>
    </row>
    <row r="36" spans="1:36" x14ac:dyDescent="0.2">
      <c r="A36" t="s">
        <v>28</v>
      </c>
      <c r="B36" t="s">
        <v>308</v>
      </c>
      <c r="D36" t="s">
        <v>244</v>
      </c>
      <c r="E36">
        <v>15</v>
      </c>
      <c r="F36">
        <v>65998702</v>
      </c>
      <c r="G36" t="s">
        <v>83</v>
      </c>
      <c r="H36" t="s">
        <v>84</v>
      </c>
      <c r="I36" s="2">
        <v>0.76429999999999998</v>
      </c>
      <c r="J36">
        <v>5.4999999999999997E-3</v>
      </c>
      <c r="K36">
        <v>0.75600000000000001</v>
      </c>
      <c r="L36">
        <v>0.77049999999999996</v>
      </c>
      <c r="M36" s="3">
        <v>-0.15620000000000001</v>
      </c>
      <c r="N36">
        <v>2.0799999999999999E-2</v>
      </c>
      <c r="O36" s="7">
        <v>5.4770000000000003E-14</v>
      </c>
      <c r="P36" t="s">
        <v>95</v>
      </c>
      <c r="Q36">
        <v>0</v>
      </c>
      <c r="R36">
        <v>0.56299999999999994</v>
      </c>
      <c r="S36">
        <v>2</v>
      </c>
      <c r="T36">
        <v>0.75460000000000005</v>
      </c>
      <c r="U36" t="s">
        <v>310</v>
      </c>
      <c r="V36">
        <f t="shared" si="0"/>
        <v>6564</v>
      </c>
      <c r="W36" t="s">
        <v>128</v>
      </c>
      <c r="X36" s="11" t="s">
        <v>242</v>
      </c>
      <c r="Y36" t="s">
        <v>86</v>
      </c>
      <c r="Z36" t="s">
        <v>86</v>
      </c>
      <c r="AA36" t="s">
        <v>86</v>
      </c>
      <c r="AB36" t="s">
        <v>86</v>
      </c>
      <c r="AC36" t="s">
        <v>243</v>
      </c>
      <c r="AD36" t="s">
        <v>86</v>
      </c>
      <c r="AE36" t="s">
        <v>86</v>
      </c>
      <c r="AF36" t="s">
        <v>86</v>
      </c>
      <c r="AG36" t="s">
        <v>86</v>
      </c>
      <c r="AH36" t="s">
        <v>86</v>
      </c>
      <c r="AI36" t="s">
        <v>86</v>
      </c>
      <c r="AJ36" t="s">
        <v>86</v>
      </c>
    </row>
    <row r="37" spans="1:36" x14ac:dyDescent="0.2">
      <c r="A37" t="s">
        <v>28</v>
      </c>
      <c r="B37" t="s">
        <v>308</v>
      </c>
      <c r="D37" t="s">
        <v>241</v>
      </c>
      <c r="E37">
        <v>18</v>
      </c>
      <c r="F37">
        <v>55238820</v>
      </c>
      <c r="G37" t="s">
        <v>89</v>
      </c>
      <c r="H37" t="s">
        <v>88</v>
      </c>
      <c r="I37" s="2">
        <f>1-0.9428</f>
        <v>5.7200000000000029E-2</v>
      </c>
      <c r="J37">
        <v>6.8999999999999999E-3</v>
      </c>
      <c r="K37">
        <f>1-0.948</f>
        <v>5.2000000000000046E-2</v>
      </c>
      <c r="L37">
        <f>1-0.929</f>
        <v>7.0999999999999952E-2</v>
      </c>
      <c r="M37" s="3">
        <v>0.36459999999999998</v>
      </c>
      <c r="N37">
        <v>3.9E-2</v>
      </c>
      <c r="O37" s="7">
        <v>8.9379999999999999E-21</v>
      </c>
      <c r="P37" s="6" t="s">
        <v>92</v>
      </c>
      <c r="Q37">
        <v>44.7</v>
      </c>
      <c r="R37">
        <v>3.6150000000000002</v>
      </c>
      <c r="S37">
        <v>2</v>
      </c>
      <c r="T37">
        <v>0.1641</v>
      </c>
      <c r="U37" t="s">
        <v>310</v>
      </c>
      <c r="V37">
        <f t="shared" si="0"/>
        <v>6564</v>
      </c>
      <c r="W37" t="s">
        <v>128</v>
      </c>
      <c r="X37" s="11" t="s">
        <v>238</v>
      </c>
      <c r="Y37" t="s">
        <v>86</v>
      </c>
      <c r="Z37" t="s">
        <v>86</v>
      </c>
      <c r="AA37" t="s">
        <v>86</v>
      </c>
      <c r="AB37" t="s">
        <v>239</v>
      </c>
      <c r="AC37" t="s">
        <v>240</v>
      </c>
      <c r="AD37">
        <v>0.10730000000000001</v>
      </c>
      <c r="AE37" t="s">
        <v>86</v>
      </c>
      <c r="AF37" t="s">
        <v>86</v>
      </c>
      <c r="AG37" t="s">
        <v>86</v>
      </c>
      <c r="AH37" t="s">
        <v>86</v>
      </c>
      <c r="AI37" t="s">
        <v>86</v>
      </c>
      <c r="AJ37" t="s">
        <v>86</v>
      </c>
    </row>
    <row r="38" spans="1:36" x14ac:dyDescent="0.2">
      <c r="A38" t="s">
        <v>28</v>
      </c>
      <c r="B38" t="s">
        <v>308</v>
      </c>
      <c r="D38" t="s">
        <v>237</v>
      </c>
      <c r="E38">
        <v>20</v>
      </c>
      <c r="F38">
        <v>54941140</v>
      </c>
      <c r="G38" t="s">
        <v>83</v>
      </c>
      <c r="H38" t="s">
        <v>84</v>
      </c>
      <c r="I38" s="2">
        <v>0.18410000000000001</v>
      </c>
      <c r="J38">
        <v>1.0999999999999999E-2</v>
      </c>
      <c r="K38">
        <v>0.158</v>
      </c>
      <c r="L38">
        <v>0.193</v>
      </c>
      <c r="M38" s="3">
        <v>-0.16059999999999999</v>
      </c>
      <c r="N38">
        <v>2.2499999999999999E-2</v>
      </c>
      <c r="O38" s="7">
        <v>1.067E-12</v>
      </c>
      <c r="P38" t="s">
        <v>95</v>
      </c>
      <c r="Q38">
        <v>0</v>
      </c>
      <c r="R38">
        <v>0.90400000000000003</v>
      </c>
      <c r="S38">
        <v>2</v>
      </c>
      <c r="T38">
        <v>0.63649999999999995</v>
      </c>
      <c r="U38" t="s">
        <v>310</v>
      </c>
      <c r="V38">
        <f t="shared" si="0"/>
        <v>6564</v>
      </c>
      <c r="W38" t="s">
        <v>215</v>
      </c>
      <c r="X38" s="11" t="s">
        <v>234</v>
      </c>
      <c r="Y38" t="s">
        <v>86</v>
      </c>
      <c r="Z38" t="s">
        <v>217</v>
      </c>
      <c r="AA38" t="s">
        <v>235</v>
      </c>
      <c r="AB38" t="s">
        <v>86</v>
      </c>
      <c r="AC38" t="s">
        <v>236</v>
      </c>
      <c r="AD38">
        <v>0.18049999999999999</v>
      </c>
      <c r="AE38">
        <v>1</v>
      </c>
      <c r="AF38" t="s">
        <v>84</v>
      </c>
      <c r="AG38">
        <v>2E-3</v>
      </c>
      <c r="AH38" t="s">
        <v>232</v>
      </c>
      <c r="AI38">
        <v>0.03</v>
      </c>
      <c r="AJ38" t="s">
        <v>232</v>
      </c>
    </row>
    <row r="39" spans="1:36" x14ac:dyDescent="0.2">
      <c r="A39" t="s">
        <v>28</v>
      </c>
      <c r="B39" t="s">
        <v>308</v>
      </c>
      <c r="D39" t="s">
        <v>226</v>
      </c>
      <c r="E39">
        <v>22</v>
      </c>
      <c r="F39">
        <v>29154455</v>
      </c>
      <c r="G39" t="s">
        <v>89</v>
      </c>
      <c r="H39" t="s">
        <v>88</v>
      </c>
      <c r="I39" s="2">
        <f>1-0.5582</f>
        <v>0.44179999999999997</v>
      </c>
      <c r="J39">
        <v>7.9000000000000008E-3</v>
      </c>
      <c r="K39">
        <f>1-0.5669</f>
        <v>0.43310000000000004</v>
      </c>
      <c r="L39">
        <f>1-0.5498</f>
        <v>0.45020000000000004</v>
      </c>
      <c r="M39" s="3">
        <v>-0.1079</v>
      </c>
      <c r="N39">
        <v>1.77E-2</v>
      </c>
      <c r="O39" s="7">
        <v>1.171E-9</v>
      </c>
      <c r="P39" s="6" t="s">
        <v>95</v>
      </c>
      <c r="Q39">
        <v>67.5</v>
      </c>
      <c r="R39">
        <v>6.1529999999999996</v>
      </c>
      <c r="S39">
        <v>2</v>
      </c>
      <c r="T39">
        <v>4.6120000000000001E-2</v>
      </c>
      <c r="U39" t="s">
        <v>310</v>
      </c>
      <c r="V39">
        <f t="shared" si="0"/>
        <v>6564</v>
      </c>
      <c r="W39" t="s">
        <v>199</v>
      </c>
      <c r="X39" s="11" t="s">
        <v>223</v>
      </c>
      <c r="Y39" t="s">
        <v>224</v>
      </c>
      <c r="Z39" t="s">
        <v>86</v>
      </c>
      <c r="AA39" t="s">
        <v>86</v>
      </c>
      <c r="AB39" t="s">
        <v>86</v>
      </c>
      <c r="AC39" t="s">
        <v>225</v>
      </c>
      <c r="AD39" t="s">
        <v>86</v>
      </c>
      <c r="AE39" t="s">
        <v>86</v>
      </c>
      <c r="AF39" t="s">
        <v>86</v>
      </c>
      <c r="AG39" t="s">
        <v>86</v>
      </c>
      <c r="AH39" t="s">
        <v>86</v>
      </c>
      <c r="AI39" t="s">
        <v>86</v>
      </c>
      <c r="AJ39" t="s">
        <v>86</v>
      </c>
    </row>
    <row r="40" spans="1:36" x14ac:dyDescent="0.2">
      <c r="A40" t="s">
        <v>28</v>
      </c>
      <c r="B40" t="s">
        <v>308</v>
      </c>
      <c r="D40" t="s">
        <v>231</v>
      </c>
      <c r="E40">
        <v>22</v>
      </c>
      <c r="F40">
        <v>37462936</v>
      </c>
      <c r="G40" t="s">
        <v>89</v>
      </c>
      <c r="H40" t="s">
        <v>88</v>
      </c>
      <c r="I40" s="2">
        <f>1-0.4201</f>
        <v>0.57990000000000008</v>
      </c>
      <c r="J40">
        <v>1.72E-2</v>
      </c>
      <c r="K40">
        <f>1-0.4401</f>
        <v>0.55990000000000006</v>
      </c>
      <c r="L40">
        <f>1-0.4043</f>
        <v>0.59570000000000001</v>
      </c>
      <c r="M40" s="3">
        <v>-0.123</v>
      </c>
      <c r="N40">
        <v>1.77E-2</v>
      </c>
      <c r="O40" s="7">
        <v>3.8659999999999999E-12</v>
      </c>
      <c r="P40" s="6" t="s">
        <v>95</v>
      </c>
      <c r="Q40">
        <v>0</v>
      </c>
      <c r="R40">
        <v>0.38</v>
      </c>
      <c r="S40">
        <v>2</v>
      </c>
      <c r="T40">
        <v>0.82709999999999995</v>
      </c>
      <c r="U40" t="s">
        <v>310</v>
      </c>
      <c r="V40">
        <f t="shared" si="0"/>
        <v>6564</v>
      </c>
      <c r="W40" t="s">
        <v>215</v>
      </c>
      <c r="X40" s="11" t="s">
        <v>227</v>
      </c>
      <c r="Y40" t="s">
        <v>86</v>
      </c>
      <c r="Z40" t="s">
        <v>217</v>
      </c>
      <c r="AA40" t="s">
        <v>228</v>
      </c>
      <c r="AB40" t="s">
        <v>229</v>
      </c>
      <c r="AC40" t="s">
        <v>230</v>
      </c>
      <c r="AD40">
        <v>0.57299999999999995</v>
      </c>
      <c r="AE40">
        <v>0.998</v>
      </c>
      <c r="AF40" t="s">
        <v>84</v>
      </c>
      <c r="AG40">
        <v>0</v>
      </c>
      <c r="AH40" t="s">
        <v>232</v>
      </c>
      <c r="AI40">
        <v>0</v>
      </c>
      <c r="AJ40" t="s">
        <v>232</v>
      </c>
    </row>
    <row r="41" spans="1:36" s="43" customFormat="1" x14ac:dyDescent="0.2">
      <c r="A41" t="s">
        <v>35</v>
      </c>
      <c r="B41" t="s">
        <v>308</v>
      </c>
      <c r="C41"/>
      <c r="D41" t="s">
        <v>260</v>
      </c>
      <c r="E41" s="8">
        <v>2</v>
      </c>
      <c r="F41">
        <v>206696967</v>
      </c>
      <c r="G41" t="s">
        <v>89</v>
      </c>
      <c r="H41" t="s">
        <v>88</v>
      </c>
      <c r="I41" s="2">
        <v>4.0210200000000001E-2</v>
      </c>
      <c r="J41" t="s">
        <v>86</v>
      </c>
      <c r="K41" t="s">
        <v>86</v>
      </c>
      <c r="L41" t="s">
        <v>86</v>
      </c>
      <c r="M41" s="3">
        <v>-0.72714299999999998</v>
      </c>
      <c r="N41">
        <v>0.13333999999999999</v>
      </c>
      <c r="O41" s="7">
        <v>4.9000000000000002E-8</v>
      </c>
      <c r="P41" s="6" t="s">
        <v>91</v>
      </c>
      <c r="Q41" t="s">
        <v>86</v>
      </c>
      <c r="R41" t="s">
        <v>86</v>
      </c>
      <c r="S41" t="s">
        <v>86</v>
      </c>
      <c r="T41" t="s">
        <v>86</v>
      </c>
      <c r="U41" t="s">
        <v>58</v>
      </c>
      <c r="V41">
        <v>747</v>
      </c>
      <c r="W41" t="s">
        <v>123</v>
      </c>
      <c r="X41" s="11" t="s">
        <v>257</v>
      </c>
      <c r="Y41" t="s">
        <v>258</v>
      </c>
      <c r="Z41" t="s">
        <v>86</v>
      </c>
      <c r="AA41" t="s">
        <v>86</v>
      </c>
      <c r="AB41" t="s">
        <v>86</v>
      </c>
      <c r="AC41" t="s">
        <v>259</v>
      </c>
      <c r="AD41" t="s">
        <v>86</v>
      </c>
      <c r="AE41" t="s">
        <v>86</v>
      </c>
      <c r="AF41" t="s">
        <v>86</v>
      </c>
      <c r="AG41" t="s">
        <v>86</v>
      </c>
      <c r="AH41" t="s">
        <v>86</v>
      </c>
      <c r="AI41" t="s">
        <v>86</v>
      </c>
      <c r="AJ41" t="s">
        <v>86</v>
      </c>
    </row>
    <row r="42" spans="1:36" x14ac:dyDescent="0.2">
      <c r="A42" t="s">
        <v>42</v>
      </c>
      <c r="B42" t="s">
        <v>308</v>
      </c>
      <c r="D42" t="s">
        <v>272</v>
      </c>
      <c r="E42">
        <v>2</v>
      </c>
      <c r="F42">
        <v>211540507</v>
      </c>
      <c r="G42" t="s">
        <v>83</v>
      </c>
      <c r="H42" t="s">
        <v>89</v>
      </c>
      <c r="I42" s="2">
        <v>0.30769999999999997</v>
      </c>
      <c r="J42">
        <v>1.2999999999999999E-3</v>
      </c>
      <c r="K42">
        <v>0.30609999999999998</v>
      </c>
      <c r="L42">
        <v>0.30880000000000002</v>
      </c>
      <c r="M42" s="3">
        <v>0.1106</v>
      </c>
      <c r="N42">
        <v>1.9E-2</v>
      </c>
      <c r="O42" s="7">
        <v>6.0090000000000002E-9</v>
      </c>
      <c r="P42" t="s">
        <v>93</v>
      </c>
      <c r="Q42">
        <v>0</v>
      </c>
      <c r="R42">
        <v>0.97799999999999998</v>
      </c>
      <c r="S42">
        <v>1</v>
      </c>
      <c r="T42">
        <v>0.32279999999999998</v>
      </c>
      <c r="U42" t="s">
        <v>309</v>
      </c>
      <c r="V42">
        <f>2803+2812</f>
        <v>5615</v>
      </c>
      <c r="W42" t="s">
        <v>215</v>
      </c>
      <c r="X42" s="11" t="s">
        <v>268</v>
      </c>
      <c r="Y42" t="s">
        <v>86</v>
      </c>
      <c r="Z42" t="s">
        <v>217</v>
      </c>
      <c r="AA42" t="s">
        <v>269</v>
      </c>
      <c r="AB42" t="s">
        <v>270</v>
      </c>
      <c r="AC42" t="s">
        <v>271</v>
      </c>
      <c r="AD42">
        <v>0.3034</v>
      </c>
      <c r="AE42">
        <v>0.245</v>
      </c>
      <c r="AF42" t="s">
        <v>84</v>
      </c>
      <c r="AG42">
        <v>8.9999999999999993E-3</v>
      </c>
      <c r="AH42" t="s">
        <v>232</v>
      </c>
      <c r="AI42">
        <v>2.5000000000000001E-2</v>
      </c>
      <c r="AJ42" t="s">
        <v>232</v>
      </c>
    </row>
    <row r="43" spans="1:36" x14ac:dyDescent="0.2">
      <c r="A43" t="s">
        <v>42</v>
      </c>
      <c r="B43" t="s">
        <v>307</v>
      </c>
      <c r="C43" t="s">
        <v>319</v>
      </c>
      <c r="D43" t="s">
        <v>264</v>
      </c>
      <c r="E43">
        <v>5</v>
      </c>
      <c r="F43">
        <v>78344976</v>
      </c>
      <c r="G43" t="s">
        <v>89</v>
      </c>
      <c r="H43" t="s">
        <v>88</v>
      </c>
      <c r="I43" s="2">
        <f>1-0.8788</f>
        <v>0.12119999999999997</v>
      </c>
      <c r="J43">
        <v>2.2000000000000001E-3</v>
      </c>
      <c r="K43">
        <f>1-0.8815</f>
        <v>0.11850000000000005</v>
      </c>
      <c r="L43">
        <f>1-0.877</f>
        <v>0.123</v>
      </c>
      <c r="M43" s="3">
        <v>0.25480000000000003</v>
      </c>
      <c r="N43">
        <v>2.63E-2</v>
      </c>
      <c r="O43" s="7">
        <v>3.2599999999999999E-22</v>
      </c>
      <c r="P43" s="6" t="s">
        <v>93</v>
      </c>
      <c r="Q43">
        <v>0</v>
      </c>
      <c r="R43">
        <v>0.152</v>
      </c>
      <c r="S43">
        <v>1</v>
      </c>
      <c r="T43">
        <v>0.69630000000000003</v>
      </c>
      <c r="U43" t="s">
        <v>309</v>
      </c>
      <c r="V43">
        <f>2803+2812</f>
        <v>5615</v>
      </c>
      <c r="W43" t="s">
        <v>128</v>
      </c>
      <c r="X43" s="11" t="s">
        <v>261</v>
      </c>
      <c r="Y43" t="s">
        <v>86</v>
      </c>
      <c r="Z43" t="s">
        <v>86</v>
      </c>
      <c r="AA43" t="s">
        <v>86</v>
      </c>
      <c r="AB43" t="s">
        <v>262</v>
      </c>
      <c r="AC43" t="s">
        <v>263</v>
      </c>
      <c r="AD43" t="s">
        <v>86</v>
      </c>
      <c r="AE43" t="s">
        <v>86</v>
      </c>
      <c r="AF43" t="s">
        <v>86</v>
      </c>
      <c r="AG43" t="s">
        <v>86</v>
      </c>
      <c r="AH43" t="s">
        <v>86</v>
      </c>
      <c r="AI43" t="s">
        <v>86</v>
      </c>
      <c r="AJ43" t="s">
        <v>86</v>
      </c>
    </row>
    <row r="44" spans="1:36" s="42" customFormat="1" x14ac:dyDescent="0.2">
      <c r="A44" t="s">
        <v>42</v>
      </c>
      <c r="B44" t="s">
        <v>308</v>
      </c>
      <c r="C44"/>
      <c r="D44" t="s">
        <v>267</v>
      </c>
      <c r="E44">
        <v>10</v>
      </c>
      <c r="F44">
        <v>119010413</v>
      </c>
      <c r="G44" t="s">
        <v>84</v>
      </c>
      <c r="H44" t="s">
        <v>83</v>
      </c>
      <c r="I44" s="2">
        <f>1-0.7332</f>
        <v>0.26680000000000004</v>
      </c>
      <c r="J44" t="s">
        <v>86</v>
      </c>
      <c r="K44" t="s">
        <v>86</v>
      </c>
      <c r="L44" t="s">
        <v>86</v>
      </c>
      <c r="M44" s="3">
        <v>0.1376</v>
      </c>
      <c r="N44">
        <v>2.5000000000000001E-2</v>
      </c>
      <c r="O44" s="7">
        <v>3.7760000000000002E-8</v>
      </c>
      <c r="P44" s="6" t="s">
        <v>312</v>
      </c>
      <c r="Q44" t="s">
        <v>86</v>
      </c>
      <c r="R44" t="s">
        <v>86</v>
      </c>
      <c r="S44" t="s">
        <v>86</v>
      </c>
      <c r="T44" t="s">
        <v>86</v>
      </c>
      <c r="U44" t="s">
        <v>58</v>
      </c>
      <c r="V44">
        <v>2819</v>
      </c>
      <c r="W44" t="s">
        <v>128</v>
      </c>
      <c r="X44" s="11" t="s">
        <v>265</v>
      </c>
      <c r="Y44" t="s">
        <v>86</v>
      </c>
      <c r="Z44" t="s">
        <v>86</v>
      </c>
      <c r="AA44" t="s">
        <v>86</v>
      </c>
      <c r="AB44" t="s">
        <v>86</v>
      </c>
      <c r="AC44" t="s">
        <v>266</v>
      </c>
      <c r="AD44" t="s">
        <v>86</v>
      </c>
      <c r="AE44" t="s">
        <v>86</v>
      </c>
      <c r="AF44" t="s">
        <v>86</v>
      </c>
      <c r="AG44" t="s">
        <v>86</v>
      </c>
      <c r="AH44" t="s">
        <v>86</v>
      </c>
      <c r="AI44" t="s">
        <v>86</v>
      </c>
      <c r="AJ44" t="s">
        <v>86</v>
      </c>
    </row>
    <row r="45" spans="1:36" s="43" customFormat="1" x14ac:dyDescent="0.2">
      <c r="A45" t="s">
        <v>43</v>
      </c>
      <c r="B45" t="s">
        <v>308</v>
      </c>
      <c r="C45"/>
      <c r="D45" t="s">
        <v>336</v>
      </c>
      <c r="E45" s="13">
        <v>20</v>
      </c>
      <c r="F45" s="13">
        <v>50220088</v>
      </c>
      <c r="G45" t="s">
        <v>84</v>
      </c>
      <c r="H45" t="s">
        <v>89</v>
      </c>
      <c r="I45" s="2">
        <v>0.45866699999999999</v>
      </c>
      <c r="J45" t="s">
        <v>86</v>
      </c>
      <c r="K45" t="s">
        <v>86</v>
      </c>
      <c r="L45" t="s">
        <v>86</v>
      </c>
      <c r="M45" s="3">
        <v>-0.30437500000000001</v>
      </c>
      <c r="N45">
        <v>5.4665800000000001E-2</v>
      </c>
      <c r="O45" s="7">
        <v>3.7269699999999999E-8</v>
      </c>
      <c r="P45" s="6" t="s">
        <v>91</v>
      </c>
      <c r="Q45" t="s">
        <v>86</v>
      </c>
      <c r="R45" t="s">
        <v>86</v>
      </c>
      <c r="S45" t="s">
        <v>86</v>
      </c>
      <c r="T45" t="s">
        <v>86</v>
      </c>
      <c r="U45" t="s">
        <v>58</v>
      </c>
      <c r="V45">
        <v>688</v>
      </c>
      <c r="W45" t="s">
        <v>128</v>
      </c>
      <c r="X45" s="11" t="s">
        <v>337</v>
      </c>
      <c r="Y45" t="s">
        <v>86</v>
      </c>
      <c r="Z45" t="s">
        <v>86</v>
      </c>
      <c r="AA45" t="s">
        <v>86</v>
      </c>
      <c r="AB45" t="s">
        <v>86</v>
      </c>
      <c r="AC45" t="s">
        <v>236</v>
      </c>
      <c r="AD45" t="s">
        <v>86</v>
      </c>
      <c r="AE45" t="s">
        <v>86</v>
      </c>
      <c r="AF45" t="s">
        <v>86</v>
      </c>
      <c r="AG45" t="s">
        <v>86</v>
      </c>
      <c r="AH45" t="s">
        <v>86</v>
      </c>
      <c r="AI45" t="s">
        <v>86</v>
      </c>
      <c r="AJ45" t="s">
        <v>86</v>
      </c>
    </row>
    <row r="46" spans="1:36" s="43" customFormat="1" x14ac:dyDescent="0.2">
      <c r="A46" t="s">
        <v>44</v>
      </c>
      <c r="B46" t="s">
        <v>308</v>
      </c>
      <c r="C46"/>
      <c r="D46" t="s">
        <v>276</v>
      </c>
      <c r="E46" s="8">
        <v>4</v>
      </c>
      <c r="F46">
        <v>65213353</v>
      </c>
      <c r="G46" t="s">
        <v>83</v>
      </c>
      <c r="H46" t="s">
        <v>88</v>
      </c>
      <c r="I46" s="2">
        <v>9.5320999999999999E-3</v>
      </c>
      <c r="J46" t="s">
        <v>86</v>
      </c>
      <c r="K46" t="s">
        <v>86</v>
      </c>
      <c r="L46" t="s">
        <v>86</v>
      </c>
      <c r="M46" s="3">
        <v>-1.2145999999999999</v>
      </c>
      <c r="N46">
        <v>0.217779</v>
      </c>
      <c r="O46" s="7">
        <v>2.4E-8</v>
      </c>
      <c r="P46" s="6" t="s">
        <v>91</v>
      </c>
      <c r="Q46" t="s">
        <v>86</v>
      </c>
      <c r="R46" t="s">
        <v>86</v>
      </c>
      <c r="S46" t="s">
        <v>86</v>
      </c>
      <c r="T46" t="s">
        <v>86</v>
      </c>
      <c r="U46" t="s">
        <v>58</v>
      </c>
      <c r="V46">
        <v>1464</v>
      </c>
      <c r="W46" t="s">
        <v>128</v>
      </c>
      <c r="X46" s="11" t="s">
        <v>273</v>
      </c>
      <c r="Y46" t="s">
        <v>86</v>
      </c>
      <c r="Z46" t="s">
        <v>86</v>
      </c>
      <c r="AA46" t="s">
        <v>86</v>
      </c>
      <c r="AB46" t="s">
        <v>274</v>
      </c>
      <c r="AC46" t="s">
        <v>275</v>
      </c>
      <c r="AD46" t="s">
        <v>86</v>
      </c>
      <c r="AE46" t="s">
        <v>86</v>
      </c>
      <c r="AF46" t="s">
        <v>86</v>
      </c>
      <c r="AG46" t="s">
        <v>86</v>
      </c>
      <c r="AH46" t="s">
        <v>86</v>
      </c>
      <c r="AI46" t="s">
        <v>86</v>
      </c>
      <c r="AJ46" t="s">
        <v>86</v>
      </c>
    </row>
    <row r="47" spans="1:36" s="43" customFormat="1" x14ac:dyDescent="0.2">
      <c r="A47" t="s">
        <v>45</v>
      </c>
      <c r="B47" t="s">
        <v>308</v>
      </c>
      <c r="C47"/>
      <c r="D47" t="s">
        <v>278</v>
      </c>
      <c r="E47" s="8" t="s">
        <v>72</v>
      </c>
      <c r="F47">
        <v>106239318</v>
      </c>
      <c r="G47" t="s">
        <v>83</v>
      </c>
      <c r="H47" t="s">
        <v>84</v>
      </c>
      <c r="I47" s="2">
        <v>0.189752</v>
      </c>
      <c r="J47" t="s">
        <v>86</v>
      </c>
      <c r="K47" t="s">
        <v>86</v>
      </c>
      <c r="L47" t="s">
        <v>86</v>
      </c>
      <c r="M47" s="3">
        <v>-0.25780799999999998</v>
      </c>
      <c r="N47">
        <v>3.1350799999999998E-2</v>
      </c>
      <c r="O47" s="7">
        <v>2E-16</v>
      </c>
      <c r="P47" s="6" t="s">
        <v>91</v>
      </c>
      <c r="Q47" t="s">
        <v>86</v>
      </c>
      <c r="R47" t="s">
        <v>86</v>
      </c>
      <c r="S47" t="s">
        <v>86</v>
      </c>
      <c r="T47" t="s">
        <v>86</v>
      </c>
      <c r="U47" t="s">
        <v>58</v>
      </c>
      <c r="V47">
        <v>2181</v>
      </c>
      <c r="W47" t="s">
        <v>128</v>
      </c>
      <c r="X47" s="11" t="s">
        <v>277</v>
      </c>
      <c r="Y47" t="s">
        <v>86</v>
      </c>
      <c r="Z47" t="s">
        <v>86</v>
      </c>
      <c r="AA47" t="s">
        <v>86</v>
      </c>
      <c r="AB47" t="s">
        <v>86</v>
      </c>
      <c r="AC47" t="s">
        <v>185</v>
      </c>
      <c r="AD47" t="s">
        <v>86</v>
      </c>
      <c r="AE47" t="s">
        <v>86</v>
      </c>
      <c r="AF47" t="s">
        <v>86</v>
      </c>
      <c r="AG47" t="s">
        <v>86</v>
      </c>
      <c r="AH47" t="s">
        <v>86</v>
      </c>
      <c r="AI47" t="s">
        <v>86</v>
      </c>
      <c r="AJ47" t="s">
        <v>86</v>
      </c>
    </row>
    <row r="48" spans="1:36" s="43" customFormat="1" x14ac:dyDescent="0.2">
      <c r="A48" t="s">
        <v>51</v>
      </c>
      <c r="B48" t="s">
        <v>308</v>
      </c>
      <c r="C48"/>
      <c r="D48" t="s">
        <v>282</v>
      </c>
      <c r="E48" s="8">
        <v>16</v>
      </c>
      <c r="F48">
        <v>23348251</v>
      </c>
      <c r="G48" t="s">
        <v>88</v>
      </c>
      <c r="H48" t="s">
        <v>89</v>
      </c>
      <c r="I48" s="2">
        <v>5.5642700000000003E-2</v>
      </c>
      <c r="J48" t="s">
        <v>86</v>
      </c>
      <c r="K48" t="s">
        <v>86</v>
      </c>
      <c r="L48" t="s">
        <v>86</v>
      </c>
      <c r="M48" s="3">
        <v>-0.42645699999999997</v>
      </c>
      <c r="N48">
        <v>7.1548E-2</v>
      </c>
      <c r="O48" s="7">
        <v>2.5000000000000001E-9</v>
      </c>
      <c r="P48" t="s">
        <v>91</v>
      </c>
      <c r="Q48" t="s">
        <v>86</v>
      </c>
      <c r="R48" t="s">
        <v>86</v>
      </c>
      <c r="S48" t="s">
        <v>86</v>
      </c>
      <c r="T48" t="s">
        <v>86</v>
      </c>
      <c r="U48" t="s">
        <v>58</v>
      </c>
      <c r="V48">
        <v>1763</v>
      </c>
      <c r="W48" t="s">
        <v>128</v>
      </c>
      <c r="X48" s="11" t="s">
        <v>279</v>
      </c>
      <c r="Y48" t="s">
        <v>86</v>
      </c>
      <c r="Z48" t="s">
        <v>86</v>
      </c>
      <c r="AA48" t="s">
        <v>86</v>
      </c>
      <c r="AB48" t="s">
        <v>280</v>
      </c>
      <c r="AC48" t="s">
        <v>281</v>
      </c>
      <c r="AD48" t="s">
        <v>86</v>
      </c>
      <c r="AE48" t="s">
        <v>86</v>
      </c>
      <c r="AF48" t="s">
        <v>86</v>
      </c>
      <c r="AG48" t="s">
        <v>86</v>
      </c>
      <c r="AH48" t="s">
        <v>86</v>
      </c>
      <c r="AI48" t="s">
        <v>86</v>
      </c>
      <c r="AJ48" t="s">
        <v>86</v>
      </c>
    </row>
    <row r="49" spans="1:36" s="43" customFormat="1" x14ac:dyDescent="0.2">
      <c r="A49" t="s">
        <v>52</v>
      </c>
      <c r="B49" t="s">
        <v>308</v>
      </c>
      <c r="C49"/>
      <c r="D49" t="s">
        <v>334</v>
      </c>
      <c r="E49" s="8">
        <v>14</v>
      </c>
      <c r="F49">
        <v>86163615</v>
      </c>
      <c r="G49" t="s">
        <v>83</v>
      </c>
      <c r="H49" t="s">
        <v>89</v>
      </c>
      <c r="I49" s="2">
        <v>6.1958100000000004E-3</v>
      </c>
      <c r="J49" t="s">
        <v>86</v>
      </c>
      <c r="K49" t="s">
        <v>86</v>
      </c>
      <c r="L49" t="s">
        <v>86</v>
      </c>
      <c r="M49" s="3">
        <v>1.12896</v>
      </c>
      <c r="N49">
        <v>0.205314</v>
      </c>
      <c r="O49" s="7">
        <v>3.8000000000000003E-8</v>
      </c>
      <c r="P49" s="6" t="s">
        <v>87</v>
      </c>
      <c r="Q49" t="s">
        <v>86</v>
      </c>
      <c r="R49" t="s">
        <v>86</v>
      </c>
      <c r="S49" t="s">
        <v>86</v>
      </c>
      <c r="T49" t="s">
        <v>86</v>
      </c>
      <c r="U49" t="s">
        <v>58</v>
      </c>
      <c r="V49">
        <v>1767</v>
      </c>
      <c r="W49" t="s">
        <v>123</v>
      </c>
      <c r="X49" s="11" t="s">
        <v>284</v>
      </c>
      <c r="Y49" t="s">
        <v>285</v>
      </c>
      <c r="Z49" t="s">
        <v>86</v>
      </c>
      <c r="AA49" t="s">
        <v>86</v>
      </c>
      <c r="AB49" t="s">
        <v>86</v>
      </c>
      <c r="AC49" t="s">
        <v>283</v>
      </c>
      <c r="AD49" t="s">
        <v>86</v>
      </c>
      <c r="AE49" t="s">
        <v>86</v>
      </c>
      <c r="AF49" t="s">
        <v>86</v>
      </c>
      <c r="AG49" t="s">
        <v>86</v>
      </c>
      <c r="AH49" t="s">
        <v>86</v>
      </c>
      <c r="AI49" t="s">
        <v>86</v>
      </c>
      <c r="AJ49" t="s">
        <v>86</v>
      </c>
    </row>
    <row r="50" spans="1:36" s="43" customFormat="1" x14ac:dyDescent="0.2">
      <c r="A50" t="s">
        <v>53</v>
      </c>
      <c r="B50" t="s">
        <v>308</v>
      </c>
      <c r="C50"/>
      <c r="D50" t="s">
        <v>288</v>
      </c>
      <c r="E50" s="8">
        <v>18</v>
      </c>
      <c r="F50">
        <v>2870877</v>
      </c>
      <c r="G50" t="s">
        <v>88</v>
      </c>
      <c r="H50" t="s">
        <v>84</v>
      </c>
      <c r="I50" s="2">
        <v>2.52906E-2</v>
      </c>
      <c r="J50" t="s">
        <v>86</v>
      </c>
      <c r="K50" t="s">
        <v>86</v>
      </c>
      <c r="L50" t="s">
        <v>86</v>
      </c>
      <c r="M50" s="3">
        <v>0.98072000000000004</v>
      </c>
      <c r="N50">
        <v>0.17791599999999999</v>
      </c>
      <c r="O50" s="7">
        <v>3.5000000000000002E-8</v>
      </c>
      <c r="P50" s="6" t="s">
        <v>87</v>
      </c>
      <c r="Q50" t="s">
        <v>86</v>
      </c>
      <c r="R50" t="s">
        <v>86</v>
      </c>
      <c r="S50" t="s">
        <v>86</v>
      </c>
      <c r="T50" t="s">
        <v>86</v>
      </c>
      <c r="U50" t="s">
        <v>58</v>
      </c>
      <c r="V50">
        <v>745</v>
      </c>
      <c r="W50" t="s">
        <v>128</v>
      </c>
      <c r="X50" s="11" t="s">
        <v>286</v>
      </c>
      <c r="Y50" t="s">
        <v>86</v>
      </c>
      <c r="Z50" t="s">
        <v>86</v>
      </c>
      <c r="AA50" t="s">
        <v>86</v>
      </c>
      <c r="AB50" t="s">
        <v>86</v>
      </c>
      <c r="AC50" t="s">
        <v>287</v>
      </c>
      <c r="AD50" t="s">
        <v>86</v>
      </c>
      <c r="AE50" t="s">
        <v>86</v>
      </c>
      <c r="AF50" t="s">
        <v>86</v>
      </c>
      <c r="AG50" t="s">
        <v>86</v>
      </c>
      <c r="AH50" t="s">
        <v>86</v>
      </c>
      <c r="AI50" t="s">
        <v>86</v>
      </c>
      <c r="AJ50" t="s">
        <v>86</v>
      </c>
    </row>
    <row r="51" spans="1:36" x14ac:dyDescent="0.2">
      <c r="A51" t="s">
        <v>56</v>
      </c>
      <c r="B51" t="s">
        <v>308</v>
      </c>
      <c r="D51" t="s">
        <v>304</v>
      </c>
      <c r="E51">
        <v>1</v>
      </c>
      <c r="F51">
        <v>199029020</v>
      </c>
      <c r="G51" t="s">
        <v>89</v>
      </c>
      <c r="H51" t="s">
        <v>83</v>
      </c>
      <c r="I51" s="2">
        <f>1-0.3411</f>
        <v>0.65890000000000004</v>
      </c>
      <c r="J51">
        <v>7.3000000000000001E-3</v>
      </c>
      <c r="K51">
        <f>1-0.328</f>
        <v>0.67199999999999993</v>
      </c>
      <c r="L51">
        <f>1-0.3487</f>
        <v>0.65129999999999999</v>
      </c>
      <c r="M51" s="3">
        <v>-0.10979999999999999</v>
      </c>
      <c r="N51">
        <v>1.8100000000000002E-2</v>
      </c>
      <c r="O51" s="7">
        <v>1.2980000000000001E-9</v>
      </c>
      <c r="P51" s="6" t="s">
        <v>95</v>
      </c>
      <c r="Q51">
        <v>0</v>
      </c>
      <c r="R51">
        <v>1.155</v>
      </c>
      <c r="S51">
        <v>2</v>
      </c>
      <c r="T51">
        <v>0.56120000000000003</v>
      </c>
      <c r="U51" t="s">
        <v>310</v>
      </c>
      <c r="V51">
        <f>2803+2812+949</f>
        <v>6564</v>
      </c>
      <c r="W51" t="s">
        <v>133</v>
      </c>
      <c r="X51" s="11" t="s">
        <v>302</v>
      </c>
      <c r="Y51" t="s">
        <v>86</v>
      </c>
      <c r="Z51" t="s">
        <v>86</v>
      </c>
      <c r="AA51" t="s">
        <v>86</v>
      </c>
      <c r="AB51" t="s">
        <v>86</v>
      </c>
      <c r="AC51" t="s">
        <v>303</v>
      </c>
      <c r="AD51" t="s">
        <v>86</v>
      </c>
      <c r="AE51" t="s">
        <v>86</v>
      </c>
      <c r="AF51" t="s">
        <v>86</v>
      </c>
      <c r="AG51" t="s">
        <v>86</v>
      </c>
      <c r="AH51" t="s">
        <v>86</v>
      </c>
      <c r="AI51" t="s">
        <v>86</v>
      </c>
      <c r="AJ51" t="s">
        <v>86</v>
      </c>
    </row>
    <row r="52" spans="1:36" s="42" customFormat="1" x14ac:dyDescent="0.2">
      <c r="A52" t="s">
        <v>56</v>
      </c>
      <c r="B52" t="s">
        <v>308</v>
      </c>
      <c r="C52"/>
      <c r="D52" t="s">
        <v>306</v>
      </c>
      <c r="E52">
        <v>2</v>
      </c>
      <c r="F52">
        <v>151940427</v>
      </c>
      <c r="G52" t="s">
        <v>103</v>
      </c>
      <c r="H52" t="s">
        <v>83</v>
      </c>
      <c r="I52" s="2">
        <f>1-0.9979</f>
        <v>2.0999999999999908E-3</v>
      </c>
      <c r="J52" t="s">
        <v>86</v>
      </c>
      <c r="K52" t="s">
        <v>86</v>
      </c>
      <c r="L52" t="s">
        <v>86</v>
      </c>
      <c r="M52" s="3">
        <v>-1.6313</v>
      </c>
      <c r="N52">
        <v>0.28820000000000001</v>
      </c>
      <c r="O52" s="7">
        <v>1.5060000000000001E-8</v>
      </c>
      <c r="P52" s="6" t="s">
        <v>313</v>
      </c>
      <c r="Q52" t="s">
        <v>86</v>
      </c>
      <c r="R52" t="s">
        <v>86</v>
      </c>
      <c r="S52" t="s">
        <v>86</v>
      </c>
      <c r="T52" t="s">
        <v>86</v>
      </c>
      <c r="U52" t="s">
        <v>58</v>
      </c>
      <c r="V52">
        <f>2803+2812+949</f>
        <v>6564</v>
      </c>
      <c r="W52" t="s">
        <v>123</v>
      </c>
      <c r="X52" s="11" t="s">
        <v>299</v>
      </c>
      <c r="Y52" t="s">
        <v>300</v>
      </c>
      <c r="Z52" t="s">
        <v>86</v>
      </c>
      <c r="AA52" t="s">
        <v>86</v>
      </c>
      <c r="AB52" t="s">
        <v>86</v>
      </c>
      <c r="AC52" t="s">
        <v>301</v>
      </c>
      <c r="AD52" t="s">
        <v>86</v>
      </c>
      <c r="AE52" t="s">
        <v>86</v>
      </c>
      <c r="AF52" t="s">
        <v>86</v>
      </c>
      <c r="AG52" t="s">
        <v>86</v>
      </c>
      <c r="AH52" t="s">
        <v>86</v>
      </c>
      <c r="AI52" t="s">
        <v>86</v>
      </c>
      <c r="AJ52" t="s">
        <v>86</v>
      </c>
    </row>
    <row r="53" spans="1:36" x14ac:dyDescent="0.2">
      <c r="A53" t="s">
        <v>56</v>
      </c>
      <c r="B53" t="s">
        <v>307</v>
      </c>
      <c r="C53" t="s">
        <v>319</v>
      </c>
      <c r="D53" t="s">
        <v>298</v>
      </c>
      <c r="E53">
        <v>8</v>
      </c>
      <c r="F53">
        <v>86260295</v>
      </c>
      <c r="G53" t="s">
        <v>89</v>
      </c>
      <c r="H53" t="s">
        <v>84</v>
      </c>
      <c r="I53" s="2">
        <f>1-0.3922</f>
        <v>0.60780000000000001</v>
      </c>
      <c r="J53">
        <v>0.01</v>
      </c>
      <c r="K53">
        <f>1-0.4037</f>
        <v>0.59630000000000005</v>
      </c>
      <c r="L53">
        <f>1-0.3823</f>
        <v>0.61770000000000003</v>
      </c>
      <c r="M53" s="3">
        <v>-0.16930000000000001</v>
      </c>
      <c r="N53">
        <v>1.7500000000000002E-2</v>
      </c>
      <c r="O53" s="7">
        <v>4.7010000000000004E-22</v>
      </c>
      <c r="P53" s="6" t="s">
        <v>95</v>
      </c>
      <c r="Q53">
        <v>11.3</v>
      </c>
      <c r="R53">
        <v>2.2559999999999998</v>
      </c>
      <c r="S53">
        <v>2</v>
      </c>
      <c r="T53">
        <v>0.32369999999999999</v>
      </c>
      <c r="U53" t="s">
        <v>310</v>
      </c>
      <c r="V53">
        <f>2803+2812+949</f>
        <v>6564</v>
      </c>
      <c r="W53" t="s">
        <v>128</v>
      </c>
      <c r="X53" s="11" t="s">
        <v>296</v>
      </c>
      <c r="Y53" t="s">
        <v>86</v>
      </c>
      <c r="Z53" t="s">
        <v>86</v>
      </c>
      <c r="AA53" t="s">
        <v>86</v>
      </c>
      <c r="AB53" t="s">
        <v>86</v>
      </c>
      <c r="AC53" t="s">
        <v>297</v>
      </c>
      <c r="AD53" t="s">
        <v>86</v>
      </c>
      <c r="AE53" t="s">
        <v>86</v>
      </c>
      <c r="AF53" t="s">
        <v>86</v>
      </c>
      <c r="AG53" t="s">
        <v>86</v>
      </c>
      <c r="AH53" t="s">
        <v>86</v>
      </c>
      <c r="AI53" t="s">
        <v>86</v>
      </c>
      <c r="AJ53" t="s">
        <v>86</v>
      </c>
    </row>
    <row r="54" spans="1:36" x14ac:dyDescent="0.2">
      <c r="A54" t="s">
        <v>56</v>
      </c>
      <c r="B54" t="s">
        <v>307</v>
      </c>
      <c r="C54" t="s">
        <v>319</v>
      </c>
      <c r="D54" t="s">
        <v>295</v>
      </c>
      <c r="E54">
        <v>15</v>
      </c>
      <c r="F54">
        <v>75355944</v>
      </c>
      <c r="G54" t="s">
        <v>89</v>
      </c>
      <c r="H54" t="s">
        <v>88</v>
      </c>
      <c r="I54" s="2">
        <f>1-0.8236</f>
        <v>0.1764</v>
      </c>
      <c r="J54">
        <v>4.7000000000000002E-3</v>
      </c>
      <c r="K54">
        <f>1-0.834</f>
        <v>0.16600000000000004</v>
      </c>
      <c r="L54">
        <f>1-0.8199</f>
        <v>0.18010000000000004</v>
      </c>
      <c r="M54" s="3">
        <v>-0.2903</v>
      </c>
      <c r="N54">
        <v>2.23E-2</v>
      </c>
      <c r="O54" s="7">
        <v>1.4379999999999999E-38</v>
      </c>
      <c r="P54" s="6" t="s">
        <v>95</v>
      </c>
      <c r="Q54">
        <v>86.5</v>
      </c>
      <c r="R54">
        <v>14.766</v>
      </c>
      <c r="S54">
        <v>2</v>
      </c>
      <c r="T54">
        <v>6.2180000000000004E-4</v>
      </c>
      <c r="U54" t="s">
        <v>310</v>
      </c>
      <c r="V54">
        <f>2803+2812+949</f>
        <v>6564</v>
      </c>
      <c r="W54" t="s">
        <v>123</v>
      </c>
      <c r="X54" s="11" t="s">
        <v>292</v>
      </c>
      <c r="Y54" t="s">
        <v>293</v>
      </c>
      <c r="Z54" t="s">
        <v>86</v>
      </c>
      <c r="AA54" t="s">
        <v>86</v>
      </c>
      <c r="AB54" t="s">
        <v>86</v>
      </c>
      <c r="AC54" t="s">
        <v>294</v>
      </c>
      <c r="AD54" t="s">
        <v>86</v>
      </c>
      <c r="AE54" t="s">
        <v>86</v>
      </c>
      <c r="AF54" t="s">
        <v>86</v>
      </c>
      <c r="AG54" t="s">
        <v>86</v>
      </c>
      <c r="AH54" t="s">
        <v>86</v>
      </c>
      <c r="AI54" t="s">
        <v>86</v>
      </c>
      <c r="AJ54" t="s">
        <v>86</v>
      </c>
    </row>
    <row r="55" spans="1:36" s="42" customFormat="1" x14ac:dyDescent="0.2">
      <c r="A55" t="s">
        <v>56</v>
      </c>
      <c r="B55" t="s">
        <v>308</v>
      </c>
      <c r="C55"/>
      <c r="D55" t="s">
        <v>291</v>
      </c>
      <c r="E55">
        <v>22</v>
      </c>
      <c r="F55">
        <v>48154342</v>
      </c>
      <c r="G55" t="s">
        <v>89</v>
      </c>
      <c r="H55" t="s">
        <v>88</v>
      </c>
      <c r="I55" s="2">
        <f>1-0.9978</f>
        <v>2.1999999999999797E-3</v>
      </c>
      <c r="J55" t="s">
        <v>86</v>
      </c>
      <c r="K55" t="s">
        <v>86</v>
      </c>
      <c r="L55" t="s">
        <v>86</v>
      </c>
      <c r="M55" s="3">
        <v>-1.6403000000000001</v>
      </c>
      <c r="N55">
        <v>0.3004</v>
      </c>
      <c r="O55" s="7">
        <v>4.7460000000000003E-8</v>
      </c>
      <c r="P55" s="6" t="s">
        <v>313</v>
      </c>
      <c r="Q55" t="s">
        <v>86</v>
      </c>
      <c r="R55" t="s">
        <v>86</v>
      </c>
      <c r="S55" t="s">
        <v>86</v>
      </c>
      <c r="T55" t="s">
        <v>86</v>
      </c>
      <c r="U55" t="s">
        <v>58</v>
      </c>
      <c r="V55">
        <f>2803+2812+949</f>
        <v>6564</v>
      </c>
      <c r="W55" t="s">
        <v>133</v>
      </c>
      <c r="X55" s="11" t="s">
        <v>289</v>
      </c>
      <c r="Y55" t="s">
        <v>86</v>
      </c>
      <c r="Z55" t="s">
        <v>86</v>
      </c>
      <c r="AA55" t="s">
        <v>86</v>
      </c>
      <c r="AB55" t="s">
        <v>86</v>
      </c>
      <c r="AC55" t="s">
        <v>290</v>
      </c>
      <c r="AD55" t="s">
        <v>86</v>
      </c>
      <c r="AE55" t="s">
        <v>86</v>
      </c>
      <c r="AF55" t="s">
        <v>86</v>
      </c>
      <c r="AG55" t="s">
        <v>86</v>
      </c>
      <c r="AH55" t="s">
        <v>86</v>
      </c>
      <c r="AI55" t="s">
        <v>86</v>
      </c>
      <c r="AJ55" t="s">
        <v>86</v>
      </c>
    </row>
    <row r="57" spans="1:36" x14ac:dyDescent="0.2">
      <c r="A57" t="s">
        <v>335</v>
      </c>
    </row>
  </sheetData>
  <sortState xmlns:xlrd2="http://schemas.microsoft.com/office/spreadsheetml/2017/richdata2" ref="A8:V59">
    <sortCondition ref="A8:A5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65BC3-1487-6C4B-A9D6-BF43994DF83C}">
  <dimension ref="A1:P33"/>
  <sheetViews>
    <sheetView workbookViewId="0">
      <selection activeCell="A2" sqref="A2"/>
    </sheetView>
  </sheetViews>
  <sheetFormatPr baseColWidth="10" defaultRowHeight="16" x14ac:dyDescent="0.2"/>
  <cols>
    <col min="1" max="3" width="13.1640625" customWidth="1"/>
    <col min="4" max="4" width="6.33203125" customWidth="1"/>
    <col min="5" max="5" width="12.1640625" customWidth="1"/>
    <col min="6" max="6" width="5.1640625" customWidth="1"/>
    <col min="7" max="7" width="5.83203125" customWidth="1"/>
    <col min="9" max="9" width="5.83203125" customWidth="1"/>
    <col min="10" max="10" width="5.1640625" customWidth="1"/>
    <col min="11" max="11" width="2.33203125" customWidth="1"/>
    <col min="12" max="12" width="5.6640625" customWidth="1"/>
    <col min="13" max="13" width="6.1640625" customWidth="1"/>
    <col min="14" max="14" width="2.1640625" customWidth="1"/>
    <col min="15" max="15" width="7.1640625" customWidth="1"/>
    <col min="16" max="16" width="5.1640625" customWidth="1"/>
  </cols>
  <sheetData>
    <row r="1" spans="1:16" s="1" customFormat="1" ht="21" x14ac:dyDescent="0.25">
      <c r="A1" s="19" t="s">
        <v>566</v>
      </c>
    </row>
    <row r="2" spans="1:16" x14ac:dyDescent="0.2">
      <c r="A2" t="s">
        <v>383</v>
      </c>
    </row>
    <row r="3" spans="1:16" x14ac:dyDescent="0.2">
      <c r="A3" t="s">
        <v>516</v>
      </c>
    </row>
    <row r="4" spans="1:16" x14ac:dyDescent="0.2">
      <c r="A4" t="s">
        <v>515</v>
      </c>
    </row>
    <row r="5" spans="1:16" ht="19" x14ac:dyDescent="0.25">
      <c r="I5" s="16" t="s">
        <v>58</v>
      </c>
      <c r="L5" s="16" t="s">
        <v>331</v>
      </c>
      <c r="O5" s="16" t="s">
        <v>332</v>
      </c>
    </row>
    <row r="6" spans="1:16" x14ac:dyDescent="0.2">
      <c r="A6" s="1" t="s">
        <v>320</v>
      </c>
      <c r="B6" s="1" t="s">
        <v>90</v>
      </c>
      <c r="C6" s="1" t="s">
        <v>321</v>
      </c>
      <c r="D6" s="1" t="s">
        <v>101</v>
      </c>
      <c r="E6" s="1" t="s">
        <v>100</v>
      </c>
      <c r="F6" s="1" t="s">
        <v>99</v>
      </c>
      <c r="G6" s="1" t="s">
        <v>98</v>
      </c>
      <c r="H6" s="1" t="s">
        <v>333</v>
      </c>
      <c r="I6" s="1" t="s">
        <v>76</v>
      </c>
      <c r="J6" s="1" t="s">
        <v>330</v>
      </c>
      <c r="L6" s="1" t="s">
        <v>76</v>
      </c>
      <c r="M6" s="1" t="s">
        <v>330</v>
      </c>
      <c r="O6" s="1" t="s">
        <v>76</v>
      </c>
      <c r="P6" s="1" t="s">
        <v>330</v>
      </c>
    </row>
    <row r="7" spans="1:16" x14ac:dyDescent="0.2">
      <c r="A7" t="s">
        <v>3</v>
      </c>
      <c r="B7" t="s">
        <v>308</v>
      </c>
      <c r="C7" t="s">
        <v>122</v>
      </c>
      <c r="D7">
        <v>3</v>
      </c>
      <c r="E7" s="10">
        <v>45785915</v>
      </c>
      <c r="F7" t="s">
        <v>84</v>
      </c>
      <c r="G7" t="s">
        <v>88</v>
      </c>
      <c r="H7" s="6" t="s">
        <v>93</v>
      </c>
      <c r="I7" s="3">
        <v>0.24859999999999999</v>
      </c>
      <c r="J7" s="3">
        <v>4.2772400000000002E-2</v>
      </c>
      <c r="L7" s="3">
        <v>0.25590000000000002</v>
      </c>
      <c r="M7" s="3">
        <v>4.5170000000000002E-2</v>
      </c>
      <c r="O7" t="s">
        <v>86</v>
      </c>
      <c r="P7" t="s">
        <v>86</v>
      </c>
    </row>
    <row r="8" spans="1:16" x14ac:dyDescent="0.2">
      <c r="A8" t="s">
        <v>9</v>
      </c>
      <c r="B8" t="s">
        <v>307</v>
      </c>
      <c r="C8" t="s">
        <v>140</v>
      </c>
      <c r="D8">
        <v>4</v>
      </c>
      <c r="E8">
        <v>103268763</v>
      </c>
      <c r="F8" t="s">
        <v>88</v>
      </c>
      <c r="G8" t="s">
        <v>89</v>
      </c>
      <c r="H8" s="6" t="s">
        <v>95</v>
      </c>
      <c r="I8" s="3">
        <v>-0.181197</v>
      </c>
      <c r="J8" s="3">
        <v>4.1154400000000001E-2</v>
      </c>
      <c r="L8" s="3">
        <v>-0.24807599999999999</v>
      </c>
      <c r="M8" s="3">
        <v>4.2529999999999998E-2</v>
      </c>
      <c r="O8" s="3">
        <v>-0.16999</v>
      </c>
      <c r="P8" s="3">
        <v>7.6439999999999994E-2</v>
      </c>
    </row>
    <row r="9" spans="1:16" s="12" customFormat="1" x14ac:dyDescent="0.2">
      <c r="A9" t="s">
        <v>9</v>
      </c>
      <c r="B9" t="s">
        <v>307</v>
      </c>
      <c r="C9" t="s">
        <v>136</v>
      </c>
      <c r="D9">
        <v>8</v>
      </c>
      <c r="E9">
        <v>71570989</v>
      </c>
      <c r="F9" t="s">
        <v>84</v>
      </c>
      <c r="G9" t="s">
        <v>83</v>
      </c>
      <c r="H9" s="6" t="s">
        <v>95</v>
      </c>
      <c r="I9" s="3">
        <v>-9.7910399999999995E-2</v>
      </c>
      <c r="J9" s="3">
        <v>2.6165299999999999E-2</v>
      </c>
      <c r="L9" s="3">
        <v>-0.13394900000000001</v>
      </c>
      <c r="M9" s="3">
        <v>2.7289000000000001E-2</v>
      </c>
      <c r="O9" s="3">
        <v>-0.10775999999999999</v>
      </c>
      <c r="P9" s="3">
        <v>4.4209999999999999E-2</v>
      </c>
    </row>
    <row r="10" spans="1:16" x14ac:dyDescent="0.2">
      <c r="A10" t="s">
        <v>9</v>
      </c>
      <c r="B10" t="s">
        <v>308</v>
      </c>
      <c r="C10" t="s">
        <v>132</v>
      </c>
      <c r="D10">
        <v>15</v>
      </c>
      <c r="E10">
        <v>45393667</v>
      </c>
      <c r="F10" t="s">
        <v>89</v>
      </c>
      <c r="G10" t="s">
        <v>88</v>
      </c>
      <c r="H10" s="6" t="s">
        <v>92</v>
      </c>
      <c r="I10" s="3">
        <v>5.7380500000000001E-2</v>
      </c>
      <c r="J10" s="3">
        <v>5.0821100000000001E-2</v>
      </c>
      <c r="L10" s="3">
        <v>0.32172200000000001</v>
      </c>
      <c r="M10" s="3">
        <v>4.9910200000000002E-2</v>
      </c>
      <c r="O10" s="3">
        <v>0.29898999999999998</v>
      </c>
      <c r="P10" s="3">
        <v>8.6169999999999997E-2</v>
      </c>
    </row>
    <row r="11" spans="1:16" x14ac:dyDescent="0.2">
      <c r="A11" t="s">
        <v>16</v>
      </c>
      <c r="B11" t="s">
        <v>307</v>
      </c>
      <c r="C11" t="s">
        <v>148</v>
      </c>
      <c r="D11">
        <v>3</v>
      </c>
      <c r="E11">
        <v>148929951</v>
      </c>
      <c r="F11" t="s">
        <v>84</v>
      </c>
      <c r="G11" t="s">
        <v>89</v>
      </c>
      <c r="H11" s="6" t="s">
        <v>92</v>
      </c>
      <c r="I11" s="3">
        <v>0.176061</v>
      </c>
      <c r="J11" s="3">
        <v>3.0700000000000002E-2</v>
      </c>
      <c r="L11" s="3">
        <v>0.28164099999999997</v>
      </c>
      <c r="M11" s="3">
        <v>3.6750400000000003E-2</v>
      </c>
      <c r="O11" s="3">
        <v>0.17466000000000001</v>
      </c>
      <c r="P11" s="3">
        <v>5.0880000000000002E-2</v>
      </c>
    </row>
    <row r="12" spans="1:16" x14ac:dyDescent="0.2">
      <c r="A12" t="s">
        <v>25</v>
      </c>
      <c r="B12" t="s">
        <v>307</v>
      </c>
      <c r="C12" s="9" t="s">
        <v>198</v>
      </c>
      <c r="D12" s="9">
        <v>9</v>
      </c>
      <c r="E12" s="9">
        <v>116152990</v>
      </c>
      <c r="F12" s="9" t="s">
        <v>83</v>
      </c>
      <c r="G12" s="9" t="s">
        <v>88</v>
      </c>
      <c r="H12" s="6" t="s">
        <v>95</v>
      </c>
      <c r="I12" s="3">
        <v>-0.25604300000000002</v>
      </c>
      <c r="J12" s="3">
        <v>4.9678100000000003E-2</v>
      </c>
      <c r="L12" s="3">
        <v>-0.32806400000000002</v>
      </c>
      <c r="M12" s="3">
        <v>5.7399600000000002E-2</v>
      </c>
      <c r="O12" s="3">
        <v>-0.36623</v>
      </c>
      <c r="P12" s="3">
        <v>7.9509999999999997E-2</v>
      </c>
    </row>
    <row r="13" spans="1:16" x14ac:dyDescent="0.2">
      <c r="A13" t="s">
        <v>28</v>
      </c>
      <c r="B13" t="s">
        <v>307</v>
      </c>
      <c r="C13" t="s">
        <v>256</v>
      </c>
      <c r="D13">
        <v>1</v>
      </c>
      <c r="E13">
        <v>220074279</v>
      </c>
      <c r="F13" t="s">
        <v>88</v>
      </c>
      <c r="G13" t="s">
        <v>84</v>
      </c>
      <c r="H13" s="6" t="s">
        <v>95</v>
      </c>
      <c r="I13" s="3">
        <v>-0.43898599999999999</v>
      </c>
      <c r="J13" s="3">
        <v>3.3384400000000002E-2</v>
      </c>
      <c r="L13" s="3">
        <v>-0.50358400000000003</v>
      </c>
      <c r="M13" s="3">
        <v>3.4929599999999998E-2</v>
      </c>
      <c r="O13" s="3">
        <v>-0.46548</v>
      </c>
      <c r="P13" s="3">
        <v>5.6989999999999999E-2</v>
      </c>
    </row>
    <row r="14" spans="1:16" x14ac:dyDescent="0.2">
      <c r="A14" t="s">
        <v>28</v>
      </c>
      <c r="B14" t="s">
        <v>307</v>
      </c>
      <c r="C14" t="s">
        <v>252</v>
      </c>
      <c r="D14">
        <v>4</v>
      </c>
      <c r="E14">
        <v>103188709</v>
      </c>
      <c r="F14" t="s">
        <v>83</v>
      </c>
      <c r="G14" t="s">
        <v>84</v>
      </c>
      <c r="H14" s="6" t="s">
        <v>95</v>
      </c>
      <c r="I14" s="3">
        <v>-0.390407</v>
      </c>
      <c r="J14" s="3">
        <v>5.7369099999999999E-2</v>
      </c>
      <c r="L14" s="3">
        <v>-0.33099400000000001</v>
      </c>
      <c r="M14" s="3">
        <v>6.83671E-2</v>
      </c>
      <c r="O14" s="3">
        <v>-0.79825000000000002</v>
      </c>
      <c r="P14" s="3">
        <v>0.11310000000000001</v>
      </c>
    </row>
    <row r="15" spans="1:16" x14ac:dyDescent="0.2">
      <c r="A15" t="s">
        <v>28</v>
      </c>
      <c r="B15" t="s">
        <v>308</v>
      </c>
      <c r="C15" t="s">
        <v>214</v>
      </c>
      <c r="D15">
        <v>6</v>
      </c>
      <c r="E15">
        <v>5119696</v>
      </c>
      <c r="F15" t="s">
        <v>83</v>
      </c>
      <c r="G15" t="s">
        <v>84</v>
      </c>
      <c r="H15" s="6" t="s">
        <v>92</v>
      </c>
      <c r="I15" s="3">
        <v>0.15944800000000001</v>
      </c>
      <c r="J15" s="3">
        <v>2.9539099999999999E-2</v>
      </c>
      <c r="L15" s="3">
        <v>0.13194800000000001</v>
      </c>
      <c r="M15" s="3">
        <v>3.0980000000000001E-2</v>
      </c>
      <c r="O15" s="3">
        <v>0.15060999999999999</v>
      </c>
      <c r="P15" s="3">
        <v>4.9209999999999997E-2</v>
      </c>
    </row>
    <row r="16" spans="1:16" x14ac:dyDescent="0.2">
      <c r="A16" t="s">
        <v>28</v>
      </c>
      <c r="B16" t="s">
        <v>307</v>
      </c>
      <c r="C16" t="s">
        <v>221</v>
      </c>
      <c r="D16">
        <v>6</v>
      </c>
      <c r="E16">
        <v>26093141</v>
      </c>
      <c r="F16" t="s">
        <v>88</v>
      </c>
      <c r="G16" t="s">
        <v>89</v>
      </c>
      <c r="H16" s="6" t="s">
        <v>95</v>
      </c>
      <c r="I16" s="3">
        <v>-0.19889100000000001</v>
      </c>
      <c r="J16" s="3">
        <v>4.6298899999999997E-2</v>
      </c>
      <c r="L16" s="3">
        <v>-0.23017000000000001</v>
      </c>
      <c r="M16" s="3">
        <v>5.2028600000000001E-2</v>
      </c>
      <c r="O16" s="3">
        <v>-0.31331999999999999</v>
      </c>
      <c r="P16" s="3">
        <v>9.4240000000000004E-2</v>
      </c>
    </row>
    <row r="17" spans="1:16" x14ac:dyDescent="0.2">
      <c r="A17" t="s">
        <v>28</v>
      </c>
      <c r="B17" t="s">
        <v>308</v>
      </c>
      <c r="C17" t="s">
        <v>248</v>
      </c>
      <c r="D17">
        <v>9</v>
      </c>
      <c r="E17">
        <v>88903367</v>
      </c>
      <c r="F17" t="s">
        <v>84</v>
      </c>
      <c r="G17" t="s">
        <v>89</v>
      </c>
      <c r="H17" s="6" t="s">
        <v>92</v>
      </c>
      <c r="I17" s="3">
        <v>0.16454099999999999</v>
      </c>
      <c r="J17" s="3">
        <v>2.7934299999999999E-2</v>
      </c>
      <c r="L17" s="3">
        <v>0.124255</v>
      </c>
      <c r="M17" s="3">
        <v>2.7571600000000002E-2</v>
      </c>
      <c r="O17" s="3">
        <v>0.1721</v>
      </c>
      <c r="P17" s="3">
        <v>4.6899999999999997E-2</v>
      </c>
    </row>
    <row r="18" spans="1:16" x14ac:dyDescent="0.2">
      <c r="A18" t="s">
        <v>28</v>
      </c>
      <c r="B18" t="s">
        <v>308</v>
      </c>
      <c r="C18" t="s">
        <v>244</v>
      </c>
      <c r="D18">
        <v>15</v>
      </c>
      <c r="E18">
        <v>65998702</v>
      </c>
      <c r="F18" t="s">
        <v>83</v>
      </c>
      <c r="G18" t="s">
        <v>84</v>
      </c>
      <c r="H18" s="6" t="s">
        <v>92</v>
      </c>
      <c r="I18" s="3">
        <v>0.16847400000000001</v>
      </c>
      <c r="J18" s="3">
        <v>3.19831E-2</v>
      </c>
      <c r="L18" s="3">
        <v>0.15653400000000001</v>
      </c>
      <c r="M18" s="3">
        <v>3.2038200000000003E-2</v>
      </c>
      <c r="O18" s="3">
        <v>0.1225</v>
      </c>
      <c r="P18" s="3">
        <v>5.2260000000000001E-2</v>
      </c>
    </row>
    <row r="19" spans="1:16" x14ac:dyDescent="0.2">
      <c r="A19" t="s">
        <v>28</v>
      </c>
      <c r="B19" t="s">
        <v>308</v>
      </c>
      <c r="C19" t="s">
        <v>241</v>
      </c>
      <c r="D19">
        <v>18</v>
      </c>
      <c r="E19">
        <v>55238820</v>
      </c>
      <c r="F19" t="s">
        <v>89</v>
      </c>
      <c r="G19" t="s">
        <v>88</v>
      </c>
      <c r="H19" s="6" t="s">
        <v>92</v>
      </c>
      <c r="I19" s="3">
        <v>0.42171199999999998</v>
      </c>
      <c r="J19" s="3">
        <v>6.1112800000000002E-2</v>
      </c>
      <c r="L19" s="3">
        <v>0.27448299999999998</v>
      </c>
      <c r="M19" s="3">
        <v>6.14607E-2</v>
      </c>
      <c r="O19" s="3">
        <v>0.43347000000000002</v>
      </c>
      <c r="P19" s="3">
        <v>8.9539999999999995E-2</v>
      </c>
    </row>
    <row r="20" spans="1:16" x14ac:dyDescent="0.2">
      <c r="A20" t="s">
        <v>28</v>
      </c>
      <c r="B20" t="s">
        <v>308</v>
      </c>
      <c r="C20" t="s">
        <v>237</v>
      </c>
      <c r="D20">
        <v>20</v>
      </c>
      <c r="E20">
        <v>54941140</v>
      </c>
      <c r="F20" t="s">
        <v>83</v>
      </c>
      <c r="G20" t="s">
        <v>84</v>
      </c>
      <c r="H20" s="6" t="s">
        <v>95</v>
      </c>
      <c r="I20" s="3">
        <v>-0.148032</v>
      </c>
      <c r="J20" s="3">
        <v>3.3601100000000002E-2</v>
      </c>
      <c r="L20" s="3">
        <v>-0.18404400000000001</v>
      </c>
      <c r="M20" s="3">
        <v>3.45431E-2</v>
      </c>
      <c r="O20" s="3">
        <v>-0.12531999999999999</v>
      </c>
      <c r="P20" s="3">
        <v>6.4079999999999998E-2</v>
      </c>
    </row>
    <row r="21" spans="1:16" x14ac:dyDescent="0.2">
      <c r="A21" t="s">
        <v>28</v>
      </c>
      <c r="B21" t="s">
        <v>308</v>
      </c>
      <c r="C21" t="s">
        <v>226</v>
      </c>
      <c r="D21">
        <v>22</v>
      </c>
      <c r="E21">
        <v>29154455</v>
      </c>
      <c r="F21" t="s">
        <v>89</v>
      </c>
      <c r="G21" t="s">
        <v>88</v>
      </c>
      <c r="H21" s="6" t="s">
        <v>95</v>
      </c>
      <c r="I21" s="3">
        <v>-0.118075</v>
      </c>
      <c r="J21" s="3">
        <v>2.66728E-2</v>
      </c>
      <c r="L21" s="3">
        <v>-0.133408</v>
      </c>
      <c r="M21" s="3">
        <v>2.7477600000000001E-2</v>
      </c>
      <c r="O21" s="3">
        <v>-8.3000000000000001E-4</v>
      </c>
      <c r="P21" s="3">
        <v>4.7199999999999999E-2</v>
      </c>
    </row>
    <row r="22" spans="1:16" x14ac:dyDescent="0.2">
      <c r="A22" t="s">
        <v>28</v>
      </c>
      <c r="B22" t="s">
        <v>308</v>
      </c>
      <c r="C22" t="s">
        <v>231</v>
      </c>
      <c r="D22">
        <v>22</v>
      </c>
      <c r="E22">
        <v>37462936</v>
      </c>
      <c r="F22" t="s">
        <v>89</v>
      </c>
      <c r="G22" t="s">
        <v>88</v>
      </c>
      <c r="H22" s="6" t="s">
        <v>95</v>
      </c>
      <c r="I22" s="3">
        <v>-0.120772</v>
      </c>
      <c r="J22" s="3">
        <v>2.71408E-2</v>
      </c>
      <c r="L22" s="3">
        <v>-0.13330400000000001</v>
      </c>
      <c r="M22" s="3">
        <v>2.7367099999999998E-2</v>
      </c>
      <c r="O22" s="3">
        <v>-0.10131</v>
      </c>
      <c r="P22" s="3">
        <v>4.5109999999999997E-2</v>
      </c>
    </row>
    <row r="23" spans="1:16" x14ac:dyDescent="0.2">
      <c r="A23" t="s">
        <v>42</v>
      </c>
      <c r="B23" t="s">
        <v>308</v>
      </c>
      <c r="C23" s="9" t="s">
        <v>272</v>
      </c>
      <c r="D23" s="9">
        <v>2</v>
      </c>
      <c r="E23" s="9">
        <v>211540507</v>
      </c>
      <c r="F23" s="9" t="s">
        <v>83</v>
      </c>
      <c r="G23" s="9" t="s">
        <v>89</v>
      </c>
      <c r="H23" s="6" t="s">
        <v>93</v>
      </c>
      <c r="I23" s="3">
        <v>0.12618099999999999</v>
      </c>
      <c r="J23" s="3">
        <v>2.4681399999999999E-2</v>
      </c>
      <c r="L23" s="3">
        <v>8.7889999999999996E-2</v>
      </c>
      <c r="M23" s="3">
        <v>2.9844300000000001E-2</v>
      </c>
      <c r="O23" s="3" t="s">
        <v>86</v>
      </c>
      <c r="P23" s="3" t="s">
        <v>86</v>
      </c>
    </row>
    <row r="24" spans="1:16" x14ac:dyDescent="0.2">
      <c r="A24" t="s">
        <v>42</v>
      </c>
      <c r="B24" t="s">
        <v>307</v>
      </c>
      <c r="C24" s="9" t="s">
        <v>264</v>
      </c>
      <c r="D24" s="9">
        <v>5</v>
      </c>
      <c r="E24" s="9">
        <v>78344976</v>
      </c>
      <c r="F24" s="9" t="s">
        <v>89</v>
      </c>
      <c r="G24" s="9" t="s">
        <v>88</v>
      </c>
      <c r="H24" s="6" t="s">
        <v>93</v>
      </c>
      <c r="I24" s="3">
        <v>0.24643599999999999</v>
      </c>
      <c r="J24" s="3">
        <v>3.3920499999999999E-2</v>
      </c>
      <c r="L24" s="3">
        <v>0.26739200000000002</v>
      </c>
      <c r="M24" s="3">
        <v>4.1604799999999997E-2</v>
      </c>
      <c r="O24" s="3" t="s">
        <v>86</v>
      </c>
      <c r="P24" s="3" t="s">
        <v>86</v>
      </c>
    </row>
    <row r="25" spans="1:16" x14ac:dyDescent="0.2">
      <c r="A25" t="s">
        <v>56</v>
      </c>
      <c r="B25" t="s">
        <v>308</v>
      </c>
      <c r="C25" t="s">
        <v>304</v>
      </c>
      <c r="D25">
        <v>1</v>
      </c>
      <c r="E25">
        <v>199029020</v>
      </c>
      <c r="F25" t="s">
        <v>89</v>
      </c>
      <c r="G25" t="s">
        <v>83</v>
      </c>
      <c r="H25" s="6" t="s">
        <v>95</v>
      </c>
      <c r="I25" s="3">
        <v>-0.12943399999999999</v>
      </c>
      <c r="J25" s="3">
        <v>2.7811300000000001E-2</v>
      </c>
      <c r="L25" s="3">
        <v>-0.103243</v>
      </c>
      <c r="M25" s="3">
        <v>2.79534E-2</v>
      </c>
      <c r="O25" s="3">
        <v>-7.4450000000000002E-2</v>
      </c>
      <c r="P25" s="3">
        <v>4.5560000000000003E-2</v>
      </c>
    </row>
    <row r="26" spans="1:16" x14ac:dyDescent="0.2">
      <c r="A26" t="s">
        <v>56</v>
      </c>
      <c r="B26" t="s">
        <v>307</v>
      </c>
      <c r="C26" t="s">
        <v>298</v>
      </c>
      <c r="D26">
        <v>8</v>
      </c>
      <c r="E26">
        <v>86260295</v>
      </c>
      <c r="F26" t="s">
        <v>89</v>
      </c>
      <c r="G26" t="s">
        <v>84</v>
      </c>
      <c r="H26" s="6" t="s">
        <v>95</v>
      </c>
      <c r="I26" s="3">
        <v>-0.190579</v>
      </c>
      <c r="J26" s="3">
        <v>2.6692899999999999E-2</v>
      </c>
      <c r="L26" s="3">
        <v>-0.138631</v>
      </c>
      <c r="M26" s="3">
        <v>2.69579E-2</v>
      </c>
      <c r="O26" s="3">
        <v>-0.19558</v>
      </c>
      <c r="P26" s="3">
        <v>4.6039999999999998E-2</v>
      </c>
    </row>
    <row r="27" spans="1:16" x14ac:dyDescent="0.2">
      <c r="A27" t="s">
        <v>56</v>
      </c>
      <c r="B27" t="s">
        <v>307</v>
      </c>
      <c r="C27" t="s">
        <v>295</v>
      </c>
      <c r="D27">
        <v>15</v>
      </c>
      <c r="E27">
        <v>75355944</v>
      </c>
      <c r="F27" t="s">
        <v>89</v>
      </c>
      <c r="G27" t="s">
        <v>88</v>
      </c>
      <c r="H27" s="6" t="s">
        <v>95</v>
      </c>
      <c r="I27" s="3">
        <v>-0.38611200000000001</v>
      </c>
      <c r="J27" s="3">
        <v>3.39186E-2</v>
      </c>
      <c r="L27" s="3">
        <v>-0.20239299999999999</v>
      </c>
      <c r="M27" s="3">
        <v>3.4590299999999997E-2</v>
      </c>
      <c r="O27" s="3">
        <v>-0.25707000000000002</v>
      </c>
      <c r="P27" s="3">
        <v>5.8029999999999998E-2</v>
      </c>
    </row>
    <row r="33" spans="13:13" x14ac:dyDescent="0.2">
      <c r="M33" s="1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02961-D4FF-FE4E-B4A5-ECE89225A6E5}">
  <dimension ref="A1:M38"/>
  <sheetViews>
    <sheetView workbookViewId="0">
      <selection activeCell="P37" sqref="P37"/>
    </sheetView>
  </sheetViews>
  <sheetFormatPr baseColWidth="10" defaultRowHeight="16" x14ac:dyDescent="0.2"/>
  <cols>
    <col min="1" max="1" width="13.5" customWidth="1"/>
    <col min="2" max="2" width="13.1640625" customWidth="1"/>
    <col min="3" max="3" width="5.83203125" customWidth="1"/>
    <col min="5" max="5" width="7.5" customWidth="1"/>
    <col min="6" max="6" width="5.33203125" customWidth="1"/>
    <col min="7" max="7" width="6.5" customWidth="1"/>
    <col min="8" max="8" width="5.6640625" customWidth="1"/>
    <col min="9" max="9" width="6.5" customWidth="1"/>
    <col min="10" max="10" width="6.33203125" customWidth="1"/>
    <col min="11" max="11" width="5" customWidth="1"/>
    <col min="12" max="12" width="6.1640625" customWidth="1"/>
  </cols>
  <sheetData>
    <row r="1" spans="1:13" ht="21" x14ac:dyDescent="0.25">
      <c r="A1" s="19" t="s">
        <v>567</v>
      </c>
    </row>
    <row r="2" spans="1:13" ht="18" customHeight="1" x14ac:dyDescent="0.2">
      <c r="A2" t="s">
        <v>518</v>
      </c>
    </row>
    <row r="3" spans="1:13" ht="18" customHeight="1" x14ac:dyDescent="0.2">
      <c r="A3" t="s">
        <v>596</v>
      </c>
    </row>
    <row r="4" spans="1:13" ht="18" customHeight="1" x14ac:dyDescent="0.2">
      <c r="A4" t="s">
        <v>517</v>
      </c>
    </row>
    <row r="5" spans="1:13" ht="19" x14ac:dyDescent="0.25">
      <c r="A5" s="23"/>
      <c r="G5" s="17" t="s">
        <v>339</v>
      </c>
      <c r="H5" s="17"/>
      <c r="J5" s="17" t="s">
        <v>519</v>
      </c>
      <c r="K5" s="17"/>
    </row>
    <row r="6" spans="1:13" x14ac:dyDescent="0.2">
      <c r="A6" s="1" t="s">
        <v>320</v>
      </c>
      <c r="B6" s="1" t="s">
        <v>102</v>
      </c>
      <c r="C6" s="1" t="s">
        <v>101</v>
      </c>
      <c r="D6" s="1" t="s">
        <v>100</v>
      </c>
      <c r="E6" s="1" t="s">
        <v>99</v>
      </c>
      <c r="F6" s="1" t="s">
        <v>98</v>
      </c>
      <c r="G6" s="1" t="s">
        <v>76</v>
      </c>
      <c r="H6" s="1" t="s">
        <v>330</v>
      </c>
      <c r="I6" s="1" t="s">
        <v>71</v>
      </c>
      <c r="J6" s="1" t="s">
        <v>338</v>
      </c>
      <c r="K6" s="1" t="s">
        <v>330</v>
      </c>
      <c r="L6" s="1" t="s">
        <v>71</v>
      </c>
      <c r="M6" s="1" t="s">
        <v>510</v>
      </c>
    </row>
    <row r="7" spans="1:13" x14ac:dyDescent="0.2">
      <c r="A7" t="s">
        <v>3</v>
      </c>
      <c r="B7" t="s">
        <v>122</v>
      </c>
      <c r="C7">
        <v>3</v>
      </c>
      <c r="D7" s="10">
        <v>45785915</v>
      </c>
      <c r="E7" t="s">
        <v>84</v>
      </c>
      <c r="F7" t="s">
        <v>88</v>
      </c>
      <c r="G7" s="3">
        <v>0.24859999999999999</v>
      </c>
      <c r="H7" s="3">
        <v>4.2772400000000002E-2</v>
      </c>
      <c r="I7">
        <v>2793</v>
      </c>
      <c r="J7" s="3">
        <v>0.24249799999999999</v>
      </c>
      <c r="K7" s="3">
        <v>4.3208700000000003E-2</v>
      </c>
      <c r="L7">
        <v>2663</v>
      </c>
      <c r="M7" t="s">
        <v>342</v>
      </c>
    </row>
    <row r="8" spans="1:13" x14ac:dyDescent="0.2">
      <c r="A8" t="s">
        <v>3</v>
      </c>
      <c r="B8" t="s">
        <v>127</v>
      </c>
      <c r="C8">
        <v>11</v>
      </c>
      <c r="D8" s="10">
        <v>44538835</v>
      </c>
      <c r="E8" t="s">
        <v>88</v>
      </c>
      <c r="F8" t="s">
        <v>89</v>
      </c>
      <c r="G8" s="3">
        <v>-0.96319999999999995</v>
      </c>
      <c r="H8">
        <v>0.17169999999999999</v>
      </c>
      <c r="I8">
        <v>2793</v>
      </c>
      <c r="J8" s="3">
        <v>-0.88773199999999997</v>
      </c>
      <c r="K8" s="3">
        <v>0.17518600000000001</v>
      </c>
      <c r="L8">
        <v>2663</v>
      </c>
      <c r="M8" t="s">
        <v>342</v>
      </c>
    </row>
    <row r="9" spans="1:13" x14ac:dyDescent="0.2">
      <c r="A9" t="s">
        <v>9</v>
      </c>
      <c r="B9" t="s">
        <v>140</v>
      </c>
      <c r="C9">
        <v>4</v>
      </c>
      <c r="D9">
        <v>103268763</v>
      </c>
      <c r="E9" t="s">
        <v>88</v>
      </c>
      <c r="F9" t="s">
        <v>89</v>
      </c>
      <c r="G9" s="3">
        <v>-0.181197</v>
      </c>
      <c r="H9" s="3">
        <v>4.1154400000000001E-2</v>
      </c>
      <c r="I9">
        <v>2781</v>
      </c>
      <c r="J9" s="3">
        <v>-0.172627</v>
      </c>
      <c r="K9" s="3">
        <v>3.7371500000000002E-2</v>
      </c>
      <c r="L9">
        <v>2719</v>
      </c>
      <c r="M9" t="s">
        <v>343</v>
      </c>
    </row>
    <row r="10" spans="1:13" x14ac:dyDescent="0.2">
      <c r="A10" t="s">
        <v>9</v>
      </c>
      <c r="B10" t="s">
        <v>136</v>
      </c>
      <c r="C10">
        <v>8</v>
      </c>
      <c r="D10">
        <v>71570989</v>
      </c>
      <c r="E10" t="s">
        <v>84</v>
      </c>
      <c r="F10" t="s">
        <v>83</v>
      </c>
      <c r="G10" s="3">
        <v>-9.7910399999999995E-2</v>
      </c>
      <c r="H10" s="3">
        <v>2.6165299999999999E-2</v>
      </c>
      <c r="I10">
        <v>2781</v>
      </c>
      <c r="J10" s="3">
        <v>-9.7153900000000001E-2</v>
      </c>
      <c r="K10" s="3">
        <v>2.3872000000000001E-2</v>
      </c>
      <c r="L10">
        <v>2719</v>
      </c>
      <c r="M10" t="s">
        <v>343</v>
      </c>
    </row>
    <row r="11" spans="1:13" x14ac:dyDescent="0.2">
      <c r="A11" t="s">
        <v>9</v>
      </c>
      <c r="B11" t="s">
        <v>132</v>
      </c>
      <c r="C11">
        <v>15</v>
      </c>
      <c r="D11">
        <v>45393667</v>
      </c>
      <c r="E11" t="s">
        <v>89</v>
      </c>
      <c r="F11" t="s">
        <v>88</v>
      </c>
      <c r="G11" s="3">
        <v>5.7380500000000001E-2</v>
      </c>
      <c r="H11" s="3">
        <v>5.0821100000000001E-2</v>
      </c>
      <c r="I11">
        <v>2781</v>
      </c>
      <c r="J11" s="3">
        <v>7.1209499999999995E-2</v>
      </c>
      <c r="K11" s="3">
        <v>4.6175899999999999E-2</v>
      </c>
      <c r="L11">
        <v>2719</v>
      </c>
      <c r="M11" t="s">
        <v>343</v>
      </c>
    </row>
    <row r="12" spans="1:13" x14ac:dyDescent="0.2">
      <c r="A12" t="s">
        <v>16</v>
      </c>
      <c r="B12" t="s">
        <v>148</v>
      </c>
      <c r="C12">
        <v>3</v>
      </c>
      <c r="D12">
        <v>148929951</v>
      </c>
      <c r="E12" t="s">
        <v>84</v>
      </c>
      <c r="F12" t="s">
        <v>89</v>
      </c>
      <c r="G12" s="3">
        <v>0.176061</v>
      </c>
      <c r="H12" s="3">
        <v>3.0700000000000002E-2</v>
      </c>
      <c r="I12">
        <v>2803</v>
      </c>
      <c r="J12" s="3">
        <v>0.176619</v>
      </c>
      <c r="K12" s="3">
        <v>3.10263E-2</v>
      </c>
      <c r="L12">
        <v>2741</v>
      </c>
      <c r="M12" t="s">
        <v>343</v>
      </c>
    </row>
    <row r="13" spans="1:13" x14ac:dyDescent="0.2">
      <c r="A13" t="s">
        <v>23</v>
      </c>
      <c r="B13" t="s">
        <v>194</v>
      </c>
      <c r="C13" s="8">
        <v>3</v>
      </c>
      <c r="D13">
        <v>107876004</v>
      </c>
      <c r="E13" t="s">
        <v>88</v>
      </c>
      <c r="F13" t="s">
        <v>89</v>
      </c>
      <c r="G13" s="3">
        <v>0.98629299999999998</v>
      </c>
      <c r="H13">
        <v>0.17621400000000001</v>
      </c>
      <c r="I13">
        <v>2181</v>
      </c>
      <c r="J13" s="3">
        <v>1.0701000000000001</v>
      </c>
      <c r="K13" s="3">
        <v>0.181836</v>
      </c>
      <c r="L13">
        <v>2031</v>
      </c>
      <c r="M13" t="s">
        <v>344</v>
      </c>
    </row>
    <row r="14" spans="1:13" x14ac:dyDescent="0.2">
      <c r="A14" t="s">
        <v>25</v>
      </c>
      <c r="B14" s="9" t="s">
        <v>198</v>
      </c>
      <c r="C14">
        <v>9</v>
      </c>
      <c r="D14">
        <v>116152990</v>
      </c>
      <c r="E14" t="s">
        <v>83</v>
      </c>
      <c r="F14" t="s">
        <v>88</v>
      </c>
      <c r="G14" s="3">
        <v>-0.25604300000000002</v>
      </c>
      <c r="H14" s="3">
        <v>4.9678100000000003E-2</v>
      </c>
      <c r="I14">
        <v>2803</v>
      </c>
      <c r="J14" s="3">
        <v>-0.262374</v>
      </c>
      <c r="K14" s="3">
        <v>5.0372199999999999E-2</v>
      </c>
      <c r="L14">
        <v>2646</v>
      </c>
      <c r="M14" t="s">
        <v>498</v>
      </c>
    </row>
    <row r="15" spans="1:13" x14ac:dyDescent="0.2">
      <c r="A15" t="s">
        <v>27</v>
      </c>
      <c r="B15" t="s">
        <v>211</v>
      </c>
      <c r="C15" s="8">
        <v>7</v>
      </c>
      <c r="D15">
        <v>138668149</v>
      </c>
      <c r="E15" t="s">
        <v>89</v>
      </c>
      <c r="F15" t="s">
        <v>88</v>
      </c>
      <c r="G15" s="3">
        <v>-1.8266199999999999</v>
      </c>
      <c r="H15">
        <v>0.329428</v>
      </c>
      <c r="I15">
        <f>2181</f>
        <v>2181</v>
      </c>
      <c r="J15" s="3">
        <v>-1.82307</v>
      </c>
      <c r="K15" s="3">
        <v>0.32951599999999998</v>
      </c>
      <c r="L15">
        <f>2197</f>
        <v>2197</v>
      </c>
      <c r="M15" t="s">
        <v>597</v>
      </c>
    </row>
    <row r="16" spans="1:13" x14ac:dyDescent="0.2">
      <c r="A16" t="s">
        <v>27</v>
      </c>
      <c r="B16" t="s">
        <v>207</v>
      </c>
      <c r="C16" s="8">
        <v>10</v>
      </c>
      <c r="D16">
        <v>71093392</v>
      </c>
      <c r="E16" t="s">
        <v>83</v>
      </c>
      <c r="F16" t="s">
        <v>84</v>
      </c>
      <c r="G16" s="3">
        <v>-0.23949899999999999</v>
      </c>
      <c r="H16">
        <v>4.2798500000000003E-2</v>
      </c>
      <c r="I16">
        <f>2181</f>
        <v>2181</v>
      </c>
      <c r="J16" s="3">
        <v>-0.23980000000000001</v>
      </c>
      <c r="K16" s="3">
        <v>4.2802899999999998E-2</v>
      </c>
      <c r="L16">
        <f>2197</f>
        <v>2197</v>
      </c>
      <c r="M16" t="s">
        <v>597</v>
      </c>
    </row>
    <row r="17" spans="1:13" x14ac:dyDescent="0.2">
      <c r="A17" t="s">
        <v>27</v>
      </c>
      <c r="B17" t="s">
        <v>203</v>
      </c>
      <c r="C17" s="8">
        <v>11</v>
      </c>
      <c r="D17">
        <v>55541960</v>
      </c>
      <c r="E17" t="s">
        <v>89</v>
      </c>
      <c r="F17" t="s">
        <v>88</v>
      </c>
      <c r="G17" s="3">
        <v>-0.73058299999999998</v>
      </c>
      <c r="H17">
        <v>0.13181799999999999</v>
      </c>
      <c r="I17">
        <f>2181</f>
        <v>2181</v>
      </c>
      <c r="J17" s="3">
        <v>-0.72970000000000002</v>
      </c>
      <c r="K17" s="3">
        <v>0.1318</v>
      </c>
      <c r="L17">
        <f>2197</f>
        <v>2197</v>
      </c>
      <c r="M17" t="s">
        <v>597</v>
      </c>
    </row>
    <row r="18" spans="1:13" x14ac:dyDescent="0.2">
      <c r="A18" t="s">
        <v>28</v>
      </c>
      <c r="B18" t="s">
        <v>256</v>
      </c>
      <c r="C18">
        <v>1</v>
      </c>
      <c r="D18">
        <v>220074279</v>
      </c>
      <c r="E18" t="s">
        <v>88</v>
      </c>
      <c r="F18" t="s">
        <v>84</v>
      </c>
      <c r="G18" s="3">
        <v>-0.43898599999999999</v>
      </c>
      <c r="H18" s="3">
        <v>3.3384400000000002E-2</v>
      </c>
      <c r="I18">
        <v>2803</v>
      </c>
      <c r="J18" s="3">
        <v>-0.410916</v>
      </c>
      <c r="K18" s="3">
        <v>3.4256500000000002E-2</v>
      </c>
      <c r="L18">
        <v>2586</v>
      </c>
      <c r="M18" t="s">
        <v>344</v>
      </c>
    </row>
    <row r="19" spans="1:13" x14ac:dyDescent="0.2">
      <c r="A19" t="s">
        <v>28</v>
      </c>
      <c r="B19" t="s">
        <v>252</v>
      </c>
      <c r="C19">
        <v>4</v>
      </c>
      <c r="D19">
        <v>103188709</v>
      </c>
      <c r="E19" t="s">
        <v>83</v>
      </c>
      <c r="F19" t="s">
        <v>84</v>
      </c>
      <c r="G19" s="3">
        <v>-0.390407</v>
      </c>
      <c r="H19" s="3">
        <v>5.7369099999999999E-2</v>
      </c>
      <c r="I19">
        <v>2803</v>
      </c>
      <c r="J19" s="3">
        <v>-0.417574</v>
      </c>
      <c r="K19" s="3">
        <v>5.9278400000000002E-2</v>
      </c>
      <c r="L19">
        <v>2630</v>
      </c>
      <c r="M19" t="s">
        <v>344</v>
      </c>
    </row>
    <row r="20" spans="1:13" x14ac:dyDescent="0.2">
      <c r="A20" t="s">
        <v>28</v>
      </c>
      <c r="B20" t="s">
        <v>214</v>
      </c>
      <c r="C20">
        <v>6</v>
      </c>
      <c r="D20">
        <v>5119696</v>
      </c>
      <c r="E20" t="s">
        <v>83</v>
      </c>
      <c r="F20" t="s">
        <v>84</v>
      </c>
      <c r="G20" s="3">
        <v>0.15944800000000001</v>
      </c>
      <c r="H20" s="3">
        <v>2.9539099999999999E-2</v>
      </c>
      <c r="I20">
        <v>2803</v>
      </c>
      <c r="J20" s="3">
        <v>0.150699</v>
      </c>
      <c r="K20" s="3">
        <v>3.0135200000000001E-2</v>
      </c>
      <c r="L20">
        <v>2630</v>
      </c>
      <c r="M20" t="s">
        <v>344</v>
      </c>
    </row>
    <row r="21" spans="1:13" x14ac:dyDescent="0.2">
      <c r="A21" t="s">
        <v>28</v>
      </c>
      <c r="B21" t="s">
        <v>221</v>
      </c>
      <c r="C21">
        <v>6</v>
      </c>
      <c r="D21">
        <v>26093141</v>
      </c>
      <c r="E21" t="s">
        <v>88</v>
      </c>
      <c r="F21" t="s">
        <v>89</v>
      </c>
      <c r="G21" s="3">
        <v>-0.19889100000000001</v>
      </c>
      <c r="H21" s="3">
        <v>4.6298899999999997E-2</v>
      </c>
      <c r="I21">
        <v>2803</v>
      </c>
      <c r="J21" s="3">
        <v>-0.161548</v>
      </c>
      <c r="K21" s="3">
        <v>4.7156499999999997E-2</v>
      </c>
      <c r="L21">
        <v>2630</v>
      </c>
      <c r="M21" t="s">
        <v>344</v>
      </c>
    </row>
    <row r="22" spans="1:13" x14ac:dyDescent="0.2">
      <c r="A22" t="s">
        <v>28</v>
      </c>
      <c r="B22" t="s">
        <v>248</v>
      </c>
      <c r="C22">
        <v>9</v>
      </c>
      <c r="D22">
        <v>88903367</v>
      </c>
      <c r="E22" t="s">
        <v>84</v>
      </c>
      <c r="F22" t="s">
        <v>89</v>
      </c>
      <c r="G22" s="3">
        <v>0.16454099999999999</v>
      </c>
      <c r="H22" s="3">
        <v>2.7934299999999999E-2</v>
      </c>
      <c r="I22">
        <v>2803</v>
      </c>
      <c r="J22" s="3">
        <v>0.16764899999999999</v>
      </c>
      <c r="K22" s="3">
        <v>2.8648900000000001E-2</v>
      </c>
      <c r="L22">
        <v>2630</v>
      </c>
      <c r="M22" t="s">
        <v>344</v>
      </c>
    </row>
    <row r="23" spans="1:13" x14ac:dyDescent="0.2">
      <c r="A23" t="s">
        <v>28</v>
      </c>
      <c r="B23" t="s">
        <v>244</v>
      </c>
      <c r="C23">
        <v>15</v>
      </c>
      <c r="D23">
        <v>65998702</v>
      </c>
      <c r="E23" t="s">
        <v>83</v>
      </c>
      <c r="F23" t="s">
        <v>84</v>
      </c>
      <c r="G23" s="3">
        <v>0.16847400000000001</v>
      </c>
      <c r="H23" s="3">
        <v>3.19831E-2</v>
      </c>
      <c r="I23">
        <v>2803</v>
      </c>
      <c r="J23" s="3">
        <v>0.170767</v>
      </c>
      <c r="K23" s="3">
        <v>3.2684600000000001E-2</v>
      </c>
      <c r="L23">
        <v>2630</v>
      </c>
      <c r="M23" t="s">
        <v>344</v>
      </c>
    </row>
    <row r="24" spans="1:13" x14ac:dyDescent="0.2">
      <c r="A24" t="s">
        <v>28</v>
      </c>
      <c r="B24" t="s">
        <v>241</v>
      </c>
      <c r="C24">
        <v>18</v>
      </c>
      <c r="D24">
        <v>55238820</v>
      </c>
      <c r="E24" t="s">
        <v>89</v>
      </c>
      <c r="F24" t="s">
        <v>88</v>
      </c>
      <c r="G24" s="3">
        <v>0.42171199999999998</v>
      </c>
      <c r="H24" s="3">
        <v>6.1112800000000002E-2</v>
      </c>
      <c r="I24">
        <v>2803</v>
      </c>
      <c r="J24" s="3">
        <v>0.39754200000000001</v>
      </c>
      <c r="K24" s="3">
        <v>6.3814200000000001E-2</v>
      </c>
      <c r="L24">
        <v>2630</v>
      </c>
      <c r="M24" t="s">
        <v>344</v>
      </c>
    </row>
    <row r="25" spans="1:13" x14ac:dyDescent="0.2">
      <c r="A25" t="s">
        <v>28</v>
      </c>
      <c r="B25" t="s">
        <v>237</v>
      </c>
      <c r="C25">
        <v>20</v>
      </c>
      <c r="D25">
        <v>54941140</v>
      </c>
      <c r="E25" t="s">
        <v>83</v>
      </c>
      <c r="F25" t="s">
        <v>84</v>
      </c>
      <c r="G25" s="3">
        <v>-0.148032</v>
      </c>
      <c r="H25" s="3">
        <v>3.3601100000000002E-2</v>
      </c>
      <c r="I25">
        <v>2803</v>
      </c>
      <c r="J25" s="3">
        <v>-0.14222099999999999</v>
      </c>
      <c r="K25" s="3">
        <v>3.4354299999999997E-2</v>
      </c>
      <c r="L25">
        <v>2630</v>
      </c>
      <c r="M25" t="s">
        <v>344</v>
      </c>
    </row>
    <row r="26" spans="1:13" x14ac:dyDescent="0.2">
      <c r="A26" t="s">
        <v>28</v>
      </c>
      <c r="B26" t="s">
        <v>226</v>
      </c>
      <c r="C26">
        <v>22</v>
      </c>
      <c r="D26">
        <v>29154455</v>
      </c>
      <c r="E26" t="s">
        <v>89</v>
      </c>
      <c r="F26" t="s">
        <v>88</v>
      </c>
      <c r="G26" s="3">
        <v>-0.118075</v>
      </c>
      <c r="H26" s="3">
        <v>2.66728E-2</v>
      </c>
      <c r="I26">
        <v>2803</v>
      </c>
      <c r="J26" s="3">
        <v>-0.12892899999999999</v>
      </c>
      <c r="K26" s="3">
        <v>2.73843E-2</v>
      </c>
      <c r="L26">
        <v>2630</v>
      </c>
      <c r="M26" t="s">
        <v>344</v>
      </c>
    </row>
    <row r="27" spans="1:13" x14ac:dyDescent="0.2">
      <c r="A27" t="s">
        <v>28</v>
      </c>
      <c r="B27" t="s">
        <v>231</v>
      </c>
      <c r="C27">
        <v>22</v>
      </c>
      <c r="D27">
        <v>37462936</v>
      </c>
      <c r="E27" t="s">
        <v>89</v>
      </c>
      <c r="F27" t="s">
        <v>88</v>
      </c>
      <c r="G27" s="3">
        <v>-0.120772</v>
      </c>
      <c r="H27" s="3">
        <v>2.71408E-2</v>
      </c>
      <c r="I27">
        <v>2803</v>
      </c>
      <c r="J27" s="3">
        <v>-0.109416</v>
      </c>
      <c r="K27" s="3">
        <v>2.78611E-2</v>
      </c>
      <c r="L27">
        <v>2630</v>
      </c>
      <c r="M27" t="s">
        <v>344</v>
      </c>
    </row>
    <row r="28" spans="1:13" x14ac:dyDescent="0.2">
      <c r="A28" t="s">
        <v>42</v>
      </c>
      <c r="B28" s="9" t="s">
        <v>272</v>
      </c>
      <c r="C28">
        <v>2</v>
      </c>
      <c r="D28">
        <v>211540507</v>
      </c>
      <c r="E28" t="s">
        <v>83</v>
      </c>
      <c r="F28" t="s">
        <v>89</v>
      </c>
      <c r="G28" s="3">
        <v>0.12618099999999999</v>
      </c>
      <c r="H28" s="3">
        <v>2.4681399999999999E-2</v>
      </c>
      <c r="I28">
        <v>2803</v>
      </c>
      <c r="J28" s="3">
        <v>0.132158</v>
      </c>
      <c r="K28" s="3">
        <v>2.47158E-2</v>
      </c>
      <c r="L28">
        <v>2716</v>
      </c>
      <c r="M28" t="s">
        <v>345</v>
      </c>
    </row>
    <row r="29" spans="1:13" x14ac:dyDescent="0.2">
      <c r="A29" t="s">
        <v>42</v>
      </c>
      <c r="B29" s="9" t="s">
        <v>264</v>
      </c>
      <c r="C29">
        <v>5</v>
      </c>
      <c r="D29">
        <v>78344976</v>
      </c>
      <c r="E29" t="s">
        <v>89</v>
      </c>
      <c r="F29" t="s">
        <v>88</v>
      </c>
      <c r="G29" s="3">
        <v>0.24643599999999999</v>
      </c>
      <c r="H29" s="3">
        <v>3.3920499999999999E-2</v>
      </c>
      <c r="I29">
        <v>2803</v>
      </c>
      <c r="J29" s="3">
        <v>0.261571</v>
      </c>
      <c r="K29" s="3">
        <v>3.4047599999999997E-2</v>
      </c>
      <c r="L29">
        <v>2716</v>
      </c>
      <c r="M29" t="s">
        <v>345</v>
      </c>
    </row>
    <row r="30" spans="1:13" x14ac:dyDescent="0.2">
      <c r="A30" t="s">
        <v>42</v>
      </c>
      <c r="B30" s="9" t="s">
        <v>267</v>
      </c>
      <c r="C30">
        <v>10</v>
      </c>
      <c r="D30">
        <v>119010413</v>
      </c>
      <c r="E30" t="s">
        <v>84</v>
      </c>
      <c r="F30" t="s">
        <v>83</v>
      </c>
      <c r="G30" s="3">
        <v>0.1376</v>
      </c>
      <c r="H30">
        <v>2.5000000000000001E-2</v>
      </c>
      <c r="I30">
        <v>2803</v>
      </c>
      <c r="J30" s="3">
        <v>0.12778600000000001</v>
      </c>
      <c r="K30" s="3">
        <v>2.50224E-2</v>
      </c>
      <c r="L30">
        <v>2716</v>
      </c>
      <c r="M30" t="s">
        <v>345</v>
      </c>
    </row>
    <row r="31" spans="1:13" x14ac:dyDescent="0.2">
      <c r="A31" t="s">
        <v>56</v>
      </c>
      <c r="B31" t="s">
        <v>304</v>
      </c>
      <c r="C31">
        <v>1</v>
      </c>
      <c r="D31">
        <v>199029020</v>
      </c>
      <c r="E31" t="s">
        <v>89</v>
      </c>
      <c r="F31" t="s">
        <v>83</v>
      </c>
      <c r="G31" s="3">
        <v>-0.12943399999999999</v>
      </c>
      <c r="H31" s="3">
        <v>2.7811300000000001E-2</v>
      </c>
      <c r="I31">
        <v>2803</v>
      </c>
      <c r="J31" s="3">
        <v>-0.139686</v>
      </c>
      <c r="K31" s="3">
        <v>2.8827599999999998E-2</v>
      </c>
      <c r="L31">
        <v>2630</v>
      </c>
      <c r="M31" t="s">
        <v>344</v>
      </c>
    </row>
    <row r="32" spans="1:13" x14ac:dyDescent="0.2">
      <c r="A32" t="s">
        <v>56</v>
      </c>
      <c r="B32" t="s">
        <v>306</v>
      </c>
      <c r="C32">
        <v>2</v>
      </c>
      <c r="D32">
        <v>151940427</v>
      </c>
      <c r="E32" t="s">
        <v>103</v>
      </c>
      <c r="F32" t="s">
        <v>83</v>
      </c>
      <c r="G32" s="3">
        <v>-1.6313</v>
      </c>
      <c r="H32">
        <v>0.28820000000000001</v>
      </c>
      <c r="I32">
        <v>2803</v>
      </c>
      <c r="J32" s="3">
        <v>-1.4948600000000001</v>
      </c>
      <c r="K32" s="3">
        <v>0.30137399999999998</v>
      </c>
      <c r="L32">
        <v>2630</v>
      </c>
      <c r="M32" t="s">
        <v>344</v>
      </c>
    </row>
    <row r="33" spans="1:13" x14ac:dyDescent="0.2">
      <c r="A33" t="s">
        <v>56</v>
      </c>
      <c r="B33" t="s">
        <v>298</v>
      </c>
      <c r="C33">
        <v>8</v>
      </c>
      <c r="D33">
        <v>86260295</v>
      </c>
      <c r="E33" t="s">
        <v>89</v>
      </c>
      <c r="F33" t="s">
        <v>84</v>
      </c>
      <c r="G33" s="3">
        <v>-0.190579</v>
      </c>
      <c r="H33" s="3">
        <v>2.6692899999999999E-2</v>
      </c>
      <c r="I33">
        <v>2803</v>
      </c>
      <c r="J33" s="3">
        <v>-0.190773</v>
      </c>
      <c r="K33" s="3">
        <v>2.7556000000000001E-2</v>
      </c>
      <c r="L33">
        <v>2630</v>
      </c>
      <c r="M33" t="s">
        <v>344</v>
      </c>
    </row>
    <row r="34" spans="1:13" x14ac:dyDescent="0.2">
      <c r="A34" t="s">
        <v>56</v>
      </c>
      <c r="B34" t="s">
        <v>295</v>
      </c>
      <c r="C34">
        <v>15</v>
      </c>
      <c r="D34">
        <v>75355944</v>
      </c>
      <c r="E34" t="s">
        <v>89</v>
      </c>
      <c r="F34" t="s">
        <v>88</v>
      </c>
      <c r="G34" s="3">
        <v>-0.38611200000000001</v>
      </c>
      <c r="H34" s="3">
        <v>3.39186E-2</v>
      </c>
      <c r="I34">
        <v>2803</v>
      </c>
      <c r="J34" s="3">
        <v>-0.39154800000000001</v>
      </c>
      <c r="K34" s="3">
        <v>3.49381E-2</v>
      </c>
      <c r="L34">
        <v>2630</v>
      </c>
      <c r="M34" t="s">
        <v>344</v>
      </c>
    </row>
    <row r="35" spans="1:13" x14ac:dyDescent="0.2">
      <c r="A35" t="s">
        <v>56</v>
      </c>
      <c r="B35" t="s">
        <v>291</v>
      </c>
      <c r="C35">
        <v>22</v>
      </c>
      <c r="D35">
        <v>48154342</v>
      </c>
      <c r="E35" t="s">
        <v>89</v>
      </c>
      <c r="F35" t="s">
        <v>88</v>
      </c>
      <c r="G35" s="3">
        <v>-1.6403000000000001</v>
      </c>
      <c r="H35" s="3">
        <v>0.3004</v>
      </c>
      <c r="I35">
        <v>2803</v>
      </c>
      <c r="J35" s="3">
        <v>-1.76702</v>
      </c>
      <c r="K35" s="3">
        <v>0.32846999999999998</v>
      </c>
      <c r="L35">
        <v>2630</v>
      </c>
      <c r="M35" t="s">
        <v>344</v>
      </c>
    </row>
    <row r="38" spans="1:13" x14ac:dyDescent="0.2">
      <c r="H38" s="1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0A3A6-E8FB-3947-B679-A8B4403B8230}">
  <dimension ref="A1:AB62"/>
  <sheetViews>
    <sheetView workbookViewId="0">
      <selection activeCell="L26" sqref="L26"/>
    </sheetView>
  </sheetViews>
  <sheetFormatPr baseColWidth="10" defaultRowHeight="16" x14ac:dyDescent="0.2"/>
  <cols>
    <col min="1" max="1" width="13" customWidth="1"/>
    <col min="3" max="3" width="5.6640625" customWidth="1"/>
    <col min="5" max="5" width="5.5" customWidth="1"/>
    <col min="6" max="6" width="4.33203125" customWidth="1"/>
    <col min="7" max="7" width="18.6640625" customWidth="1"/>
    <col min="8" max="8" width="14.6640625" customWidth="1"/>
    <col min="9" max="9" width="8.1640625" customWidth="1"/>
    <col min="10" max="10" width="8" customWidth="1"/>
    <col min="11" max="11" width="7" customWidth="1"/>
    <col min="12" max="12" width="9.6640625" customWidth="1"/>
    <col min="14" max="14" width="18.83203125" customWidth="1"/>
    <col min="15" max="15" width="7.6640625" customWidth="1"/>
    <col min="16" max="16" width="13.1640625" customWidth="1"/>
    <col min="17" max="17" width="13.33203125" customWidth="1"/>
    <col min="22" max="22" width="9.6640625" customWidth="1"/>
    <col min="23" max="23" width="10.1640625" customWidth="1"/>
    <col min="24" max="24" width="10.6640625" customWidth="1"/>
    <col min="25" max="25" width="20.1640625" customWidth="1"/>
    <col min="26" max="26" width="20.5" customWidth="1"/>
    <col min="27" max="27" width="21.33203125" customWidth="1"/>
  </cols>
  <sheetData>
    <row r="1" spans="1:28" ht="21" x14ac:dyDescent="0.25">
      <c r="A1" s="19" t="s">
        <v>568</v>
      </c>
      <c r="B1" s="1"/>
      <c r="C1" s="1"/>
      <c r="D1" s="1"/>
      <c r="E1" s="1"/>
      <c r="F1" s="1"/>
      <c r="G1" s="1"/>
      <c r="H1" s="1"/>
      <c r="I1" s="1"/>
      <c r="J1" s="1"/>
    </row>
    <row r="2" spans="1:28" ht="16" customHeight="1" x14ac:dyDescent="0.2">
      <c r="A2" t="s">
        <v>513</v>
      </c>
      <c r="B2" s="1"/>
      <c r="C2" s="1"/>
      <c r="D2" s="1"/>
      <c r="E2" s="1"/>
      <c r="F2" s="1"/>
      <c r="G2" s="1"/>
      <c r="H2" s="1"/>
      <c r="I2" s="1"/>
      <c r="J2" s="1"/>
    </row>
    <row r="3" spans="1:28" x14ac:dyDescent="0.2">
      <c r="A3" t="s">
        <v>579</v>
      </c>
      <c r="F3" s="10"/>
    </row>
    <row r="4" spans="1:28" x14ac:dyDescent="0.2">
      <c r="A4" t="s">
        <v>512</v>
      </c>
      <c r="F4" s="10"/>
    </row>
    <row r="5" spans="1:28" x14ac:dyDescent="0.2">
      <c r="F5" s="10"/>
    </row>
    <row r="6" spans="1:28" s="1" customFormat="1" x14ac:dyDescent="0.2">
      <c r="A6" s="1" t="s">
        <v>320</v>
      </c>
      <c r="B6" s="1" t="s">
        <v>102</v>
      </c>
      <c r="C6" s="1" t="s">
        <v>101</v>
      </c>
      <c r="D6" s="1" t="s">
        <v>100</v>
      </c>
      <c r="E6" s="1" t="s">
        <v>99</v>
      </c>
      <c r="F6" s="1" t="s">
        <v>98</v>
      </c>
      <c r="G6" s="1" t="s">
        <v>340</v>
      </c>
      <c r="H6" s="1" t="s">
        <v>511</v>
      </c>
      <c r="I6" s="1" t="s">
        <v>97</v>
      </c>
      <c r="J6" s="1" t="s">
        <v>76</v>
      </c>
      <c r="K6" s="1" t="s">
        <v>330</v>
      </c>
      <c r="L6" s="1" t="s">
        <v>77</v>
      </c>
      <c r="M6" s="1" t="s">
        <v>78</v>
      </c>
      <c r="N6" s="1" t="s">
        <v>85</v>
      </c>
      <c r="O6" s="1" t="s">
        <v>71</v>
      </c>
      <c r="P6" s="1" t="s">
        <v>104</v>
      </c>
      <c r="Q6" s="1" t="s">
        <v>105</v>
      </c>
      <c r="R6" s="1" t="s">
        <v>107</v>
      </c>
      <c r="S6" s="1" t="s">
        <v>108</v>
      </c>
      <c r="T6" s="1" t="s">
        <v>109</v>
      </c>
      <c r="U6" s="1" t="s">
        <v>110</v>
      </c>
      <c r="V6" s="1" t="s">
        <v>111</v>
      </c>
      <c r="W6" s="1" t="s">
        <v>112</v>
      </c>
      <c r="X6" s="1" t="s">
        <v>113</v>
      </c>
      <c r="Y6" s="1" t="s">
        <v>114</v>
      </c>
      <c r="Z6" s="1" t="s">
        <v>115</v>
      </c>
      <c r="AA6" s="1" t="s">
        <v>116</v>
      </c>
      <c r="AB6" s="1" t="s">
        <v>117</v>
      </c>
    </row>
    <row r="7" spans="1:28" x14ac:dyDescent="0.2">
      <c r="A7" t="s">
        <v>3</v>
      </c>
      <c r="B7" t="s">
        <v>323</v>
      </c>
      <c r="C7">
        <v>3</v>
      </c>
      <c r="D7">
        <v>45814094</v>
      </c>
      <c r="E7" t="s">
        <v>88</v>
      </c>
      <c r="F7" s="10" t="s">
        <v>89</v>
      </c>
      <c r="G7" s="21">
        <v>0.88</v>
      </c>
      <c r="H7" t="s">
        <v>122</v>
      </c>
      <c r="I7">
        <v>0.1057</v>
      </c>
      <c r="J7">
        <v>0.2419</v>
      </c>
      <c r="K7">
        <v>3.0099999999999998E-2</v>
      </c>
      <c r="L7" s="7">
        <v>9.7980000000000007E-16</v>
      </c>
      <c r="M7" s="15" t="s">
        <v>93</v>
      </c>
      <c r="N7" t="s">
        <v>309</v>
      </c>
      <c r="O7">
        <f>2798+2793</f>
        <v>5591</v>
      </c>
      <c r="P7" t="s">
        <v>215</v>
      </c>
      <c r="Q7" s="14" t="s">
        <v>322</v>
      </c>
      <c r="R7" t="s">
        <v>217</v>
      </c>
      <c r="S7" t="s">
        <v>324</v>
      </c>
      <c r="T7" t="s">
        <v>325</v>
      </c>
      <c r="U7" t="s">
        <v>121</v>
      </c>
      <c r="V7">
        <v>7.5200000000000003E-2</v>
      </c>
      <c r="W7">
        <v>0</v>
      </c>
      <c r="X7" t="s">
        <v>222</v>
      </c>
      <c r="Y7">
        <v>1</v>
      </c>
      <c r="Z7" t="s">
        <v>222</v>
      </c>
      <c r="AA7">
        <v>1</v>
      </c>
      <c r="AB7" t="s">
        <v>222</v>
      </c>
    </row>
    <row r="8" spans="1:28" x14ac:dyDescent="0.2">
      <c r="A8" t="s">
        <v>9</v>
      </c>
      <c r="B8" t="s">
        <v>327</v>
      </c>
      <c r="C8">
        <v>15</v>
      </c>
      <c r="D8" s="9">
        <v>45392075</v>
      </c>
      <c r="E8" t="s">
        <v>88</v>
      </c>
      <c r="F8" t="s">
        <v>89</v>
      </c>
      <c r="G8" s="21">
        <v>0.96</v>
      </c>
      <c r="H8" t="s">
        <v>132</v>
      </c>
      <c r="I8">
        <v>0.92220000000000002</v>
      </c>
      <c r="J8">
        <v>-0.20200000000000001</v>
      </c>
      <c r="K8">
        <v>3.2599999999999997E-2</v>
      </c>
      <c r="L8" s="7">
        <v>5.727E-10</v>
      </c>
      <c r="M8" s="6" t="s">
        <v>95</v>
      </c>
      <c r="N8" t="s">
        <v>310</v>
      </c>
      <c r="O8">
        <f>2781+949+2812</f>
        <v>6542</v>
      </c>
      <c r="P8" t="s">
        <v>215</v>
      </c>
      <c r="Q8" s="11" t="s">
        <v>129</v>
      </c>
      <c r="R8" t="s">
        <v>217</v>
      </c>
      <c r="S8" t="s">
        <v>326</v>
      </c>
      <c r="T8" t="s">
        <v>130</v>
      </c>
      <c r="U8" t="s">
        <v>131</v>
      </c>
      <c r="V8">
        <v>0.86439999999999995</v>
      </c>
      <c r="W8">
        <v>4.2999999999999997E-2</v>
      </c>
      <c r="X8" t="s">
        <v>222</v>
      </c>
      <c r="Y8">
        <v>2.5000000000000001E-2</v>
      </c>
      <c r="Z8" t="s">
        <v>232</v>
      </c>
      <c r="AA8">
        <v>0.02</v>
      </c>
      <c r="AB8" t="s">
        <v>232</v>
      </c>
    </row>
    <row r="9" spans="1:28" x14ac:dyDescent="0.2">
      <c r="A9" t="s">
        <v>9</v>
      </c>
      <c r="B9" t="s">
        <v>329</v>
      </c>
      <c r="C9">
        <v>15</v>
      </c>
      <c r="D9" s="9">
        <v>45398438</v>
      </c>
      <c r="E9" t="s">
        <v>84</v>
      </c>
      <c r="F9" t="s">
        <v>83</v>
      </c>
      <c r="G9" s="21">
        <v>0.99</v>
      </c>
      <c r="H9" t="s">
        <v>132</v>
      </c>
      <c r="I9">
        <v>0.92369999999999997</v>
      </c>
      <c r="J9">
        <v>-0.20660000000000001</v>
      </c>
      <c r="K9">
        <v>3.2899999999999999E-2</v>
      </c>
      <c r="L9" s="7">
        <v>3.2600000000000001E-10</v>
      </c>
      <c r="M9" s="6" t="s">
        <v>95</v>
      </c>
      <c r="N9" t="s">
        <v>310</v>
      </c>
      <c r="O9">
        <f>2781+949+2812</f>
        <v>6542</v>
      </c>
      <c r="P9" t="s">
        <v>215</v>
      </c>
      <c r="Q9" s="11" t="s">
        <v>129</v>
      </c>
      <c r="R9" t="s">
        <v>217</v>
      </c>
      <c r="S9" t="s">
        <v>328</v>
      </c>
      <c r="T9" t="s">
        <v>130</v>
      </c>
      <c r="U9" t="s">
        <v>131</v>
      </c>
      <c r="V9">
        <v>0.1021</v>
      </c>
      <c r="W9">
        <v>1</v>
      </c>
      <c r="X9" t="s">
        <v>84</v>
      </c>
      <c r="Y9">
        <v>0</v>
      </c>
      <c r="Z9" t="s">
        <v>232</v>
      </c>
      <c r="AA9">
        <v>0</v>
      </c>
      <c r="AB9" t="s">
        <v>232</v>
      </c>
    </row>
    <row r="14" spans="1:28" x14ac:dyDescent="0.2">
      <c r="Q14" s="12"/>
    </row>
    <row r="23" spans="5:5" x14ac:dyDescent="0.2">
      <c r="E23" s="8"/>
    </row>
    <row r="25" spans="5:5" x14ac:dyDescent="0.2">
      <c r="E25" s="8"/>
    </row>
    <row r="26" spans="5:5" x14ac:dyDescent="0.2">
      <c r="E26" s="8"/>
    </row>
    <row r="27" spans="5:5" x14ac:dyDescent="0.2">
      <c r="E27" s="8"/>
    </row>
    <row r="28" spans="5:5" x14ac:dyDescent="0.2">
      <c r="E28" s="8"/>
    </row>
    <row r="29" spans="5:5" x14ac:dyDescent="0.2">
      <c r="E29" s="8"/>
    </row>
    <row r="30" spans="5:5" x14ac:dyDescent="0.2">
      <c r="E30" s="8"/>
    </row>
    <row r="31" spans="5:5" x14ac:dyDescent="0.2">
      <c r="E31" s="8"/>
    </row>
    <row r="32" spans="5:5" x14ac:dyDescent="0.2">
      <c r="E32" s="8"/>
    </row>
    <row r="33" spans="5:5" x14ac:dyDescent="0.2">
      <c r="E33" s="8"/>
    </row>
    <row r="34" spans="5:5" x14ac:dyDescent="0.2">
      <c r="E34" s="8"/>
    </row>
    <row r="35" spans="5:5" x14ac:dyDescent="0.2">
      <c r="E35" s="8"/>
    </row>
    <row r="36" spans="5:5" x14ac:dyDescent="0.2">
      <c r="E36" s="8"/>
    </row>
    <row r="37" spans="5:5" x14ac:dyDescent="0.2">
      <c r="E37" s="8"/>
    </row>
    <row r="39" spans="5:5" x14ac:dyDescent="0.2">
      <c r="E39" s="8"/>
    </row>
    <row r="40" spans="5:5" x14ac:dyDescent="0.2">
      <c r="E40" s="8"/>
    </row>
    <row r="41" spans="5:5" x14ac:dyDescent="0.2">
      <c r="E41" s="8"/>
    </row>
    <row r="52" spans="5:5" x14ac:dyDescent="0.2">
      <c r="E52" s="8"/>
    </row>
    <row r="56" spans="5:5" x14ac:dyDescent="0.2">
      <c r="E56" s="8"/>
    </row>
    <row r="57" spans="5:5" x14ac:dyDescent="0.2">
      <c r="E57" s="8"/>
    </row>
    <row r="58" spans="5:5" x14ac:dyDescent="0.2">
      <c r="E58" s="8"/>
    </row>
    <row r="59" spans="5:5" x14ac:dyDescent="0.2">
      <c r="E59" s="8"/>
    </row>
    <row r="60" spans="5:5" x14ac:dyDescent="0.2">
      <c r="E60" s="8"/>
    </row>
    <row r="61" spans="5:5" x14ac:dyDescent="0.2">
      <c r="E61" s="8"/>
    </row>
    <row r="62" spans="5:5" x14ac:dyDescent="0.2">
      <c r="E62" s="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A43CA-FF00-2142-B53B-12D1530201E9}">
  <dimension ref="A1:M34"/>
  <sheetViews>
    <sheetView workbookViewId="0">
      <selection activeCell="A2" sqref="A2"/>
    </sheetView>
  </sheetViews>
  <sheetFormatPr baseColWidth="10" defaultRowHeight="16" x14ac:dyDescent="0.2"/>
  <cols>
    <col min="1" max="1" width="13.1640625" customWidth="1"/>
    <col min="2" max="2" width="8" customWidth="1"/>
    <col min="3" max="3" width="13" style="3" customWidth="1"/>
    <col min="4" max="4" width="11.33203125" style="3" customWidth="1"/>
  </cols>
  <sheetData>
    <row r="1" spans="1:13" ht="21" x14ac:dyDescent="0.25">
      <c r="A1" s="19" t="s">
        <v>569</v>
      </c>
    </row>
    <row r="2" spans="1:13" x14ac:dyDescent="0.2">
      <c r="A2" t="s">
        <v>538</v>
      </c>
    </row>
    <row r="3" spans="1:13" x14ac:dyDescent="0.2">
      <c r="A3" t="s">
        <v>520</v>
      </c>
    </row>
    <row r="5" spans="1:13" s="1" customFormat="1" x14ac:dyDescent="0.2">
      <c r="A5" s="1" t="s">
        <v>320</v>
      </c>
      <c r="B5" s="1" t="s">
        <v>71</v>
      </c>
      <c r="C5" s="18" t="s">
        <v>405</v>
      </c>
      <c r="D5" s="18" t="s">
        <v>477</v>
      </c>
      <c r="E5" s="1" t="s">
        <v>479</v>
      </c>
      <c r="F5" s="1" t="s">
        <v>478</v>
      </c>
      <c r="G5" s="1" t="s">
        <v>406</v>
      </c>
      <c r="H5" s="1" t="s">
        <v>407</v>
      </c>
      <c r="I5" s="1" t="s">
        <v>408</v>
      </c>
      <c r="J5" s="1" t="s">
        <v>537</v>
      </c>
      <c r="K5" s="1" t="s">
        <v>77</v>
      </c>
    </row>
    <row r="6" spans="1:13" x14ac:dyDescent="0.2">
      <c r="A6" t="s">
        <v>16</v>
      </c>
      <c r="B6">
        <v>6580</v>
      </c>
      <c r="C6" s="3">
        <v>0.19209999999999999</v>
      </c>
      <c r="D6" s="3">
        <v>7.6300000000000007E-2</v>
      </c>
      <c r="E6">
        <v>1070132</v>
      </c>
      <c r="F6" s="3">
        <v>1.0255000000000001</v>
      </c>
      <c r="G6">
        <v>1.0245</v>
      </c>
      <c r="H6">
        <v>0.99839999999999995</v>
      </c>
      <c r="I6">
        <v>0</v>
      </c>
      <c r="J6">
        <f>C6/D6</f>
        <v>2.5176933158584531</v>
      </c>
      <c r="K6">
        <v>1.18E-2</v>
      </c>
    </row>
    <row r="7" spans="1:13" x14ac:dyDescent="0.2">
      <c r="A7" t="s">
        <v>25</v>
      </c>
      <c r="B7">
        <v>6580</v>
      </c>
      <c r="C7" s="3">
        <v>0.1095</v>
      </c>
      <c r="D7" s="3">
        <v>6.8099999999999994E-2</v>
      </c>
      <c r="E7">
        <v>1070099</v>
      </c>
      <c r="F7" s="3">
        <v>1.0165</v>
      </c>
      <c r="G7">
        <v>1.0236000000000001</v>
      </c>
      <c r="H7">
        <v>1.0083</v>
      </c>
      <c r="I7">
        <v>0.3533</v>
      </c>
      <c r="J7">
        <f t="shared" ref="J7:J15" si="0">C7/D7</f>
        <v>1.6079295154185023</v>
      </c>
      <c r="K7">
        <v>0.108</v>
      </c>
    </row>
    <row r="8" spans="1:13" x14ac:dyDescent="0.2">
      <c r="A8" t="s">
        <v>28</v>
      </c>
      <c r="B8">
        <v>6580</v>
      </c>
      <c r="C8" s="3">
        <v>0.28720000000000001</v>
      </c>
      <c r="D8" s="3">
        <v>0.1048</v>
      </c>
      <c r="E8">
        <v>1070095</v>
      </c>
      <c r="F8" s="3">
        <v>1.0195000000000001</v>
      </c>
      <c r="G8">
        <v>1.0476000000000001</v>
      </c>
      <c r="H8">
        <v>1.0077</v>
      </c>
      <c r="I8">
        <v>0.1608</v>
      </c>
      <c r="J8">
        <f t="shared" si="0"/>
        <v>2.7404580152671754</v>
      </c>
      <c r="K8">
        <v>6.1399999999999996E-3</v>
      </c>
    </row>
    <row r="9" spans="1:13" x14ac:dyDescent="0.2">
      <c r="A9" t="s">
        <v>56</v>
      </c>
      <c r="B9">
        <v>6580</v>
      </c>
      <c r="C9" s="3">
        <v>0.2414</v>
      </c>
      <c r="D9" s="3">
        <v>0.1106</v>
      </c>
      <c r="E9">
        <v>1070106</v>
      </c>
      <c r="F9" s="3">
        <v>1.0285</v>
      </c>
      <c r="G9">
        <v>1.0427999999999999</v>
      </c>
      <c r="H9">
        <v>1.0086999999999999</v>
      </c>
      <c r="I9">
        <v>0.20419999999999999</v>
      </c>
      <c r="J9">
        <f t="shared" si="0"/>
        <v>2.1826401446654611</v>
      </c>
      <c r="K9">
        <v>2.9100000000000001E-2</v>
      </c>
    </row>
    <row r="10" spans="1:13" x14ac:dyDescent="0.2">
      <c r="A10" t="s">
        <v>29</v>
      </c>
      <c r="B10">
        <v>6579</v>
      </c>
      <c r="C10" s="3">
        <v>1.8800000000000001E-2</v>
      </c>
      <c r="D10" s="3">
        <v>6.9500000000000006E-2</v>
      </c>
      <c r="E10">
        <v>1070120</v>
      </c>
      <c r="F10" s="3">
        <v>1.0165</v>
      </c>
      <c r="G10">
        <v>1.0136000000000001</v>
      </c>
      <c r="H10">
        <v>1.0108999999999999</v>
      </c>
      <c r="I10">
        <v>0.80620000000000003</v>
      </c>
      <c r="J10">
        <f t="shared" si="0"/>
        <v>0.27050359712230215</v>
      </c>
      <c r="K10">
        <v>0.78700000000000003</v>
      </c>
    </row>
    <row r="11" spans="1:13" x14ac:dyDescent="0.2">
      <c r="A11" t="s">
        <v>9</v>
      </c>
      <c r="B11">
        <v>6542</v>
      </c>
      <c r="C11" s="3">
        <v>4.4400000000000002E-2</v>
      </c>
      <c r="D11" s="3">
        <v>7.1199999999999999E-2</v>
      </c>
      <c r="E11">
        <v>1070080</v>
      </c>
      <c r="F11" s="3">
        <v>1.0045999999999999</v>
      </c>
      <c r="G11">
        <v>1.0197000000000001</v>
      </c>
      <c r="H11">
        <v>1.0136000000000001</v>
      </c>
      <c r="I11">
        <v>0.68879999999999997</v>
      </c>
      <c r="J11">
        <f t="shared" si="0"/>
        <v>0.62359550561797761</v>
      </c>
      <c r="K11">
        <v>0.53300000000000003</v>
      </c>
    </row>
    <row r="12" spans="1:13" x14ac:dyDescent="0.2">
      <c r="A12" t="s">
        <v>30</v>
      </c>
      <c r="B12">
        <v>5746</v>
      </c>
      <c r="C12" s="3">
        <v>7.1800000000000003E-2</v>
      </c>
      <c r="D12" s="3">
        <v>7.8200000000000006E-2</v>
      </c>
      <c r="E12">
        <v>746600</v>
      </c>
      <c r="F12" s="3">
        <v>1.0045999999999999</v>
      </c>
      <c r="G12">
        <v>1.0033000000000001</v>
      </c>
      <c r="H12">
        <v>0.995</v>
      </c>
      <c r="I12">
        <v>0</v>
      </c>
      <c r="J12">
        <f t="shared" si="0"/>
        <v>0.91815856777493599</v>
      </c>
      <c r="K12">
        <v>0.35899999999999999</v>
      </c>
      <c r="M12" s="12"/>
    </row>
    <row r="13" spans="1:13" x14ac:dyDescent="0.2">
      <c r="A13" t="s">
        <v>42</v>
      </c>
      <c r="B13">
        <v>5631</v>
      </c>
      <c r="C13" s="3">
        <v>0.15720000000000001</v>
      </c>
      <c r="D13" s="3">
        <v>9.9000000000000005E-2</v>
      </c>
      <c r="E13">
        <v>1069980</v>
      </c>
      <c r="F13" s="3">
        <v>1.0225</v>
      </c>
      <c r="G13">
        <v>1.0251999999999999</v>
      </c>
      <c r="H13">
        <v>1.0061</v>
      </c>
      <c r="I13">
        <v>0.24390000000000001</v>
      </c>
      <c r="J13">
        <f t="shared" si="0"/>
        <v>1.5878787878787879</v>
      </c>
      <c r="K13">
        <v>0.112</v>
      </c>
    </row>
    <row r="14" spans="1:13" x14ac:dyDescent="0.2">
      <c r="A14" t="s">
        <v>61</v>
      </c>
      <c r="B14">
        <v>5052</v>
      </c>
      <c r="C14" s="3">
        <v>0.16639999999999999</v>
      </c>
      <c r="D14" s="3">
        <v>8.2600000000000007E-2</v>
      </c>
      <c r="E14">
        <v>1069927</v>
      </c>
      <c r="F14" s="3">
        <v>1.0195000000000001</v>
      </c>
      <c r="G14">
        <v>1.0196000000000001</v>
      </c>
      <c r="H14">
        <v>1.002</v>
      </c>
      <c r="I14">
        <v>0.1007</v>
      </c>
      <c r="J14">
        <f t="shared" si="0"/>
        <v>2.0145278450363193</v>
      </c>
      <c r="K14">
        <v>4.3999999999999997E-2</v>
      </c>
    </row>
    <row r="15" spans="1:13" x14ac:dyDescent="0.2">
      <c r="A15" t="s">
        <v>49</v>
      </c>
      <c r="B15">
        <v>5009</v>
      </c>
      <c r="C15" s="3">
        <v>8.3000000000000001E-3</v>
      </c>
      <c r="D15" s="3">
        <v>8.9200000000000002E-2</v>
      </c>
      <c r="E15">
        <v>1069887</v>
      </c>
      <c r="F15" s="3">
        <v>1.0075000000000001</v>
      </c>
      <c r="G15">
        <v>1.0025999999999999</v>
      </c>
      <c r="H15">
        <v>1.0017</v>
      </c>
      <c r="I15">
        <v>0.65529999999999999</v>
      </c>
      <c r="J15">
        <f t="shared" si="0"/>
        <v>9.3049327354260095E-2</v>
      </c>
      <c r="K15">
        <v>0.92600000000000005</v>
      </c>
    </row>
    <row r="16" spans="1:13" s="12" customFormat="1" x14ac:dyDescent="0.2">
      <c r="C16" s="22"/>
      <c r="D16" s="22"/>
    </row>
    <row r="17" spans="3:4" s="12" customFormat="1" x14ac:dyDescent="0.2">
      <c r="C17" s="22"/>
      <c r="D17" s="22"/>
    </row>
    <row r="18" spans="3:4" s="12" customFormat="1" x14ac:dyDescent="0.2">
      <c r="C18" s="22"/>
      <c r="D18" s="22"/>
    </row>
    <row r="19" spans="3:4" s="12" customFormat="1" x14ac:dyDescent="0.2">
      <c r="C19" s="22"/>
      <c r="D19" s="22"/>
    </row>
    <row r="20" spans="3:4" s="12" customFormat="1" x14ac:dyDescent="0.2">
      <c r="C20" s="22"/>
      <c r="D20" s="22"/>
    </row>
    <row r="21" spans="3:4" s="12" customFormat="1" x14ac:dyDescent="0.2">
      <c r="C21" s="22"/>
      <c r="D21" s="22"/>
    </row>
    <row r="22" spans="3:4" s="12" customFormat="1" x14ac:dyDescent="0.2">
      <c r="C22" s="22"/>
      <c r="D22" s="22"/>
    </row>
    <row r="23" spans="3:4" s="12" customFormat="1" x14ac:dyDescent="0.2">
      <c r="C23" s="22"/>
      <c r="D23" s="22"/>
    </row>
    <row r="24" spans="3:4" s="12" customFormat="1" x14ac:dyDescent="0.2">
      <c r="C24" s="22"/>
      <c r="D24" s="22"/>
    </row>
    <row r="25" spans="3:4" s="12" customFormat="1" x14ac:dyDescent="0.2">
      <c r="C25" s="22"/>
      <c r="D25" s="22"/>
    </row>
    <row r="26" spans="3:4" s="12" customFormat="1" x14ac:dyDescent="0.2">
      <c r="C26" s="22"/>
      <c r="D26" s="22"/>
    </row>
    <row r="27" spans="3:4" s="12" customFormat="1" x14ac:dyDescent="0.2">
      <c r="C27" s="22"/>
      <c r="D27" s="22"/>
    </row>
    <row r="28" spans="3:4" s="12" customFormat="1" x14ac:dyDescent="0.2">
      <c r="C28" s="22"/>
      <c r="D28" s="22"/>
    </row>
    <row r="29" spans="3:4" s="12" customFormat="1" x14ac:dyDescent="0.2">
      <c r="C29" s="22"/>
      <c r="D29" s="22"/>
    </row>
    <row r="30" spans="3:4" s="12" customFormat="1" x14ac:dyDescent="0.2">
      <c r="C30" s="22"/>
      <c r="D30" s="22"/>
    </row>
    <row r="31" spans="3:4" s="12" customFormat="1" x14ac:dyDescent="0.2">
      <c r="C31" s="22"/>
      <c r="D31" s="22"/>
    </row>
    <row r="32" spans="3:4" s="12" customFormat="1" x14ac:dyDescent="0.2">
      <c r="C32" s="22"/>
      <c r="D32" s="22"/>
    </row>
    <row r="33" spans="3:4" s="12" customFormat="1" x14ac:dyDescent="0.2">
      <c r="C33" s="22"/>
      <c r="D33" s="22"/>
    </row>
    <row r="34" spans="3:4" s="12" customFormat="1" x14ac:dyDescent="0.2">
      <c r="C34" s="22"/>
      <c r="D34" s="2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3CEDB-92D4-E843-A03C-992EB08A2406}">
  <dimension ref="A1:CW34"/>
  <sheetViews>
    <sheetView zoomScaleNormal="100" workbookViewId="0">
      <selection activeCell="J35" sqref="J35"/>
    </sheetView>
  </sheetViews>
  <sheetFormatPr baseColWidth="10" defaultRowHeight="16" x14ac:dyDescent="0.2"/>
  <cols>
    <col min="1" max="1" width="14.33203125" customWidth="1"/>
    <col min="3" max="3" width="5.5" customWidth="1"/>
    <col min="5" max="5" width="5" customWidth="1"/>
    <col min="6" max="6" width="4" customWidth="1"/>
    <col min="7" max="7" width="9.1640625" customWidth="1"/>
    <col min="8" max="8" width="10.33203125" customWidth="1"/>
    <col min="9" max="9" width="8.6640625" customWidth="1"/>
    <col min="10" max="10" width="40.1640625" customWidth="1"/>
    <col min="11" max="11" width="10.33203125" customWidth="1"/>
    <col min="12" max="12" width="9" customWidth="1"/>
    <col min="14" max="14" width="10.83203125" style="3"/>
    <col min="15" max="15" width="10.33203125" customWidth="1"/>
    <col min="16" max="16" width="10.5" customWidth="1"/>
    <col min="18" max="18" width="11.33203125" bestFit="1" customWidth="1"/>
  </cols>
  <sheetData>
    <row r="1" spans="1:101" ht="21" x14ac:dyDescent="0.25">
      <c r="A1" s="19" t="s">
        <v>570</v>
      </c>
    </row>
    <row r="2" spans="1:101" x14ac:dyDescent="0.2">
      <c r="A2" t="s">
        <v>384</v>
      </c>
    </row>
    <row r="3" spans="1:101" x14ac:dyDescent="0.2">
      <c r="A3" t="s">
        <v>541</v>
      </c>
    </row>
    <row r="4" spans="1:101" x14ac:dyDescent="0.2">
      <c r="A4" s="12"/>
    </row>
    <row r="5" spans="1:101" x14ac:dyDescent="0.2">
      <c r="A5" s="1" t="s">
        <v>62</v>
      </c>
      <c r="B5" s="1" t="s">
        <v>102</v>
      </c>
      <c r="C5" s="1" t="s">
        <v>101</v>
      </c>
      <c r="D5" s="1" t="s">
        <v>100</v>
      </c>
      <c r="E5" s="1" t="s">
        <v>99</v>
      </c>
      <c r="F5" s="1" t="s">
        <v>98</v>
      </c>
      <c r="G5" s="1" t="s">
        <v>379</v>
      </c>
      <c r="H5" s="1" t="s">
        <v>380</v>
      </c>
      <c r="I5" s="1" t="s">
        <v>377</v>
      </c>
      <c r="J5" s="1" t="s">
        <v>385</v>
      </c>
      <c r="K5" s="1" t="s">
        <v>376</v>
      </c>
      <c r="L5" s="1" t="s">
        <v>378</v>
      </c>
      <c r="M5" s="1" t="s">
        <v>330</v>
      </c>
      <c r="N5" s="18" t="s">
        <v>540</v>
      </c>
      <c r="O5" s="1" t="s">
        <v>77</v>
      </c>
      <c r="P5" s="1" t="s">
        <v>381</v>
      </c>
      <c r="Q5" s="1" t="s">
        <v>382</v>
      </c>
      <c r="R5" s="1" t="s">
        <v>532</v>
      </c>
    </row>
    <row r="6" spans="1:101" x14ac:dyDescent="0.2">
      <c r="A6" t="s">
        <v>28</v>
      </c>
      <c r="B6" t="s">
        <v>252</v>
      </c>
      <c r="C6">
        <v>4</v>
      </c>
      <c r="D6">
        <v>103188709</v>
      </c>
      <c r="E6" t="s">
        <v>83</v>
      </c>
      <c r="F6" t="s">
        <v>84</v>
      </c>
      <c r="G6" s="3">
        <v>7.9020000000000007E-2</v>
      </c>
      <c r="H6" s="3">
        <v>7.4069999999999997E-2</v>
      </c>
      <c r="I6" s="8">
        <v>530</v>
      </c>
      <c r="J6" t="s">
        <v>357</v>
      </c>
      <c r="K6" t="s">
        <v>374</v>
      </c>
      <c r="L6" s="5">
        <v>7.485E-2</v>
      </c>
      <c r="M6" s="5">
        <v>1.434E-2</v>
      </c>
      <c r="N6" s="3">
        <f>LN(O6)</f>
        <v>-15.53</v>
      </c>
      <c r="O6" s="7">
        <v>1.8005562608351578E-7</v>
      </c>
      <c r="P6">
        <v>42944</v>
      </c>
      <c r="Q6">
        <v>371349</v>
      </c>
      <c r="R6" t="b">
        <v>0</v>
      </c>
    </row>
    <row r="7" spans="1:101" x14ac:dyDescent="0.2">
      <c r="A7" t="s">
        <v>28</v>
      </c>
      <c r="B7" t="s">
        <v>252</v>
      </c>
      <c r="C7">
        <v>4</v>
      </c>
      <c r="D7">
        <v>103188709</v>
      </c>
      <c r="E7" t="s">
        <v>83</v>
      </c>
      <c r="F7" t="s">
        <v>84</v>
      </c>
      <c r="G7" s="3">
        <v>7.9450000000000007E-2</v>
      </c>
      <c r="H7" s="3">
        <v>7.4069999999999997E-2</v>
      </c>
      <c r="I7" s="8">
        <v>530.1</v>
      </c>
      <c r="J7" t="s">
        <v>358</v>
      </c>
      <c r="K7" t="s">
        <v>374</v>
      </c>
      <c r="L7" s="5">
        <v>8.1320000000000003E-2</v>
      </c>
      <c r="M7" s="5">
        <v>1.474E-2</v>
      </c>
      <c r="N7" s="3">
        <f t="shared" ref="N7:N28" si="0">LN(O7)</f>
        <v>-17.190000000000001</v>
      </c>
      <c r="O7" s="7">
        <v>3.4235593105060364E-8</v>
      </c>
      <c r="P7">
        <v>40018</v>
      </c>
      <c r="Q7">
        <v>371349</v>
      </c>
      <c r="R7" t="b">
        <v>0</v>
      </c>
    </row>
    <row r="8" spans="1:101" x14ac:dyDescent="0.2">
      <c r="A8" t="s">
        <v>28</v>
      </c>
      <c r="B8" t="s">
        <v>252</v>
      </c>
      <c r="C8">
        <v>4</v>
      </c>
      <c r="D8">
        <v>103188709</v>
      </c>
      <c r="E8" t="s">
        <v>83</v>
      </c>
      <c r="F8" t="s">
        <v>84</v>
      </c>
      <c r="G8" s="3">
        <v>7.9850000000000004E-2</v>
      </c>
      <c r="H8" s="3">
        <v>7.4090000000000003E-2</v>
      </c>
      <c r="I8" s="8">
        <v>550.20000000000005</v>
      </c>
      <c r="J8" t="s">
        <v>359</v>
      </c>
      <c r="K8" t="s">
        <v>374</v>
      </c>
      <c r="L8" s="5">
        <v>8.3150000000000002E-2</v>
      </c>
      <c r="M8" s="5">
        <v>1.609E-2</v>
      </c>
      <c r="N8" s="3">
        <f t="shared" si="0"/>
        <v>-15.25</v>
      </c>
      <c r="O8" s="7">
        <v>2.382369667501818E-7</v>
      </c>
      <c r="P8" s="9">
        <v>33482</v>
      </c>
      <c r="Q8" s="9">
        <v>363863</v>
      </c>
      <c r="R8" t="b">
        <v>0</v>
      </c>
    </row>
    <row r="9" spans="1:101" x14ac:dyDescent="0.2">
      <c r="A9" t="s">
        <v>28</v>
      </c>
      <c r="B9" t="s">
        <v>252</v>
      </c>
      <c r="C9">
        <v>4</v>
      </c>
      <c r="D9">
        <v>103188709</v>
      </c>
      <c r="E9" t="s">
        <v>83</v>
      </c>
      <c r="F9" t="s">
        <v>84</v>
      </c>
      <c r="G9" s="3">
        <v>8.3030000000000007E-2</v>
      </c>
      <c r="H9" s="3">
        <v>7.424E-2</v>
      </c>
      <c r="I9" s="8">
        <v>726</v>
      </c>
      <c r="J9" t="s">
        <v>363</v>
      </c>
      <c r="K9" t="s">
        <v>364</v>
      </c>
      <c r="L9" s="5">
        <v>0.1298</v>
      </c>
      <c r="M9" s="5">
        <v>2.0959999999999999E-2</v>
      </c>
      <c r="N9" s="3">
        <f t="shared" si="0"/>
        <v>-21.24</v>
      </c>
      <c r="O9" s="7">
        <v>5.9646532908162426E-10</v>
      </c>
      <c r="P9" s="9">
        <v>17969</v>
      </c>
      <c r="Q9" s="9">
        <v>386932</v>
      </c>
      <c r="R9" t="b">
        <v>0</v>
      </c>
    </row>
    <row r="10" spans="1:101" x14ac:dyDescent="0.2">
      <c r="A10" t="s">
        <v>28</v>
      </c>
      <c r="B10" t="s">
        <v>252</v>
      </c>
      <c r="C10">
        <v>4</v>
      </c>
      <c r="D10">
        <v>103188709</v>
      </c>
      <c r="E10" t="s">
        <v>83</v>
      </c>
      <c r="F10" t="s">
        <v>84</v>
      </c>
      <c r="G10" s="3">
        <v>8.0240000000000006E-2</v>
      </c>
      <c r="H10" s="3">
        <v>7.4050000000000005E-2</v>
      </c>
      <c r="I10" s="8">
        <v>740</v>
      </c>
      <c r="J10" t="s">
        <v>366</v>
      </c>
      <c r="K10" t="s">
        <v>364</v>
      </c>
      <c r="L10" s="5">
        <v>9.622E-2</v>
      </c>
      <c r="M10" s="5">
        <v>1.5570000000000001E-2</v>
      </c>
      <c r="N10" s="3">
        <f t="shared" si="0"/>
        <v>-21.16</v>
      </c>
      <c r="O10" s="7">
        <v>6.4614317731061084E-10</v>
      </c>
      <c r="P10" s="9">
        <v>36073</v>
      </c>
      <c r="Q10" s="9">
        <v>384458</v>
      </c>
      <c r="R10" t="b">
        <v>0</v>
      </c>
    </row>
    <row r="11" spans="1:101" x14ac:dyDescent="0.2">
      <c r="A11" t="s">
        <v>28</v>
      </c>
      <c r="B11" t="s">
        <v>252</v>
      </c>
      <c r="C11">
        <v>4</v>
      </c>
      <c r="D11">
        <v>103188709</v>
      </c>
      <c r="E11" t="s">
        <v>83</v>
      </c>
      <c r="F11" t="s">
        <v>84</v>
      </c>
      <c r="G11" s="3">
        <v>8.3760000000000001E-2</v>
      </c>
      <c r="H11" s="3">
        <v>7.4050000000000005E-2</v>
      </c>
      <c r="I11" s="8">
        <v>740.9</v>
      </c>
      <c r="J11" t="s">
        <v>367</v>
      </c>
      <c r="K11" t="s">
        <v>364</v>
      </c>
      <c r="L11" s="5">
        <v>0.1462</v>
      </c>
      <c r="M11" s="5">
        <v>2.1940000000000001E-2</v>
      </c>
      <c r="N11" s="3">
        <f t="shared" si="0"/>
        <v>-24.33</v>
      </c>
      <c r="O11" s="7">
        <v>2.7140338207809668E-11</v>
      </c>
      <c r="P11" s="9">
        <v>16744</v>
      </c>
      <c r="Q11" s="9">
        <v>384458</v>
      </c>
      <c r="R11" t="b">
        <v>0</v>
      </c>
    </row>
    <row r="12" spans="1:101" x14ac:dyDescent="0.2">
      <c r="A12" t="s">
        <v>28</v>
      </c>
      <c r="B12" t="s">
        <v>252</v>
      </c>
      <c r="C12">
        <v>4</v>
      </c>
      <c r="D12">
        <v>103188709</v>
      </c>
      <c r="E12" t="s">
        <v>83</v>
      </c>
      <c r="F12" t="s">
        <v>84</v>
      </c>
      <c r="G12" s="3">
        <v>7.8770000000000007E-2</v>
      </c>
      <c r="H12" s="3">
        <v>7.4109999999999995E-2</v>
      </c>
      <c r="I12" s="8">
        <v>716</v>
      </c>
      <c r="J12" t="s">
        <v>524</v>
      </c>
      <c r="K12" t="s">
        <v>364</v>
      </c>
      <c r="L12" s="5">
        <v>7.3010000000000005E-2</v>
      </c>
      <c r="M12" s="5">
        <v>1.4749999999999999E-2</v>
      </c>
      <c r="N12" s="3">
        <f t="shared" si="0"/>
        <v>-14.120013308146399</v>
      </c>
      <c r="O12" s="7">
        <v>7.3748999999999997E-7</v>
      </c>
      <c r="P12" s="9">
        <v>42030</v>
      </c>
      <c r="Q12" s="9">
        <v>372332</v>
      </c>
      <c r="R12" t="b">
        <v>0</v>
      </c>
    </row>
    <row r="13" spans="1:101" x14ac:dyDescent="0.2">
      <c r="A13" t="s">
        <v>28</v>
      </c>
      <c r="B13" t="s">
        <v>252</v>
      </c>
      <c r="C13">
        <v>4</v>
      </c>
      <c r="D13">
        <v>103188709</v>
      </c>
      <c r="E13" t="s">
        <v>83</v>
      </c>
      <c r="F13" t="s">
        <v>84</v>
      </c>
      <c r="G13" s="3">
        <v>7.8780000000000003E-2</v>
      </c>
      <c r="H13" s="3">
        <v>7.4109999999999995E-2</v>
      </c>
      <c r="I13" s="8">
        <v>719.9</v>
      </c>
      <c r="J13" t="s">
        <v>468</v>
      </c>
      <c r="K13" t="s">
        <v>364</v>
      </c>
      <c r="L13" s="5">
        <v>7.306E-2</v>
      </c>
      <c r="M13" s="5">
        <v>1.477E-2</v>
      </c>
      <c r="N13" s="3">
        <f t="shared" si="0"/>
        <v>-14.11001585576418</v>
      </c>
      <c r="O13" s="7">
        <v>7.4489999999999995E-7</v>
      </c>
      <c r="P13" s="9">
        <v>41824</v>
      </c>
      <c r="Q13" s="9">
        <v>372332</v>
      </c>
      <c r="R13" t="b">
        <v>0</v>
      </c>
    </row>
    <row r="14" spans="1:101" x14ac:dyDescent="0.2">
      <c r="A14" t="s">
        <v>28</v>
      </c>
      <c r="B14" t="s">
        <v>252</v>
      </c>
      <c r="C14">
        <v>4</v>
      </c>
      <c r="D14">
        <v>103188709</v>
      </c>
      <c r="E14" t="s">
        <v>83</v>
      </c>
      <c r="F14" t="s">
        <v>84</v>
      </c>
      <c r="G14" s="3">
        <v>7.9409999999999994E-2</v>
      </c>
      <c r="H14" s="3">
        <v>7.4090000000000003E-2</v>
      </c>
      <c r="I14" s="8">
        <v>495</v>
      </c>
      <c r="J14" t="s">
        <v>526</v>
      </c>
      <c r="K14" t="s">
        <v>521</v>
      </c>
      <c r="L14" s="3">
        <v>8.2559999999999995E-2</v>
      </c>
      <c r="M14" s="3">
        <v>1.685E-2</v>
      </c>
      <c r="N14" s="3">
        <f t="shared" si="0"/>
        <v>-13.86</v>
      </c>
      <c r="O14" s="7">
        <v>9.5648569858214591E-7</v>
      </c>
      <c r="P14" s="9">
        <v>31169</v>
      </c>
      <c r="Q14" s="9">
        <v>379656</v>
      </c>
      <c r="R14" t="b">
        <v>0</v>
      </c>
    </row>
    <row r="15" spans="1:101" x14ac:dyDescent="0.2">
      <c r="A15" t="s">
        <v>28</v>
      </c>
      <c r="B15" t="s">
        <v>221</v>
      </c>
      <c r="C15">
        <v>6</v>
      </c>
      <c r="D15">
        <v>26093141</v>
      </c>
      <c r="E15" t="s">
        <v>88</v>
      </c>
      <c r="F15" t="s">
        <v>89</v>
      </c>
      <c r="G15" s="3">
        <v>0.1605</v>
      </c>
      <c r="H15" s="3">
        <v>7.8030000000000002E-2</v>
      </c>
      <c r="I15" s="8">
        <v>200.1</v>
      </c>
      <c r="J15" t="s">
        <v>348</v>
      </c>
      <c r="K15" t="s">
        <v>370</v>
      </c>
      <c r="L15" s="5">
        <v>1.1259999999999999</v>
      </c>
      <c r="M15" s="5">
        <v>0.13969999999999999</v>
      </c>
      <c r="N15" s="3">
        <f t="shared" si="0"/>
        <v>-34.799999999999997</v>
      </c>
      <c r="O15" s="7">
        <v>7.7010870013654683E-16</v>
      </c>
      <c r="P15" s="9">
        <v>448</v>
      </c>
      <c r="Q15" s="9">
        <v>410687</v>
      </c>
      <c r="R15" t="b">
        <v>0</v>
      </c>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5"/>
      <c r="BA15" s="24"/>
      <c r="BB15" s="24"/>
      <c r="BC15" s="24"/>
      <c r="BD15" s="24"/>
      <c r="BE15" s="24"/>
      <c r="BF15" s="25"/>
      <c r="BG15" s="24"/>
      <c r="BH15" s="24"/>
      <c r="BI15" s="24"/>
      <c r="BJ15" s="24"/>
      <c r="BK15" s="24"/>
      <c r="BL15" s="25"/>
      <c r="BM15" s="24"/>
      <c r="BN15" s="24"/>
      <c r="BO15" s="24"/>
      <c r="BP15" s="24"/>
      <c r="BQ15" s="24"/>
      <c r="BR15" s="25"/>
      <c r="BS15" s="24"/>
      <c r="BT15" s="24"/>
      <c r="BU15" s="24"/>
      <c r="BV15" s="24"/>
      <c r="BW15" s="24"/>
      <c r="BX15" s="25"/>
      <c r="BY15" s="24"/>
      <c r="BZ15" s="24"/>
      <c r="CA15" s="24"/>
      <c r="CB15" s="24"/>
      <c r="CC15" s="24"/>
      <c r="CD15" s="25"/>
      <c r="CE15" s="24"/>
      <c r="CF15" s="24"/>
      <c r="CG15" s="24"/>
      <c r="CH15" s="24"/>
      <c r="CI15" s="24"/>
      <c r="CJ15" s="24"/>
      <c r="CK15" s="24"/>
      <c r="CL15" s="24"/>
      <c r="CM15" s="24"/>
      <c r="CN15" s="24"/>
      <c r="CO15" s="26"/>
      <c r="CP15" s="26"/>
      <c r="CQ15" s="24"/>
      <c r="CR15" s="24"/>
      <c r="CS15" s="24"/>
      <c r="CT15" s="24"/>
      <c r="CU15" s="24"/>
      <c r="CV15" s="24"/>
      <c r="CW15" s="24"/>
    </row>
    <row r="16" spans="1:101" x14ac:dyDescent="0.2">
      <c r="A16" t="s">
        <v>28</v>
      </c>
      <c r="B16" t="s">
        <v>221</v>
      </c>
      <c r="C16">
        <v>6</v>
      </c>
      <c r="D16">
        <v>26093141</v>
      </c>
      <c r="E16" t="s">
        <v>88</v>
      </c>
      <c r="F16" t="s">
        <v>89</v>
      </c>
      <c r="G16" s="3">
        <v>0.1605</v>
      </c>
      <c r="H16" s="3">
        <v>7.8030000000000002E-2</v>
      </c>
      <c r="I16" s="8">
        <v>200</v>
      </c>
      <c r="J16" t="s">
        <v>349</v>
      </c>
      <c r="K16" t="s">
        <v>370</v>
      </c>
      <c r="L16" s="5">
        <v>1.1259999999999999</v>
      </c>
      <c r="M16" s="5">
        <v>0.13969999999999999</v>
      </c>
      <c r="N16" s="3">
        <f t="shared" si="0"/>
        <v>-21.21</v>
      </c>
      <c r="O16" s="7">
        <v>6.1463040269823472E-10</v>
      </c>
      <c r="P16" s="9">
        <v>1255</v>
      </c>
      <c r="Q16" s="9">
        <v>414840</v>
      </c>
      <c r="R16" t="b">
        <v>0</v>
      </c>
    </row>
    <row r="17" spans="1:18" x14ac:dyDescent="0.2">
      <c r="A17" t="s">
        <v>28</v>
      </c>
      <c r="B17" t="s">
        <v>221</v>
      </c>
      <c r="C17">
        <v>6</v>
      </c>
      <c r="D17">
        <v>26093141</v>
      </c>
      <c r="E17" t="s">
        <v>88</v>
      </c>
      <c r="F17" t="s">
        <v>89</v>
      </c>
      <c r="G17" s="3">
        <v>0.23430000000000001</v>
      </c>
      <c r="H17" s="3">
        <v>7.6960000000000001E-2</v>
      </c>
      <c r="I17" s="8">
        <v>275</v>
      </c>
      <c r="J17" t="s">
        <v>350</v>
      </c>
      <c r="K17" t="s">
        <v>371</v>
      </c>
      <c r="L17" s="5">
        <v>2.1</v>
      </c>
      <c r="M17" s="5">
        <v>5.8040000000000001E-2</v>
      </c>
      <c r="N17" s="3">
        <f t="shared" si="0"/>
        <v>-658</v>
      </c>
      <c r="O17" s="7">
        <v>1.7148688344058831E-286</v>
      </c>
      <c r="P17" s="9">
        <v>3103</v>
      </c>
      <c r="Q17" s="9">
        <v>417428</v>
      </c>
      <c r="R17" t="b">
        <v>0</v>
      </c>
    </row>
    <row r="18" spans="1:18" x14ac:dyDescent="0.2">
      <c r="A18" t="s">
        <v>28</v>
      </c>
      <c r="B18" t="s">
        <v>221</v>
      </c>
      <c r="C18">
        <v>6</v>
      </c>
      <c r="D18">
        <v>26093141</v>
      </c>
      <c r="E18" t="s">
        <v>88</v>
      </c>
      <c r="F18" t="s">
        <v>89</v>
      </c>
      <c r="G18" s="3">
        <v>0.67549999999999999</v>
      </c>
      <c r="H18" s="3">
        <v>7.6960000000000001E-2</v>
      </c>
      <c r="I18" s="8">
        <v>275.10000000000002</v>
      </c>
      <c r="J18" t="s">
        <v>351</v>
      </c>
      <c r="K18" t="s">
        <v>372</v>
      </c>
      <c r="L18" s="5">
        <v>7.5430000000000001</v>
      </c>
      <c r="M18" s="5">
        <v>0.1419</v>
      </c>
      <c r="N18" s="3">
        <v>-1418</v>
      </c>
      <c r="O18" s="7" t="s">
        <v>375</v>
      </c>
      <c r="P18" s="9">
        <v>839</v>
      </c>
      <c r="Q18" s="9">
        <v>417416</v>
      </c>
      <c r="R18" s="9" t="b">
        <v>0</v>
      </c>
    </row>
    <row r="19" spans="1:18" x14ac:dyDescent="0.2">
      <c r="A19" t="s">
        <v>28</v>
      </c>
      <c r="B19" t="s">
        <v>221</v>
      </c>
      <c r="C19">
        <v>6</v>
      </c>
      <c r="D19">
        <v>26093141</v>
      </c>
      <c r="E19" t="s">
        <v>88</v>
      </c>
      <c r="F19" t="s">
        <v>89</v>
      </c>
      <c r="G19" s="3">
        <v>8.0759999999999998E-2</v>
      </c>
      <c r="H19" s="3">
        <v>7.7369999999999994E-2</v>
      </c>
      <c r="I19" s="8">
        <v>401</v>
      </c>
      <c r="J19" t="s">
        <v>355</v>
      </c>
      <c r="K19" t="s">
        <v>373</v>
      </c>
      <c r="L19" s="5">
        <v>6.0010000000000001E-2</v>
      </c>
      <c r="M19" s="5">
        <v>1.125E-2</v>
      </c>
      <c r="N19" s="3">
        <f t="shared" si="0"/>
        <v>-16.149999999999999</v>
      </c>
      <c r="O19" s="7">
        <v>9.6859922509253972E-8</v>
      </c>
      <c r="P19">
        <v>94311</v>
      </c>
      <c r="Q19">
        <v>325488</v>
      </c>
      <c r="R19" s="9" t="b">
        <v>0</v>
      </c>
    </row>
    <row r="20" spans="1:18" x14ac:dyDescent="0.2">
      <c r="A20" t="s">
        <v>28</v>
      </c>
      <c r="B20" t="s">
        <v>221</v>
      </c>
      <c r="C20">
        <v>6</v>
      </c>
      <c r="D20">
        <v>26093141</v>
      </c>
      <c r="E20" t="s">
        <v>88</v>
      </c>
      <c r="F20" t="s">
        <v>89</v>
      </c>
      <c r="G20" s="3">
        <v>8.0790000000000001E-2</v>
      </c>
      <c r="H20" s="3">
        <v>7.7369999999999994E-2</v>
      </c>
      <c r="I20" s="8">
        <v>401.1</v>
      </c>
      <c r="J20" t="s">
        <v>356</v>
      </c>
      <c r="K20" t="s">
        <v>373</v>
      </c>
      <c r="L20" s="5">
        <v>6.0109999999999997E-2</v>
      </c>
      <c r="M20" s="5">
        <v>1.124E-2</v>
      </c>
      <c r="N20" s="3">
        <f t="shared" si="0"/>
        <v>-16.23</v>
      </c>
      <c r="O20" s="7">
        <v>8.9412977778035024E-8</v>
      </c>
      <c r="P20">
        <v>94062</v>
      </c>
      <c r="Q20">
        <v>325488</v>
      </c>
      <c r="R20" s="9" t="b">
        <v>0</v>
      </c>
    </row>
    <row r="21" spans="1:18" x14ac:dyDescent="0.2">
      <c r="A21" t="s">
        <v>28</v>
      </c>
      <c r="B21" t="s">
        <v>221</v>
      </c>
      <c r="C21">
        <v>6</v>
      </c>
      <c r="D21">
        <v>26093141</v>
      </c>
      <c r="E21" t="s">
        <v>88</v>
      </c>
      <c r="F21" t="s">
        <v>89</v>
      </c>
      <c r="G21" s="3">
        <v>0.1661</v>
      </c>
      <c r="H21" s="3">
        <v>7.6950000000000005E-2</v>
      </c>
      <c r="I21" s="8">
        <v>830</v>
      </c>
      <c r="J21" t="s">
        <v>368</v>
      </c>
      <c r="K21" t="s">
        <v>369</v>
      </c>
      <c r="L21" s="5">
        <v>1.1919999999999999</v>
      </c>
      <c r="M21" s="5">
        <v>4.0910000000000002E-2</v>
      </c>
      <c r="N21" s="3">
        <f t="shared" si="0"/>
        <v>-428.4</v>
      </c>
      <c r="O21" s="7">
        <v>8.8765448683519031E-187</v>
      </c>
      <c r="P21" s="9">
        <v>5424</v>
      </c>
      <c r="Q21" s="9">
        <v>397432</v>
      </c>
      <c r="R21" s="9" t="b">
        <v>0</v>
      </c>
    </row>
    <row r="22" spans="1:18" x14ac:dyDescent="0.2">
      <c r="A22" t="s">
        <v>28</v>
      </c>
      <c r="B22" t="s">
        <v>221</v>
      </c>
      <c r="C22">
        <v>6</v>
      </c>
      <c r="D22">
        <v>26093141</v>
      </c>
      <c r="E22" t="s">
        <v>88</v>
      </c>
      <c r="F22" t="s">
        <v>89</v>
      </c>
      <c r="G22" s="3">
        <v>9.9460000000000007E-2</v>
      </c>
      <c r="H22" s="3">
        <v>7.7909999999999993E-2</v>
      </c>
      <c r="I22" s="8">
        <v>571.5</v>
      </c>
      <c r="J22" t="s">
        <v>360</v>
      </c>
      <c r="K22" t="s">
        <v>374</v>
      </c>
      <c r="L22" s="5">
        <v>0.28399999999999997</v>
      </c>
      <c r="M22" s="5">
        <v>5.4620000000000002E-2</v>
      </c>
      <c r="N22" s="3">
        <f t="shared" si="0"/>
        <v>-15.43</v>
      </c>
      <c r="O22" s="7">
        <v>1.989922415834046E-7</v>
      </c>
      <c r="P22">
        <v>2429</v>
      </c>
      <c r="Q22">
        <v>408402</v>
      </c>
      <c r="R22" s="9" t="b">
        <v>0</v>
      </c>
    </row>
    <row r="23" spans="1:18" x14ac:dyDescent="0.2">
      <c r="A23" t="s">
        <v>28</v>
      </c>
      <c r="B23" t="s">
        <v>221</v>
      </c>
      <c r="C23">
        <v>6</v>
      </c>
      <c r="D23">
        <v>26093141</v>
      </c>
      <c r="E23" t="s">
        <v>88</v>
      </c>
      <c r="F23" t="s">
        <v>89</v>
      </c>
      <c r="G23" s="3">
        <v>0.1658</v>
      </c>
      <c r="H23" s="3">
        <v>7.7909999999999993E-2</v>
      </c>
      <c r="I23" s="8">
        <v>571.51</v>
      </c>
      <c r="J23" t="s">
        <v>361</v>
      </c>
      <c r="K23" t="s">
        <v>374</v>
      </c>
      <c r="L23" s="5">
        <v>1.1859999999999999</v>
      </c>
      <c r="M23" s="5">
        <v>0.23680000000000001</v>
      </c>
      <c r="N23" s="3">
        <f t="shared" si="0"/>
        <v>-14.42</v>
      </c>
      <c r="O23" s="7">
        <v>5.46353300471887E-7</v>
      </c>
      <c r="P23">
        <v>151</v>
      </c>
      <c r="Q23">
        <v>408402</v>
      </c>
      <c r="R23" s="9" t="b">
        <v>0</v>
      </c>
    </row>
    <row r="24" spans="1:18" x14ac:dyDescent="0.2">
      <c r="A24" t="s">
        <v>28</v>
      </c>
      <c r="B24" t="s">
        <v>221</v>
      </c>
      <c r="C24">
        <v>6</v>
      </c>
      <c r="D24">
        <v>26093141</v>
      </c>
      <c r="E24" t="s">
        <v>88</v>
      </c>
      <c r="F24" t="s">
        <v>89</v>
      </c>
      <c r="G24" s="3">
        <v>9.01E-2</v>
      </c>
      <c r="H24" s="3">
        <v>7.7799999999999994E-2</v>
      </c>
      <c r="I24" s="8">
        <v>681</v>
      </c>
      <c r="J24" t="s">
        <v>362</v>
      </c>
      <c r="K24" t="s">
        <v>365</v>
      </c>
      <c r="L24" s="5">
        <v>0.16339999999999999</v>
      </c>
      <c r="M24" s="5">
        <v>2.843E-2</v>
      </c>
      <c r="N24" s="3">
        <f t="shared" si="0"/>
        <v>-18.510000000000002</v>
      </c>
      <c r="O24" s="7">
        <v>9.1455355021002815E-9</v>
      </c>
      <c r="P24" s="9">
        <v>9035</v>
      </c>
      <c r="Q24" s="9">
        <v>406937</v>
      </c>
      <c r="R24" s="9" t="b">
        <v>0</v>
      </c>
    </row>
    <row r="25" spans="1:18" x14ac:dyDescent="0.2">
      <c r="A25" t="s">
        <v>28</v>
      </c>
      <c r="B25" t="s">
        <v>221</v>
      </c>
      <c r="C25">
        <v>6</v>
      </c>
      <c r="D25">
        <v>26093141</v>
      </c>
      <c r="E25" t="s">
        <v>88</v>
      </c>
      <c r="F25" t="s">
        <v>89</v>
      </c>
      <c r="G25" s="3">
        <v>0.12870000000000001</v>
      </c>
      <c r="H25" s="3">
        <v>7.7979999999999994E-2</v>
      </c>
      <c r="I25" s="8">
        <v>289.8</v>
      </c>
      <c r="J25" t="s">
        <v>467</v>
      </c>
      <c r="K25" t="s">
        <v>370</v>
      </c>
      <c r="L25" s="5">
        <v>0.70550000000000002</v>
      </c>
      <c r="M25" s="5">
        <v>0.14280000000000001</v>
      </c>
      <c r="N25" s="3">
        <f t="shared" si="0"/>
        <v>-14.070002887571738</v>
      </c>
      <c r="O25" s="7">
        <v>7.7530999999999997E-7</v>
      </c>
      <c r="P25" s="9">
        <v>384</v>
      </c>
      <c r="Q25" s="9">
        <v>410191</v>
      </c>
      <c r="R25" s="9" t="b">
        <v>0</v>
      </c>
    </row>
    <row r="26" spans="1:18" x14ac:dyDescent="0.2">
      <c r="A26" t="s">
        <v>28</v>
      </c>
      <c r="B26" t="s">
        <v>231</v>
      </c>
      <c r="C26">
        <v>22</v>
      </c>
      <c r="D26">
        <v>37462936</v>
      </c>
      <c r="E26" t="s">
        <v>89</v>
      </c>
      <c r="F26" t="s">
        <v>88</v>
      </c>
      <c r="G26" s="3">
        <v>0.54400000000000004</v>
      </c>
      <c r="H26" s="3">
        <v>0.56179999999999997</v>
      </c>
      <c r="I26" s="8">
        <v>285</v>
      </c>
      <c r="J26" t="s">
        <v>354</v>
      </c>
      <c r="K26" s="9" t="s">
        <v>372</v>
      </c>
      <c r="L26" s="5">
        <v>-7.4730000000000005E-2</v>
      </c>
      <c r="M26" s="5">
        <v>1.1950000000000001E-2</v>
      </c>
      <c r="N26" s="3">
        <f t="shared" si="0"/>
        <v>-21.64</v>
      </c>
      <c r="O26" s="7">
        <v>3.9982266684865623E-10</v>
      </c>
      <c r="P26" s="9">
        <v>15398</v>
      </c>
      <c r="Q26" s="9">
        <v>396365</v>
      </c>
      <c r="R26" t="b">
        <v>1</v>
      </c>
    </row>
    <row r="27" spans="1:18" x14ac:dyDescent="0.2">
      <c r="A27" t="s">
        <v>9</v>
      </c>
      <c r="B27" t="s">
        <v>132</v>
      </c>
      <c r="C27">
        <v>15</v>
      </c>
      <c r="D27">
        <v>45393667</v>
      </c>
      <c r="E27" t="s">
        <v>89</v>
      </c>
      <c r="F27" t="s">
        <v>88</v>
      </c>
      <c r="G27" s="3">
        <v>8.3659999999999998E-2</v>
      </c>
      <c r="H27" s="3">
        <v>7.3709999999999998E-2</v>
      </c>
      <c r="I27" s="8">
        <v>280</v>
      </c>
      <c r="J27" t="s">
        <v>352</v>
      </c>
      <c r="K27" t="s">
        <v>372</v>
      </c>
      <c r="L27" s="5">
        <v>0.13919999999999999</v>
      </c>
      <c r="M27" s="5">
        <v>2.681E-2</v>
      </c>
      <c r="N27" s="3">
        <f t="shared" si="0"/>
        <v>-15.38</v>
      </c>
      <c r="O27" s="7">
        <v>2.0919479197970816E-7</v>
      </c>
      <c r="P27">
        <v>10590</v>
      </c>
      <c r="Q27">
        <v>396365</v>
      </c>
      <c r="R27" s="9" t="b">
        <v>1</v>
      </c>
    </row>
    <row r="28" spans="1:18" x14ac:dyDescent="0.2">
      <c r="A28" t="s">
        <v>9</v>
      </c>
      <c r="B28" t="s">
        <v>132</v>
      </c>
      <c r="C28">
        <v>15</v>
      </c>
      <c r="D28">
        <v>45393667</v>
      </c>
      <c r="E28" t="s">
        <v>89</v>
      </c>
      <c r="F28" t="s">
        <v>88</v>
      </c>
      <c r="G28" s="3">
        <v>8.3659999999999998E-2</v>
      </c>
      <c r="H28" s="3">
        <v>7.3709999999999998E-2</v>
      </c>
      <c r="I28" s="8">
        <v>280.10000000000002</v>
      </c>
      <c r="J28" t="s">
        <v>353</v>
      </c>
      <c r="K28" t="s">
        <v>372</v>
      </c>
      <c r="L28" s="5">
        <v>0.13919999999999999</v>
      </c>
      <c r="M28" s="5">
        <v>2.681E-2</v>
      </c>
      <c r="N28" s="3">
        <f t="shared" si="0"/>
        <v>-15.38</v>
      </c>
      <c r="O28" s="7">
        <v>2.0919479197970816E-7</v>
      </c>
      <c r="P28">
        <v>10590</v>
      </c>
      <c r="Q28">
        <v>396365</v>
      </c>
      <c r="R28" s="9" t="b">
        <v>1</v>
      </c>
    </row>
    <row r="34" spans="9:9" x14ac:dyDescent="0.2">
      <c r="I34" s="1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88444-CA89-994E-B82B-3F2B309FF840}">
  <dimension ref="A1:P60"/>
  <sheetViews>
    <sheetView workbookViewId="0">
      <selection activeCell="T25" sqref="T25"/>
    </sheetView>
  </sheetViews>
  <sheetFormatPr baseColWidth="10" defaultRowHeight="16" x14ac:dyDescent="0.2"/>
  <cols>
    <col min="3" max="3" width="6.5" customWidth="1"/>
    <col min="5" max="5" width="5.83203125" customWidth="1"/>
    <col min="6" max="6" width="6.1640625" customWidth="1"/>
    <col min="7" max="7" width="9" customWidth="1"/>
    <col min="8" max="8" width="15.6640625" customWidth="1"/>
    <col min="9" max="9" width="32.1640625" customWidth="1"/>
    <col min="10" max="10" width="37" customWidth="1"/>
    <col min="14" max="14" width="12.5" customWidth="1"/>
  </cols>
  <sheetData>
    <row r="1" spans="1:16" ht="21" x14ac:dyDescent="0.25">
      <c r="A1" s="19" t="s">
        <v>571</v>
      </c>
    </row>
    <row r="2" spans="1:16" x14ac:dyDescent="0.2">
      <c r="A2" t="s">
        <v>528</v>
      </c>
    </row>
    <row r="3" spans="1:16" x14ac:dyDescent="0.2">
      <c r="A3" t="s">
        <v>542</v>
      </c>
    </row>
    <row r="4" spans="1:16" x14ac:dyDescent="0.2">
      <c r="A4" s="23"/>
    </row>
    <row r="5" spans="1:16" x14ac:dyDescent="0.2">
      <c r="A5" s="1" t="s">
        <v>62</v>
      </c>
      <c r="B5" s="1" t="s">
        <v>102</v>
      </c>
      <c r="C5" s="1" t="s">
        <v>101</v>
      </c>
      <c r="D5" s="1" t="s">
        <v>100</v>
      </c>
      <c r="E5" s="1" t="s">
        <v>99</v>
      </c>
      <c r="F5" s="1" t="s">
        <v>98</v>
      </c>
      <c r="G5" s="1" t="s">
        <v>346</v>
      </c>
      <c r="H5" s="1" t="s">
        <v>506</v>
      </c>
      <c r="I5" s="1" t="s">
        <v>385</v>
      </c>
      <c r="J5" s="1" t="s">
        <v>376</v>
      </c>
      <c r="K5" s="1" t="s">
        <v>378</v>
      </c>
      <c r="L5" s="1" t="s">
        <v>330</v>
      </c>
      <c r="M5" s="1" t="s">
        <v>540</v>
      </c>
      <c r="N5" s="1" t="s">
        <v>77</v>
      </c>
      <c r="O5" s="1" t="s">
        <v>71</v>
      </c>
      <c r="P5" s="1" t="s">
        <v>532</v>
      </c>
    </row>
    <row r="6" spans="1:16" x14ac:dyDescent="0.2">
      <c r="A6" t="s">
        <v>9</v>
      </c>
      <c r="B6" t="s">
        <v>136</v>
      </c>
      <c r="C6">
        <v>8</v>
      </c>
      <c r="D6">
        <v>71570989</v>
      </c>
      <c r="E6" t="s">
        <v>84</v>
      </c>
      <c r="F6" t="s">
        <v>83</v>
      </c>
      <c r="G6">
        <v>0.52170000000000005</v>
      </c>
      <c r="H6">
        <v>30810</v>
      </c>
      <c r="I6" t="s">
        <v>501</v>
      </c>
      <c r="J6" t="s">
        <v>371</v>
      </c>
      <c r="K6">
        <v>1.3469999999999999E-2</v>
      </c>
      <c r="L6">
        <v>2.4989999999999999E-3</v>
      </c>
      <c r="M6" s="3">
        <f>LN(N6)</f>
        <v>-16.47</v>
      </c>
      <c r="N6">
        <v>7.0334739461127073E-8</v>
      </c>
      <c r="O6">
        <v>366484</v>
      </c>
      <c r="P6" t="b">
        <v>0</v>
      </c>
    </row>
    <row r="7" spans="1:16" x14ac:dyDescent="0.2">
      <c r="A7" t="s">
        <v>9</v>
      </c>
      <c r="B7" t="s">
        <v>136</v>
      </c>
      <c r="C7">
        <v>8</v>
      </c>
      <c r="D7">
        <v>71570989</v>
      </c>
      <c r="E7" t="s">
        <v>84</v>
      </c>
      <c r="F7" t="s">
        <v>83</v>
      </c>
      <c r="G7">
        <v>0.52180000000000004</v>
      </c>
      <c r="H7">
        <v>30870</v>
      </c>
      <c r="I7" t="s">
        <v>503</v>
      </c>
      <c r="J7" t="s">
        <v>371</v>
      </c>
      <c r="K7">
        <v>-1.469E-2</v>
      </c>
      <c r="L7">
        <v>2.5179999999999998E-3</v>
      </c>
      <c r="M7" s="3">
        <f t="shared" ref="M7:M60" si="0">LN(N7)</f>
        <v>-19.03</v>
      </c>
      <c r="N7">
        <v>5.4372087781895283E-9</v>
      </c>
      <c r="O7">
        <v>400639</v>
      </c>
      <c r="P7" t="b">
        <v>1</v>
      </c>
    </row>
    <row r="8" spans="1:16" x14ac:dyDescent="0.2">
      <c r="A8" t="s">
        <v>9</v>
      </c>
      <c r="B8" t="s">
        <v>132</v>
      </c>
      <c r="C8">
        <v>15</v>
      </c>
      <c r="D8">
        <v>45393667</v>
      </c>
      <c r="E8" t="s">
        <v>89</v>
      </c>
      <c r="F8" t="s">
        <v>88</v>
      </c>
      <c r="G8">
        <v>7.4050000000000005E-2</v>
      </c>
      <c r="H8">
        <v>30700</v>
      </c>
      <c r="I8" t="s">
        <v>394</v>
      </c>
      <c r="J8" t="s">
        <v>402</v>
      </c>
      <c r="K8">
        <v>2.0930000000000001E-2</v>
      </c>
      <c r="L8">
        <v>3.954E-3</v>
      </c>
      <c r="M8" s="3">
        <f t="shared" si="0"/>
        <v>-15.94</v>
      </c>
      <c r="N8">
        <v>1.1949396128877681E-7</v>
      </c>
      <c r="O8">
        <v>400761</v>
      </c>
      <c r="P8" t="b">
        <v>1</v>
      </c>
    </row>
    <row r="9" spans="1:16" x14ac:dyDescent="0.2">
      <c r="A9" t="s">
        <v>28</v>
      </c>
      <c r="B9" t="s">
        <v>252</v>
      </c>
      <c r="C9">
        <v>4</v>
      </c>
      <c r="D9">
        <v>103188709</v>
      </c>
      <c r="E9" t="s">
        <v>83</v>
      </c>
      <c r="F9" t="s">
        <v>84</v>
      </c>
      <c r="G9">
        <v>7.4660000000000004E-2</v>
      </c>
      <c r="H9">
        <v>30600</v>
      </c>
      <c r="I9" t="s">
        <v>387</v>
      </c>
      <c r="J9" t="s">
        <v>371</v>
      </c>
      <c r="K9">
        <v>-7.0370000000000002E-2</v>
      </c>
      <c r="L9">
        <v>4.823E-3</v>
      </c>
      <c r="M9" s="3">
        <f t="shared" si="0"/>
        <v>-109.4</v>
      </c>
      <c r="N9">
        <v>3.0773980891599865E-48</v>
      </c>
      <c r="O9">
        <v>367192</v>
      </c>
      <c r="P9" t="b">
        <v>1</v>
      </c>
    </row>
    <row r="10" spans="1:16" x14ac:dyDescent="0.2">
      <c r="A10" t="s">
        <v>28</v>
      </c>
      <c r="B10" t="s">
        <v>252</v>
      </c>
      <c r="C10">
        <v>4</v>
      </c>
      <c r="D10">
        <v>103188709</v>
      </c>
      <c r="E10" t="s">
        <v>83</v>
      </c>
      <c r="F10" t="s">
        <v>84</v>
      </c>
      <c r="G10">
        <v>7.4579999999999994E-2</v>
      </c>
      <c r="H10">
        <v>30620</v>
      </c>
      <c r="I10" t="s">
        <v>389</v>
      </c>
      <c r="J10" t="s">
        <v>374</v>
      </c>
      <c r="K10">
        <v>2.4750000000000001E-2</v>
      </c>
      <c r="L10">
        <v>4.398E-3</v>
      </c>
      <c r="M10" s="3">
        <f t="shared" si="0"/>
        <v>-17.82</v>
      </c>
      <c r="N10">
        <v>1.8233596190363429E-8</v>
      </c>
      <c r="O10">
        <v>400822</v>
      </c>
      <c r="P10" t="b">
        <v>0</v>
      </c>
    </row>
    <row r="11" spans="1:16" x14ac:dyDescent="0.2">
      <c r="A11" t="s">
        <v>28</v>
      </c>
      <c r="B11" t="s">
        <v>252</v>
      </c>
      <c r="C11">
        <v>4</v>
      </c>
      <c r="D11">
        <v>103188709</v>
      </c>
      <c r="E11" t="s">
        <v>83</v>
      </c>
      <c r="F11" t="s">
        <v>84</v>
      </c>
      <c r="G11">
        <v>7.4709999999999999E-2</v>
      </c>
      <c r="H11">
        <v>30630</v>
      </c>
      <c r="I11" t="s">
        <v>390</v>
      </c>
      <c r="J11" t="s">
        <v>371</v>
      </c>
      <c r="K11">
        <v>-0.1008</v>
      </c>
      <c r="L11">
        <v>4.8300000000000001E-3</v>
      </c>
      <c r="M11" s="3">
        <f t="shared" si="0"/>
        <v>-220.9</v>
      </c>
      <c r="N11">
        <v>1.1597087864398677E-96</v>
      </c>
      <c r="O11">
        <v>364987</v>
      </c>
      <c r="P11" t="b">
        <v>1</v>
      </c>
    </row>
    <row r="12" spans="1:16" x14ac:dyDescent="0.2">
      <c r="A12" t="s">
        <v>28</v>
      </c>
      <c r="B12" t="s">
        <v>252</v>
      </c>
      <c r="C12">
        <v>4</v>
      </c>
      <c r="D12">
        <v>103188709</v>
      </c>
      <c r="E12" t="s">
        <v>83</v>
      </c>
      <c r="F12" t="s">
        <v>84</v>
      </c>
      <c r="G12">
        <v>7.4569999999999997E-2</v>
      </c>
      <c r="H12">
        <v>30650</v>
      </c>
      <c r="I12" t="s">
        <v>392</v>
      </c>
      <c r="J12" t="s">
        <v>374</v>
      </c>
      <c r="K12">
        <v>7.2739999999999999E-2</v>
      </c>
      <c r="L12">
        <v>4.6160000000000003E-3</v>
      </c>
      <c r="M12" s="3">
        <f t="shared" si="0"/>
        <v>-127.1</v>
      </c>
      <c r="N12">
        <v>6.3266141754983852E-56</v>
      </c>
      <c r="O12">
        <v>399482</v>
      </c>
      <c r="P12" t="b">
        <v>0</v>
      </c>
    </row>
    <row r="13" spans="1:16" x14ac:dyDescent="0.2">
      <c r="A13" t="s">
        <v>28</v>
      </c>
      <c r="B13" t="s">
        <v>252</v>
      </c>
      <c r="C13">
        <v>4</v>
      </c>
      <c r="D13">
        <v>103188709</v>
      </c>
      <c r="E13" t="s">
        <v>83</v>
      </c>
      <c r="F13" t="s">
        <v>84</v>
      </c>
      <c r="G13">
        <v>7.4579999999999994E-2</v>
      </c>
      <c r="H13">
        <v>30670</v>
      </c>
      <c r="I13" t="s">
        <v>500</v>
      </c>
      <c r="J13" t="s">
        <v>402</v>
      </c>
      <c r="K13">
        <v>-2.547E-2</v>
      </c>
      <c r="L13">
        <v>4.4710000000000001E-3</v>
      </c>
      <c r="M13" s="3">
        <f t="shared" si="0"/>
        <v>-18.22</v>
      </c>
      <c r="N13">
        <v>1.2222345037719687E-8</v>
      </c>
      <c r="O13">
        <v>400687</v>
      </c>
      <c r="P13" t="b">
        <v>1</v>
      </c>
    </row>
    <row r="14" spans="1:16" x14ac:dyDescent="0.2">
      <c r="A14" t="s">
        <v>28</v>
      </c>
      <c r="B14" t="s">
        <v>252</v>
      </c>
      <c r="C14">
        <v>4</v>
      </c>
      <c r="D14">
        <v>103188709</v>
      </c>
      <c r="E14" t="s">
        <v>83</v>
      </c>
      <c r="F14" t="s">
        <v>84</v>
      </c>
      <c r="G14">
        <v>7.4660000000000004E-2</v>
      </c>
      <c r="H14">
        <v>30680</v>
      </c>
      <c r="I14" t="s">
        <v>10</v>
      </c>
      <c r="J14" t="s">
        <v>364</v>
      </c>
      <c r="K14">
        <v>-7.8450000000000006E-2</v>
      </c>
      <c r="L14">
        <v>4.8399999999999997E-3</v>
      </c>
      <c r="M14" s="3">
        <f t="shared" si="0"/>
        <v>-134.30000000000001</v>
      </c>
      <c r="N14">
        <v>4.7233603585017401E-59</v>
      </c>
      <c r="O14">
        <v>367050</v>
      </c>
      <c r="P14" t="b">
        <v>1</v>
      </c>
    </row>
    <row r="15" spans="1:16" x14ac:dyDescent="0.2">
      <c r="A15" t="s">
        <v>28</v>
      </c>
      <c r="B15" t="s">
        <v>252</v>
      </c>
      <c r="C15">
        <v>4</v>
      </c>
      <c r="D15">
        <v>103188709</v>
      </c>
      <c r="E15" t="s">
        <v>83</v>
      </c>
      <c r="F15" t="s">
        <v>84</v>
      </c>
      <c r="G15">
        <v>7.4579999999999994E-2</v>
      </c>
      <c r="H15">
        <v>30690</v>
      </c>
      <c r="I15" t="s">
        <v>393</v>
      </c>
      <c r="J15" t="s">
        <v>371</v>
      </c>
      <c r="K15">
        <v>-5.1769999999999997E-2</v>
      </c>
      <c r="L15">
        <v>4.6410000000000002E-3</v>
      </c>
      <c r="M15" s="3">
        <f t="shared" si="0"/>
        <v>-64.84</v>
      </c>
      <c r="N15">
        <v>6.9238203904000852E-29</v>
      </c>
      <c r="O15">
        <v>400963</v>
      </c>
      <c r="P15" t="b">
        <v>1</v>
      </c>
    </row>
    <row r="16" spans="1:16" x14ac:dyDescent="0.2">
      <c r="A16" t="s">
        <v>28</v>
      </c>
      <c r="B16" t="s">
        <v>252</v>
      </c>
      <c r="C16">
        <v>4</v>
      </c>
      <c r="D16">
        <v>103188709</v>
      </c>
      <c r="E16" t="s">
        <v>83</v>
      </c>
      <c r="F16" t="s">
        <v>84</v>
      </c>
      <c r="G16">
        <v>7.4590000000000004E-2</v>
      </c>
      <c r="H16">
        <v>30730</v>
      </c>
      <c r="I16" t="s">
        <v>397</v>
      </c>
      <c r="J16" t="s">
        <v>374</v>
      </c>
      <c r="K16">
        <v>-3.9329999999999997E-2</v>
      </c>
      <c r="L16">
        <v>4.6299999999999996E-3</v>
      </c>
      <c r="M16" s="3">
        <f t="shared" si="0"/>
        <v>-38.450000000000003</v>
      </c>
      <c r="N16">
        <v>2.0015994398888757E-17</v>
      </c>
      <c r="O16">
        <v>400751</v>
      </c>
      <c r="P16" t="b">
        <v>1</v>
      </c>
    </row>
    <row r="17" spans="1:16" x14ac:dyDescent="0.2">
      <c r="A17" t="s">
        <v>28</v>
      </c>
      <c r="B17" t="s">
        <v>252</v>
      </c>
      <c r="C17">
        <v>4</v>
      </c>
      <c r="D17">
        <v>103188709</v>
      </c>
      <c r="E17" t="s">
        <v>83</v>
      </c>
      <c r="F17" t="s">
        <v>84</v>
      </c>
      <c r="G17">
        <v>7.4649999999999994E-2</v>
      </c>
      <c r="H17">
        <v>30760</v>
      </c>
      <c r="I17" t="s">
        <v>399</v>
      </c>
      <c r="J17" t="s">
        <v>371</v>
      </c>
      <c r="K17">
        <v>-0.1198</v>
      </c>
      <c r="L17">
        <v>4.908E-3</v>
      </c>
      <c r="M17" s="3">
        <f t="shared" si="0"/>
        <v>-301.2</v>
      </c>
      <c r="N17">
        <v>1.5506081087556277E-131</v>
      </c>
      <c r="O17">
        <v>367021</v>
      </c>
      <c r="P17" t="b">
        <v>1</v>
      </c>
    </row>
    <row r="18" spans="1:16" x14ac:dyDescent="0.2">
      <c r="A18" t="s">
        <v>28</v>
      </c>
      <c r="B18" t="s">
        <v>252</v>
      </c>
      <c r="C18">
        <v>4</v>
      </c>
      <c r="D18">
        <v>103188709</v>
      </c>
      <c r="E18" t="s">
        <v>83</v>
      </c>
      <c r="F18" t="s">
        <v>84</v>
      </c>
      <c r="G18">
        <v>7.46E-2</v>
      </c>
      <c r="H18">
        <v>30770</v>
      </c>
      <c r="I18" t="s">
        <v>400</v>
      </c>
      <c r="J18" t="s">
        <v>371</v>
      </c>
      <c r="K18">
        <v>3.2680000000000001E-2</v>
      </c>
      <c r="L18">
        <v>4.8219999999999999E-3</v>
      </c>
      <c r="M18" s="3">
        <f t="shared" si="0"/>
        <v>-25.12</v>
      </c>
      <c r="N18">
        <v>1.2317501237817245E-11</v>
      </c>
      <c r="O18">
        <v>398797</v>
      </c>
      <c r="P18" t="b">
        <v>0</v>
      </c>
    </row>
    <row r="19" spans="1:16" x14ac:dyDescent="0.2">
      <c r="A19" t="s">
        <v>28</v>
      </c>
      <c r="B19" t="s">
        <v>252</v>
      </c>
      <c r="C19">
        <v>4</v>
      </c>
      <c r="D19">
        <v>103188709</v>
      </c>
      <c r="E19" t="s">
        <v>83</v>
      </c>
      <c r="F19" t="s">
        <v>84</v>
      </c>
      <c r="G19">
        <v>7.4560000000000001E-2</v>
      </c>
      <c r="H19">
        <v>30780</v>
      </c>
      <c r="I19" t="s">
        <v>401</v>
      </c>
      <c r="J19" t="s">
        <v>371</v>
      </c>
      <c r="K19">
        <v>-2.793E-2</v>
      </c>
      <c r="L19">
        <v>4.6129999999999999E-3</v>
      </c>
      <c r="M19" s="3">
        <f t="shared" si="0"/>
        <v>-20.38</v>
      </c>
      <c r="N19">
        <v>1.4095434208439856E-9</v>
      </c>
      <c r="O19">
        <v>400223</v>
      </c>
      <c r="P19" s="9" t="b">
        <v>1</v>
      </c>
    </row>
    <row r="20" spans="1:16" x14ac:dyDescent="0.2">
      <c r="A20" t="s">
        <v>28</v>
      </c>
      <c r="B20" t="s">
        <v>252</v>
      </c>
      <c r="C20">
        <v>4</v>
      </c>
      <c r="D20">
        <v>103188709</v>
      </c>
      <c r="E20" t="s">
        <v>83</v>
      </c>
      <c r="F20" t="s">
        <v>84</v>
      </c>
      <c r="G20">
        <v>7.4609999999999996E-2</v>
      </c>
      <c r="H20">
        <v>30810</v>
      </c>
      <c r="I20" t="s">
        <v>501</v>
      </c>
      <c r="J20" t="s">
        <v>371</v>
      </c>
      <c r="K20">
        <v>-2.596E-2</v>
      </c>
      <c r="L20">
        <v>4.7530000000000003E-3</v>
      </c>
      <c r="M20" s="3">
        <f t="shared" si="0"/>
        <v>-16.87</v>
      </c>
      <c r="N20">
        <v>4.7146785793487296E-8</v>
      </c>
      <c r="O20">
        <v>366484</v>
      </c>
      <c r="P20" s="9" t="b">
        <v>1</v>
      </c>
    </row>
    <row r="21" spans="1:16" x14ac:dyDescent="0.2">
      <c r="A21" t="s">
        <v>28</v>
      </c>
      <c r="B21" t="s">
        <v>252</v>
      </c>
      <c r="C21">
        <v>4</v>
      </c>
      <c r="D21">
        <v>103188709</v>
      </c>
      <c r="E21" t="s">
        <v>83</v>
      </c>
      <c r="F21" t="s">
        <v>84</v>
      </c>
      <c r="G21">
        <v>7.4639999999999998E-2</v>
      </c>
      <c r="H21">
        <v>30860</v>
      </c>
      <c r="I21" t="s">
        <v>502</v>
      </c>
      <c r="J21" t="s">
        <v>371</v>
      </c>
      <c r="K21">
        <v>-2.6259999999999999E-2</v>
      </c>
      <c r="L21">
        <v>4.9249999999999997E-3</v>
      </c>
      <c r="M21" s="3">
        <f t="shared" si="0"/>
        <v>-16.149999999999999</v>
      </c>
      <c r="N21">
        <v>9.6859922509253972E-8</v>
      </c>
      <c r="O21">
        <v>366758</v>
      </c>
      <c r="P21" s="9" t="b">
        <v>1</v>
      </c>
    </row>
    <row r="22" spans="1:16" x14ac:dyDescent="0.2">
      <c r="A22" t="s">
        <v>28</v>
      </c>
      <c r="B22" t="s">
        <v>252</v>
      </c>
      <c r="C22">
        <v>4</v>
      </c>
      <c r="D22">
        <v>103188709</v>
      </c>
      <c r="E22" t="s">
        <v>83</v>
      </c>
      <c r="F22" t="s">
        <v>84</v>
      </c>
      <c r="G22">
        <v>7.4579999999999994E-2</v>
      </c>
      <c r="H22">
        <v>30870</v>
      </c>
      <c r="I22" t="s">
        <v>503</v>
      </c>
      <c r="J22" t="s">
        <v>371</v>
      </c>
      <c r="K22">
        <v>4.1020000000000001E-2</v>
      </c>
      <c r="L22">
        <v>4.7889999999999999E-3</v>
      </c>
      <c r="M22" s="3">
        <f t="shared" si="0"/>
        <v>-39.07</v>
      </c>
      <c r="N22">
        <v>1.0767492849808396E-17</v>
      </c>
      <c r="O22">
        <v>366758</v>
      </c>
      <c r="P22" t="b">
        <v>0</v>
      </c>
    </row>
    <row r="23" spans="1:16" x14ac:dyDescent="0.2">
      <c r="A23" t="s">
        <v>28</v>
      </c>
      <c r="B23" t="s">
        <v>252</v>
      </c>
      <c r="C23">
        <v>4</v>
      </c>
      <c r="D23">
        <v>103188709</v>
      </c>
      <c r="E23" t="s">
        <v>83</v>
      </c>
      <c r="F23" t="s">
        <v>84</v>
      </c>
      <c r="G23">
        <v>7.4579999999999994E-2</v>
      </c>
      <c r="H23">
        <v>30880</v>
      </c>
      <c r="I23" t="s">
        <v>504</v>
      </c>
      <c r="J23" t="s">
        <v>402</v>
      </c>
      <c r="K23">
        <v>-3.9730000000000001E-2</v>
      </c>
      <c r="L23">
        <v>4.2290000000000001E-3</v>
      </c>
      <c r="M23" s="3">
        <f t="shared" si="0"/>
        <v>-46.62</v>
      </c>
      <c r="N23">
        <v>5.6648870319340176E-21</v>
      </c>
      <c r="O23">
        <v>400469</v>
      </c>
      <c r="P23" s="9" t="b">
        <v>1</v>
      </c>
    </row>
    <row r="24" spans="1:16" x14ac:dyDescent="0.2">
      <c r="A24" t="s">
        <v>28</v>
      </c>
      <c r="B24" t="s">
        <v>221</v>
      </c>
      <c r="C24">
        <v>6</v>
      </c>
      <c r="D24">
        <v>26093141</v>
      </c>
      <c r="E24" t="s">
        <v>88</v>
      </c>
      <c r="F24" t="s">
        <v>89</v>
      </c>
      <c r="G24">
        <v>7.8149999999999997E-2</v>
      </c>
      <c r="H24">
        <v>30610</v>
      </c>
      <c r="I24" t="s">
        <v>388</v>
      </c>
      <c r="J24" t="s">
        <v>374</v>
      </c>
      <c r="K24">
        <v>6.3969999999999999E-2</v>
      </c>
      <c r="L24">
        <v>4.8799999999999998E-3</v>
      </c>
      <c r="M24" s="3">
        <f t="shared" si="0"/>
        <v>-88.71</v>
      </c>
      <c r="N24">
        <v>2.9767098898101727E-39</v>
      </c>
      <c r="O24">
        <v>400988</v>
      </c>
      <c r="P24" s="9" t="b">
        <v>0</v>
      </c>
    </row>
    <row r="25" spans="1:16" x14ac:dyDescent="0.2">
      <c r="A25" t="s">
        <v>28</v>
      </c>
      <c r="B25" t="s">
        <v>221</v>
      </c>
      <c r="C25">
        <v>6</v>
      </c>
      <c r="D25">
        <v>26093141</v>
      </c>
      <c r="E25" t="s">
        <v>88</v>
      </c>
      <c r="F25" t="s">
        <v>89</v>
      </c>
      <c r="G25">
        <v>7.8149999999999997E-2</v>
      </c>
      <c r="H25">
        <v>30620</v>
      </c>
      <c r="I25" t="s">
        <v>389</v>
      </c>
      <c r="J25" t="s">
        <v>374</v>
      </c>
      <c r="K25">
        <v>2.64E-2</v>
      </c>
      <c r="L25">
        <v>4.3039999999999997E-3</v>
      </c>
      <c r="M25" s="3">
        <f t="shared" si="0"/>
        <v>-20.88</v>
      </c>
      <c r="N25">
        <v>8.5493130093810467E-10</v>
      </c>
      <c r="O25">
        <v>400822</v>
      </c>
      <c r="P25" s="9" t="b">
        <v>0</v>
      </c>
    </row>
    <row r="26" spans="1:16" x14ac:dyDescent="0.2">
      <c r="A26" t="s">
        <v>28</v>
      </c>
      <c r="B26" t="s">
        <v>221</v>
      </c>
      <c r="C26">
        <v>6</v>
      </c>
      <c r="D26">
        <v>26093141</v>
      </c>
      <c r="E26" t="s">
        <v>88</v>
      </c>
      <c r="F26" t="s">
        <v>89</v>
      </c>
      <c r="G26">
        <v>7.8140000000000001E-2</v>
      </c>
      <c r="H26">
        <v>30640</v>
      </c>
      <c r="I26" t="s">
        <v>391</v>
      </c>
      <c r="J26" t="s">
        <v>371</v>
      </c>
      <c r="K26">
        <v>-6.8879999999999997E-2</v>
      </c>
      <c r="L26">
        <v>4.6930000000000001E-3</v>
      </c>
      <c r="M26" s="3">
        <f t="shared" si="0"/>
        <v>-110.6</v>
      </c>
      <c r="N26">
        <v>9.268944922046692E-49</v>
      </c>
      <c r="O26">
        <v>399003</v>
      </c>
      <c r="P26" s="9" t="b">
        <v>1</v>
      </c>
    </row>
    <row r="27" spans="1:16" x14ac:dyDescent="0.2">
      <c r="A27" t="s">
        <v>28</v>
      </c>
      <c r="B27" t="s">
        <v>221</v>
      </c>
      <c r="C27">
        <v>6</v>
      </c>
      <c r="D27">
        <v>26093141</v>
      </c>
      <c r="E27" t="s">
        <v>88</v>
      </c>
      <c r="F27" t="s">
        <v>89</v>
      </c>
      <c r="G27">
        <v>7.8149999999999997E-2</v>
      </c>
      <c r="H27">
        <v>30650</v>
      </c>
      <c r="I27" t="s">
        <v>392</v>
      </c>
      <c r="J27" t="s">
        <v>374</v>
      </c>
      <c r="K27">
        <v>3.9579999999999997E-2</v>
      </c>
      <c r="L27">
        <v>4.5170000000000002E-3</v>
      </c>
      <c r="M27" s="3">
        <f t="shared" si="0"/>
        <v>-40.81</v>
      </c>
      <c r="N27">
        <v>1.8899146586390152E-18</v>
      </c>
      <c r="O27">
        <v>399482</v>
      </c>
      <c r="P27" s="9" t="b">
        <v>0</v>
      </c>
    </row>
    <row r="28" spans="1:16" x14ac:dyDescent="0.2">
      <c r="A28" t="s">
        <v>28</v>
      </c>
      <c r="B28" t="s">
        <v>221</v>
      </c>
      <c r="C28">
        <v>6</v>
      </c>
      <c r="D28">
        <v>26093141</v>
      </c>
      <c r="E28" t="s">
        <v>88</v>
      </c>
      <c r="F28" t="s">
        <v>89</v>
      </c>
      <c r="G28">
        <v>7.9560000000000006E-2</v>
      </c>
      <c r="H28">
        <v>30660</v>
      </c>
      <c r="I28" t="s">
        <v>499</v>
      </c>
      <c r="J28" t="s">
        <v>371</v>
      </c>
      <c r="K28">
        <v>7.8619999999999995E-2</v>
      </c>
      <c r="L28">
        <v>5.0099999999999997E-3</v>
      </c>
      <c r="M28" s="3">
        <f t="shared" si="0"/>
        <v>-126.1</v>
      </c>
      <c r="N28">
        <v>1.7197520348928666E-55</v>
      </c>
      <c r="O28">
        <v>340934</v>
      </c>
      <c r="P28" s="9" t="b">
        <v>0</v>
      </c>
    </row>
    <row r="29" spans="1:16" x14ac:dyDescent="0.2">
      <c r="A29" t="s">
        <v>28</v>
      </c>
      <c r="B29" t="s">
        <v>221</v>
      </c>
      <c r="C29">
        <v>6</v>
      </c>
      <c r="D29">
        <v>26093141</v>
      </c>
      <c r="E29" t="s">
        <v>88</v>
      </c>
      <c r="F29" t="s">
        <v>89</v>
      </c>
      <c r="G29">
        <v>7.8149999999999997E-2</v>
      </c>
      <c r="H29">
        <v>30670</v>
      </c>
      <c r="I29" t="s">
        <v>500</v>
      </c>
      <c r="J29" t="s">
        <v>402</v>
      </c>
      <c r="K29">
        <v>2.6200000000000001E-2</v>
      </c>
      <c r="L29">
        <v>4.3759999999999997E-3</v>
      </c>
      <c r="M29" s="3">
        <f t="shared" si="0"/>
        <v>-19.96</v>
      </c>
      <c r="N29">
        <v>2.1452708974997191E-9</v>
      </c>
      <c r="O29">
        <v>400687</v>
      </c>
      <c r="P29" s="9" t="b">
        <v>0</v>
      </c>
    </row>
    <row r="30" spans="1:16" x14ac:dyDescent="0.2">
      <c r="A30" t="s">
        <v>28</v>
      </c>
      <c r="B30" t="s">
        <v>221</v>
      </c>
      <c r="C30">
        <v>6</v>
      </c>
      <c r="D30">
        <v>26093141</v>
      </c>
      <c r="E30" t="s">
        <v>88</v>
      </c>
      <c r="F30" t="s">
        <v>89</v>
      </c>
      <c r="G30">
        <v>7.8149999999999997E-2</v>
      </c>
      <c r="H30">
        <v>30690</v>
      </c>
      <c r="I30" t="s">
        <v>393</v>
      </c>
      <c r="J30" t="s">
        <v>371</v>
      </c>
      <c r="K30">
        <v>-6.5269999999999995E-2</v>
      </c>
      <c r="L30">
        <v>4.542E-3</v>
      </c>
      <c r="M30" s="3">
        <f t="shared" si="0"/>
        <v>-106.1</v>
      </c>
      <c r="N30">
        <v>8.3436383206518209E-47</v>
      </c>
      <c r="O30">
        <v>400963</v>
      </c>
      <c r="P30" s="9" t="b">
        <v>1</v>
      </c>
    </row>
    <row r="31" spans="1:16" x14ac:dyDescent="0.2">
      <c r="A31" t="s">
        <v>28</v>
      </c>
      <c r="B31" t="s">
        <v>221</v>
      </c>
      <c r="C31">
        <v>6</v>
      </c>
      <c r="D31">
        <v>26093141</v>
      </c>
      <c r="E31" t="s">
        <v>88</v>
      </c>
      <c r="F31" t="s">
        <v>89</v>
      </c>
      <c r="G31">
        <v>7.8149999999999997E-2</v>
      </c>
      <c r="H31">
        <v>30700</v>
      </c>
      <c r="I31" t="s">
        <v>394</v>
      </c>
      <c r="J31" t="s">
        <v>402</v>
      </c>
      <c r="K31">
        <v>-1.9980000000000001E-2</v>
      </c>
      <c r="L31">
        <v>3.8660000000000001E-3</v>
      </c>
      <c r="M31" s="3">
        <f t="shared" si="0"/>
        <v>-15.26</v>
      </c>
      <c r="N31">
        <v>2.3586646932392362E-7</v>
      </c>
      <c r="O31">
        <v>400761</v>
      </c>
      <c r="P31" s="9" t="b">
        <v>1</v>
      </c>
    </row>
    <row r="32" spans="1:16" x14ac:dyDescent="0.2">
      <c r="A32" t="s">
        <v>28</v>
      </c>
      <c r="B32" t="s">
        <v>221</v>
      </c>
      <c r="C32">
        <v>6</v>
      </c>
      <c r="D32">
        <v>26093141</v>
      </c>
      <c r="E32" t="s">
        <v>88</v>
      </c>
      <c r="F32" t="s">
        <v>89</v>
      </c>
      <c r="G32">
        <v>7.8159999999999993E-2</v>
      </c>
      <c r="H32">
        <v>30710</v>
      </c>
      <c r="I32" t="s">
        <v>395</v>
      </c>
      <c r="J32" t="s">
        <v>403</v>
      </c>
      <c r="K32">
        <v>4.0039999999999999E-2</v>
      </c>
      <c r="L32">
        <v>4.7829999999999999E-3</v>
      </c>
      <c r="M32" s="3">
        <f t="shared" si="0"/>
        <v>-37.409999999999997</v>
      </c>
      <c r="N32">
        <v>5.6629591912501949E-17</v>
      </c>
      <c r="O32">
        <v>400094</v>
      </c>
      <c r="P32" s="9" t="b">
        <v>0</v>
      </c>
    </row>
    <row r="33" spans="1:16" x14ac:dyDescent="0.2">
      <c r="A33" t="s">
        <v>28</v>
      </c>
      <c r="B33" t="s">
        <v>221</v>
      </c>
      <c r="C33">
        <v>6</v>
      </c>
      <c r="D33">
        <v>26093141</v>
      </c>
      <c r="E33" t="s">
        <v>88</v>
      </c>
      <c r="F33" t="s">
        <v>89</v>
      </c>
      <c r="G33">
        <v>7.8140000000000001E-2</v>
      </c>
      <c r="H33">
        <v>30720</v>
      </c>
      <c r="I33" t="s">
        <v>396</v>
      </c>
      <c r="J33" t="s">
        <v>402</v>
      </c>
      <c r="K33">
        <v>3.5369999999999999E-2</v>
      </c>
      <c r="L33">
        <v>4.5880000000000001E-3</v>
      </c>
      <c r="M33" s="3">
        <f t="shared" si="0"/>
        <v>-32</v>
      </c>
      <c r="N33">
        <v>1.2664165549094176E-14</v>
      </c>
      <c r="O33">
        <v>400940</v>
      </c>
      <c r="P33" s="9" t="b">
        <v>0</v>
      </c>
    </row>
    <row r="34" spans="1:16" x14ac:dyDescent="0.2">
      <c r="A34" t="s">
        <v>28</v>
      </c>
      <c r="B34" t="s">
        <v>221</v>
      </c>
      <c r="C34">
        <v>6</v>
      </c>
      <c r="D34">
        <v>26093141</v>
      </c>
      <c r="E34" t="s">
        <v>88</v>
      </c>
      <c r="F34" t="s">
        <v>89</v>
      </c>
      <c r="G34">
        <v>7.8109999999999999E-2</v>
      </c>
      <c r="H34">
        <v>30750</v>
      </c>
      <c r="I34" t="s">
        <v>398</v>
      </c>
      <c r="J34" t="s">
        <v>371</v>
      </c>
      <c r="K34">
        <v>-0.16689999999999999</v>
      </c>
      <c r="L34">
        <v>4.6169999999999996E-3</v>
      </c>
      <c r="M34" s="3">
        <f t="shared" si="0"/>
        <v>-657</v>
      </c>
      <c r="N34">
        <v>4.6614967907562552E-286</v>
      </c>
      <c r="O34">
        <v>400825</v>
      </c>
      <c r="P34" s="9" t="b">
        <v>1</v>
      </c>
    </row>
    <row r="35" spans="1:16" x14ac:dyDescent="0.2">
      <c r="A35" t="s">
        <v>28</v>
      </c>
      <c r="B35" t="s">
        <v>221</v>
      </c>
      <c r="C35">
        <v>6</v>
      </c>
      <c r="D35">
        <v>26093141</v>
      </c>
      <c r="E35" t="s">
        <v>88</v>
      </c>
      <c r="F35" t="s">
        <v>89</v>
      </c>
      <c r="G35">
        <v>7.8170000000000003E-2</v>
      </c>
      <c r="H35">
        <v>30770</v>
      </c>
      <c r="I35" t="s">
        <v>400</v>
      </c>
      <c r="J35" t="s">
        <v>371</v>
      </c>
      <c r="K35">
        <v>-4.2889999999999998E-2</v>
      </c>
      <c r="L35">
        <v>4.7200000000000002E-3</v>
      </c>
      <c r="M35" s="3">
        <f t="shared" si="0"/>
        <v>-43.74</v>
      </c>
      <c r="N35">
        <v>1.0091584511851466E-19</v>
      </c>
      <c r="O35">
        <v>398797</v>
      </c>
      <c r="P35" s="9" t="b">
        <v>1</v>
      </c>
    </row>
    <row r="36" spans="1:16" x14ac:dyDescent="0.2">
      <c r="A36" t="s">
        <v>28</v>
      </c>
      <c r="B36" t="s">
        <v>221</v>
      </c>
      <c r="C36">
        <v>6</v>
      </c>
      <c r="D36">
        <v>26093141</v>
      </c>
      <c r="E36" t="s">
        <v>88</v>
      </c>
      <c r="F36" t="s">
        <v>89</v>
      </c>
      <c r="G36">
        <v>7.8179999999999999E-2</v>
      </c>
      <c r="H36">
        <v>30780</v>
      </c>
      <c r="I36" t="s">
        <v>401</v>
      </c>
      <c r="J36" t="s">
        <v>371</v>
      </c>
      <c r="K36">
        <v>-6.8580000000000002E-2</v>
      </c>
      <c r="L36">
        <v>4.5129999999999997E-3</v>
      </c>
      <c r="M36" s="3">
        <f t="shared" si="0"/>
        <v>-118.4</v>
      </c>
      <c r="N36">
        <v>3.7978109527995595E-52</v>
      </c>
      <c r="O36">
        <v>400223</v>
      </c>
      <c r="P36" s="9" t="b">
        <v>1</v>
      </c>
    </row>
    <row r="37" spans="1:16" x14ac:dyDescent="0.2">
      <c r="A37" t="s">
        <v>28</v>
      </c>
      <c r="B37" t="s">
        <v>221</v>
      </c>
      <c r="C37">
        <v>6</v>
      </c>
      <c r="D37">
        <v>26093141</v>
      </c>
      <c r="E37" t="s">
        <v>88</v>
      </c>
      <c r="F37" t="s">
        <v>89</v>
      </c>
      <c r="G37">
        <v>7.8130000000000005E-2</v>
      </c>
      <c r="H37">
        <v>30810</v>
      </c>
      <c r="I37" t="s">
        <v>501</v>
      </c>
      <c r="J37" t="s">
        <v>371</v>
      </c>
      <c r="K37">
        <v>-2.6870000000000002E-2</v>
      </c>
      <c r="L37">
        <v>4.6509999999999998E-3</v>
      </c>
      <c r="M37" s="3">
        <f t="shared" si="0"/>
        <v>-18.7</v>
      </c>
      <c r="N37">
        <v>7.5629841182651401E-9</v>
      </c>
      <c r="O37">
        <v>366484</v>
      </c>
      <c r="P37" s="9" t="b">
        <v>1</v>
      </c>
    </row>
    <row r="38" spans="1:16" x14ac:dyDescent="0.2">
      <c r="A38" t="s">
        <v>28</v>
      </c>
      <c r="B38" t="s">
        <v>221</v>
      </c>
      <c r="C38">
        <v>6</v>
      </c>
      <c r="D38">
        <v>26093141</v>
      </c>
      <c r="E38" t="s">
        <v>88</v>
      </c>
      <c r="F38" t="s">
        <v>89</v>
      </c>
      <c r="G38">
        <v>7.8149999999999997E-2</v>
      </c>
      <c r="H38">
        <v>30840</v>
      </c>
      <c r="I38" t="s">
        <v>525</v>
      </c>
      <c r="J38" t="s">
        <v>371</v>
      </c>
      <c r="K38">
        <v>9.3630000000000005E-2</v>
      </c>
      <c r="L38">
        <v>4.8219999999999999E-3</v>
      </c>
      <c r="M38" s="3">
        <f t="shared" si="0"/>
        <v>-191.7</v>
      </c>
      <c r="N38">
        <v>5.5686230298425997E-84</v>
      </c>
      <c r="O38">
        <v>363650</v>
      </c>
      <c r="P38" s="9" t="b">
        <v>0</v>
      </c>
    </row>
    <row r="39" spans="1:16" x14ac:dyDescent="0.2">
      <c r="A39" t="s">
        <v>28</v>
      </c>
      <c r="B39" t="s">
        <v>221</v>
      </c>
      <c r="C39">
        <v>6</v>
      </c>
      <c r="D39">
        <v>26093141</v>
      </c>
      <c r="E39" t="s">
        <v>88</v>
      </c>
      <c r="F39" t="s">
        <v>89</v>
      </c>
      <c r="G39">
        <v>7.8179999999999999E-2</v>
      </c>
      <c r="H39">
        <v>30860</v>
      </c>
      <c r="I39" t="s">
        <v>502</v>
      </c>
      <c r="J39" t="s">
        <v>371</v>
      </c>
      <c r="K39">
        <v>-4.3360000000000003E-2</v>
      </c>
      <c r="L39">
        <v>4.8199999999999996E-3</v>
      </c>
      <c r="M39" s="3">
        <f t="shared" si="0"/>
        <v>-42.9</v>
      </c>
      <c r="N39">
        <v>2.337581310664835E-19</v>
      </c>
      <c r="O39">
        <v>366758</v>
      </c>
      <c r="P39" s="9" t="b">
        <v>1</v>
      </c>
    </row>
    <row r="40" spans="1:16" x14ac:dyDescent="0.2">
      <c r="A40" t="s">
        <v>28</v>
      </c>
      <c r="B40" t="s">
        <v>221</v>
      </c>
      <c r="C40">
        <v>6</v>
      </c>
      <c r="D40">
        <v>26093141</v>
      </c>
      <c r="E40" t="s">
        <v>88</v>
      </c>
      <c r="F40" t="s">
        <v>89</v>
      </c>
      <c r="G40">
        <v>7.8140000000000001E-2</v>
      </c>
      <c r="H40">
        <v>30880</v>
      </c>
      <c r="I40" t="s">
        <v>504</v>
      </c>
      <c r="J40" t="s">
        <v>402</v>
      </c>
      <c r="K40">
        <v>3.1289999999999998E-2</v>
      </c>
      <c r="L40">
        <v>4.1380000000000002E-3</v>
      </c>
      <c r="M40" s="3">
        <f t="shared" si="0"/>
        <v>-30.84</v>
      </c>
      <c r="N40">
        <v>4.039784309929971E-14</v>
      </c>
      <c r="O40">
        <v>400469</v>
      </c>
      <c r="P40" t="b">
        <v>0</v>
      </c>
    </row>
    <row r="41" spans="1:16" s="20" customFormat="1" x14ac:dyDescent="0.2">
      <c r="A41" t="s">
        <v>28</v>
      </c>
      <c r="B41" t="s">
        <v>244</v>
      </c>
      <c r="C41">
        <v>15</v>
      </c>
      <c r="D41">
        <v>65998702</v>
      </c>
      <c r="E41" t="s">
        <v>83</v>
      </c>
      <c r="F41" t="s">
        <v>84</v>
      </c>
      <c r="G41">
        <v>0.75519999999999998</v>
      </c>
      <c r="H41">
        <v>30750</v>
      </c>
      <c r="I41" t="s">
        <v>398</v>
      </c>
      <c r="J41" t="s">
        <v>371</v>
      </c>
      <c r="K41">
        <v>-2.6380000000000001E-2</v>
      </c>
      <c r="L41">
        <v>2.8770000000000002E-3</v>
      </c>
      <c r="M41" s="3">
        <f t="shared" si="0"/>
        <v>-44.47</v>
      </c>
      <c r="N41">
        <v>4.8632253005162833E-20</v>
      </c>
      <c r="O41">
        <v>400825</v>
      </c>
      <c r="P41" t="b">
        <v>1</v>
      </c>
    </row>
    <row r="42" spans="1:16" s="20" customFormat="1" x14ac:dyDescent="0.2">
      <c r="A42" t="s">
        <v>28</v>
      </c>
      <c r="B42" t="s">
        <v>226</v>
      </c>
      <c r="C42">
        <v>22</v>
      </c>
      <c r="D42">
        <v>29154455</v>
      </c>
      <c r="E42" t="s">
        <v>89</v>
      </c>
      <c r="F42" t="s">
        <v>88</v>
      </c>
      <c r="G42">
        <v>0.42649999999999999</v>
      </c>
      <c r="H42">
        <v>30610</v>
      </c>
      <c r="I42" t="s">
        <v>388</v>
      </c>
      <c r="J42" t="s">
        <v>374</v>
      </c>
      <c r="K42">
        <v>1.4579999999999999E-2</v>
      </c>
      <c r="L42">
        <v>2.6440000000000001E-3</v>
      </c>
      <c r="M42" s="3">
        <f t="shared" si="0"/>
        <v>-17.16</v>
      </c>
      <c r="N42">
        <v>3.5278222137697247E-8</v>
      </c>
      <c r="O42">
        <v>400988</v>
      </c>
      <c r="P42" t="b">
        <v>0</v>
      </c>
    </row>
    <row r="43" spans="1:16" x14ac:dyDescent="0.2">
      <c r="A43" t="s">
        <v>28</v>
      </c>
      <c r="B43" t="s">
        <v>226</v>
      </c>
      <c r="C43">
        <v>22</v>
      </c>
      <c r="D43">
        <v>29154455</v>
      </c>
      <c r="E43" t="s">
        <v>89</v>
      </c>
      <c r="F43" t="s">
        <v>88</v>
      </c>
      <c r="G43">
        <v>0.42649999999999999</v>
      </c>
      <c r="H43">
        <v>30770</v>
      </c>
      <c r="I43" t="s">
        <v>400</v>
      </c>
      <c r="J43" t="s">
        <v>371</v>
      </c>
      <c r="K43">
        <v>-1.4500000000000001E-2</v>
      </c>
      <c r="L43">
        <v>2.5579999999999999E-3</v>
      </c>
      <c r="M43" s="3">
        <f t="shared" si="0"/>
        <v>-18.059999999999999</v>
      </c>
      <c r="N43">
        <v>1.4343054770776863E-8</v>
      </c>
      <c r="O43">
        <v>398797</v>
      </c>
      <c r="P43" t="b">
        <v>1</v>
      </c>
    </row>
    <row r="44" spans="1:16" x14ac:dyDescent="0.2">
      <c r="A44" t="s">
        <v>28</v>
      </c>
      <c r="B44" t="s">
        <v>231</v>
      </c>
      <c r="C44">
        <v>22</v>
      </c>
      <c r="D44">
        <v>37462936</v>
      </c>
      <c r="E44" t="s">
        <v>89</v>
      </c>
      <c r="F44" t="s">
        <v>88</v>
      </c>
      <c r="G44">
        <v>0.56310000000000004</v>
      </c>
      <c r="H44">
        <v>30660</v>
      </c>
      <c r="I44" t="s">
        <v>499</v>
      </c>
      <c r="J44" t="s">
        <v>371</v>
      </c>
      <c r="K44">
        <v>1.924E-2</v>
      </c>
      <c r="L44">
        <v>2.745E-3</v>
      </c>
      <c r="M44" s="3">
        <f t="shared" si="0"/>
        <v>-26.75</v>
      </c>
      <c r="N44">
        <v>2.4133627718332139E-12</v>
      </c>
      <c r="O44">
        <v>340934</v>
      </c>
      <c r="P44" t="b">
        <v>0</v>
      </c>
    </row>
    <row r="45" spans="1:16" x14ac:dyDescent="0.2">
      <c r="A45" t="s">
        <v>28</v>
      </c>
      <c r="B45" t="s">
        <v>231</v>
      </c>
      <c r="C45">
        <v>22</v>
      </c>
      <c r="D45">
        <v>37462936</v>
      </c>
      <c r="E45" t="s">
        <v>89</v>
      </c>
      <c r="F45" t="s">
        <v>88</v>
      </c>
      <c r="G45">
        <v>0.56079999999999997</v>
      </c>
      <c r="H45">
        <v>30750</v>
      </c>
      <c r="I45" t="s">
        <v>398</v>
      </c>
      <c r="J45" t="s">
        <v>371</v>
      </c>
      <c r="K45">
        <v>-7.639E-2</v>
      </c>
      <c r="L45">
        <v>2.5040000000000001E-3</v>
      </c>
      <c r="M45" s="3">
        <f t="shared" si="0"/>
        <v>-469.1</v>
      </c>
      <c r="N45">
        <v>1.872658297309859E-204</v>
      </c>
      <c r="O45">
        <v>400825</v>
      </c>
      <c r="P45" t="b">
        <v>1</v>
      </c>
    </row>
    <row r="46" spans="1:16" x14ac:dyDescent="0.2">
      <c r="A46" t="s">
        <v>28</v>
      </c>
      <c r="B46" t="s">
        <v>231</v>
      </c>
      <c r="C46">
        <v>22</v>
      </c>
      <c r="D46">
        <v>37462936</v>
      </c>
      <c r="E46" t="s">
        <v>89</v>
      </c>
      <c r="F46" t="s">
        <v>88</v>
      </c>
      <c r="G46">
        <v>0.56089999999999995</v>
      </c>
      <c r="H46">
        <v>30840</v>
      </c>
      <c r="I46" t="s">
        <v>525</v>
      </c>
      <c r="J46" t="s">
        <v>371</v>
      </c>
      <c r="K46">
        <v>3.6269999999999997E-2</v>
      </c>
      <c r="L46">
        <v>2.6150000000000001E-3</v>
      </c>
      <c r="M46" s="3">
        <f t="shared" si="0"/>
        <v>-99.09</v>
      </c>
      <c r="N46">
        <v>9.2418685731320451E-44</v>
      </c>
      <c r="O46">
        <v>363650</v>
      </c>
      <c r="P46" t="b">
        <v>0</v>
      </c>
    </row>
    <row r="47" spans="1:16" x14ac:dyDescent="0.2">
      <c r="A47" t="s">
        <v>28</v>
      </c>
      <c r="B47" t="s">
        <v>231</v>
      </c>
      <c r="C47">
        <v>22</v>
      </c>
      <c r="D47">
        <v>37462936</v>
      </c>
      <c r="E47" t="s">
        <v>89</v>
      </c>
      <c r="F47" t="s">
        <v>88</v>
      </c>
      <c r="G47">
        <v>0.56089999999999995</v>
      </c>
      <c r="H47">
        <v>30870</v>
      </c>
      <c r="I47" t="s">
        <v>503</v>
      </c>
      <c r="J47" t="s">
        <v>371</v>
      </c>
      <c r="K47">
        <v>1.3990000000000001E-2</v>
      </c>
      <c r="L47">
        <v>2.5409999999999999E-3</v>
      </c>
      <c r="M47" s="3">
        <f t="shared" si="0"/>
        <v>-17.11</v>
      </c>
      <c r="N47">
        <v>3.7086975264893939E-8</v>
      </c>
      <c r="O47">
        <v>400639</v>
      </c>
      <c r="P47" t="b">
        <v>0</v>
      </c>
    </row>
    <row r="48" spans="1:16" x14ac:dyDescent="0.2">
      <c r="A48" t="s">
        <v>42</v>
      </c>
      <c r="B48" t="s">
        <v>272</v>
      </c>
      <c r="C48">
        <v>2</v>
      </c>
      <c r="D48">
        <v>211540507</v>
      </c>
      <c r="E48" t="s">
        <v>83</v>
      </c>
      <c r="F48" t="s">
        <v>89</v>
      </c>
      <c r="G48">
        <v>0.31559999999999999</v>
      </c>
      <c r="H48">
        <v>30610</v>
      </c>
      <c r="I48" t="s">
        <v>388</v>
      </c>
      <c r="J48" t="s">
        <v>374</v>
      </c>
      <c r="K48">
        <v>-1.409E-2</v>
      </c>
      <c r="L48">
        <v>2.8140000000000001E-3</v>
      </c>
      <c r="M48" s="3">
        <f t="shared" si="0"/>
        <v>-14.42</v>
      </c>
      <c r="N48">
        <v>5.46353300471887E-7</v>
      </c>
      <c r="O48">
        <v>400988</v>
      </c>
      <c r="P48" t="b">
        <v>0</v>
      </c>
    </row>
    <row r="49" spans="1:16" x14ac:dyDescent="0.2">
      <c r="A49" t="s">
        <v>42</v>
      </c>
      <c r="B49" t="s">
        <v>272</v>
      </c>
      <c r="C49">
        <v>2</v>
      </c>
      <c r="D49">
        <v>211540507</v>
      </c>
      <c r="E49" t="s">
        <v>83</v>
      </c>
      <c r="F49" t="s">
        <v>89</v>
      </c>
      <c r="G49">
        <v>0.31559999999999999</v>
      </c>
      <c r="H49">
        <v>30630</v>
      </c>
      <c r="I49" t="s">
        <v>390</v>
      </c>
      <c r="J49" t="s">
        <v>371</v>
      </c>
      <c r="K49">
        <v>-2.1690000000000001E-2</v>
      </c>
      <c r="L49">
        <v>2.7260000000000001E-3</v>
      </c>
      <c r="M49" s="3">
        <f t="shared" si="0"/>
        <v>-33.96</v>
      </c>
      <c r="N49">
        <v>1.7838543615281028E-15</v>
      </c>
      <c r="O49">
        <v>364987</v>
      </c>
      <c r="P49" t="b">
        <v>0</v>
      </c>
    </row>
    <row r="50" spans="1:16" x14ac:dyDescent="0.2">
      <c r="A50" t="s">
        <v>42</v>
      </c>
      <c r="B50" t="str">
        <f>INDEX('Suplementary Table 2'!$D:$D,MATCH(D50,'Suplementary Table 2'!$F:$F,0))</f>
        <v>rs1047891</v>
      </c>
      <c r="C50">
        <v>2</v>
      </c>
      <c r="D50">
        <v>211540507</v>
      </c>
      <c r="E50" t="s">
        <v>83</v>
      </c>
      <c r="F50" t="s">
        <v>89</v>
      </c>
      <c r="G50">
        <v>0.31709999999999999</v>
      </c>
      <c r="H50">
        <v>30660</v>
      </c>
      <c r="I50" t="s">
        <v>499</v>
      </c>
      <c r="J50" t="s">
        <v>371</v>
      </c>
      <c r="K50">
        <v>1.4330000000000001E-2</v>
      </c>
      <c r="L50">
        <v>2.9139999999999999E-3</v>
      </c>
      <c r="M50" s="3">
        <f t="shared" si="0"/>
        <v>-13.950002411683922</v>
      </c>
      <c r="N50" s="7">
        <v>8.7415999999999999E-7</v>
      </c>
      <c r="O50">
        <v>340934</v>
      </c>
      <c r="P50" t="b">
        <v>1</v>
      </c>
    </row>
    <row r="51" spans="1:16" x14ac:dyDescent="0.2">
      <c r="A51" t="s">
        <v>42</v>
      </c>
      <c r="B51" t="s">
        <v>272</v>
      </c>
      <c r="C51">
        <v>2</v>
      </c>
      <c r="D51">
        <v>211540507</v>
      </c>
      <c r="E51" t="s">
        <v>83</v>
      </c>
      <c r="F51" t="s">
        <v>89</v>
      </c>
      <c r="G51">
        <v>0.31559999999999999</v>
      </c>
      <c r="H51">
        <v>30670</v>
      </c>
      <c r="I51" t="s">
        <v>500</v>
      </c>
      <c r="J51" t="s">
        <v>402</v>
      </c>
      <c r="K51">
        <v>-3.159E-2</v>
      </c>
      <c r="L51">
        <v>2.5230000000000001E-3</v>
      </c>
      <c r="M51" s="3">
        <f t="shared" si="0"/>
        <v>-81.14</v>
      </c>
      <c r="N51">
        <v>5.7722580538451886E-36</v>
      </c>
      <c r="O51">
        <v>400687</v>
      </c>
      <c r="P51" t="b">
        <v>0</v>
      </c>
    </row>
    <row r="52" spans="1:16" x14ac:dyDescent="0.2">
      <c r="A52" t="s">
        <v>42</v>
      </c>
      <c r="B52" t="s">
        <v>272</v>
      </c>
      <c r="C52">
        <v>2</v>
      </c>
      <c r="D52">
        <v>211540507</v>
      </c>
      <c r="E52" t="s">
        <v>83</v>
      </c>
      <c r="F52" t="s">
        <v>89</v>
      </c>
      <c r="G52">
        <v>0.31559999999999999</v>
      </c>
      <c r="H52">
        <v>30700</v>
      </c>
      <c r="I52" t="s">
        <v>394</v>
      </c>
      <c r="J52" t="s">
        <v>402</v>
      </c>
      <c r="K52">
        <v>4.0550000000000003E-2</v>
      </c>
      <c r="L52">
        <v>2.2290000000000001E-3</v>
      </c>
      <c r="M52" s="3">
        <f t="shared" si="0"/>
        <v>-168.6</v>
      </c>
      <c r="N52">
        <v>5.9972251158510652E-74</v>
      </c>
      <c r="O52">
        <v>400761</v>
      </c>
      <c r="P52" t="b">
        <v>1</v>
      </c>
    </row>
    <row r="53" spans="1:16" x14ac:dyDescent="0.2">
      <c r="A53" t="s">
        <v>42</v>
      </c>
      <c r="B53" t="s">
        <v>272</v>
      </c>
      <c r="C53">
        <v>2</v>
      </c>
      <c r="D53">
        <v>211540507</v>
      </c>
      <c r="E53" t="s">
        <v>83</v>
      </c>
      <c r="F53" t="s">
        <v>89</v>
      </c>
      <c r="G53">
        <v>0.31559999999999999</v>
      </c>
      <c r="H53">
        <v>30720</v>
      </c>
      <c r="I53" t="s">
        <v>396</v>
      </c>
      <c r="J53" t="s">
        <v>402</v>
      </c>
      <c r="K53">
        <v>-2.1399999999999999E-2</v>
      </c>
      <c r="L53">
        <v>2.6450000000000002E-3</v>
      </c>
      <c r="M53" s="3">
        <f t="shared" si="0"/>
        <v>-35.06</v>
      </c>
      <c r="N53">
        <v>5.937935344814045E-16</v>
      </c>
      <c r="O53">
        <v>400940</v>
      </c>
      <c r="P53" s="9" t="b">
        <v>0</v>
      </c>
    </row>
    <row r="54" spans="1:16" x14ac:dyDescent="0.2">
      <c r="A54" t="s">
        <v>42</v>
      </c>
      <c r="B54" t="s">
        <v>272</v>
      </c>
      <c r="C54">
        <v>2</v>
      </c>
      <c r="D54">
        <v>211540507</v>
      </c>
      <c r="E54" t="s">
        <v>83</v>
      </c>
      <c r="F54" t="s">
        <v>89</v>
      </c>
      <c r="G54">
        <v>0.3155</v>
      </c>
      <c r="H54">
        <v>30760</v>
      </c>
      <c r="I54" t="s">
        <v>399</v>
      </c>
      <c r="J54" t="s">
        <v>371</v>
      </c>
      <c r="K54">
        <v>-1.6070000000000001E-2</v>
      </c>
      <c r="L54">
        <v>2.7690000000000002E-3</v>
      </c>
      <c r="M54" s="3">
        <f t="shared" si="0"/>
        <v>-18.850000000000001</v>
      </c>
      <c r="N54">
        <v>6.5095207561668245E-9</v>
      </c>
      <c r="O54">
        <v>367021</v>
      </c>
      <c r="P54" s="9" t="b">
        <v>0</v>
      </c>
    </row>
    <row r="55" spans="1:16" x14ac:dyDescent="0.2">
      <c r="A55" t="s">
        <v>42</v>
      </c>
      <c r="B55" t="s">
        <v>272</v>
      </c>
      <c r="C55">
        <v>2</v>
      </c>
      <c r="D55">
        <v>211540507</v>
      </c>
      <c r="E55" t="s">
        <v>83</v>
      </c>
      <c r="F55" t="s">
        <v>89</v>
      </c>
      <c r="G55">
        <v>0.3155</v>
      </c>
      <c r="H55">
        <v>30830</v>
      </c>
      <c r="I55" t="s">
        <v>397</v>
      </c>
      <c r="J55" t="s">
        <v>374</v>
      </c>
      <c r="K55">
        <v>1.3259999999999999E-2</v>
      </c>
      <c r="L55">
        <v>2.6159999999999998E-3</v>
      </c>
      <c r="M55" s="3">
        <f t="shared" si="0"/>
        <v>-14.73</v>
      </c>
      <c r="N55">
        <v>4.0072116525419982E-7</v>
      </c>
      <c r="O55">
        <v>363650</v>
      </c>
      <c r="P55" t="b">
        <v>1</v>
      </c>
    </row>
    <row r="56" spans="1:16" x14ac:dyDescent="0.2">
      <c r="A56" t="s">
        <v>42</v>
      </c>
      <c r="B56" t="s">
        <v>272</v>
      </c>
      <c r="C56">
        <v>2</v>
      </c>
      <c r="D56">
        <v>211540507</v>
      </c>
      <c r="E56" t="s">
        <v>83</v>
      </c>
      <c r="F56" t="s">
        <v>89</v>
      </c>
      <c r="G56">
        <v>0.31559999999999999</v>
      </c>
      <c r="H56">
        <v>30840</v>
      </c>
      <c r="I56" t="s">
        <v>525</v>
      </c>
      <c r="J56" t="s">
        <v>371</v>
      </c>
      <c r="K56">
        <v>2.0660000000000001E-2</v>
      </c>
      <c r="L56">
        <v>2.7799999999999999E-3</v>
      </c>
      <c r="M56" s="3">
        <f t="shared" si="0"/>
        <v>-29.87</v>
      </c>
      <c r="N56">
        <v>1.0656726637365594E-13</v>
      </c>
      <c r="O56">
        <v>363650</v>
      </c>
      <c r="P56" t="b">
        <v>1</v>
      </c>
    </row>
    <row r="57" spans="1:16" x14ac:dyDescent="0.2">
      <c r="A57" t="s">
        <v>42</v>
      </c>
      <c r="B57" t="s">
        <v>272</v>
      </c>
      <c r="C57">
        <v>2</v>
      </c>
      <c r="D57">
        <v>211540507</v>
      </c>
      <c r="E57" t="s">
        <v>83</v>
      </c>
      <c r="F57" t="s">
        <v>89</v>
      </c>
      <c r="G57">
        <v>0.3155</v>
      </c>
      <c r="H57">
        <v>30860</v>
      </c>
      <c r="I57" t="s">
        <v>502</v>
      </c>
      <c r="J57" t="s">
        <v>371</v>
      </c>
      <c r="K57">
        <v>-2.3019999999999999E-2</v>
      </c>
      <c r="L57">
        <v>2.7780000000000001E-3</v>
      </c>
      <c r="M57" s="3">
        <f t="shared" si="0"/>
        <v>-36.67</v>
      </c>
      <c r="N57">
        <v>1.1869197286073507E-16</v>
      </c>
      <c r="O57">
        <v>366758</v>
      </c>
      <c r="P57" s="9" t="b">
        <v>0</v>
      </c>
    </row>
    <row r="58" spans="1:16" x14ac:dyDescent="0.2">
      <c r="A58" t="s">
        <v>42</v>
      </c>
      <c r="B58" t="s">
        <v>272</v>
      </c>
      <c r="C58">
        <v>2</v>
      </c>
      <c r="D58">
        <v>211540507</v>
      </c>
      <c r="E58" t="s">
        <v>83</v>
      </c>
      <c r="F58" t="s">
        <v>89</v>
      </c>
      <c r="G58">
        <v>0.31559999999999999</v>
      </c>
      <c r="H58">
        <v>30880</v>
      </c>
      <c r="I58" t="s">
        <v>504</v>
      </c>
      <c r="J58" t="s">
        <v>402</v>
      </c>
      <c r="K58">
        <v>-2.5250000000000002E-2</v>
      </c>
      <c r="L58">
        <v>2.3860000000000001E-3</v>
      </c>
      <c r="M58" s="3">
        <f t="shared" si="0"/>
        <v>-58.61</v>
      </c>
      <c r="N58">
        <v>3.5156077699656442E-26</v>
      </c>
      <c r="O58">
        <v>400469</v>
      </c>
      <c r="P58" s="9" t="b">
        <v>0</v>
      </c>
    </row>
    <row r="59" spans="1:16" x14ac:dyDescent="0.2">
      <c r="A59" t="s">
        <v>42</v>
      </c>
      <c r="B59" t="s">
        <v>272</v>
      </c>
      <c r="C59">
        <v>2</v>
      </c>
      <c r="D59">
        <v>211540507</v>
      </c>
      <c r="E59" t="s">
        <v>83</v>
      </c>
      <c r="F59" t="s">
        <v>89</v>
      </c>
      <c r="G59">
        <v>0.31569999999999998</v>
      </c>
      <c r="H59">
        <v>30890</v>
      </c>
      <c r="I59" t="s">
        <v>505</v>
      </c>
      <c r="J59" t="s">
        <v>371</v>
      </c>
      <c r="K59">
        <v>-1.389E-2</v>
      </c>
      <c r="L59">
        <v>2.6259999999999999E-3</v>
      </c>
      <c r="M59" s="3">
        <f t="shared" si="0"/>
        <v>-15.92</v>
      </c>
      <c r="N59">
        <v>1.2190789943191535E-7</v>
      </c>
      <c r="O59">
        <v>383324</v>
      </c>
      <c r="P59" s="9" t="b">
        <v>0</v>
      </c>
    </row>
    <row r="60" spans="1:16" x14ac:dyDescent="0.2">
      <c r="A60" t="s">
        <v>42</v>
      </c>
      <c r="B60" t="s">
        <v>264</v>
      </c>
      <c r="C60">
        <v>5</v>
      </c>
      <c r="D60">
        <v>78344976</v>
      </c>
      <c r="E60" t="s">
        <v>89</v>
      </c>
      <c r="F60" t="s">
        <v>88</v>
      </c>
      <c r="G60">
        <v>0.13220000000000001</v>
      </c>
      <c r="H60">
        <v>30770</v>
      </c>
      <c r="I60" t="s">
        <v>400</v>
      </c>
      <c r="J60" t="s">
        <v>371</v>
      </c>
      <c r="K60">
        <v>-1.933E-2</v>
      </c>
      <c r="L60">
        <v>3.7680000000000001E-3</v>
      </c>
      <c r="M60" s="3">
        <f t="shared" si="0"/>
        <v>-15.06</v>
      </c>
      <c r="N60">
        <v>2.8808795618974118E-7</v>
      </c>
      <c r="O60">
        <v>398797</v>
      </c>
      <c r="P60" s="9" t="b">
        <v>0</v>
      </c>
    </row>
  </sheetData>
  <sortState xmlns:xlrd2="http://schemas.microsoft.com/office/spreadsheetml/2017/richdata2" ref="A6:O66">
    <sortCondition ref="A6:A6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INFO</vt:lpstr>
      <vt:lpstr>Supplementary Table 1</vt:lpstr>
      <vt:lpstr>Suplementary Table 2</vt:lpstr>
      <vt:lpstr>Supplementary Table 3</vt:lpstr>
      <vt:lpstr>Supplementary Table 4</vt:lpstr>
      <vt:lpstr>Supplementary Table 5</vt:lpstr>
      <vt:lpstr>Supplemenatry Table 6</vt:lpstr>
      <vt:lpstr>Supplementary Table 8</vt:lpstr>
      <vt:lpstr>Supplementary Table 9</vt:lpstr>
      <vt:lpstr>Supplementary Table 10</vt:lpstr>
      <vt:lpstr>Supplementary Table 11</vt:lpstr>
      <vt:lpstr>Supplementary Table 12</vt:lpstr>
      <vt:lpstr>Supplementary Table 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Marta Riise Moksnes</cp:lastModifiedBy>
  <dcterms:created xsi:type="dcterms:W3CDTF">2022-02-01T17:14:52Z</dcterms:created>
  <dcterms:modified xsi:type="dcterms:W3CDTF">2023-04-25T15:29:39Z</dcterms:modified>
</cp:coreProperties>
</file>