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07"/>
  <workbookPr defaultThemeVersion="166925"/>
  <mc:AlternateContent xmlns:mc="http://schemas.openxmlformats.org/markup-compatibility/2006">
    <mc:Choice Requires="x15">
      <x15ac:absPath xmlns:x15ac="http://schemas.microsoft.com/office/spreadsheetml/2010/11/ac" url="/Users/sarahpaul/Documents/Paperpreparation/Nicole_PheWAS_GSEM/"/>
    </mc:Choice>
  </mc:AlternateContent>
  <xr:revisionPtr revIDLastSave="0" documentId="13_ncr:1_{85D87E04-B2EE-FF41-8E96-24C93AA22CE0}" xr6:coauthVersionLast="47" xr6:coauthVersionMax="47" xr10:uidLastSave="{00000000-0000-0000-0000-000000000000}"/>
  <bookViews>
    <workbookView xWindow="39380" yWindow="500" windowWidth="30360" windowHeight="15620" activeTab="1" xr2:uid="{05B579F8-0811-6D42-BB71-9F2F71677453}"/>
  </bookViews>
  <sheets>
    <sheet name="Table of Contents" sheetId="28" r:id="rId1"/>
    <sheet name="Table S1. Baseline phenotypes" sheetId="1" r:id="rId2"/>
    <sheet name="Table S2. Baseline var descript" sheetId="26" r:id="rId3"/>
    <sheet name="Table S3. Follow-up phenotypes" sheetId="2" r:id="rId4"/>
    <sheet name="Table S4. Follow-up var descrip" sheetId="27" r:id="rId5"/>
    <sheet name="Table S5. Imaging phenotypes" sheetId="15" r:id="rId6"/>
    <sheet name="Table S6. Contributing GWAS" sheetId="29" r:id="rId7"/>
    <sheet name="Table S7. Factor 1 Indep Loci" sheetId="16" r:id="rId8"/>
    <sheet name="Table S8. Factor 2 Indep Loci" sheetId="17" r:id="rId9"/>
    <sheet name="Table S9. Factor 3 Indep Loci" sheetId="30" r:id="rId10"/>
    <sheet name="Table S10. Factor 4 Indep Loci" sheetId="31" r:id="rId11"/>
    <sheet name="Table S11. Baseline Results" sheetId="4" r:id="rId12"/>
    <sheet name="Table S12. Follow-up Results" sheetId="5" r:id="rId13"/>
    <sheet name="Table S13. CI comparisons" sheetId="32" r:id="rId14"/>
    <sheet name="Table S14. Global Results" sheetId="6" r:id="rId15"/>
    <sheet name="Table S15. Cortical Volume" sheetId="9" r:id="rId16"/>
    <sheet name="Table S16. Surface Area" sheetId="18" r:id="rId17"/>
    <sheet name="Table S17. Thickness" sheetId="19" r:id="rId18"/>
    <sheet name="Table S18. Subcortical Volume" sheetId="20" r:id="rId19"/>
    <sheet name="Table S19. RS-FC" sheetId="21" r:id="rId20"/>
    <sheet name="Table S20. DTI FA" sheetId="22" r:id="rId21"/>
    <sheet name="Table S21. DTI MD" sheetId="23" r:id="rId22"/>
    <sheet name="Table S22. Brain to Pheno" sheetId="24" r:id="rId23"/>
    <sheet name="Table S23. Mediation Results" sheetId="8" r:id="rId24"/>
    <sheet name="Table S24. CFA Comparisons" sheetId="13" r:id="rId25"/>
    <sheet name="Table S25. CFA Model Loadings" sheetId="14" r:id="rId2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0" i="1" l="1"/>
  <c r="H30" i="1"/>
  <c r="G30" i="1"/>
  <c r="G1" i="4"/>
  <c r="W1" i="5"/>
  <c r="V1" i="5"/>
  <c r="R1" i="5"/>
  <c r="Q1" i="5"/>
  <c r="M1" i="5"/>
  <c r="L1" i="5"/>
  <c r="H1" i="5"/>
  <c r="G1" i="5"/>
  <c r="D312" i="4"/>
  <c r="F1" i="2"/>
  <c r="H71" i="2"/>
  <c r="G71" i="2"/>
  <c r="G61" i="2"/>
  <c r="H65" i="1"/>
  <c r="G65" i="1"/>
  <c r="I73" i="2"/>
  <c r="H106" i="2"/>
  <c r="G106" i="2"/>
  <c r="H119" i="2"/>
  <c r="H111" i="2"/>
  <c r="G111" i="2"/>
  <c r="H125" i="2"/>
  <c r="G125" i="2"/>
  <c r="G112" i="2"/>
  <c r="G113" i="2"/>
  <c r="G114" i="2"/>
  <c r="G115" i="2"/>
  <c r="G116" i="2"/>
  <c r="G117" i="2"/>
  <c r="G118" i="2"/>
  <c r="G119" i="2"/>
  <c r="G120" i="2"/>
  <c r="G121" i="2"/>
  <c r="G122" i="2"/>
  <c r="G123" i="2"/>
  <c r="G124" i="2"/>
  <c r="H110" i="2"/>
  <c r="G110" i="2"/>
  <c r="H108" i="2"/>
  <c r="G108" i="2"/>
  <c r="H105" i="2"/>
  <c r="G105" i="2"/>
  <c r="H102" i="2"/>
  <c r="G102" i="2"/>
  <c r="F102" i="2"/>
  <c r="H100" i="2"/>
  <c r="G100" i="2"/>
  <c r="H99" i="2"/>
  <c r="G99" i="2"/>
  <c r="H98" i="2"/>
  <c r="G98" i="2"/>
  <c r="I97" i="2"/>
  <c r="H97" i="2"/>
  <c r="G97" i="2"/>
  <c r="H95" i="2"/>
  <c r="G95" i="2"/>
  <c r="H93" i="2"/>
  <c r="G93" i="2"/>
  <c r="H92" i="2"/>
  <c r="G92" i="2"/>
  <c r="F92" i="2"/>
  <c r="H90" i="2"/>
  <c r="G90" i="2"/>
  <c r="C3" i="21"/>
  <c r="H63" i="2"/>
  <c r="G63" i="2"/>
  <c r="H55" i="2"/>
  <c r="I55" i="2"/>
  <c r="G55" i="2"/>
  <c r="I4" i="15"/>
  <c r="G4" i="15"/>
  <c r="I8" i="15"/>
  <c r="G8" i="15"/>
  <c r="I7" i="15"/>
  <c r="G7" i="15"/>
  <c r="I86" i="2"/>
  <c r="G86" i="2"/>
  <c r="H38" i="2"/>
  <c r="G38" i="2"/>
  <c r="H37" i="2"/>
  <c r="I37" i="2"/>
  <c r="G37" i="2"/>
  <c r="H62" i="2"/>
  <c r="G62" i="2"/>
  <c r="G50" i="2"/>
  <c r="G128" i="2"/>
  <c r="I38" i="2"/>
  <c r="I27" i="1"/>
  <c r="H27" i="1"/>
  <c r="G27" i="1"/>
  <c r="H126" i="2"/>
  <c r="I126" i="2"/>
  <c r="G126" i="2"/>
  <c r="G72" i="2"/>
  <c r="H70" i="2"/>
  <c r="I70" i="2"/>
  <c r="I69" i="2"/>
  <c r="H69" i="2"/>
  <c r="G69" i="2"/>
  <c r="G57" i="2"/>
  <c r="G34" i="2"/>
  <c r="I75" i="2"/>
  <c r="H75" i="2"/>
  <c r="G75" i="2"/>
  <c r="B90" i="2" l="1"/>
  <c r="H61" i="2"/>
  <c r="F61" i="2"/>
  <c r="I62" i="2"/>
  <c r="I74" i="2"/>
  <c r="G74" i="2"/>
  <c r="I80" i="2"/>
  <c r="I67" i="2"/>
  <c r="G67" i="2"/>
  <c r="G42" i="2"/>
  <c r="I42" i="2"/>
  <c r="G85" i="2"/>
  <c r="H85" i="2"/>
  <c r="I85" i="2"/>
  <c r="I69" i="1"/>
  <c r="H69" i="1"/>
  <c r="G69" i="1"/>
  <c r="I127" i="2"/>
  <c r="H127" i="2"/>
  <c r="G127" i="2"/>
  <c r="G88" i="2"/>
  <c r="H88" i="2"/>
  <c r="I88" i="2"/>
  <c r="I65" i="1"/>
  <c r="H89" i="2"/>
  <c r="I89" i="2"/>
  <c r="I66" i="1"/>
  <c r="H66" i="1"/>
  <c r="G89" i="2"/>
  <c r="G66" i="1"/>
  <c r="G73" i="2"/>
  <c r="H40" i="2"/>
  <c r="I40" i="2"/>
  <c r="G40" i="2"/>
  <c r="H61" i="1"/>
  <c r="G61" i="1"/>
  <c r="H49" i="1"/>
  <c r="I68" i="1"/>
  <c r="H68" i="1"/>
  <c r="G68" i="1"/>
  <c r="H63" i="1"/>
  <c r="G63" i="1"/>
  <c r="H64" i="1"/>
  <c r="G64" i="1"/>
  <c r="H55" i="1"/>
  <c r="G55" i="1"/>
  <c r="G24" i="1"/>
  <c r="H7" i="1"/>
  <c r="G7" i="1"/>
  <c r="H50" i="1"/>
  <c r="G50" i="1"/>
  <c r="H52" i="1"/>
  <c r="G52" i="1"/>
  <c r="I22" i="2"/>
  <c r="H22" i="2"/>
  <c r="G22" i="2"/>
  <c r="H5" i="2"/>
  <c r="E62" i="2" l="1"/>
  <c r="I61" i="2"/>
  <c r="E61" i="2"/>
  <c r="H40" i="1" l="1"/>
  <c r="G40" i="1"/>
  <c r="I128" i="2"/>
  <c r="H70" i="1"/>
  <c r="I70" i="1"/>
  <c r="G70" i="1"/>
  <c r="F70" i="1"/>
  <c r="E70" i="1"/>
  <c r="I48" i="2"/>
  <c r="H48" i="2"/>
  <c r="G48" i="2"/>
  <c r="I54" i="1"/>
  <c r="G54" i="1"/>
  <c r="H77" i="2" l="1"/>
  <c r="G77" i="2"/>
  <c r="I52" i="1"/>
  <c r="I71" i="2"/>
  <c r="E71" i="2"/>
  <c r="E50" i="1"/>
  <c r="I49" i="1"/>
  <c r="G49" i="1"/>
  <c r="Y134" i="5" l="1"/>
  <c r="I34" i="2"/>
  <c r="I81" i="2"/>
  <c r="G81" i="2"/>
  <c r="G80" i="2"/>
  <c r="I79" i="2"/>
  <c r="H79" i="2"/>
  <c r="G79" i="2"/>
  <c r="H78" i="2"/>
  <c r="G78" i="2"/>
  <c r="I77" i="2"/>
  <c r="I72" i="2"/>
  <c r="H72" i="2"/>
  <c r="G70" i="2"/>
  <c r="F70" i="2"/>
  <c r="E70" i="2"/>
  <c r="I68" i="2"/>
  <c r="G68" i="2"/>
  <c r="I60" i="2"/>
  <c r="G60" i="2"/>
  <c r="F60" i="2"/>
  <c r="E60" i="2"/>
  <c r="G59" i="2"/>
  <c r="G58" i="2"/>
  <c r="I57" i="2"/>
  <c r="E57" i="2"/>
  <c r="I56" i="2"/>
  <c r="G56" i="2"/>
  <c r="F56" i="2"/>
  <c r="E56" i="2"/>
  <c r="E55" i="2"/>
  <c r="I54" i="2"/>
  <c r="G54" i="2"/>
  <c r="F54" i="2"/>
  <c r="E54" i="2"/>
  <c r="G53" i="2"/>
  <c r="I52" i="2"/>
  <c r="G52" i="2"/>
  <c r="F52" i="2"/>
  <c r="E52" i="2"/>
  <c r="I51" i="2"/>
  <c r="G51" i="2"/>
  <c r="F51" i="2"/>
  <c r="E51" i="2"/>
  <c r="I50" i="2"/>
  <c r="E50" i="2"/>
  <c r="I49" i="2"/>
  <c r="G49" i="2"/>
  <c r="F49" i="2"/>
  <c r="E49" i="2"/>
  <c r="I47" i="2"/>
  <c r="H47" i="2"/>
  <c r="G47" i="2"/>
  <c r="I46" i="2"/>
  <c r="H46" i="2"/>
  <c r="G46" i="2"/>
  <c r="I44" i="2"/>
  <c r="G44" i="2"/>
  <c r="I43" i="2"/>
  <c r="G43" i="2"/>
  <c r="I35" i="2"/>
  <c r="H35" i="2"/>
  <c r="G35" i="2"/>
  <c r="F35" i="2"/>
  <c r="E34" i="2"/>
  <c r="I33" i="2"/>
  <c r="H33" i="2"/>
  <c r="G33" i="2"/>
  <c r="I32" i="2"/>
  <c r="H32" i="2"/>
  <c r="I31" i="2"/>
  <c r="H31" i="2"/>
  <c r="I30" i="2"/>
  <c r="H30" i="2"/>
  <c r="I29" i="2"/>
  <c r="H29" i="2"/>
  <c r="G29" i="2"/>
  <c r="I27" i="2"/>
  <c r="G27" i="2"/>
  <c r="F27" i="2"/>
  <c r="E27" i="2"/>
  <c r="G26" i="2"/>
  <c r="I25" i="2"/>
  <c r="H25" i="2"/>
  <c r="G25" i="2"/>
  <c r="E25" i="2"/>
  <c r="G24" i="2"/>
  <c r="G21" i="2"/>
  <c r="I20" i="2"/>
  <c r="H20" i="2"/>
  <c r="G20" i="2"/>
  <c r="E20" i="2"/>
  <c r="G19" i="2"/>
  <c r="I17" i="2"/>
  <c r="G17" i="2"/>
  <c r="F17" i="2"/>
  <c r="E17" i="2"/>
  <c r="G16" i="2"/>
  <c r="G15" i="2"/>
  <c r="I14" i="2"/>
  <c r="H14" i="2"/>
  <c r="G14" i="2"/>
  <c r="E14" i="2"/>
  <c r="G12" i="2"/>
  <c r="H11" i="2"/>
  <c r="G11" i="2"/>
  <c r="H10" i="2"/>
  <c r="G10" i="2"/>
  <c r="G9" i="2"/>
  <c r="I7" i="2"/>
  <c r="H7" i="2"/>
  <c r="G7" i="2"/>
  <c r="F7" i="2"/>
  <c r="E7" i="2"/>
  <c r="I6" i="2"/>
  <c r="H6" i="2"/>
  <c r="G6" i="2"/>
  <c r="I5" i="2"/>
  <c r="G5" i="2"/>
  <c r="I51" i="1"/>
  <c r="H51" i="1"/>
  <c r="G51" i="1"/>
  <c r="I28" i="1"/>
  <c r="H28" i="1"/>
  <c r="G28" i="1"/>
  <c r="F28" i="1"/>
  <c r="E28" i="1"/>
  <c r="F27" i="1"/>
  <c r="I58" i="1"/>
  <c r="H58" i="1"/>
  <c r="G58" i="1"/>
  <c r="I57" i="1"/>
  <c r="H57" i="1"/>
  <c r="G57" i="1"/>
  <c r="I56" i="1"/>
  <c r="H56" i="1"/>
  <c r="G56" i="1"/>
  <c r="F56" i="1"/>
  <c r="E56" i="1"/>
  <c r="I55" i="1"/>
  <c r="E55" i="1"/>
  <c r="I47" i="1"/>
  <c r="H47" i="1"/>
  <c r="G47" i="1"/>
  <c r="E47" i="1"/>
  <c r="I45" i="1"/>
  <c r="G45" i="1"/>
  <c r="F45" i="1"/>
  <c r="E45" i="1"/>
  <c r="I44" i="1"/>
  <c r="G44" i="1"/>
  <c r="F44" i="1"/>
  <c r="E44" i="1"/>
  <c r="I43" i="1"/>
  <c r="G43" i="1"/>
  <c r="F43" i="1"/>
  <c r="E43" i="1"/>
  <c r="I42" i="1"/>
  <c r="G42" i="1"/>
  <c r="F42" i="1"/>
  <c r="E42" i="1"/>
  <c r="I41" i="1"/>
  <c r="G41" i="1"/>
  <c r="F41" i="1"/>
  <c r="E41" i="1"/>
  <c r="I40" i="1"/>
  <c r="I39" i="1"/>
  <c r="G39" i="1"/>
  <c r="F39" i="1"/>
  <c r="E39" i="1"/>
  <c r="I38" i="1"/>
  <c r="H38" i="1"/>
  <c r="G38" i="1"/>
  <c r="F38" i="1"/>
  <c r="E38" i="1"/>
  <c r="G35" i="1"/>
  <c r="G34" i="1"/>
  <c r="G33" i="1"/>
  <c r="I32" i="1"/>
  <c r="G32" i="1"/>
  <c r="H25" i="1"/>
  <c r="G25" i="1"/>
  <c r="I23" i="1"/>
  <c r="H23" i="1"/>
  <c r="I22" i="1"/>
  <c r="H22" i="1"/>
  <c r="I21" i="1"/>
  <c r="H21" i="1"/>
  <c r="I20" i="1"/>
  <c r="H20" i="1"/>
  <c r="I14" i="1"/>
  <c r="H14" i="1"/>
  <c r="E14" i="1"/>
  <c r="I13" i="1"/>
  <c r="H13" i="1"/>
  <c r="E13" i="1"/>
  <c r="I12" i="1"/>
  <c r="H12" i="1"/>
  <c r="E12" i="1"/>
  <c r="I8" i="1"/>
  <c r="H8" i="1"/>
  <c r="G8" i="1"/>
  <c r="I7" i="1"/>
  <c r="E7" i="1"/>
  <c r="H6" i="1"/>
  <c r="G6" i="1"/>
  <c r="I5" i="1"/>
  <c r="H5" i="1"/>
  <c r="G5" i="1"/>
</calcChain>
</file>

<file path=xl/sharedStrings.xml><?xml version="1.0" encoding="utf-8"?>
<sst xmlns="http://schemas.openxmlformats.org/spreadsheetml/2006/main" count="19148" uniqueCount="8561">
  <si>
    <t>Domain</t>
  </si>
  <si>
    <t>Measure</t>
  </si>
  <si>
    <t># Items</t>
  </si>
  <si>
    <t># Items Retained</t>
  </si>
  <si>
    <t>% Items Retained</t>
  </si>
  <si>
    <t>% Removed for insufficient endorsement</t>
  </si>
  <si>
    <t>% Removed for relevance or redundancy</t>
  </si>
  <si>
    <t>Substance Use</t>
  </si>
  <si>
    <t>Substance Use Interview</t>
  </si>
  <si>
    <t xml:space="preserve">    Caffeine Intake</t>
  </si>
  <si>
    <t xml:space="preserve">    iSay II Q2 Sipping Items</t>
  </si>
  <si>
    <t xml:space="preserve">    Tobacco Low-Level Use Measure</t>
  </si>
  <si>
    <t xml:space="preserve">    Marijuana Low-Level Use </t>
  </si>
  <si>
    <t xml:space="preserve">    Peer Group Deviance</t>
  </si>
  <si>
    <t xml:space="preserve">    Acute Subjective Response to Alcohol</t>
  </si>
  <si>
    <t xml:space="preserve">    Acute Subjective Response to Tobacco</t>
  </si>
  <si>
    <t xml:space="preserve">    Acute Subjective Response to Marijuana</t>
  </si>
  <si>
    <t xml:space="preserve">    Hangover Symptom Scale</t>
  </si>
  <si>
    <t xml:space="preserve">    Rutgers Alcohol Problem Index (RAPI)</t>
  </si>
  <si>
    <t xml:space="preserve">    Nicotine Dependence </t>
  </si>
  <si>
    <t xml:space="preserve">    Marijuana Dependence Index (MAPI)</t>
  </si>
  <si>
    <t xml:space="preserve">    Drug Problem Index (DAPI)</t>
  </si>
  <si>
    <t>Youth Alcohol Screen</t>
  </si>
  <si>
    <t>Youth Nicalert</t>
  </si>
  <si>
    <t>Youth Hair Results</t>
  </si>
  <si>
    <t>Youth Toxicology Test</t>
  </si>
  <si>
    <t>Parent Community Risk and Protective Factors</t>
  </si>
  <si>
    <t>Neurocognition</t>
  </si>
  <si>
    <t>Little Man Task Summary Scores</t>
  </si>
  <si>
    <t>Matrix Reasoning</t>
  </si>
  <si>
    <t>Total Scaled Score</t>
  </si>
  <si>
    <t>Cash Choice Task</t>
  </si>
  <si>
    <t>Culture/Environment</t>
  </si>
  <si>
    <t xml:space="preserve">see Barch et al., 2021 for notes about KSADS </t>
  </si>
  <si>
    <t>recoded -1, 777,999 as NAs</t>
  </si>
  <si>
    <t>recoded 777,999 as NAs; recoded demo_prnt_prtnr_v2, demo_prnt_prtnr_bio 2=0; recoded demo_prnt_empl_v2 and demo_prtnr_empl_v2 1=full time employment|0=all other responses besidees full time</t>
  </si>
  <si>
    <t>Physical Health</t>
  </si>
  <si>
    <t>Parent Medical History Questionnaire</t>
  </si>
  <si>
    <t xml:space="preserve">    Peer Tolerance</t>
  </si>
  <si>
    <t xml:space="preserve">    Perceived Harm</t>
  </si>
  <si>
    <t>Youth Alcohol Measures</t>
  </si>
  <si>
    <t xml:space="preserve">    Consequences</t>
  </si>
  <si>
    <t>Youth Nicotine Measures</t>
  </si>
  <si>
    <t>Youth Community Risk and Protective Factors</t>
  </si>
  <si>
    <t>Culture &amp; Environment</t>
  </si>
  <si>
    <t>Brief Problem Monitor</t>
  </si>
  <si>
    <t>Peer Experiences Questionnaire</t>
  </si>
  <si>
    <t>Demographics</t>
  </si>
  <si>
    <t>Youth Blood Analysis</t>
  </si>
  <si>
    <t>Fitbit Summary Scores</t>
  </si>
  <si>
    <t>Developmental History Questionnaire</t>
  </si>
  <si>
    <t xml:space="preserve">    Timeline Follow-Back (TLFB)</t>
  </si>
  <si>
    <t xml:space="preserve">    PATH Inventory</t>
  </si>
  <si>
    <t>Family Mental Health</t>
  </si>
  <si>
    <t>Child Mental Health</t>
  </si>
  <si>
    <t>Screen Time</t>
  </si>
  <si>
    <t>Notes</t>
  </si>
  <si>
    <t>Values of 5 and 6 recoded to NA</t>
  </si>
  <si>
    <t>"_calc" items used instead where available</t>
  </si>
  <si>
    <t>Primary results considered relevant</t>
  </si>
  <si>
    <t>For items 3, 6, and 9, values of 4 were recoded to NA; for items 1, 4, and 7, values other than 1 and NA were recoded to 0</t>
  </si>
  <si>
    <t>Values of 4 recoded to NA; for item "su_risk_p_6", values of 2 recoded to NA</t>
  </si>
  <si>
    <t>Where screentime measures were separated by hours and minutes, total minutes items were created</t>
  </si>
  <si>
    <t>Only uncorrected scores considered</t>
  </si>
  <si>
    <t>Only % correct was used, as per Thompson et al. (2019)</t>
  </si>
  <si>
    <t>RAVLT summary score computed as per Thompson et al. (2019)</t>
  </si>
  <si>
    <t>Values of 3 recoded to NA</t>
  </si>
  <si>
    <t>Residential History Derived Scores</t>
  </si>
  <si>
    <t>Medication usage data recoded to compute SSRI use and any antidepressant use in mother and child</t>
  </si>
  <si>
    <t>Caffeine items recoded to compute total caffeine intake per month; medication usage items recoded to compute any SSRI use and any antidepressant use before and after knowledge of pregnancy</t>
  </si>
  <si>
    <t>Composite of # activities participated in in last 12 months computed; 2 items assessing music and reading left as is</t>
  </si>
  <si>
    <t>For items "menstrualcycle3" and "menstrualcyle4", values of 2 and 3 recoded to NA; for item "pds_f5_y", values of 4 recoded to 2</t>
  </si>
  <si>
    <t>See code used to derive summary metrics*</t>
  </si>
  <si>
    <t>Values of 2 and 3 recoded to 1 to facilitate analyses of dichotomous variables</t>
  </si>
  <si>
    <t>Values of '-1' recoded to NA</t>
  </si>
  <si>
    <t>Implausible values of 0, 3580.666667, 9 recoded to NA</t>
  </si>
  <si>
    <t>For item "pds_f5b_p", values of 4 recoded to 1 and values of 1 recoded to 0</t>
  </si>
  <si>
    <t>For item "pds_f5_y", values of 4 recoded to 1 and values of 1 recoded to 0</t>
  </si>
  <si>
    <t>Values of 6 recoded to NA</t>
  </si>
  <si>
    <t>Compulsive PRS</t>
  </si>
  <si>
    <t>Variable</t>
  </si>
  <si>
    <t>Beta</t>
  </si>
  <si>
    <t>STE</t>
  </si>
  <si>
    <t>Pval</t>
  </si>
  <si>
    <t>su_isip_1_calc</t>
  </si>
  <si>
    <t>su_isip_1b_2_calc</t>
  </si>
  <si>
    <t>peer_deviance_2_dd1457</t>
  </si>
  <si>
    <t>path_alc_youth1</t>
  </si>
  <si>
    <t>path_alc_youth2</t>
  </si>
  <si>
    <t>path_alc_youth4</t>
  </si>
  <si>
    <t>path_alc_youth5</t>
  </si>
  <si>
    <t>path_alc_youth7</t>
  </si>
  <si>
    <t>path_alc_youth8</t>
  </si>
  <si>
    <t>su_risk_p_1</t>
  </si>
  <si>
    <t>su_risk_p_2</t>
  </si>
  <si>
    <t>su_risk_p_3</t>
  </si>
  <si>
    <t>su_risk_p_4</t>
  </si>
  <si>
    <t>su_risk_p_5</t>
  </si>
  <si>
    <t>su_risk_p_6</t>
  </si>
  <si>
    <t>su_risk_p_7</t>
  </si>
  <si>
    <t>su_risk_p_8</t>
  </si>
  <si>
    <t>su_risk_p_9</t>
  </si>
  <si>
    <t>parent_rules_q1a</t>
  </si>
  <si>
    <t>parent_rules_q5</t>
  </si>
  <si>
    <t>parent_rules_q8</t>
  </si>
  <si>
    <t>nihtbx_picvocab_uncorrected</t>
  </si>
  <si>
    <t>nihtbx_flanker_uncorrected</t>
  </si>
  <si>
    <t>nihtbx_list_uncorrected</t>
  </si>
  <si>
    <t>nihtbx_cardsort_uncorrected</t>
  </si>
  <si>
    <t>nihtbx_pattern_uncorrected</t>
  </si>
  <si>
    <t>nihtbx_picture_uncorrected</t>
  </si>
  <si>
    <t>nihtbx_reading_uncorrected</t>
  </si>
  <si>
    <t>nihtbx_fluidcomp_uncorrected</t>
  </si>
  <si>
    <t>nihtbx_cryst_uncorrected</t>
  </si>
  <si>
    <t>nihtbx_totalcomp_uncorrected</t>
  </si>
  <si>
    <t>lmt_scr_perc_correct</t>
  </si>
  <si>
    <t>pea_wiscv_tss</t>
  </si>
  <si>
    <t>RAVLT</t>
  </si>
  <si>
    <t>sai_past_year_num_activities</t>
  </si>
  <si>
    <t>prosocial_q1_p</t>
  </si>
  <si>
    <t>prosocial_q2_p</t>
  </si>
  <si>
    <t>prosocial_q3_p</t>
  </si>
  <si>
    <t>prosocial_q1_y</t>
  </si>
  <si>
    <t>prosocial_q2_y</t>
  </si>
  <si>
    <t>prosocial_q3_y</t>
  </si>
  <si>
    <t>reshist_addr1_years</t>
  </si>
  <si>
    <t>reshist_addr1_elevation</t>
  </si>
  <si>
    <t>reshist_addr1_d1a</t>
  </si>
  <si>
    <t>reshist_addr1_walkindex</t>
  </si>
  <si>
    <t>reshist_addr1_grndtot</t>
  </si>
  <si>
    <t>reshist_addr1_p1tot</t>
  </si>
  <si>
    <t>reshist_addr1_p1vlnt</t>
  </si>
  <si>
    <t>reshist_addr1_drugtot</t>
  </si>
  <si>
    <t>reshist_addr1_drgsale</t>
  </si>
  <si>
    <t>reshist_addr1_mjsale</t>
  </si>
  <si>
    <t>reshist_addr1_drgposs</t>
  </si>
  <si>
    <t>reshist_addr1_dui</t>
  </si>
  <si>
    <t>reshist_addr1_adi_edu_l</t>
  </si>
  <si>
    <t>reshist_addr1_adi_edu_h</t>
  </si>
  <si>
    <t>reshist_addr1_adi_work_c</t>
  </si>
  <si>
    <t>reshist_addr1_adi_income</t>
  </si>
  <si>
    <t>reshist_addr1_adi_in_dis</t>
  </si>
  <si>
    <t>reshist_addr1_adi_home_v</t>
  </si>
  <si>
    <t>reshist_addr1_adi_rent</t>
  </si>
  <si>
    <t>reshist_addr1_adi_mortg</t>
  </si>
  <si>
    <t>reshist_addr1_adi_home_o</t>
  </si>
  <si>
    <t>reshist_addr1_adi_crowd</t>
  </si>
  <si>
    <t>reshist_addr1_adi_unemp</t>
  </si>
  <si>
    <t>reshist_addr1_adi_pov</t>
  </si>
  <si>
    <t>reshist_addr1_adi_b138</t>
  </si>
  <si>
    <t>reshist_addr1_adi_sp</t>
  </si>
  <si>
    <t>reshist_addr1_adi_ncar</t>
  </si>
  <si>
    <t>reshist_addr1_adi_ntel</t>
  </si>
  <si>
    <t>reshist_addr1_adi_nplumb</t>
  </si>
  <si>
    <t>reshist_addr1_adi_wsum</t>
  </si>
  <si>
    <t>reshist_addr1_adi_perc</t>
  </si>
  <si>
    <t>reshist_addr1_popdensity</t>
  </si>
  <si>
    <t>reshist_addr1_no2</t>
  </si>
  <si>
    <t>reshist_addr1_pm25</t>
  </si>
  <si>
    <t>reshist_addr1_proxrd</t>
  </si>
  <si>
    <t>reshist_addr1_percentile</t>
  </si>
  <si>
    <t>reshist_addr1_pm252016aa</t>
  </si>
  <si>
    <t>reshist_addr1_leadrisk_poverty</t>
  </si>
  <si>
    <t>reshist_addr1_leadrisk_housing</t>
  </si>
  <si>
    <t>reshist_addr1_leadrisk</t>
  </si>
  <si>
    <t>reshist_state_sexism_factor</t>
  </si>
  <si>
    <t>reshist_state_racism_factor</t>
  </si>
  <si>
    <t>reshist_state_so_factor</t>
  </si>
  <si>
    <t>school_2_y</t>
  </si>
  <si>
    <t>school_3_y</t>
  </si>
  <si>
    <t>school_4_y</t>
  </si>
  <si>
    <t>school_5_y</t>
  </si>
  <si>
    <t>school_6_y</t>
  </si>
  <si>
    <t>school_7_y</t>
  </si>
  <si>
    <t>school_8_y</t>
  </si>
  <si>
    <t>school_9_y</t>
  </si>
  <si>
    <t>school_10_y</t>
  </si>
  <si>
    <t>school_12_y</t>
  </si>
  <si>
    <t>school_15_y</t>
  </si>
  <si>
    <t>school_17_y</t>
  </si>
  <si>
    <t>crpbi_parent1_y</t>
  </si>
  <si>
    <t>crpbi_parent2_y</t>
  </si>
  <si>
    <t>crpbi_parent3_y</t>
  </si>
  <si>
    <t>crpbi_parent4_y</t>
  </si>
  <si>
    <t>crpbi_parent5_y</t>
  </si>
  <si>
    <t>crpbi_caregiver12_y</t>
  </si>
  <si>
    <t>crpbi_caregiver13_y</t>
  </si>
  <si>
    <t>crpbi_caregiver14_y</t>
  </si>
  <si>
    <t>crpbi_caregiver15_y</t>
  </si>
  <si>
    <t>crpbi_caregiver16_y</t>
  </si>
  <si>
    <t>psb_y_ss_mean</t>
  </si>
  <si>
    <t>crpbi_y_ss_parent</t>
  </si>
  <si>
    <t>crpbi_y_ss_caregiver</t>
  </si>
  <si>
    <t>srpf_y_ss_ses</t>
  </si>
  <si>
    <t>srpf_y_ss_iiss</t>
  </si>
  <si>
    <t>srpf_y_ss_dfs</t>
  </si>
  <si>
    <t>fes_y_ss_fc_pr</t>
  </si>
  <si>
    <t>fes_p_ss_fc_pr</t>
  </si>
  <si>
    <t>neighborhood1r_p</t>
  </si>
  <si>
    <t>neighborhood2r_p</t>
  </si>
  <si>
    <t>neighborhood3r_p</t>
  </si>
  <si>
    <t>neighborhood_crime_y</t>
  </si>
  <si>
    <t>nsc_p_ss_mean_3_items</t>
  </si>
  <si>
    <t>psb_p_ss_mean</t>
  </si>
  <si>
    <t>parent_monitor_q1_y</t>
  </si>
  <si>
    <t>parent_monitor_q2_y</t>
  </si>
  <si>
    <t>parent_monitor_q3_y</t>
  </si>
  <si>
    <t>parent_monitor_q4_y</t>
  </si>
  <si>
    <t>parent_monitor_q5_y</t>
  </si>
  <si>
    <t>pmq_y_ss_mean</t>
  </si>
  <si>
    <t>pds_1_p</t>
  </si>
  <si>
    <t>pds_2_p</t>
  </si>
  <si>
    <t>pds_3_p</t>
  </si>
  <si>
    <t>pds_ht2_y</t>
  </si>
  <si>
    <t>pds_skin2_y</t>
  </si>
  <si>
    <t>pds_bdyhair_y</t>
  </si>
  <si>
    <t>filtered_dhea</t>
  </si>
  <si>
    <t>filtered_testosterone</t>
  </si>
  <si>
    <t>filtered_estradiol</t>
  </si>
  <si>
    <t>anthroheightcalc</t>
  </si>
  <si>
    <t>anthroweightcalc</t>
  </si>
  <si>
    <t>anthro_waist_cm</t>
  </si>
  <si>
    <t>screen1_wkdy_y</t>
  </si>
  <si>
    <t>screen2_wkdy_y</t>
  </si>
  <si>
    <t>screen3_wkdy_y</t>
  </si>
  <si>
    <t>screen4_wkdy_y</t>
  </si>
  <si>
    <t>screen5_wkdy_y</t>
  </si>
  <si>
    <t>screen7_wknd_y</t>
  </si>
  <si>
    <t>screen8_wknd_y</t>
  </si>
  <si>
    <t>screen9_wknd_y</t>
  </si>
  <si>
    <t>screen10_wknd_y</t>
  </si>
  <si>
    <t>screen11_wknd_y</t>
  </si>
  <si>
    <t>screen12_wknd_y</t>
  </si>
  <si>
    <t>screen13_y</t>
  </si>
  <si>
    <t>screen14_y</t>
  </si>
  <si>
    <t>pps_y_ss_number</t>
  </si>
  <si>
    <t>pps_y_ss_bother_sum</t>
  </si>
  <si>
    <t>pps_y_ss_severity_score</t>
  </si>
  <si>
    <t>prodromal_1b_y</t>
  </si>
  <si>
    <t>prodromal_2b_y</t>
  </si>
  <si>
    <t>prodromal_3b_y</t>
  </si>
  <si>
    <t>prodromal_5b_y</t>
  </si>
  <si>
    <t>prodromal_6b_y</t>
  </si>
  <si>
    <t>prodromal_8b_y</t>
  </si>
  <si>
    <t>prodromal_9b_y</t>
  </si>
  <si>
    <t>prodromal_10b_y</t>
  </si>
  <si>
    <t>prodromal_11b_y</t>
  </si>
  <si>
    <t>prodromal_12b_y</t>
  </si>
  <si>
    <t>prodromal_13b_y</t>
  </si>
  <si>
    <t>prodromal_14b_y</t>
  </si>
  <si>
    <t>prodromal_15b_y</t>
  </si>
  <si>
    <t>prodromal_17b_y</t>
  </si>
  <si>
    <t>prodromal_18b_y</t>
  </si>
  <si>
    <t>prodromal_19b_y</t>
  </si>
  <si>
    <t>prodromal_20b_y</t>
  </si>
  <si>
    <t>prodromal_21b_y</t>
  </si>
  <si>
    <t>upps_y_ss_negative_urgency</t>
  </si>
  <si>
    <t>upps_y_ss_lack_of_planning</t>
  </si>
  <si>
    <t>upps_y_ss_sensation_seeking</t>
  </si>
  <si>
    <t>upps_y_ss_positive_urgency</t>
  </si>
  <si>
    <t>upps_y_ss_lack_of_perseverance</t>
  </si>
  <si>
    <t>upps6_y</t>
  </si>
  <si>
    <t>upps7_y</t>
  </si>
  <si>
    <t>upps11_y</t>
  </si>
  <si>
    <t>upps12_y</t>
  </si>
  <si>
    <t>upps15_y</t>
  </si>
  <si>
    <t>upps16_y</t>
  </si>
  <si>
    <t>upps17_y</t>
  </si>
  <si>
    <t>upps18_y</t>
  </si>
  <si>
    <t>upps19_y</t>
  </si>
  <si>
    <t>upps20_y</t>
  </si>
  <si>
    <t>upps21_y</t>
  </si>
  <si>
    <t>upps22_y</t>
  </si>
  <si>
    <t>upps23_y</t>
  </si>
  <si>
    <t>upps24_y</t>
  </si>
  <si>
    <t>upps27_y</t>
  </si>
  <si>
    <t>upps28_y</t>
  </si>
  <si>
    <t>upps35_y</t>
  </si>
  <si>
    <t>upps36_y</t>
  </si>
  <si>
    <t>upps37_y</t>
  </si>
  <si>
    <t>upps39_y</t>
  </si>
  <si>
    <t>bis_y_ss_bis_sum</t>
  </si>
  <si>
    <t>bis_y_ss_bas_rr</t>
  </si>
  <si>
    <t>bis_y_ss_bas_drive</t>
  </si>
  <si>
    <t>bis_y_ss_bas_fs</t>
  </si>
  <si>
    <t>bis_y_ss_bism_sum</t>
  </si>
  <si>
    <t>bis_y_ss_basm_rr</t>
  </si>
  <si>
    <t>bis_y_ss_basm_drive</t>
  </si>
  <si>
    <t>bisbas1_y</t>
  </si>
  <si>
    <t>bisbas2_y</t>
  </si>
  <si>
    <t>bisbas3_y</t>
  </si>
  <si>
    <t>bisbas4_y</t>
  </si>
  <si>
    <t>bisbas5r_y</t>
  </si>
  <si>
    <t>bisbas6_y</t>
  </si>
  <si>
    <t>bisbas7_y</t>
  </si>
  <si>
    <t>bisbas8_y</t>
  </si>
  <si>
    <t>bisbas10_y</t>
  </si>
  <si>
    <t>bisbas9_y</t>
  </si>
  <si>
    <t>bisbas11_y</t>
  </si>
  <si>
    <t>bisbas12_y</t>
  </si>
  <si>
    <t>bisbas13_y</t>
  </si>
  <si>
    <t>bisbas14_y</t>
  </si>
  <si>
    <t>bisbas15_y</t>
  </si>
  <si>
    <t>bisbas16_y</t>
  </si>
  <si>
    <t>bisbas17_y</t>
  </si>
  <si>
    <t>bisbas18_y</t>
  </si>
  <si>
    <t>bisbas19_y</t>
  </si>
  <si>
    <t>bisbas20_y</t>
  </si>
  <si>
    <t>resiliency5a_y</t>
  </si>
  <si>
    <t>resiliency6a_y</t>
  </si>
  <si>
    <t>resiliency5b_y</t>
  </si>
  <si>
    <t>resiliency6b_y</t>
  </si>
  <si>
    <t>kbi_y_sex_orient</t>
  </si>
  <si>
    <t>stq_y_ss_weekday</t>
  </si>
  <si>
    <t>stq_y_ss_weekend</t>
  </si>
  <si>
    <t>kbi_p_conflict</t>
  </si>
  <si>
    <t>kbi_p_how_well_c_school</t>
  </si>
  <si>
    <t>kbi_p_grades_in_school</t>
  </si>
  <si>
    <t>kbi_p_c_best_friend_len</t>
  </si>
  <si>
    <t>kbi_p_c_reg_friend_group_len</t>
  </si>
  <si>
    <t>kbi_p_c_reg_friend_group_opin</t>
  </si>
  <si>
    <t>kbi_p_c_gay</t>
  </si>
  <si>
    <t>kbi_p_c_gay_problems</t>
  </si>
  <si>
    <t>kbi_p_c_age_services</t>
  </si>
  <si>
    <t>pgbi_p_ss_score</t>
  </si>
  <si>
    <t>gen_child_behav_1</t>
  </si>
  <si>
    <t>gen_child_behav_3</t>
  </si>
  <si>
    <t>gen_child_behav_4</t>
  </si>
  <si>
    <t>gen_child_behav_5</t>
  </si>
  <si>
    <t>gen_child_behav_6</t>
  </si>
  <si>
    <t>gen_child_behav_7</t>
  </si>
  <si>
    <t>gen_child_behav_8</t>
  </si>
  <si>
    <t>gen_child_behav_9</t>
  </si>
  <si>
    <t>gen_child_behav_10</t>
  </si>
  <si>
    <t>cbcl_scr_syn_anxdep_r</t>
  </si>
  <si>
    <t>cbcl_scr_syn_withdep_r</t>
  </si>
  <si>
    <t>cbcl_scr_syn_somatic_r</t>
  </si>
  <si>
    <t>cbcl_scr_syn_social_r</t>
  </si>
  <si>
    <t>cbcl_scr_syn_thought_r</t>
  </si>
  <si>
    <t>cbcl_scr_syn_attention_r</t>
  </si>
  <si>
    <t>cbcl_scr_syn_rulebreak_r</t>
  </si>
  <si>
    <t>cbcl_scr_syn_aggressive_r</t>
  </si>
  <si>
    <t>cbcl_scr_syn_internal_r</t>
  </si>
  <si>
    <t>cbcl_scr_syn_external_r</t>
  </si>
  <si>
    <t>cbcl_scr_syn_totprob_r</t>
  </si>
  <si>
    <t>cbcl_scr_dsm5_depress_r</t>
  </si>
  <si>
    <t>cbcl_scr_dsm5_anxdisord_r</t>
  </si>
  <si>
    <t>cbcl_scr_dsm5_somaticpr_r</t>
  </si>
  <si>
    <t>cbcl_scr_dsm5_adhd_r</t>
  </si>
  <si>
    <t>cbcl_scr_dsm5_opposit_r</t>
  </si>
  <si>
    <t>cbcl_scr_dsm5_conduct_r</t>
  </si>
  <si>
    <t>cbcl_scr_07_sct_r</t>
  </si>
  <si>
    <t>cbcl_scr_07_ocd_r</t>
  </si>
  <si>
    <t>cbcl_scr_07_stress_r</t>
  </si>
  <si>
    <t>cbcl_q01_p</t>
  </si>
  <si>
    <t>cbcl_q03_p</t>
  </si>
  <si>
    <t>cbcl_q04_p</t>
  </si>
  <si>
    <t>cbcl_q05_p</t>
  </si>
  <si>
    <t>cbcl_q07_p</t>
  </si>
  <si>
    <t>cbcl_q08_p</t>
  </si>
  <si>
    <t>cbcl_q09_p</t>
  </si>
  <si>
    <t>cbcl_q10_p</t>
  </si>
  <si>
    <t>cbcl_q11_p</t>
  </si>
  <si>
    <t>cbcl_q12_p</t>
  </si>
  <si>
    <t>cbcl_q13_p</t>
  </si>
  <si>
    <t>cbcl_q14_p</t>
  </si>
  <si>
    <t>cbcl_q16_p</t>
  </si>
  <si>
    <t>cbcl_q17_p</t>
  </si>
  <si>
    <t>cbcl_q19_p</t>
  </si>
  <si>
    <t>cbcl_q20_p</t>
  </si>
  <si>
    <t>cbcl_q21_p</t>
  </si>
  <si>
    <t>cbcl_q22_p</t>
  </si>
  <si>
    <t>cbcl_q23_p</t>
  </si>
  <si>
    <t>cbcl_q24_p</t>
  </si>
  <si>
    <t>cbcl_q25_p</t>
  </si>
  <si>
    <t>cbcl_q26_p</t>
  </si>
  <si>
    <t>cbcl_q27_p</t>
  </si>
  <si>
    <t>cbcl_q28_p</t>
  </si>
  <si>
    <t>cbcl_q29_p</t>
  </si>
  <si>
    <t>cbcl_q30_p</t>
  </si>
  <si>
    <t>cbcl_q31_p</t>
  </si>
  <si>
    <t>cbcl_q32_p</t>
  </si>
  <si>
    <t>cbcl_q33_p</t>
  </si>
  <si>
    <t>cbcl_q34_p</t>
  </si>
  <si>
    <t>cbcl_q35_p</t>
  </si>
  <si>
    <t>cbcl_q36_p</t>
  </si>
  <si>
    <t>cbcl_q37_p</t>
  </si>
  <si>
    <t>cbcl_q38_p</t>
  </si>
  <si>
    <t>cbcl_q39_p</t>
  </si>
  <si>
    <t>cbcl_q41_p</t>
  </si>
  <si>
    <t>cbcl_q42_p</t>
  </si>
  <si>
    <t>cbcl_q43_p</t>
  </si>
  <si>
    <t>cbcl_q44_p</t>
  </si>
  <si>
    <t>cbcl_q45_p</t>
  </si>
  <si>
    <t>cbcl_q46_p</t>
  </si>
  <si>
    <t>cbcl_q47_p</t>
  </si>
  <si>
    <t>cbcl_q48_p</t>
  </si>
  <si>
    <t>cbcl_q49_p</t>
  </si>
  <si>
    <t>cbcl_q50_p</t>
  </si>
  <si>
    <t>cbcl_q51_p</t>
  </si>
  <si>
    <t>cbcl_q52_p</t>
  </si>
  <si>
    <t>cbcl_q53_p</t>
  </si>
  <si>
    <t>cbcl_q54_p</t>
  </si>
  <si>
    <t>cbcl_q55_p</t>
  </si>
  <si>
    <t>cbcl_q56a_p</t>
  </si>
  <si>
    <t>cbcl_q56b_p</t>
  </si>
  <si>
    <t>cbcl_q56c_p</t>
  </si>
  <si>
    <t>cbcl_q56d_p</t>
  </si>
  <si>
    <t>cbcl_q56e_p</t>
  </si>
  <si>
    <t>cbcl_q56f_p</t>
  </si>
  <si>
    <t>cbcl_q56g_p</t>
  </si>
  <si>
    <t>cbcl_q56h_p</t>
  </si>
  <si>
    <t>cbcl_q57_p</t>
  </si>
  <si>
    <t>cbcl_q58_p</t>
  </si>
  <si>
    <t>cbcl_q61_p</t>
  </si>
  <si>
    <t>cbcl_q62_p</t>
  </si>
  <si>
    <t>cbcl_q63_p</t>
  </si>
  <si>
    <t>cbcl_q64_p</t>
  </si>
  <si>
    <t>cbcl_q65_p</t>
  </si>
  <si>
    <t>cbcl_q66_p</t>
  </si>
  <si>
    <t>cbcl_q68_p</t>
  </si>
  <si>
    <t>cbcl_q69_p</t>
  </si>
  <si>
    <t>cbcl_q71_p</t>
  </si>
  <si>
    <t>cbcl_q74_p</t>
  </si>
  <si>
    <t>cbcl_q75_p</t>
  </si>
  <si>
    <t>cbcl_q76_p</t>
  </si>
  <si>
    <t>cbcl_q77_p</t>
  </si>
  <si>
    <t>cbcl_q78_p</t>
  </si>
  <si>
    <t>cbcl_q79_p</t>
  </si>
  <si>
    <t>cbcl_q80_p</t>
  </si>
  <si>
    <t>cbcl_q81_p</t>
  </si>
  <si>
    <t>cbcl_q83_p</t>
  </si>
  <si>
    <t>cbcl_q84_p</t>
  </si>
  <si>
    <t>cbcl_q85_p</t>
  </si>
  <si>
    <t>cbcl_q86_p</t>
  </si>
  <si>
    <t>cbcl_q87_p</t>
  </si>
  <si>
    <t>cbcl_q88_p</t>
  </si>
  <si>
    <t>cbcl_q89_p</t>
  </si>
  <si>
    <t>cbcl_q90_p</t>
  </si>
  <si>
    <t>cbcl_q91_p</t>
  </si>
  <si>
    <t>cbcl_q92_p</t>
  </si>
  <si>
    <t>cbcl_q93_p</t>
  </si>
  <si>
    <t>cbcl_q94_p</t>
  </si>
  <si>
    <t>cbcl_q95_p</t>
  </si>
  <si>
    <t>cbcl_q97_p</t>
  </si>
  <si>
    <t>cbcl_q98_p</t>
  </si>
  <si>
    <t>cbcl_q100_p</t>
  </si>
  <si>
    <t>cbcl_q102_p</t>
  </si>
  <si>
    <t>cbcl_q103_p</t>
  </si>
  <si>
    <t>cbcl_q104_p</t>
  </si>
  <si>
    <t>cbcl_q108_p</t>
  </si>
  <si>
    <t>cbcl_q109_p</t>
  </si>
  <si>
    <t>cbcl_q111_p</t>
  </si>
  <si>
    <t>cbcl_q112_p</t>
  </si>
  <si>
    <t>asr_q01_p</t>
  </si>
  <si>
    <t>asr_q02_p</t>
  </si>
  <si>
    <t>asr_q03_p</t>
  </si>
  <si>
    <t>asr_q04_p</t>
  </si>
  <si>
    <t>asr_q05_p</t>
  </si>
  <si>
    <t>asr_q06_p</t>
  </si>
  <si>
    <t>asr_q07_p</t>
  </si>
  <si>
    <t>asr_q08_p</t>
  </si>
  <si>
    <t>asr_q09_p</t>
  </si>
  <si>
    <t>asr_q10_p</t>
  </si>
  <si>
    <t>asr_q11_p</t>
  </si>
  <si>
    <t>asr_q12_p</t>
  </si>
  <si>
    <t>asr_q13_p</t>
  </si>
  <si>
    <t>asr_q14_p</t>
  </si>
  <si>
    <t>asr_q15_p</t>
  </si>
  <si>
    <t>asr_q16_p</t>
  </si>
  <si>
    <t>asr_q17_p</t>
  </si>
  <si>
    <t>asr_q19_p</t>
  </si>
  <si>
    <t>asr_q22_p</t>
  </si>
  <si>
    <t>asr_q23_p</t>
  </si>
  <si>
    <t>asr_q24_p</t>
  </si>
  <si>
    <t>asr_q25_p</t>
  </si>
  <si>
    <t>asr_q26_p</t>
  </si>
  <si>
    <t>asr_q27_p</t>
  </si>
  <si>
    <t>asr_q28_p</t>
  </si>
  <si>
    <t>asr_q29_p</t>
  </si>
  <si>
    <t>asr_q30_p</t>
  </si>
  <si>
    <t>asr_q31_p</t>
  </si>
  <si>
    <t>asr_q32_p</t>
  </si>
  <si>
    <t>asr_q33_p</t>
  </si>
  <si>
    <t>asr_q34_p</t>
  </si>
  <si>
    <t>asr_q35_p</t>
  </si>
  <si>
    <t>asr_q36_p</t>
  </si>
  <si>
    <t>asr_q38_p</t>
  </si>
  <si>
    <t>asr_q41_p</t>
  </si>
  <si>
    <t>asr_q42_p</t>
  </si>
  <si>
    <t>asr_q43_p</t>
  </si>
  <si>
    <t>asr_q44_p</t>
  </si>
  <si>
    <t>asr_q45_p</t>
  </si>
  <si>
    <t>asr_q46_p</t>
  </si>
  <si>
    <t>asr_q47_p</t>
  </si>
  <si>
    <t>asr_q48_p</t>
  </si>
  <si>
    <t>asr_q49_p</t>
  </si>
  <si>
    <t>asr_q50_p</t>
  </si>
  <si>
    <t>asr_q51_p</t>
  </si>
  <si>
    <t>asr_q52_p</t>
  </si>
  <si>
    <t>asr_q53_p</t>
  </si>
  <si>
    <t>asr_q54_p</t>
  </si>
  <si>
    <t>asr_q55_p</t>
  </si>
  <si>
    <t>asr_q56a_p</t>
  </si>
  <si>
    <t>asr_q56b_p</t>
  </si>
  <si>
    <t>asr_q56c_p</t>
  </si>
  <si>
    <t>asr_q56d_p</t>
  </si>
  <si>
    <t>asr_q56e_p</t>
  </si>
  <si>
    <t>asr_q56f_p</t>
  </si>
  <si>
    <t>asr_q56g_p</t>
  </si>
  <si>
    <t>asr_q56h_p</t>
  </si>
  <si>
    <t>asr_q56i_p</t>
  </si>
  <si>
    <t>asr_q58_p</t>
  </si>
  <si>
    <t>asr_q59_p</t>
  </si>
  <si>
    <t>asr_q60_p</t>
  </si>
  <si>
    <t>asr_q61_p</t>
  </si>
  <si>
    <t>asr_q62_p</t>
  </si>
  <si>
    <t>asr_q63_p</t>
  </si>
  <si>
    <t>asr_q64_p</t>
  </si>
  <si>
    <t>asr_q65_p</t>
  </si>
  <si>
    <t>asr_q66_p</t>
  </si>
  <si>
    <t>asr_q67_p</t>
  </si>
  <si>
    <t>asr_q68_p</t>
  </si>
  <si>
    <t>asr_q69_p</t>
  </si>
  <si>
    <t>asr_q71_p</t>
  </si>
  <si>
    <t>asr_q72_p</t>
  </si>
  <si>
    <t>asr_q73_p</t>
  </si>
  <si>
    <t>asr_q74_p</t>
  </si>
  <si>
    <t>asr_q75_p</t>
  </si>
  <si>
    <t>asr_q76_p</t>
  </si>
  <si>
    <t>asr_q77_p</t>
  </si>
  <si>
    <t>asr_q78_p</t>
  </si>
  <si>
    <t>asr_q80_p</t>
  </si>
  <si>
    <t>asr_q81_p</t>
  </si>
  <si>
    <t>asr_q83_p</t>
  </si>
  <si>
    <t>asr_q84_p</t>
  </si>
  <si>
    <t>asr_q85_p</t>
  </si>
  <si>
    <t>asr_q86_p</t>
  </si>
  <si>
    <t>asr_q87_p</t>
  </si>
  <si>
    <t>asr_q88_p</t>
  </si>
  <si>
    <t>asr_q89_p</t>
  </si>
  <si>
    <t>asr_q90_p</t>
  </si>
  <si>
    <t>asr_q91_p</t>
  </si>
  <si>
    <t>asr_q93_p</t>
  </si>
  <si>
    <t>asr_q94_p</t>
  </si>
  <si>
    <t>asr_q95_p</t>
  </si>
  <si>
    <t>asr_q96_p</t>
  </si>
  <si>
    <t>asr_q98_p</t>
  </si>
  <si>
    <t>asr_q99_p</t>
  </si>
  <si>
    <t>asr_q100_p</t>
  </si>
  <si>
    <t>asr_q101_p</t>
  </si>
  <si>
    <t>asr_q102_p</t>
  </si>
  <si>
    <t>asr_q103_p</t>
  </si>
  <si>
    <t>asr_q104_p</t>
  </si>
  <si>
    <t>asr_q105_p</t>
  </si>
  <si>
    <t>asr_q106_p</t>
  </si>
  <si>
    <t>asr_q107_p</t>
  </si>
  <si>
    <t>asr_q108_p</t>
  </si>
  <si>
    <t>asr_q109_p</t>
  </si>
  <si>
    <t>asr_q111_p</t>
  </si>
  <si>
    <t>asr_q112_p</t>
  </si>
  <si>
    <t>asr_q113_p</t>
  </si>
  <si>
    <t>asr_q114_p</t>
  </si>
  <si>
    <t>asr_q115_p</t>
  </si>
  <si>
    <t>asr_q116_p</t>
  </si>
  <si>
    <t>asr_q117_p</t>
  </si>
  <si>
    <t>asr_q118_p</t>
  </si>
  <si>
    <t>asr_q119_p</t>
  </si>
  <si>
    <t>asr_q120_p</t>
  </si>
  <si>
    <t>asr_q121_p</t>
  </si>
  <si>
    <t>asr_q122_p</t>
  </si>
  <si>
    <t>asr_q123_p</t>
  </si>
  <si>
    <t>asr_q124_p</t>
  </si>
  <si>
    <t>asr_q125_p</t>
  </si>
  <si>
    <t>asr_q126_p</t>
  </si>
  <si>
    <t>asr_scr_perstr_r</t>
  </si>
  <si>
    <t>asr_scr_anxdep_r</t>
  </si>
  <si>
    <t>asr_scr_withdrawn_r</t>
  </si>
  <si>
    <t>asr_scr_somatic_r</t>
  </si>
  <si>
    <t>asr_scr_thought_r</t>
  </si>
  <si>
    <t>asr_scr_attention_r</t>
  </si>
  <si>
    <t>asr_scr_aggressive_r</t>
  </si>
  <si>
    <t>asr_scr_rulebreak_r</t>
  </si>
  <si>
    <t>asr_scr_intrusive_r</t>
  </si>
  <si>
    <t>asr_scr_internal_r</t>
  </si>
  <si>
    <t>asr_scr_external_r</t>
  </si>
  <si>
    <t>asr_scr_totprob_r</t>
  </si>
  <si>
    <t>asr_scr_depress_r</t>
  </si>
  <si>
    <t>asr_scr_anxdisord_r</t>
  </si>
  <si>
    <t>asr_scr_somaticpr_r</t>
  </si>
  <si>
    <t>asr_scr_avoidant_r</t>
  </si>
  <si>
    <t>asr_scr_adhd_r</t>
  </si>
  <si>
    <t>asr_scr_antisocial_r</t>
  </si>
  <si>
    <t>asr_scr_inattention_r</t>
  </si>
  <si>
    <t>asr_scr_hyperactive_r</t>
  </si>
  <si>
    <t>bpmt_q1</t>
  </si>
  <si>
    <t>bpmt_q2</t>
  </si>
  <si>
    <t>bpmt_q3</t>
  </si>
  <si>
    <t>bpmt_q4</t>
  </si>
  <si>
    <t>bpmt_q5</t>
  </si>
  <si>
    <t>bpmt_q7</t>
  </si>
  <si>
    <t>bpmt_q8</t>
  </si>
  <si>
    <t>bpmt_q9</t>
  </si>
  <si>
    <t>bpmt_q10</t>
  </si>
  <si>
    <t>bpmt_q11</t>
  </si>
  <si>
    <t>bpmt_q12</t>
  </si>
  <si>
    <t>bpmt_q13</t>
  </si>
  <si>
    <t>bpmt_q14</t>
  </si>
  <si>
    <t>bpmt_q15</t>
  </si>
  <si>
    <t>bpmt_q16</t>
  </si>
  <si>
    <t>bpmt_q17</t>
  </si>
  <si>
    <t>bpmt_q18</t>
  </si>
  <si>
    <t>demo_years_us_v2</t>
  </si>
  <si>
    <t>demo_roster_v2</t>
  </si>
  <si>
    <t>sds_p_ss_dims</t>
  </si>
  <si>
    <t>sds_p_ss_sbd</t>
  </si>
  <si>
    <t>sds_p_ss_da</t>
  </si>
  <si>
    <t>sds_p_ss_swtd</t>
  </si>
  <si>
    <t>sds_p_ss_does</t>
  </si>
  <si>
    <t>sds_p_ss_shy</t>
  </si>
  <si>
    <t>sds_p_ss_total</t>
  </si>
  <si>
    <t>sleepdisturb1_p</t>
  </si>
  <si>
    <t>sleepdisturb2_p</t>
  </si>
  <si>
    <t>sleepdisturb3_p</t>
  </si>
  <si>
    <t>sleepdisturb4_p</t>
  </si>
  <si>
    <t>sleepdisturb5_p</t>
  </si>
  <si>
    <t>sleepdisturb6_p</t>
  </si>
  <si>
    <t>sleepdisturb8_p</t>
  </si>
  <si>
    <t>sleepdisturb9_p</t>
  </si>
  <si>
    <t>sleepdisturb10_p</t>
  </si>
  <si>
    <t>sleepdisturb11_p</t>
  </si>
  <si>
    <t>sleepdisturb12_p</t>
  </si>
  <si>
    <t>sleepdisturb13_p</t>
  </si>
  <si>
    <t>sleepdisturb15_p</t>
  </si>
  <si>
    <t>sleepdisturb16_p</t>
  </si>
  <si>
    <t>sleepdisturb17_p</t>
  </si>
  <si>
    <t>sleepdisturb18_p</t>
  </si>
  <si>
    <t>sleepdisturb19_p</t>
  </si>
  <si>
    <t>sleepdisturb20_p</t>
  </si>
  <si>
    <t>sleepdisturb21_p</t>
  </si>
  <si>
    <t>sleepdisturb22_p</t>
  </si>
  <si>
    <t>sleepdisturb23_p</t>
  </si>
  <si>
    <t>sleepdisturb24_p</t>
  </si>
  <si>
    <t>sleepdisturb25_p</t>
  </si>
  <si>
    <t>devhx_3_p</t>
  </si>
  <si>
    <t>devhx_4_p</t>
  </si>
  <si>
    <t>devhx_7_p</t>
  </si>
  <si>
    <t>devhx_caffeine_amt_TOTALPERMONTH</t>
  </si>
  <si>
    <t>devhx_11_p</t>
  </si>
  <si>
    <t>devhx_15</t>
  </si>
  <si>
    <t>devhx_16_p</t>
  </si>
  <si>
    <t>devhx_17_p</t>
  </si>
  <si>
    <t>devhx_18_p</t>
  </si>
  <si>
    <t>devhx_19a_p</t>
  </si>
  <si>
    <t>devhx_19b_p</t>
  </si>
  <si>
    <t>devhx_19c_p</t>
  </si>
  <si>
    <t>devhx_19d_p</t>
  </si>
  <si>
    <t>devhx_20_p</t>
  </si>
  <si>
    <t>devhx_21_p</t>
  </si>
  <si>
    <t>devhx_23b_p</t>
  </si>
  <si>
    <t>devhx_ss_8_cigs_per_day_p</t>
  </si>
  <si>
    <t>devhx_ss_8_alcohol_max_p</t>
  </si>
  <si>
    <t>devhx_ss_8_alcohol_avg_p</t>
  </si>
  <si>
    <t>devhx_ss_8_alcohol_effects_p</t>
  </si>
  <si>
    <t>devhx_ss_8_marijuana_amt_p</t>
  </si>
  <si>
    <t>devhx_ss_9_cigs_per_day_p</t>
  </si>
  <si>
    <t>devhx_ss_9_alcohol_max_p</t>
  </si>
  <si>
    <t>devhx_ss_9_alcohol_effects_p</t>
  </si>
  <si>
    <t>devhx_ss_12_p</t>
  </si>
  <si>
    <t>tbi_3d</t>
  </si>
  <si>
    <t>tbi_ss_worst_overall</t>
  </si>
  <si>
    <t>medhx_4b</t>
  </si>
  <si>
    <t>medhx_5b</t>
  </si>
  <si>
    <t>medhx_6a_notes</t>
  </si>
  <si>
    <t>medhx_6b_notes</t>
  </si>
  <si>
    <t>medhx_6c_times</t>
  </si>
  <si>
    <t>medhx_6d_notes</t>
  </si>
  <si>
    <t>medhx_6e_times</t>
  </si>
  <si>
    <t>medhx_6f_notes</t>
  </si>
  <si>
    <t>medhx_6h_times</t>
  </si>
  <si>
    <t>medhx_6i_times</t>
  </si>
  <si>
    <t>medhx_6l_notes</t>
  </si>
  <si>
    <t>medhx_6t_times</t>
  </si>
  <si>
    <t>medhx_9b</t>
  </si>
  <si>
    <t>medhx_9c</t>
  </si>
  <si>
    <t>birth_weight_oz_comb</t>
  </si>
  <si>
    <t>reshist_state_immigrant_factor</t>
  </si>
  <si>
    <t>pds_f4_p</t>
  </si>
  <si>
    <t>pds_f4_2_y</t>
  </si>
  <si>
    <t>pds_m4_y</t>
  </si>
  <si>
    <t>pds_m5_y</t>
  </si>
  <si>
    <t>pds_p_ss_female_category_2</t>
  </si>
  <si>
    <t>pds_p_ss_male_category_2</t>
  </si>
  <si>
    <t>pds_y_ss_female_category_2</t>
  </si>
  <si>
    <t>pds_y_ss_male_cat_2</t>
  </si>
  <si>
    <t>medhx_6m_times</t>
  </si>
  <si>
    <t>medhx_6n_notes</t>
  </si>
  <si>
    <t>medhx_6p_notes</t>
  </si>
  <si>
    <t>parent_rules_q1</t>
  </si>
  <si>
    <t>parent_rules_q2</t>
  </si>
  <si>
    <t>parent_rules_q4</t>
  </si>
  <si>
    <t>parent_rules_q7</t>
  </si>
  <si>
    <t>fam_enviro1_p</t>
  </si>
  <si>
    <t>fam_enviro2r_p</t>
  </si>
  <si>
    <t>fam_enviro3_p</t>
  </si>
  <si>
    <t>fam_enviro4r_p</t>
  </si>
  <si>
    <t>fam_enviro5_p</t>
  </si>
  <si>
    <t>fam_enviro6_p</t>
  </si>
  <si>
    <t>fam_enviro7r_p</t>
  </si>
  <si>
    <t>fam_enviro8_p</t>
  </si>
  <si>
    <t>fam_enviro9r_p</t>
  </si>
  <si>
    <t>fes_youth_q1</t>
  </si>
  <si>
    <t>fes_youth_q2</t>
  </si>
  <si>
    <t>fes_youth_q3</t>
  </si>
  <si>
    <t>fes_youth_q4</t>
  </si>
  <si>
    <t>fes_youth_q5</t>
  </si>
  <si>
    <t>fes_youth_q6</t>
  </si>
  <si>
    <t>fes_youth_q7</t>
  </si>
  <si>
    <t>fes_youth_q8</t>
  </si>
  <si>
    <t>fes_youth_q9</t>
  </si>
  <si>
    <t>ksads_ptsd_raw_754_p</t>
  </si>
  <si>
    <t>ksads_ptsd_raw_755_p</t>
  </si>
  <si>
    <t>ksads_ptsd_raw_756_p</t>
  </si>
  <si>
    <t>ksads_ptsd_raw_757_p</t>
  </si>
  <si>
    <t>ksads_ptsd_raw_766_p</t>
  </si>
  <si>
    <t>ksads_ptsd_raw_770_p</t>
  </si>
  <si>
    <t>prodromal_1_y</t>
  </si>
  <si>
    <t>prodromal_2_y</t>
  </si>
  <si>
    <t>pps_2_bother_yn</t>
  </si>
  <si>
    <t>prodromal_3_y</t>
  </si>
  <si>
    <t>prodromal_4_y</t>
  </si>
  <si>
    <t>prodromal_6_y</t>
  </si>
  <si>
    <t>pps_6_bother_yn</t>
  </si>
  <si>
    <t>prodromal_7_y</t>
  </si>
  <si>
    <t>prodromal_8_y</t>
  </si>
  <si>
    <t>pps_8_bother_yn</t>
  </si>
  <si>
    <t>prodromal_9_y</t>
  </si>
  <si>
    <t>pps_9_bother_yn</t>
  </si>
  <si>
    <t>prodromal_10_y</t>
  </si>
  <si>
    <t>pps_10_bother_yn</t>
  </si>
  <si>
    <t>prodromal_11_y</t>
  </si>
  <si>
    <t>pps_11_bother_yn</t>
  </si>
  <si>
    <t>prodromal_12_y</t>
  </si>
  <si>
    <t>pps_12_bother_yn</t>
  </si>
  <si>
    <t>prodromal_13_y</t>
  </si>
  <si>
    <t>prodromal_14_y</t>
  </si>
  <si>
    <t>prodromal_15_y</t>
  </si>
  <si>
    <t>prodromal_17_y</t>
  </si>
  <si>
    <t>prodromal_18_y</t>
  </si>
  <si>
    <t>pps_18_bother_yn</t>
  </si>
  <si>
    <t>prodromal_19_y</t>
  </si>
  <si>
    <t>prodromal_20_y</t>
  </si>
  <si>
    <t>prodromal_21_y</t>
  </si>
  <si>
    <t>kbi_y_grade_repeat</t>
  </si>
  <si>
    <t>kbi_y_drop_in_grades</t>
  </si>
  <si>
    <t>kbi_y_det_susp</t>
  </si>
  <si>
    <t>kbi_y_det_reason___8</t>
  </si>
  <si>
    <t>demo_prtnr_working</t>
  </si>
  <si>
    <t>demo_prnt_working</t>
  </si>
  <si>
    <t>medhx_1b</t>
  </si>
  <si>
    <t>child_SSRI_use</t>
  </si>
  <si>
    <t>FDR Pval</t>
  </si>
  <si>
    <t>Bonferroni Pval</t>
  </si>
  <si>
    <t>Psychotic PRS</t>
  </si>
  <si>
    <t>Neurodevelopmental PRS</t>
  </si>
  <si>
    <t>Internalizing PRS</t>
  </si>
  <si>
    <t>ascq_section_q01</t>
  </si>
  <si>
    <t>ascq_section_q02</t>
  </si>
  <si>
    <t>ascq_section_q03</t>
  </si>
  <si>
    <t>ascq_section_q04</t>
  </si>
  <si>
    <t>ascq_section_q05</t>
  </si>
  <si>
    <t>ascq_section_q06</t>
  </si>
  <si>
    <t>meeq_section_q01</t>
  </si>
  <si>
    <t>meeq_section_q02</t>
  </si>
  <si>
    <t>meeq_section_q03</t>
  </si>
  <si>
    <t>meeq_section_q04</t>
  </si>
  <si>
    <t>meeq_section_q05</t>
  </si>
  <si>
    <t>meeq_section_q06</t>
  </si>
  <si>
    <t>ptu_a_y</t>
  </si>
  <si>
    <t>ptu_b_y</t>
  </si>
  <si>
    <t>ptu_c_y</t>
  </si>
  <si>
    <t>ptu_d_y</t>
  </si>
  <si>
    <t>ptu_e_y</t>
  </si>
  <si>
    <t>ptu_f_y</t>
  </si>
  <si>
    <t>ptu_g_y</t>
  </si>
  <si>
    <t>ptu_h_y</t>
  </si>
  <si>
    <t>ptu_i_y</t>
  </si>
  <si>
    <t>ptu_j_y</t>
  </si>
  <si>
    <t>ptu_k_y</t>
  </si>
  <si>
    <t>ptu_l_y</t>
  </si>
  <si>
    <t>ptu_m_y</t>
  </si>
  <si>
    <t>ptu_n_y</t>
  </si>
  <si>
    <t>ptu_o_y</t>
  </si>
  <si>
    <t>ptu_p_y</t>
  </si>
  <si>
    <t>peer_deviance_2_l</t>
  </si>
  <si>
    <t>peer_deviance_9_l</t>
  </si>
  <si>
    <t>path_alc_youth1_l</t>
  </si>
  <si>
    <t>path_alc_youth2_l</t>
  </si>
  <si>
    <t>path_alc_youth3_l</t>
  </si>
  <si>
    <t>path_alc_youth4_l</t>
  </si>
  <si>
    <t>path_alc_youth5_l</t>
  </si>
  <si>
    <t>path_alc_youth6_l</t>
  </si>
  <si>
    <t>path_alc_youth7_l</t>
  </si>
  <si>
    <t>path_alc_youth8_l</t>
  </si>
  <si>
    <t>path_alc_youth9_l</t>
  </si>
  <si>
    <t>phs_1_y</t>
  </si>
  <si>
    <t>phs_2_y</t>
  </si>
  <si>
    <t>phs_3_y</t>
  </si>
  <si>
    <t>phs_4_y</t>
  </si>
  <si>
    <t>phs_5_y</t>
  </si>
  <si>
    <t>phs_6_y</t>
  </si>
  <si>
    <t>phs_7_y</t>
  </si>
  <si>
    <t>phs_8_y</t>
  </si>
  <si>
    <t>phs_9_y</t>
  </si>
  <si>
    <t>phs_10_y</t>
  </si>
  <si>
    <t>phs_11_y</t>
  </si>
  <si>
    <t>phs_12_y</t>
  </si>
  <si>
    <t>phs_13_y</t>
  </si>
  <si>
    <t>phs_14_y</t>
  </si>
  <si>
    <t>phs_15_y</t>
  </si>
  <si>
    <t>phs_16_y</t>
  </si>
  <si>
    <t>su_caff_ss_sum_calc_l</t>
  </si>
  <si>
    <t>su_isip_1_calc_l</t>
  </si>
  <si>
    <t>su_isip_1b_calc_l</t>
  </si>
  <si>
    <t>isip_1d_l</t>
  </si>
  <si>
    <t>su_caff_intake_1_calc_l</t>
  </si>
  <si>
    <t>su_caff_intake_3_calc_l</t>
  </si>
  <si>
    <t>su_caff_intake_4_calc_l</t>
  </si>
  <si>
    <t>su_caff_intake_6_calc_l</t>
  </si>
  <si>
    <t>su_caff_intake_9_calc_l</t>
  </si>
  <si>
    <t>su_caff_max_calc_l</t>
  </si>
  <si>
    <t>aeq_section_q01</t>
  </si>
  <si>
    <t>aeq_section_q02</t>
  </si>
  <si>
    <t>aeq_section_q03</t>
  </si>
  <si>
    <t>aeq_section_q04</t>
  </si>
  <si>
    <t>aeq_section_q05</t>
  </si>
  <si>
    <t>aeq_section_q06</t>
  </si>
  <si>
    <t>aeq_section_q07</t>
  </si>
  <si>
    <t>su_crpf_avail_1</t>
  </si>
  <si>
    <t>su_crpf_avail_2</t>
  </si>
  <si>
    <t>su_crpf_avail_3</t>
  </si>
  <si>
    <t>su_crpf_avail_4</t>
  </si>
  <si>
    <t>su_crpf_avail_7</t>
  </si>
  <si>
    <t>su_crpf_avail_8</t>
  </si>
  <si>
    <t>su_crpf_avail_5</t>
  </si>
  <si>
    <t>su_crpf_avail_10</t>
  </si>
  <si>
    <t>su_crpf_avail_11</t>
  </si>
  <si>
    <t>su_crpf_avail_12</t>
  </si>
  <si>
    <t>su_crpf_avail_13</t>
  </si>
  <si>
    <t>meeq_negative_expectancies_ss</t>
  </si>
  <si>
    <t>aeq_positive_expectancies_ss</t>
  </si>
  <si>
    <t>aeq_negative_expectancies_ss</t>
  </si>
  <si>
    <t>meeq_positive_expectancies_ss</t>
  </si>
  <si>
    <t>pnh_ss_protective_scale</t>
  </si>
  <si>
    <t>pnh_how_much_help</t>
  </si>
  <si>
    <t>pnh_how_much_encourage</t>
  </si>
  <si>
    <t>pbp_ss_prosocial_peers</t>
  </si>
  <si>
    <t>pbp_ss_rule_break</t>
  </si>
  <si>
    <t>pbp_athletes</t>
  </si>
  <si>
    <t>pbp_skip_school</t>
  </si>
  <si>
    <t>pbp_church</t>
  </si>
  <si>
    <t>pbp_suspended</t>
  </si>
  <si>
    <t>pbp_good_student</t>
  </si>
  <si>
    <t>pbp_shoplifted</t>
  </si>
  <si>
    <t>sag_days_skip_school</t>
  </si>
  <si>
    <t>sag_grades_last_yr</t>
  </si>
  <si>
    <t>dim_y_ss_mean</t>
  </si>
  <si>
    <t>dim_matrix_q1</t>
  </si>
  <si>
    <t>dim_matrix_q2</t>
  </si>
  <si>
    <t>dim_matrix_q3</t>
  </si>
  <si>
    <t>dim_matrix_q4</t>
  </si>
  <si>
    <t>dim_matrix_q5</t>
  </si>
  <si>
    <t>dim_matrix_q6</t>
  </si>
  <si>
    <t>dim_matrix_q7</t>
  </si>
  <si>
    <t>comc_ss_cohesion_p</t>
  </si>
  <si>
    <t>comc_ss_control_p</t>
  </si>
  <si>
    <t>comc_ss_collective_capacity_p</t>
  </si>
  <si>
    <t>comc_phenx_close_knit_p</t>
  </si>
  <si>
    <t>comc_phenx_help_p</t>
  </si>
  <si>
    <t>comc_phenx_get_along_p</t>
  </si>
  <si>
    <t>comc_phenx_share_values_p</t>
  </si>
  <si>
    <t>comc_phenx_trusted_p</t>
  </si>
  <si>
    <t>comc_phenx_skip_p</t>
  </si>
  <si>
    <t>comc_phenx_graffiti_p</t>
  </si>
  <si>
    <t>comc_phenx_disrespect_p</t>
  </si>
  <si>
    <t>comc_phenx_fight_p</t>
  </si>
  <si>
    <t>comc_phenx_budget_p</t>
  </si>
  <si>
    <t>sag_miss_school_excuse_p</t>
  </si>
  <si>
    <t>sag_miss_school_unexcuse_p</t>
  </si>
  <si>
    <t>sag_excused_absence_p</t>
  </si>
  <si>
    <t>sag_unexcuse_absence_p</t>
  </si>
  <si>
    <t>sag_grade_type</t>
  </si>
  <si>
    <t>fes_p_ss_cohesion_sum_pr</t>
  </si>
  <si>
    <t>fes_p_ss_exp_sum_pr</t>
  </si>
  <si>
    <t>fes_p_ss_int_cult_sum_pr</t>
  </si>
  <si>
    <t>fes_p_ss_act_rec_sum_pr</t>
  </si>
  <si>
    <t>fes_p_ss_org_sum_pr</t>
  </si>
  <si>
    <t>sai_ss_lmusic_hours_2_p_l</t>
  </si>
  <si>
    <t>sai_ss_read_hours_2_p_l</t>
  </si>
  <si>
    <t>medhx_9c_l</t>
  </si>
  <si>
    <t>medhx_ss_6a_times_p_l</t>
  </si>
  <si>
    <t>medhx_ss_6b_times_p_l</t>
  </si>
  <si>
    <t>medhx_ss_6c_times_p_l</t>
  </si>
  <si>
    <t>medhx_ss_6f_times_p_l</t>
  </si>
  <si>
    <t>medhx_ss_6h_times_p_l</t>
  </si>
  <si>
    <t>medhx_ss_6t_times_p_l</t>
  </si>
  <si>
    <t>blood_pressure_pulse_avg</t>
  </si>
  <si>
    <t>mctq_sd_num_wake_up</t>
  </si>
  <si>
    <t>mctq_sd_awakening_min</t>
  </si>
  <si>
    <t>mctq_sd_min_to_get_up</t>
  </si>
  <si>
    <t>mctq_fd_num_wake_up</t>
  </si>
  <si>
    <t>mctq_fd_awakening_min</t>
  </si>
  <si>
    <t>mctq_fd_min_to_get_up</t>
  </si>
  <si>
    <t>pain_scale_worst</t>
  </si>
  <si>
    <t>pain_how_long</t>
  </si>
  <si>
    <t>pain_limit</t>
  </si>
  <si>
    <t>physical_activity1_y</t>
  </si>
  <si>
    <t>physical_activity2_y</t>
  </si>
  <si>
    <t>physical_activity5_y</t>
  </si>
  <si>
    <t>caff_ago</t>
  </si>
  <si>
    <t>tbi_3d_l</t>
  </si>
  <si>
    <t>bkfs_dt_kcal</t>
  </si>
  <si>
    <t>bkfs_dt_prot</t>
  </si>
  <si>
    <t>bkfs_dt_tfat</t>
  </si>
  <si>
    <t>bkfs_dt_carb</t>
  </si>
  <si>
    <t>bkfs_dt_fibe</t>
  </si>
  <si>
    <t>bkfs_dt_sug_t</t>
  </si>
  <si>
    <t>bpm_y_scr_attention_r</t>
  </si>
  <si>
    <t>bpm_y_scr_internal_r</t>
  </si>
  <si>
    <t>bpm_y_scr_external_r</t>
  </si>
  <si>
    <t>bpm_y_scr_totalprob_r</t>
  </si>
  <si>
    <t>bpm_1_y</t>
  </si>
  <si>
    <t>bpm_2_y</t>
  </si>
  <si>
    <t>bpm_3_y</t>
  </si>
  <si>
    <t>bpm_4_y</t>
  </si>
  <si>
    <t>bpm_5_y</t>
  </si>
  <si>
    <t>bpm_6_y</t>
  </si>
  <si>
    <t>bpm_7_y</t>
  </si>
  <si>
    <t>bpm_8_y</t>
  </si>
  <si>
    <t>bpm_9_y</t>
  </si>
  <si>
    <t>bpm_10_y</t>
  </si>
  <si>
    <t>bpm_11_y</t>
  </si>
  <si>
    <t>bpm_12_y</t>
  </si>
  <si>
    <t>bpm_13_y</t>
  </si>
  <si>
    <t>bpm_14_y</t>
  </si>
  <si>
    <t>bpm_15_y</t>
  </si>
  <si>
    <t>bpm_16_y</t>
  </si>
  <si>
    <t>bpm_17_y</t>
  </si>
  <si>
    <t>bpm_18_y</t>
  </si>
  <si>
    <t>bpm_19_y</t>
  </si>
  <si>
    <t>kbi_y_sex_orient_probs</t>
  </si>
  <si>
    <t>ple_y_ss_total_number</t>
  </si>
  <si>
    <t>ple_y_ss_total_good</t>
  </si>
  <si>
    <t>ple_y_ss_total_bad</t>
  </si>
  <si>
    <t>ple_y_ss_affect_sum</t>
  </si>
  <si>
    <t>ple_y_ss_affected_good_sum</t>
  </si>
  <si>
    <t>ple_y_ss_affected_bad_sum</t>
  </si>
  <si>
    <t>ple_died_fu2_y</t>
  </si>
  <si>
    <t>ple_injured_fu2_y</t>
  </si>
  <si>
    <t>ple_crime_fu2_y</t>
  </si>
  <si>
    <t>ple_friend_fu2_y</t>
  </si>
  <si>
    <t>ple_friend_injur_fu2_y</t>
  </si>
  <si>
    <t>ple_financial_fu2_y</t>
  </si>
  <si>
    <t>ple_sud_fu2_y</t>
  </si>
  <si>
    <t>ple_ill_fu2_y</t>
  </si>
  <si>
    <t>ple_injur_fu2_y</t>
  </si>
  <si>
    <t>ple_argue_fu2_y</t>
  </si>
  <si>
    <t>ple_job_fu2_y</t>
  </si>
  <si>
    <t>ple_away_fu_y</t>
  </si>
  <si>
    <t>ple_away_fu2_y</t>
  </si>
  <si>
    <t>ple_arrest_fu2_y</t>
  </si>
  <si>
    <t>ple_friend_died_fu2_y</t>
  </si>
  <si>
    <t>ple_mh_fu2_y</t>
  </si>
  <si>
    <t>ple_sib_fu_y</t>
  </si>
  <si>
    <t>ple_sib_fu2_y</t>
  </si>
  <si>
    <t>ple_separ_fu2_y</t>
  </si>
  <si>
    <t>ple_school_fu_y</t>
  </si>
  <si>
    <t>ple_school_fu2_y</t>
  </si>
  <si>
    <t>ple_move_fu_y</t>
  </si>
  <si>
    <t>ple_move_fu2_y</t>
  </si>
  <si>
    <t>ple_step_fu2_y</t>
  </si>
  <si>
    <t>ple_new_job_fu2_y</t>
  </si>
  <si>
    <t>ple_new_sib_fu2_y</t>
  </si>
  <si>
    <t>peq_ss_overt_aggression</t>
  </si>
  <si>
    <t>peq_ss_overt_victim</t>
  </si>
  <si>
    <t>peq_ss_relational_victim</t>
  </si>
  <si>
    <t>peq_ss_reputation_victim</t>
  </si>
  <si>
    <t>peq_left_out_perp</t>
  </si>
  <si>
    <t>peq_left_out_vic</t>
  </si>
  <si>
    <t>peq_chase_perp</t>
  </si>
  <si>
    <t>peq_chase_vic</t>
  </si>
  <si>
    <t>peq_rumor_perp</t>
  </si>
  <si>
    <t>peq_rumor_vic</t>
  </si>
  <si>
    <t>peq_invite_perp</t>
  </si>
  <si>
    <t>peq_invite_vic</t>
  </si>
  <si>
    <t>peq_exclude_perp</t>
  </si>
  <si>
    <t>peq_exclude_vic</t>
  </si>
  <si>
    <t>peq_gossip_perp</t>
  </si>
  <si>
    <t>peq_gossip_vic</t>
  </si>
  <si>
    <t>peq_threat_perp</t>
  </si>
  <si>
    <t>peq_threat_vic</t>
  </si>
  <si>
    <t>peq_loser_perp</t>
  </si>
  <si>
    <t>peq_loser_vic</t>
  </si>
  <si>
    <t>peq_hit_perp</t>
  </si>
  <si>
    <t>peq_hit_vic</t>
  </si>
  <si>
    <t>cybb_phenx_harm_often</t>
  </si>
  <si>
    <t>screentime_phone1</t>
  </si>
  <si>
    <t>screentime_phone2</t>
  </si>
  <si>
    <t>screentime_phone3</t>
  </si>
  <si>
    <t>screentime_phone4</t>
  </si>
  <si>
    <t>screentime_phone5</t>
  </si>
  <si>
    <t>screentime_phone6</t>
  </si>
  <si>
    <t>screentime_phone7</t>
  </si>
  <si>
    <t>screentime_phone8</t>
  </si>
  <si>
    <t>screentime_phone_scale</t>
  </si>
  <si>
    <t>screentime_smq_facebook</t>
  </si>
  <si>
    <t>screentime_smq_instagram</t>
  </si>
  <si>
    <t>screentime_smq_snapchat</t>
  </si>
  <si>
    <t>screentime_smq_twitter</t>
  </si>
  <si>
    <t>screentime_smq_youtube</t>
  </si>
  <si>
    <t>screentime_smq_pinterest</t>
  </si>
  <si>
    <t>screentime_smq_reddit</t>
  </si>
  <si>
    <t>screentime_smq_musical_ly</t>
  </si>
  <si>
    <t>screentime_smq_other</t>
  </si>
  <si>
    <t>screentime_smq_followers</t>
  </si>
  <si>
    <t>screentime_smq_following</t>
  </si>
  <si>
    <t>screentime_smqa1</t>
  </si>
  <si>
    <t>screentime_smqa2</t>
  </si>
  <si>
    <t>screentime_smqa3</t>
  </si>
  <si>
    <t>screentime_smqa4</t>
  </si>
  <si>
    <t>screentime_smqa5</t>
  </si>
  <si>
    <t>screentime_smqa6</t>
  </si>
  <si>
    <t>screentime_vgaq1</t>
  </si>
  <si>
    <t>screentime_vgaq2</t>
  </si>
  <si>
    <t>screentime_vgaq3</t>
  </si>
  <si>
    <t>screentime_vgaq4</t>
  </si>
  <si>
    <t>screentime_vgaq5</t>
  </si>
  <si>
    <t>screentime_vgaq6</t>
  </si>
  <si>
    <t>screentime_sq3</t>
  </si>
  <si>
    <t>screentime_sq4</t>
  </si>
  <si>
    <t>screentime_sq5</t>
  </si>
  <si>
    <t>screentime_sq6</t>
  </si>
  <si>
    <t>screentime_sq7</t>
  </si>
  <si>
    <t>screentime_sq8</t>
  </si>
  <si>
    <t>screentime_sq9</t>
  </si>
  <si>
    <t>screentime_sq10</t>
  </si>
  <si>
    <t>screentime_sq11</t>
  </si>
  <si>
    <t>screentime_sq12</t>
  </si>
  <si>
    <t>screentime_sq13</t>
  </si>
  <si>
    <t>demo_ed_v2_l</t>
  </si>
  <si>
    <t>demo_prnt_age_v2_l</t>
  </si>
  <si>
    <t>demo_prnt_ed_v2_2yr_l</t>
  </si>
  <si>
    <t>demo_prnt_income_v2_l</t>
  </si>
  <si>
    <t>demo_prtnr_ed_v2_2yr_l</t>
  </si>
  <si>
    <t>demo_prtnr_income_v2_l</t>
  </si>
  <si>
    <t>demo_comb_income_v2_l</t>
  </si>
  <si>
    <t>demo_yrs_1_l</t>
  </si>
  <si>
    <t>demo_yrs_2_l</t>
  </si>
  <si>
    <t>kbi_p_conflict_l</t>
  </si>
  <si>
    <t>kbi_p_how_well_c_school_l</t>
  </si>
  <si>
    <t>kbi_p_grades_in_school_l</t>
  </si>
  <si>
    <t>kbi_p_c_best_friend_len_l</t>
  </si>
  <si>
    <t>kbi_p_c_reg_friend_group_len_l</t>
  </si>
  <si>
    <t>kbi_p_c_gay_l</t>
  </si>
  <si>
    <t>kbi_p_c_gay_problems_l</t>
  </si>
  <si>
    <t>kbi_p_c_trans_l</t>
  </si>
  <si>
    <t>kbi_p_c_age_services_l</t>
  </si>
  <si>
    <t>eatq_p_ss_fear</t>
  </si>
  <si>
    <t>eatq_p_ss_frustration</t>
  </si>
  <si>
    <t>eatq_p_ss_inhibitory</t>
  </si>
  <si>
    <t>eatq_p_ss_shyness</t>
  </si>
  <si>
    <t>eatq_p_ss_surgency</t>
  </si>
  <si>
    <t>eatq_p_ss_effort_cont_sup_scale</t>
  </si>
  <si>
    <t>eatq_p_ss_surgency_sup_scale</t>
  </si>
  <si>
    <t>eatq_p_ss_neg_affect_sup_scale</t>
  </si>
  <si>
    <t>eatq_p_ss_activation</t>
  </si>
  <si>
    <t>eatq_p_ss_affiliation</t>
  </si>
  <si>
    <t>eatq_p_ss_aggression</t>
  </si>
  <si>
    <t>eatq_p_ss_attention</t>
  </si>
  <si>
    <t>eatq_p_ss_depressive_mood</t>
  </si>
  <si>
    <t>abcl_scr_sub_use_tobacco_r</t>
  </si>
  <si>
    <t>abcl_scr_sub_use_alcohol_r</t>
  </si>
  <si>
    <t>abcl_scr_sub_use_drugs_r</t>
  </si>
  <si>
    <t>abcl_scr_adapt_friends_r</t>
  </si>
  <si>
    <t>abcl_scr_prob_anxious_r</t>
  </si>
  <si>
    <t>abcl_scr_prob_withdrawn_r</t>
  </si>
  <si>
    <t>abcl_scr_prob_somatic_r</t>
  </si>
  <si>
    <t>abcl_scr_prob_thought_r</t>
  </si>
  <si>
    <t>abcl_scr_prob_attention_r</t>
  </si>
  <si>
    <t>abcl_scr_prob_aggressive_r</t>
  </si>
  <si>
    <t>abcl_scr_prob_rulebreak_r</t>
  </si>
  <si>
    <t>abcl_scr_prob_intrusive_r</t>
  </si>
  <si>
    <t>abcl_scr_prob_other_r</t>
  </si>
  <si>
    <t>abcl_scr_prob_internal_r</t>
  </si>
  <si>
    <t>abcl_scr_prob_external_r</t>
  </si>
  <si>
    <t>abcl_scr_prob_total_r</t>
  </si>
  <si>
    <t>abcl_scr_prob_critical_r</t>
  </si>
  <si>
    <t>abcl_scr_sub_use_r_mean</t>
  </si>
  <si>
    <t>ple_p_ss_total_number</t>
  </si>
  <si>
    <t>ple_p_ss_total_good</t>
  </si>
  <si>
    <t>ple_p_ss_total_bad</t>
  </si>
  <si>
    <t>ple_p_ss_affected_good_sum</t>
  </si>
  <si>
    <t>ple_p_ss_affected_bad_sum</t>
  </si>
  <si>
    <t>ple_p_ss_affect_sum</t>
  </si>
  <si>
    <t>ple_died_fu_p</t>
  </si>
  <si>
    <t>ple_died_fu2_p</t>
  </si>
  <si>
    <t>ple_injured_fu2_p</t>
  </si>
  <si>
    <t>ple_friend_injur_fu2_p</t>
  </si>
  <si>
    <t>ple_financial_fu2_p</t>
  </si>
  <si>
    <t>ple_sud_fu2_p</t>
  </si>
  <si>
    <t>ple_ill_fu2_p</t>
  </si>
  <si>
    <t>ple_argue_fu2_p</t>
  </si>
  <si>
    <t>ple_job_fu_p</t>
  </si>
  <si>
    <t>ple_job_fu2_p</t>
  </si>
  <si>
    <t>ple_away_fu2_p</t>
  </si>
  <si>
    <t>ple_arrest_fu2_p</t>
  </si>
  <si>
    <t>ple_mh_fu2_p</t>
  </si>
  <si>
    <t>ple_sib_fu2_p</t>
  </si>
  <si>
    <t>ple_separ_fu_p</t>
  </si>
  <si>
    <t>ple_separ_fu2_p</t>
  </si>
  <si>
    <t>ple_school_fu_p</t>
  </si>
  <si>
    <t>ple_school_fu2_p</t>
  </si>
  <si>
    <t>ple_move_fu2_p</t>
  </si>
  <si>
    <t>ple_step_fu2_p</t>
  </si>
  <si>
    <t>ple_new_job_fu2_p</t>
  </si>
  <si>
    <t>ple_new_sib_fu2_p</t>
  </si>
  <si>
    <t>bpm_t_scr_attention_r</t>
  </si>
  <si>
    <t>bpm_t_scr_internal_r</t>
  </si>
  <si>
    <t>bpm_t_scr_external_r</t>
  </si>
  <si>
    <t>bpm_t_scr_totalprob_r</t>
  </si>
  <si>
    <t>screentime_device_cell_age_p</t>
  </si>
  <si>
    <t>screentime_device_cell_no_p</t>
  </si>
  <si>
    <t>screentime_online_1_p</t>
  </si>
  <si>
    <t>screentime_online_2_p</t>
  </si>
  <si>
    <t>screentime_online_3_p</t>
  </si>
  <si>
    <t>screentime_pmum_short_1_p</t>
  </si>
  <si>
    <t>screentime_pmum_short_2_p</t>
  </si>
  <si>
    <t>screentime_pmum_short_3_p</t>
  </si>
  <si>
    <t>screentime_pmum_short_4_p</t>
  </si>
  <si>
    <t>screentime_pmum_short_5_p</t>
  </si>
  <si>
    <t>screentime_pmum_short_6_p</t>
  </si>
  <si>
    <t>screentime_pmum_short_7_p</t>
  </si>
  <si>
    <t>screentime_pmum_short_8_p</t>
  </si>
  <si>
    <t>screentime_pmum_short_9_p</t>
  </si>
  <si>
    <t>sup_y_ss_sum</t>
  </si>
  <si>
    <t>sup_1_y</t>
  </si>
  <si>
    <t>sup_2_y</t>
  </si>
  <si>
    <t>sup_3_y</t>
  </si>
  <si>
    <t>sup_4_y</t>
  </si>
  <si>
    <t>sup_5_y</t>
  </si>
  <si>
    <t>sup_6_y</t>
  </si>
  <si>
    <t>sup_7_y</t>
  </si>
  <si>
    <t>poa_y_ss_sum</t>
  </si>
  <si>
    <t>poa_nihtb_1_y</t>
  </si>
  <si>
    <t>poa_nihtb_2_y</t>
  </si>
  <si>
    <t>poa_nihtb_3_y</t>
  </si>
  <si>
    <t>poa_nihtb_4_y</t>
  </si>
  <si>
    <t>poa_nihtb_5_y</t>
  </si>
  <si>
    <t>poa_nihtb_6_y</t>
  </si>
  <si>
    <t>poa_nihtb_7_y</t>
  </si>
  <si>
    <t>poa_nihtb_8_y</t>
  </si>
  <si>
    <t>poa_nihtb_9_y</t>
  </si>
  <si>
    <t>ssrs_p_ss_sum</t>
  </si>
  <si>
    <t>ssrs_6_p</t>
  </si>
  <si>
    <t>ssrs_15r_p</t>
  </si>
  <si>
    <t>ssrs_16_p</t>
  </si>
  <si>
    <t>ssrs_18_p</t>
  </si>
  <si>
    <t>ssrs_24_p</t>
  </si>
  <si>
    <t>ssrs_29_p</t>
  </si>
  <si>
    <t>ssrs_35_p</t>
  </si>
  <si>
    <t>ssrs_37_p</t>
  </si>
  <si>
    <t>ssrs_39_p</t>
  </si>
  <si>
    <t>ssrs_42_p</t>
  </si>
  <si>
    <t>ssrs_58_p</t>
  </si>
  <si>
    <t>demo_roster_v2_l</t>
  </si>
  <si>
    <t>reshist_addr1_move_in_year</t>
  </si>
  <si>
    <t>reshist_addr1_move_out_year</t>
  </si>
  <si>
    <t>reshist_addr1_o3_2016_annavg</t>
  </si>
  <si>
    <t>reshist_addr1_traffic_count</t>
  </si>
  <si>
    <t>reshist_addr1_coi_z_coi_nat</t>
  </si>
  <si>
    <t>reshist_addr1_coi_zed_apenr</t>
  </si>
  <si>
    <t>reshist_addr1_coi_zed_attain</t>
  </si>
  <si>
    <t>reshist_addr1_coi_zed_college</t>
  </si>
  <si>
    <t>reshist_addr1_coi_zed_ecenrol</t>
  </si>
  <si>
    <t>reshist_addr1_coi_zed_hsgrad</t>
  </si>
  <si>
    <t>reshist_addr1_coi_zed_math</t>
  </si>
  <si>
    <t>reshist_addr1_coi_zed_reading</t>
  </si>
  <si>
    <t>reshist_addr1_coi_zed_schpov</t>
  </si>
  <si>
    <t>reshist_addr1_coi_zed_teachxp</t>
  </si>
  <si>
    <t>reshist_addr1_coi_zed_prxece</t>
  </si>
  <si>
    <t>reshist_addr1_coi_zed_prxhqece</t>
  </si>
  <si>
    <t>reshist_addr1_coi_zhe_food</t>
  </si>
  <si>
    <t>reshist_addr1_coi_zhe_green</t>
  </si>
  <si>
    <t>reshist_addr1_coi_zhe_heat</t>
  </si>
  <si>
    <t>reshist_addr1_coi_zhe_hlthins</t>
  </si>
  <si>
    <t>reshist_addr1_coi_zhe_ozone</t>
  </si>
  <si>
    <t>reshist_addr1_coi_zhe_pm25</t>
  </si>
  <si>
    <t>reshist_addr1_coi_zhe_vacancy</t>
  </si>
  <si>
    <t>reshist_addr1_coi_zhe_walk</t>
  </si>
  <si>
    <t>reshist_addr1_coi_zhe_suprfnd</t>
  </si>
  <si>
    <t>reshist_addr1_coi_zhe_rsei</t>
  </si>
  <si>
    <t>reshist_addr1_coi_zse_povrate</t>
  </si>
  <si>
    <t>reshist_addr1_coi_zse_public</t>
  </si>
  <si>
    <t>reshist_addr1_coi_zse_home</t>
  </si>
  <si>
    <t>reshist_addr1_coi_zse_occ</t>
  </si>
  <si>
    <t>reshist_addr1_coi_zse_mhe</t>
  </si>
  <si>
    <t>reshist_addr1_coi_zse_emprat</t>
  </si>
  <si>
    <t>reshist_addr1_coi_zse_jobprox</t>
  </si>
  <si>
    <t>reshist_addr1_coi_zse_single</t>
  </si>
  <si>
    <t>reshist_addr1_coi_zse_ecres</t>
  </si>
  <si>
    <t>reshist_addr1_svi_tot_20142018</t>
  </si>
  <si>
    <t>reshist_addr1_svi_pov_20142018</t>
  </si>
  <si>
    <t>reshist_addr1_svi_emp_20142018</t>
  </si>
  <si>
    <t>reshist_addr1_svi_cap_20142018</t>
  </si>
  <si>
    <t>reshist_addr1_svi_hs_20142018</t>
  </si>
  <si>
    <t>reshist_addr1_svi_65_20142018</t>
  </si>
  <si>
    <t>reshist_addr1_svi_17_20142018</t>
  </si>
  <si>
    <t>reshist_addr1_svi_dis_20142018</t>
  </si>
  <si>
    <t>reshist_addr1_svi_sin_20142018</t>
  </si>
  <si>
    <t>reshist_addr1_svi_min_20142018</t>
  </si>
  <si>
    <t>reshist_addr1_svi_eng_20142018</t>
  </si>
  <si>
    <t>reshist_addr1_svi_hous20142018</t>
  </si>
  <si>
    <t>reshist_addr1_svi_mob_20142018</t>
  </si>
  <si>
    <t>reshist_addr1_svi_crwd20142018</t>
  </si>
  <si>
    <t>reshist_addr1_svi_veh_20142018</t>
  </si>
  <si>
    <t>reshist_addr1_svi_grp_20142018</t>
  </si>
  <si>
    <t>reshist_addr1_svi_th1_20142018</t>
  </si>
  <si>
    <t>reshist_addr1_svi_th2_20142018</t>
  </si>
  <si>
    <t>reshist_addr1_svi_th3_20142018</t>
  </si>
  <si>
    <t>reshist_addr1_svi_th4_20142018</t>
  </si>
  <si>
    <t>reshist_addr1_opat_kfrpp_avg</t>
  </si>
  <si>
    <t>reshist_addr1_coi_z_ed_nat</t>
  </si>
  <si>
    <t>reshist_addr1_coi_z_he_nat</t>
  </si>
  <si>
    <t>reshist_addr1_coi_z_se_nat</t>
  </si>
  <si>
    <t>reshist_state_mj_laws1</t>
  </si>
  <si>
    <t>reshist_state_mj_laws2</t>
  </si>
  <si>
    <t>pds_f6_y</t>
  </si>
  <si>
    <t>pds_m5_p</t>
  </si>
  <si>
    <t>pds_m4_p</t>
  </si>
  <si>
    <t>pds_f6_p</t>
  </si>
  <si>
    <t>menstrualcycle2_y</t>
  </si>
  <si>
    <t>menstrualcycle5_y</t>
  </si>
  <si>
    <t>menstrualcycle6_y</t>
  </si>
  <si>
    <t>menstrualcycle2_p</t>
  </si>
  <si>
    <t>menstrualcycle5_p</t>
  </si>
  <si>
    <t>menstrualcycle6_p</t>
  </si>
  <si>
    <t>gish_y_ss_m_sum</t>
  </si>
  <si>
    <t>gish_y_ss_f_sum</t>
  </si>
  <si>
    <t>gish_m1_y</t>
  </si>
  <si>
    <t>gish_m2_y</t>
  </si>
  <si>
    <t>gish_f1_y</t>
  </si>
  <si>
    <t>gish_f2_y</t>
  </si>
  <si>
    <t>gish_m3_y</t>
  </si>
  <si>
    <t>gish_m4_y</t>
  </si>
  <si>
    <t>gish_f3_y</t>
  </si>
  <si>
    <t>gish_f4_y</t>
  </si>
  <si>
    <t>gish_p_ss_m_sum2</t>
  </si>
  <si>
    <t>gish_p_ss_f_sum2</t>
  </si>
  <si>
    <t>gish_m1_p</t>
  </si>
  <si>
    <t>gish_m2_p</t>
  </si>
  <si>
    <t>gish_m3_p</t>
  </si>
  <si>
    <t>gish_m4_p</t>
  </si>
  <si>
    <t>gish_m5_p</t>
  </si>
  <si>
    <t>gish_m6_p</t>
  </si>
  <si>
    <t>gish_m7_p</t>
  </si>
  <si>
    <t>gish_m8_p</t>
  </si>
  <si>
    <t>gish_m10_p</t>
  </si>
  <si>
    <t>gish_m12_p</t>
  </si>
  <si>
    <t>gish_m13_p</t>
  </si>
  <si>
    <t>gish_m14_p</t>
  </si>
  <si>
    <t>gish_f1_p</t>
  </si>
  <si>
    <t>gish_f2_p</t>
  </si>
  <si>
    <t>gish_f3_p</t>
  </si>
  <si>
    <t>gish_f4_p</t>
  </si>
  <si>
    <t>gish_f5_p</t>
  </si>
  <si>
    <t>gish_f6_p</t>
  </si>
  <si>
    <t>gish_f7_p</t>
  </si>
  <si>
    <t>gish_f8_p</t>
  </si>
  <si>
    <t>gish_f10_p</t>
  </si>
  <si>
    <t>gish_f12_p</t>
  </si>
  <si>
    <t>gish_f13_p</t>
  </si>
  <si>
    <t>gish_f14_p</t>
  </si>
  <si>
    <t>pds_f5_y</t>
  </si>
  <si>
    <t>pds_f5b_p</t>
  </si>
  <si>
    <t>menstrualcycle3_y</t>
  </si>
  <si>
    <t>menstrualcycle3_p</t>
  </si>
  <si>
    <t>biospec_blood_baso_percent</t>
  </si>
  <si>
    <t>biospec_blood_baso_abs</t>
  </si>
  <si>
    <t>biospec_blood_eos_percent</t>
  </si>
  <si>
    <t>biospec_blood_eos_abs</t>
  </si>
  <si>
    <t>biospec_blood_hemoglobin</t>
  </si>
  <si>
    <t>biospec_blood_mcv</t>
  </si>
  <si>
    <t>biospec_blood_plt_count</t>
  </si>
  <si>
    <t>biospec_blood_wbc_count</t>
  </si>
  <si>
    <t>biospec_blood_ferritin</t>
  </si>
  <si>
    <t>biospec_blood_hemoglobin_a1</t>
  </si>
  <si>
    <t>biospec_blood_lymph_percent</t>
  </si>
  <si>
    <t>biospec_blood_lymph_abs</t>
  </si>
  <si>
    <t>biospec_blood_mch</t>
  </si>
  <si>
    <t>biospec_blood_mchc</t>
  </si>
  <si>
    <t>biospec_blood_mono_percent</t>
  </si>
  <si>
    <t>biospec_blood_mono_abs</t>
  </si>
  <si>
    <t>biospec_blood_mpv</t>
  </si>
  <si>
    <t>biospec_blood_neut_percent</t>
  </si>
  <si>
    <t>biospec_blood_neut_abs</t>
  </si>
  <si>
    <t>biospec_blood_rdw</t>
  </si>
  <si>
    <t>biospec_blood_cholesterol</t>
  </si>
  <si>
    <t>biospec_blood_hdl_cholesterol</t>
  </si>
  <si>
    <t>biospec_blood_rbc_count</t>
  </si>
  <si>
    <t>biospec_blood_hematocrit</t>
  </si>
  <si>
    <t>tlfb_list_l2___1</t>
  </si>
  <si>
    <t>tlfb_list_l2___12</t>
  </si>
  <si>
    <t>tlfb_list_l2___3</t>
  </si>
  <si>
    <t>tlfb_list_l2___7</t>
  </si>
  <si>
    <t>caff_max_yn_l</t>
  </si>
  <si>
    <t>tlfb_mj_l2</t>
  </si>
  <si>
    <t>tlfb_mj_synth_l2</t>
  </si>
  <si>
    <t>tlfb_bitta_l2</t>
  </si>
  <si>
    <t>tlfb_inhalant_l2</t>
  </si>
  <si>
    <t>tlfb_rx_misuse_l2</t>
  </si>
  <si>
    <t>tlfb_list_yes_no_l2</t>
  </si>
  <si>
    <t>tlfb_alc_sip_l2</t>
  </si>
  <si>
    <t>pnh_substance</t>
  </si>
  <si>
    <t>pnh_help</t>
  </si>
  <si>
    <t>pnh_encourage</t>
  </si>
  <si>
    <t>dim_yesno_q3</t>
  </si>
  <si>
    <t>dim_yesno_q4</t>
  </si>
  <si>
    <t>sag_iep_current_p</t>
  </si>
  <si>
    <t>sag_iep_ever_p</t>
  </si>
  <si>
    <t>fes_2r_p</t>
  </si>
  <si>
    <t>fes_6_p</t>
  </si>
  <si>
    <t>fes_7r_p</t>
  </si>
  <si>
    <t>fes_9_p</t>
  </si>
  <si>
    <t>fes_11r_p</t>
  </si>
  <si>
    <t>fes_12_p</t>
  </si>
  <si>
    <t>fes_16r_p</t>
  </si>
  <si>
    <t>fes_17_p</t>
  </si>
  <si>
    <t>fes_19_p</t>
  </si>
  <si>
    <t>fes_21_p</t>
  </si>
  <si>
    <t>fes_22_p</t>
  </si>
  <si>
    <t>fes_26_p</t>
  </si>
  <si>
    <t>fes_27r_p</t>
  </si>
  <si>
    <t>fes_29r_p</t>
  </si>
  <si>
    <t>fes_31_p</t>
  </si>
  <si>
    <t>fes_32_p</t>
  </si>
  <si>
    <t>fes_36r_p</t>
  </si>
  <si>
    <t>fes_37_p</t>
  </si>
  <si>
    <t>fes_39_p</t>
  </si>
  <si>
    <t>fes_41r_p</t>
  </si>
  <si>
    <t>fes_42_p</t>
  </si>
  <si>
    <t>fes_46r_p</t>
  </si>
  <si>
    <t>fes_47_p</t>
  </si>
  <si>
    <t>fes_49r_p</t>
  </si>
  <si>
    <t>fes_51_p</t>
  </si>
  <si>
    <t>fes_52r_p</t>
  </si>
  <si>
    <t>fes_56_p</t>
  </si>
  <si>
    <t>fes_57r_p</t>
  </si>
  <si>
    <t>fes_59_p</t>
  </si>
  <si>
    <t>fes_61r_p</t>
  </si>
  <si>
    <t>fes_62_p</t>
  </si>
  <si>
    <t>fes_66_p</t>
  </si>
  <si>
    <t>fes_67_p</t>
  </si>
  <si>
    <t>fes_69_p</t>
  </si>
  <si>
    <t>fes_71_p</t>
  </si>
  <si>
    <t>fes_72r_p</t>
  </si>
  <si>
    <t>fes_76r_p</t>
  </si>
  <si>
    <t>fes_77_p</t>
  </si>
  <si>
    <t>fes_79r_p</t>
  </si>
  <si>
    <t>fes_81_p</t>
  </si>
  <si>
    <t>fes_82_p</t>
  </si>
  <si>
    <t>fes_86_p</t>
  </si>
  <si>
    <t>fes_87r_p</t>
  </si>
  <si>
    <t>fes_89_p</t>
  </si>
  <si>
    <t>medhx_1a_l</t>
  </si>
  <si>
    <t>medhx_2a_l</t>
  </si>
  <si>
    <t>medhx_2b_l</t>
  </si>
  <si>
    <t>medhx_2n_l</t>
  </si>
  <si>
    <t>medhx_2r_l</t>
  </si>
  <si>
    <t>medhx_4a_l</t>
  </si>
  <si>
    <t>medhx_6a_l</t>
  </si>
  <si>
    <t>medhx_6b_l</t>
  </si>
  <si>
    <t>medhx_6c_l</t>
  </si>
  <si>
    <t>medhx_6f_l</t>
  </si>
  <si>
    <t>medhx_6h_l</t>
  </si>
  <si>
    <t>medhx_9a_l</t>
  </si>
  <si>
    <t>medhx_11_l</t>
  </si>
  <si>
    <t>medhx_ss_4b_p_l</t>
  </si>
  <si>
    <t>medhx_ss_9b_p_l</t>
  </si>
  <si>
    <t>mctq_sd_alarm_clock</t>
  </si>
  <si>
    <t>mctq_sd_before_alarm</t>
  </si>
  <si>
    <t>mctq_fd_alarm_parent</t>
  </si>
  <si>
    <t>pain_last_month</t>
  </si>
  <si>
    <t>caff_24</t>
  </si>
  <si>
    <t>tbi_3_l</t>
  </si>
  <si>
    <t>brought_medications</t>
  </si>
  <si>
    <t>ple_died_y</t>
  </si>
  <si>
    <t>ple_died_past_yr_y</t>
  </si>
  <si>
    <t>ple_injured_y</t>
  </si>
  <si>
    <t>ple_injured_past_yr_y</t>
  </si>
  <si>
    <t>ple_crime_y</t>
  </si>
  <si>
    <t>ple_crime_past_yr_y</t>
  </si>
  <si>
    <t>ple_friend_y</t>
  </si>
  <si>
    <t>ple_friend_past_yr_y</t>
  </si>
  <si>
    <t>ple_friend_injur_y</t>
  </si>
  <si>
    <t>ple_friend_injur_past_yr_y</t>
  </si>
  <si>
    <t>ple_financial_y</t>
  </si>
  <si>
    <t>ple_financial_past_yr_y</t>
  </si>
  <si>
    <t>ple_sud_y</t>
  </si>
  <si>
    <t>ple_sud_past_yr_y</t>
  </si>
  <si>
    <t>ple_ill_y</t>
  </si>
  <si>
    <t>ple_ill_past_yr_y</t>
  </si>
  <si>
    <t>ple_injur_y</t>
  </si>
  <si>
    <t>ple_injur_y_past_yr_y</t>
  </si>
  <si>
    <t>ple_argue_y</t>
  </si>
  <si>
    <t>ple_argue_past_yr_y</t>
  </si>
  <si>
    <t>ple_job_y</t>
  </si>
  <si>
    <t>ple_job_past_yr_y</t>
  </si>
  <si>
    <t>ple_away_y</t>
  </si>
  <si>
    <t>ple_away_past_yr_y</t>
  </si>
  <si>
    <t>ple_arrest_y</t>
  </si>
  <si>
    <t>ple_arrest_past_yr_y</t>
  </si>
  <si>
    <t>ple_friend_died_y</t>
  </si>
  <si>
    <t>ple_mh_y</t>
  </si>
  <si>
    <t>ple_mh_past_yr_y</t>
  </si>
  <si>
    <t>ple_sib_y</t>
  </si>
  <si>
    <t>ple_sib_past_yr_y</t>
  </si>
  <si>
    <t>ple_separ_y</t>
  </si>
  <si>
    <t>ple_law_y</t>
  </si>
  <si>
    <t>ple_school_y</t>
  </si>
  <si>
    <t>ple_school_past_yr_y</t>
  </si>
  <si>
    <t>ple_move_y</t>
  </si>
  <si>
    <t>ple_move_past_yr_y</t>
  </si>
  <si>
    <t>ple_jail_y</t>
  </si>
  <si>
    <t>ple_step_y</t>
  </si>
  <si>
    <t>ple_new_job_y</t>
  </si>
  <si>
    <t>ple_new_job_past_yr_y</t>
  </si>
  <si>
    <t>ple_new_sib_y</t>
  </si>
  <si>
    <t>ple_new_sib_past_yr_y</t>
  </si>
  <si>
    <t>cybb_phenx_harm</t>
  </si>
  <si>
    <t>cybb_phenx_harm_12mo</t>
  </si>
  <si>
    <t>screentime_phone_yn</t>
  </si>
  <si>
    <t>screentime_usesoc</t>
  </si>
  <si>
    <t>screentime_smq_account</t>
  </si>
  <si>
    <t>screentime_sq1</t>
  </si>
  <si>
    <t>demo_prnt_prtnr_v2_l</t>
  </si>
  <si>
    <t>demo_prnt_prtnr_bio_l</t>
  </si>
  <si>
    <t>demo_child_time_v2_l</t>
  </si>
  <si>
    <t>demo_fam_exp1_v2_l</t>
  </si>
  <si>
    <t>demo_fam_exp3_v2_l</t>
  </si>
  <si>
    <t>demo_fam_exp6_v2_l</t>
  </si>
  <si>
    <t>demo_fam_exp7_v2_l</t>
  </si>
  <si>
    <t>demo_yrs_2a_l</t>
  </si>
  <si>
    <t>demo_yrs_2b_l</t>
  </si>
  <si>
    <t>demo_med_insur_a_p</t>
  </si>
  <si>
    <t>demo_med_insur_b_p</t>
  </si>
  <si>
    <t>demo_med_insur_d_p</t>
  </si>
  <si>
    <t>kbi_p_c_live_full_time_l</t>
  </si>
  <si>
    <t>kbi_p_c_guard_l___2</t>
  </si>
  <si>
    <t>kbi_p_conflict_causes_l___1</t>
  </si>
  <si>
    <t>kbi_p_conflict_causes_l___2</t>
  </si>
  <si>
    <t>kbi_p_conflict_causes_l___4</t>
  </si>
  <si>
    <t>kbi_p_conflict_causes_l___5</t>
  </si>
  <si>
    <t>kbi_p_conflict_causes_l___6</t>
  </si>
  <si>
    <t>kbi_p_conflict_causes_l___8</t>
  </si>
  <si>
    <t>kbi_p_conflict_causes_l___9</t>
  </si>
  <si>
    <t>kbi_p_c_drop_in_grades_l</t>
  </si>
  <si>
    <t>kbi_p_c_spec_serv_l___10</t>
  </si>
  <si>
    <t>kbi_p_c_spec_serv_l___4</t>
  </si>
  <si>
    <t>kbi_p_c_spec_serv_l___6</t>
  </si>
  <si>
    <t>kbi_p_c_spec_serv_l___7</t>
  </si>
  <si>
    <t>kbi_p_c_spec_serv_l___8</t>
  </si>
  <si>
    <t>kbi_p_c_spec_serv_l___9</t>
  </si>
  <si>
    <t>kbi_p_c_det_susp_l</t>
  </si>
  <si>
    <t>kbi_p_c_det_reason_l___8</t>
  </si>
  <si>
    <t>kbi_p_c_best_friend_l</t>
  </si>
  <si>
    <t>kbi_p_c_reg_friend_group_l</t>
  </si>
  <si>
    <t>kbi_p_c_bully_l</t>
  </si>
  <si>
    <t>kbi_p_c_mh_sa_l</t>
  </si>
  <si>
    <t>ple_died_p</t>
  </si>
  <si>
    <t>ple_died_past_yr_p</t>
  </si>
  <si>
    <t>ple_injured_p</t>
  </si>
  <si>
    <t>ple_injur_p_p</t>
  </si>
  <si>
    <t>ple_crime_p</t>
  </si>
  <si>
    <t>ple_friend_p</t>
  </si>
  <si>
    <t>ple_friend_past_yr_p</t>
  </si>
  <si>
    <t>ple_friend_injur_p</t>
  </si>
  <si>
    <t>ple_financial_p</t>
  </si>
  <si>
    <t>ple_financial_past_yr_p</t>
  </si>
  <si>
    <t>ple_sud_p</t>
  </si>
  <si>
    <t>ple_sud_past_yr_p</t>
  </si>
  <si>
    <t>ple_ill_p</t>
  </si>
  <si>
    <t>ple_argue_p</t>
  </si>
  <si>
    <t>ple_argue_past_yr_p</t>
  </si>
  <si>
    <t>ple_job_p</t>
  </si>
  <si>
    <t>ple_job_past_yr_p</t>
  </si>
  <si>
    <t>ple_away_p</t>
  </si>
  <si>
    <t>ple_away_past_yr_p</t>
  </si>
  <si>
    <t>ple_arrest_p</t>
  </si>
  <si>
    <t>ple_mh_p</t>
  </si>
  <si>
    <t>ple_mh_past_yr_p</t>
  </si>
  <si>
    <t>ple_sib_p</t>
  </si>
  <si>
    <t>ple_sib_past_yr_p</t>
  </si>
  <si>
    <t>ple_separ_p</t>
  </si>
  <si>
    <t>ple_separ_past_yr_p</t>
  </si>
  <si>
    <t>ple_law_p</t>
  </si>
  <si>
    <t>ple_school_p</t>
  </si>
  <si>
    <t>ple_school_past_yr_p</t>
  </si>
  <si>
    <t>ple_move_p</t>
  </si>
  <si>
    <t>ple_move_past_yr_p</t>
  </si>
  <si>
    <t>ple_step_p</t>
  </si>
  <si>
    <t>ple_new_job_p</t>
  </si>
  <si>
    <t>ple_new_job_past_yr_p</t>
  </si>
  <si>
    <t>ple_new_sib_p</t>
  </si>
  <si>
    <t>ple_new_sib_past_yr_p</t>
  </si>
  <si>
    <t>screentime_device_wifi_p</t>
  </si>
  <si>
    <t>screentime_following_child_p</t>
  </si>
  <si>
    <t>kbi_new_school_setting_l_private</t>
  </si>
  <si>
    <t>kbi_new_school_setting_l_home</t>
  </si>
  <si>
    <t>kbi_new_school_setting_l_public</t>
  </si>
  <si>
    <t>smri_thick_cdk_mean</t>
  </si>
  <si>
    <t>smri_area_cdk_total</t>
  </si>
  <si>
    <t>smri_vol_cdk_total</t>
  </si>
  <si>
    <t>smri_vol_scs_subcorticalgv</t>
  </si>
  <si>
    <t>smri_vol_scs_intracranialv</t>
  </si>
  <si>
    <t>smri_vol_scs_wholeb</t>
  </si>
  <si>
    <t>smri_vol_scs_suprateialv</t>
  </si>
  <si>
    <t>smri_vol_scs_cbwmatterlh</t>
  </si>
  <si>
    <t>smri_vol_scs_cbwmatterrh</t>
  </si>
  <si>
    <t>smri_vol_cdk_totallh</t>
  </si>
  <si>
    <t>smri_vol_cdk_totalrh</t>
  </si>
  <si>
    <t>smri_thick_cdk_meanlh</t>
  </si>
  <si>
    <t>smri_thick_cdk_meanrh</t>
  </si>
  <si>
    <t>smri_area_cdk_totallh</t>
  </si>
  <si>
    <t>smri_area_cdk_totalrh</t>
  </si>
  <si>
    <t>rsfmri_c_ngd_ad_ngd_ad</t>
  </si>
  <si>
    <t>rsfmri_c_ngd_cgc_ngd_cgc</t>
  </si>
  <si>
    <t>rsfmri_c_ngd_ca_ngd_ca</t>
  </si>
  <si>
    <t>rsfmri_c_ngd_dt_ngd_dt</t>
  </si>
  <si>
    <t>rsfmri_c_ngd_dla_ngd_dla</t>
  </si>
  <si>
    <t>rsfmri_c_ngd_fo_ngd_fo</t>
  </si>
  <si>
    <t>rsfmri_c_ngd_n_ngd_n</t>
  </si>
  <si>
    <t>rsfmri_c_ngd_rspltp_ngd_rspltp</t>
  </si>
  <si>
    <t>rsfmri_c_ngd_smh_ngd_smh</t>
  </si>
  <si>
    <t>rsfmri_c_ngd_smm_ngd_smm</t>
  </si>
  <si>
    <t>rsfmri_c_ngd_sa_ngd_sa</t>
  </si>
  <si>
    <t>rsfmri_c_ngd_vta_ngd_vta</t>
  </si>
  <si>
    <t>rsfmri_c_ngd_vs_ngd_vs</t>
  </si>
  <si>
    <t>dmri_dtifa_fiberat_fmaj</t>
  </si>
  <si>
    <t>dmri_dtifa_fiberat_fmin</t>
  </si>
  <si>
    <t>dmri_dtifa_fiberat_cc</t>
  </si>
  <si>
    <t>dmri_dtifa_fiberat_allfibers</t>
  </si>
  <si>
    <t>smri_vol_cdk_banksstslh</t>
  </si>
  <si>
    <t>smri_thick_cdk_banksstslh</t>
  </si>
  <si>
    <t>smri_vol_cdk_cdacatelh</t>
  </si>
  <si>
    <t>smri_thick_cdk_cdacatelh</t>
  </si>
  <si>
    <t>smri_vol_cdk_cdmdfrlh</t>
  </si>
  <si>
    <t>smri_thick_cdk_cdmdfrlh</t>
  </si>
  <si>
    <t>smri_vol_cdk_cuneuslh</t>
  </si>
  <si>
    <t>smri_thick_cdk_cuneuslh</t>
  </si>
  <si>
    <t>smri_vol_cdk_ehinallh</t>
  </si>
  <si>
    <t>smri_thick_cdk_ehinallh</t>
  </si>
  <si>
    <t>smri_vol_cdk_fusiformlh</t>
  </si>
  <si>
    <t>smri_thick_cdk_fusiformlh</t>
  </si>
  <si>
    <t>smri_vol_cdk_ifpllh</t>
  </si>
  <si>
    <t>smri_thick_cdk_ifpllh</t>
  </si>
  <si>
    <t>smri_vol_cdk_iftmlh</t>
  </si>
  <si>
    <t>smri_thick_cdk_iftmlh</t>
  </si>
  <si>
    <t>smri_vol_cdk_ihcatelh</t>
  </si>
  <si>
    <t>smri_thick_cdk_ihcatelh</t>
  </si>
  <si>
    <t>smri_vol_cdk_locclh</t>
  </si>
  <si>
    <t>smri_thick_cdk_locclh</t>
  </si>
  <si>
    <t>smri_vol_cdk_lobfrlh</t>
  </si>
  <si>
    <t>smri_thick_cdk_lobfrlh</t>
  </si>
  <si>
    <t>smri_vol_cdk_linguallh</t>
  </si>
  <si>
    <t>smri_thick_cdk_linguallh</t>
  </si>
  <si>
    <t>smri_vol_cdk_mobfrlh</t>
  </si>
  <si>
    <t>smri_thick_cdk_mobfrlh</t>
  </si>
  <si>
    <t>smri_vol_cdk_mdtmlh</t>
  </si>
  <si>
    <t>smri_thick_cdk_mdtmlh</t>
  </si>
  <si>
    <t>smri_vol_cdk_parahpallh</t>
  </si>
  <si>
    <t>smri_thick_cdk_parahpallh</t>
  </si>
  <si>
    <t>smri_vol_cdk_paracnlh</t>
  </si>
  <si>
    <t>smri_thick_cdk_paracnlh</t>
  </si>
  <si>
    <t>smri_vol_cdk_parsopclh</t>
  </si>
  <si>
    <t>smri_thick_cdk_parsopclh</t>
  </si>
  <si>
    <t>smri_vol_cdk_parsobislh</t>
  </si>
  <si>
    <t>smri_thick_cdk_parsobislh</t>
  </si>
  <si>
    <t>smri_vol_cdk_parstgrislh</t>
  </si>
  <si>
    <t>smri_thick_cdk_parstgrislh</t>
  </si>
  <si>
    <t>smri_vol_cdk_pericclh</t>
  </si>
  <si>
    <t>smri_thick_cdk_pericclh</t>
  </si>
  <si>
    <t>smri_vol_cdk_postcnlh</t>
  </si>
  <si>
    <t>smri_thick_cdk_postcnlh</t>
  </si>
  <si>
    <t>smri_vol_cdk_ptcatelh</t>
  </si>
  <si>
    <t>smri_thick_cdk_ptcatelh</t>
  </si>
  <si>
    <t>smri_vol_cdk_precnlh</t>
  </si>
  <si>
    <t>smri_thick_cdk_precnlh</t>
  </si>
  <si>
    <t>smri_vol_cdk_pclh</t>
  </si>
  <si>
    <t>smri_thick_cdk_pclh</t>
  </si>
  <si>
    <t>smri_vol_cdk_rracatelh</t>
  </si>
  <si>
    <t>smri_thick_cdk_rracatelh</t>
  </si>
  <si>
    <t>smri_vol_cdk_rrmdfrlh</t>
  </si>
  <si>
    <t>smri_thick_cdk_rrmdfrlh</t>
  </si>
  <si>
    <t>smri_vol_cdk_sufrlh</t>
  </si>
  <si>
    <t>smri_thick_cdk_sufrlh</t>
  </si>
  <si>
    <t>smri_vol_cdk_supllh</t>
  </si>
  <si>
    <t>smri_thick_cdk_supllh</t>
  </si>
  <si>
    <t>smri_vol_cdk_sutmlh</t>
  </si>
  <si>
    <t>smri_thick_cdk_sutmlh</t>
  </si>
  <si>
    <t>smri_vol_cdk_smlh</t>
  </si>
  <si>
    <t>smri_thick_cdk_smlh</t>
  </si>
  <si>
    <t>smri_vol_cdk_frpolelh</t>
  </si>
  <si>
    <t>smri_thick_cdk_frpolelh</t>
  </si>
  <si>
    <t>smri_vol_cdk_tmpolelh</t>
  </si>
  <si>
    <t>smri_thick_cdk_tmpolelh</t>
  </si>
  <si>
    <t>smri_vol_cdk_trvtmlh</t>
  </si>
  <si>
    <t>smri_thick_cdk_trvtmlh</t>
  </si>
  <si>
    <t>smri_vol_cdk_insulalh</t>
  </si>
  <si>
    <t>smri_thick_cdk_insulalh</t>
  </si>
  <si>
    <t>smri_vol_cdk_banksstsrh</t>
  </si>
  <si>
    <t>smri_thick_cdk_banksstsrh</t>
  </si>
  <si>
    <t>smri_vol_cdk_cdacaterh</t>
  </si>
  <si>
    <t>smri_thick_cdk_cdacaterh</t>
  </si>
  <si>
    <t>smri_vol_cdk_cdmdfrrh</t>
  </si>
  <si>
    <t>smri_thick_cdk_cdmdfrrh</t>
  </si>
  <si>
    <t>smri_vol_cdk_cuneusrh</t>
  </si>
  <si>
    <t>smri_thick_cdk_cuneusrh</t>
  </si>
  <si>
    <t>smri_vol_cdk_ehinalrh</t>
  </si>
  <si>
    <t>smri_thick_cdk_ehinalrh</t>
  </si>
  <si>
    <t>smri_vol_cdk_fusiformrh</t>
  </si>
  <si>
    <t>smri_thick_cdk_fusiformrh</t>
  </si>
  <si>
    <t>smri_vol_cdk_ifplrh</t>
  </si>
  <si>
    <t>smri_thick_cdk_ifplrh</t>
  </si>
  <si>
    <t>smri_vol_cdk_iftmrh</t>
  </si>
  <si>
    <t>smri_thick_cdk_iftmrh</t>
  </si>
  <si>
    <t>smri_vol_cdk_ihcaterh</t>
  </si>
  <si>
    <t>smri_thick_cdk_ihcaterh</t>
  </si>
  <si>
    <t>smri_vol_cdk_loccrh</t>
  </si>
  <si>
    <t>smri_thick_cdk_loccrh</t>
  </si>
  <si>
    <t>smri_vol_cdk_lobfrrh</t>
  </si>
  <si>
    <t>smri_thick_cdk_lobfrrh</t>
  </si>
  <si>
    <t>smri_vol_cdk_lingualrh</t>
  </si>
  <si>
    <t>smri_thick_cdk_lingualrh</t>
  </si>
  <si>
    <t>smri_vol_cdk_mobfrrh</t>
  </si>
  <si>
    <t>smri_thick_cdk_mobfrrh</t>
  </si>
  <si>
    <t>smri_vol_cdk_mdtmrh</t>
  </si>
  <si>
    <t>smri_thick_cdk_mdtmrh</t>
  </si>
  <si>
    <t>smri_vol_cdk_parahpalrh</t>
  </si>
  <si>
    <t>smri_thick_cdk_parahpalrh</t>
  </si>
  <si>
    <t>smri_vol_cdk_paracnrh</t>
  </si>
  <si>
    <t>smri_thick_cdk_paracnrh</t>
  </si>
  <si>
    <t>smri_vol_cdk_parsopcrh</t>
  </si>
  <si>
    <t>smri_thick_cdk_parsopcrh</t>
  </si>
  <si>
    <t>smri_vol_cdk_parsobisrh</t>
  </si>
  <si>
    <t>smri_thick_cdk_parsobisrh</t>
  </si>
  <si>
    <t>smri_vol_cdk_parstgrisrh</t>
  </si>
  <si>
    <t>smri_thick_cdk_parstgrisrh</t>
  </si>
  <si>
    <t>smri_vol_cdk_periccrh</t>
  </si>
  <si>
    <t>smri_thick_cdk_periccrh</t>
  </si>
  <si>
    <t>smri_vol_cdk_postcnrh</t>
  </si>
  <si>
    <t>smri_thick_cdk_postcnrh</t>
  </si>
  <si>
    <t>smri_vol_cdk_ptcaterh</t>
  </si>
  <si>
    <t>smri_thick_cdk_ptcaterh</t>
  </si>
  <si>
    <t>smri_vol_cdk_precnrh</t>
  </si>
  <si>
    <t>smri_thick_cdk_precnrh</t>
  </si>
  <si>
    <t>smri_vol_cdk_pcrh</t>
  </si>
  <si>
    <t>smri_thick_cdk_pcrh</t>
  </si>
  <si>
    <t>smri_vol_cdk_rracaterh</t>
  </si>
  <si>
    <t>smri_thick_cdk_rracaterh</t>
  </si>
  <si>
    <t>smri_vol_cdk_rrmdfrrh</t>
  </si>
  <si>
    <t>smri_thick_cdk_rrmdfrrh</t>
  </si>
  <si>
    <t>smri_vol_cdk_sufrrh</t>
  </si>
  <si>
    <t>smri_thick_cdk_sufrrh</t>
  </si>
  <si>
    <t>smri_vol_cdk_suplrh</t>
  </si>
  <si>
    <t>smri_thick_cdk_suplrh</t>
  </si>
  <si>
    <t>smri_vol_cdk_sutmrh</t>
  </si>
  <si>
    <t>smri_thick_cdk_sutmrh</t>
  </si>
  <si>
    <t>smri_vol_cdk_smrh</t>
  </si>
  <si>
    <t>smri_thick_cdk_smrh</t>
  </si>
  <si>
    <t>smri_vol_cdk_frpolerh</t>
  </si>
  <si>
    <t>smri_thick_cdk_frpolerh</t>
  </si>
  <si>
    <t>smri_vol_cdk_tmpolerh</t>
  </si>
  <si>
    <t>smri_thick_cdk_tmpolerh</t>
  </si>
  <si>
    <t>smri_vol_cdk_trvtmrh</t>
  </si>
  <si>
    <t>smri_thick_cdk_trvtmrh</t>
  </si>
  <si>
    <t>smri_vol_cdk_insularh</t>
  </si>
  <si>
    <t>smri_thick_cdk_insularh</t>
  </si>
  <si>
    <t>smri_vol_scs_ltventriclelh</t>
  </si>
  <si>
    <t>smri_vol_scs_inflatventlh</t>
  </si>
  <si>
    <t>smri_vol_scs_crbwmatterlh</t>
  </si>
  <si>
    <t>smri_vol_scs_crbcortexlh</t>
  </si>
  <si>
    <t>smri_vol_scs_tplh</t>
  </si>
  <si>
    <t>smri_vol_scs_caudatelh</t>
  </si>
  <si>
    <t>smri_vol_scs_putamenlh</t>
  </si>
  <si>
    <t>smri_vol_scs_pallidumlh</t>
  </si>
  <si>
    <t>smri_vol_scs_3rdventricle</t>
  </si>
  <si>
    <t>smri_vol_scs_4thventricle</t>
  </si>
  <si>
    <t>smri_vol_scs_bstem</t>
  </si>
  <si>
    <t>smri_vol_scs_hpuslh</t>
  </si>
  <si>
    <t>smri_vol_scs_amygdalalh</t>
  </si>
  <si>
    <t>smri_vol_scs_csf</t>
  </si>
  <si>
    <t>smri_vol_scs_aal</t>
  </si>
  <si>
    <t>smri_vol_scs_vedclh</t>
  </si>
  <si>
    <t>smri_vol_scs_ltventriclerh</t>
  </si>
  <si>
    <t>smri_vol_scs_inflatventrh</t>
  </si>
  <si>
    <t>smri_vol_scs_crbwmatterrh</t>
  </si>
  <si>
    <t>smri_vol_scs_crbcortexrh</t>
  </si>
  <si>
    <t>smri_vol_scs_tprh</t>
  </si>
  <si>
    <t>smri_vol_scs_caudaterh</t>
  </si>
  <si>
    <t>smri_vol_scs_putamenrh</t>
  </si>
  <si>
    <t>smri_vol_scs_pallidumrh</t>
  </si>
  <si>
    <t>smri_vol_scs_hpusrh</t>
  </si>
  <si>
    <t>smri_vol_scs_amygdalarh</t>
  </si>
  <si>
    <t>smri_vol_scs_aar</t>
  </si>
  <si>
    <t>smri_vol_scs_vedcrh</t>
  </si>
  <si>
    <t>smri_vol_scs_ccps</t>
  </si>
  <si>
    <t>smri_vol_scs_ccmidps</t>
  </si>
  <si>
    <t>smri_vol_scs_ccct</t>
  </si>
  <si>
    <t>smri_vol_scs_ccmidat</t>
  </si>
  <si>
    <t>smri_vol_scs_ccat</t>
  </si>
  <si>
    <t>smri_vol_scs_latventricles</t>
  </si>
  <si>
    <t>smri_vol_scs_allventricles</t>
  </si>
  <si>
    <t>outcome</t>
  </si>
  <si>
    <t>Indirect effect beta</t>
  </si>
  <si>
    <t>CI lower</t>
  </si>
  <si>
    <t>CI upper</t>
  </si>
  <si>
    <t>Indirect effect Pval</t>
  </si>
  <si>
    <t>Direct effect beta</t>
  </si>
  <si>
    <t>Direct effect Pval</t>
  </si>
  <si>
    <t>Note. Item totals (i.e., # items) reflect all items included in the data dictionary for the relevant measure as well as summary scores for the relevant measure, with the exceptions of items included in all data dictionaries (e.g., subjectkey, interview_date, sex, eventname). Items were considered irrelevant if they were redundant with another included item (e.g., _calc items) or provided tangential information (e.g., number missing). Relevant items were examined for sufficient endorsement and were excluded if fewer than 100 provided data (for continuous items) or endorsed any level (for categorical items). Please contact authors if questions arise.</t>
  </si>
  <si>
    <t>ADHD</t>
  </si>
  <si>
    <t>AN</t>
  </si>
  <si>
    <t>ASD</t>
  </si>
  <si>
    <t>GAD</t>
  </si>
  <si>
    <t>MDD</t>
  </si>
  <si>
    <t>OCD</t>
  </si>
  <si>
    <t>PAU</t>
  </si>
  <si>
    <t>PTSD</t>
  </si>
  <si>
    <t>SCZ</t>
  </si>
  <si>
    <t>TS</t>
  </si>
  <si>
    <t>BiP</t>
  </si>
  <si>
    <t>Factor</t>
  </si>
  <si>
    <t>Indicator</t>
  </si>
  <si>
    <t>Loading</t>
  </si>
  <si>
    <t>Compulsive</t>
  </si>
  <si>
    <t>Psychotic</t>
  </si>
  <si>
    <t>Neurodevelopmental</t>
  </si>
  <si>
    <t>----</t>
  </si>
  <si>
    <t>Internalizing</t>
  </si>
  <si>
    <t>Model</t>
  </si>
  <si>
    <t>chisq</t>
  </si>
  <si>
    <t>df</t>
  </si>
  <si>
    <t>AIC</t>
  </si>
  <si>
    <t>CFI</t>
  </si>
  <si>
    <t>SRMR</t>
  </si>
  <si>
    <t>Correlated Factors</t>
  </si>
  <si>
    <t>Hierarchical</t>
  </si>
  <si>
    <t>Correlated Factors, insignificant loadings and covariances removed</t>
  </si>
  <si>
    <t>Correlated Factors, negative loading and 0 covariance removed</t>
  </si>
  <si>
    <t>Correlated Factors, negative loading removed</t>
  </si>
  <si>
    <r>
      <rPr>
        <i/>
        <sz val="12"/>
        <color theme="1"/>
        <rFont val="Calibri"/>
        <family val="2"/>
        <scheme val="minor"/>
      </rPr>
      <t>Note.</t>
    </r>
    <r>
      <rPr>
        <sz val="12"/>
        <color theme="1"/>
        <rFont val="Calibri"/>
        <family val="2"/>
        <scheme val="minor"/>
      </rPr>
      <t xml:space="preserve"> Item totals (i.e., # items) reflect all items included in the data dictionary for the relevant measure as well as summary scores for the relevant measure, with the exceptions of items included in all data dictionaries (e.g., subjectkey, interview_date, sex, eventname). Items were considered irrelevant if they were redundant with another included item (e.g., _calc items) or provided tangential information (e.g., number missing). Relevant items were examined for sufficient endorsement and were excluded if fewer than 100 provided data (for continuous items) or endorsed any level (for categorical items). Please contact authors if questions arise.</t>
    </r>
  </si>
  <si>
    <t>P-Factor</t>
  </si>
  <si>
    <t>Comp</t>
  </si>
  <si>
    <t>Psych</t>
  </si>
  <si>
    <t>Neur</t>
  </si>
  <si>
    <t>Int</t>
  </si>
  <si>
    <r>
      <t>Note.</t>
    </r>
    <r>
      <rPr>
        <sz val="12"/>
        <color theme="1"/>
        <rFont val="Calibri"/>
        <family val="2"/>
        <scheme val="minor"/>
      </rPr>
      <t xml:space="preserve"> Factor loadings for CFA models tested using the GenomicSEM R package. OCD = Obsessive-Compulsive Disorder; AN = Anorexia Nervosa; TS = Tourette's Syndrome; SCZ = Schizophrenia; BiP = Bipolar Disorder; PAU = Problematic Alcohol Use; ADHD = Attention-Deficit/Hyperactivity Disorder; ASD = Autism Spectrum Disorder; PTSD = Posttraumatic Stress Disorder; MDD = Major Depressive Disorder; GAD = Generalized Anxiety Disorder</t>
    </r>
  </si>
  <si>
    <r>
      <t xml:space="preserve">Note. </t>
    </r>
    <r>
      <rPr>
        <sz val="12"/>
        <color theme="1"/>
        <rFont val="Calibri"/>
        <family val="2"/>
        <scheme val="minor"/>
      </rPr>
      <t>CFA models were estimated using LDSC-estimated genetic covariances within the GenomicSEM R package</t>
    </r>
  </si>
  <si>
    <t>NDA Measure Name</t>
  </si>
  <si>
    <t>abcd_ysu02</t>
  </si>
  <si>
    <t>yalcs01</t>
  </si>
  <si>
    <t>abcd_yn01</t>
  </si>
  <si>
    <t>abcd_yhr01</t>
  </si>
  <si>
    <t>abcd_ytt01</t>
  </si>
  <si>
    <t>prq01</t>
  </si>
  <si>
    <t>abcd_crpf01</t>
  </si>
  <si>
    <t>Parent Screen Time Survey</t>
  </si>
  <si>
    <t>stq01</t>
  </si>
  <si>
    <t>Youth Screen Time Survey</t>
  </si>
  <si>
    <t>abcd_stq01</t>
  </si>
  <si>
    <t>Parent Demographics Survey</t>
  </si>
  <si>
    <t>pdem02</t>
  </si>
  <si>
    <t>Youth NIH TB Summary Scores</t>
  </si>
  <si>
    <t>abcd_tbss01</t>
  </si>
  <si>
    <t>lmtp201</t>
  </si>
  <si>
    <t>Rey Auditory Verbal Learning Test</t>
  </si>
  <si>
    <t>abcd_ps01</t>
  </si>
  <si>
    <t>cct01</t>
  </si>
  <si>
    <t>Parent Prosocial Behavior Survey</t>
  </si>
  <si>
    <t>psb01</t>
  </si>
  <si>
    <t>Youth Prosocial Behavior Survey</t>
  </si>
  <si>
    <t>abcd_psb01</t>
  </si>
  <si>
    <t>abcd_rhds01</t>
  </si>
  <si>
    <t>School Risk &amp; Protective Factors Survey</t>
  </si>
  <si>
    <t>srpf01</t>
  </si>
  <si>
    <t>Children's Report of Parental Behavior Inventory</t>
  </si>
  <si>
    <t>crpbi01</t>
  </si>
  <si>
    <t>Parent Family Environment Scale</t>
  </si>
  <si>
    <t>fes02</t>
  </si>
  <si>
    <t>Youth Family Environment Scale</t>
  </si>
  <si>
    <t>abcd_fes01</t>
  </si>
  <si>
    <t>Parent Neighborhood Safety/Crime Survey</t>
  </si>
  <si>
    <t>Youth Neighborhood Safety/Crime Survey</t>
  </si>
  <si>
    <t>abcd_nsc01</t>
  </si>
  <si>
    <t>abcd_pnsc01</t>
  </si>
  <si>
    <t>Parental Monitoring Survey</t>
  </si>
  <si>
    <t>pmq01</t>
  </si>
  <si>
    <t>dhx01, abcd_devhxss01</t>
  </si>
  <si>
    <t>Parent Ohio State Traumatic Brain Injury Screen</t>
  </si>
  <si>
    <t>abcd_otbi01, abcd_tbi01</t>
  </si>
  <si>
    <t>abcd_mx01, abcd_medhxss01</t>
  </si>
  <si>
    <t>Parent Sleep Disturbance Scale for Children</t>
  </si>
  <si>
    <t>abcd_sds01</t>
  </si>
  <si>
    <t>Parent Sports and Activities Involvement Questionnaire</t>
  </si>
  <si>
    <t>abcd_saiq02</t>
  </si>
  <si>
    <t>Youth Pubertal Development Scale and Menstrual Cycle Survey History</t>
  </si>
  <si>
    <t>abcd_ypdms01</t>
  </si>
  <si>
    <t>Parent Pubertal Development Scale and Menstrual Cycle Survey History</t>
  </si>
  <si>
    <t>abcd_ppdms01</t>
  </si>
  <si>
    <t>Pubertal Hormone Saliva, Hormone Saliva Salimetric Scores</t>
  </si>
  <si>
    <t>sph01, abcd_hsss01</t>
  </si>
  <si>
    <t>Youth Anthropometrics</t>
  </si>
  <si>
    <t>abcd_ant01</t>
  </si>
  <si>
    <t>Parent Adult Self Report</t>
  </si>
  <si>
    <t>pasr01, abcd_asrs01</t>
  </si>
  <si>
    <t>Parent Family History Summary Scores</t>
  </si>
  <si>
    <t>abcd_fhxssp01</t>
  </si>
  <si>
    <t>Parent Diagnostic Interview for DSM-5 Full (KSADS-5)</t>
  </si>
  <si>
    <t>abcd_ksad01</t>
  </si>
  <si>
    <t>Youth Diagnostic Interview for DSM-5 5 (KSADS-5)</t>
  </si>
  <si>
    <t>abcd_ksad501</t>
  </si>
  <si>
    <t>Youth Diagnostic Interview for DSM-5 Background Items 5 (KSADS-5)</t>
  </si>
  <si>
    <t>abcd_yksad01</t>
  </si>
  <si>
    <t>Parent Diagnostic Interview for DSM-5 Background Items Full (KSADS-5)</t>
  </si>
  <si>
    <t>dibf01</t>
  </si>
  <si>
    <t>Prodromal Psychosis Scale</t>
  </si>
  <si>
    <t>pps01</t>
  </si>
  <si>
    <t>Parent Child Behavior Checklist</t>
  </si>
  <si>
    <t>abcd_cbcl01, abcd_cbcls01</t>
  </si>
  <si>
    <t>Brief Problem Monitor-Teacher Form for Ages 6-18</t>
  </si>
  <si>
    <t>Parent General Behavior Inventory-Mania</t>
  </si>
  <si>
    <t>abcd_pgbi01</t>
  </si>
  <si>
    <t>Other Resilience</t>
  </si>
  <si>
    <t>abcd_ysr01</t>
  </si>
  <si>
    <t>UPPS-P for Children Short Form</t>
  </si>
  <si>
    <t>abcd_upps01</t>
  </si>
  <si>
    <t>Youth Behavioral Inhibition/Behavioral Approach System Scales</t>
  </si>
  <si>
    <t>abcd_bisbas01</t>
  </si>
  <si>
    <t>Youth Substance Use Introduction and Patterns</t>
  </si>
  <si>
    <t>abcd_ysuip01</t>
  </si>
  <si>
    <t>Youth Substance Use Attitudes</t>
  </si>
  <si>
    <t>abcd_ysua01</t>
  </si>
  <si>
    <t xml:space="preserve">    PATH Intention to Use</t>
  </si>
  <si>
    <t>abcd_yam01</t>
  </si>
  <si>
    <t>Parental Rules on Substance Use</t>
  </si>
  <si>
    <t>abcd_ynm01</t>
  </si>
  <si>
    <t>Youth Marijuana Illicit Drug Measures</t>
  </si>
  <si>
    <t>abcd_ymidm01</t>
  </si>
  <si>
    <t>abcd_ycrpf01</t>
  </si>
  <si>
    <t>Longitudinal Parent Demographics Survey</t>
  </si>
  <si>
    <t>abcd_lpds01</t>
  </si>
  <si>
    <t>Youth Discrimination measure</t>
  </si>
  <si>
    <t>abcd_ydmes01</t>
  </si>
  <si>
    <t>Youth Peer Behavior Profile</t>
  </si>
  <si>
    <t>abcd_pbp01</t>
  </si>
  <si>
    <t>Youth Peer Network Health Protective Scaler</t>
  </si>
  <si>
    <t>abcd_pnhps01</t>
  </si>
  <si>
    <t>Parent School Attendance and Grades</t>
  </si>
  <si>
    <t>abcd_saag01</t>
  </si>
  <si>
    <t>Youth School Attendance and Grades</t>
  </si>
  <si>
    <t>abcd_ysaag01</t>
  </si>
  <si>
    <t>Parent PhenX Community Cohesion</t>
  </si>
  <si>
    <t>abcd_pxccp01</t>
  </si>
  <si>
    <t>Youth Life Events</t>
  </si>
  <si>
    <t>abcd_yle01</t>
  </si>
  <si>
    <t>Parent Life Events</t>
  </si>
  <si>
    <t>abcd_ple01</t>
  </si>
  <si>
    <t>Cyber Bully</t>
  </si>
  <si>
    <t>abcd_cb01</t>
  </si>
  <si>
    <t>Longitudinal Parent Medical History Questionnaire</t>
  </si>
  <si>
    <t>abcd_lpmh01, abcd_lssmh01</t>
  </si>
  <si>
    <t>abcd_ybd01</t>
  </si>
  <si>
    <t>Youth Blood Pressure</t>
  </si>
  <si>
    <t>abcd_bp01</t>
  </si>
  <si>
    <t>Youth Munich Chronotype Questionnaire</t>
  </si>
  <si>
    <t>abcd_mcqc01</t>
  </si>
  <si>
    <t>Pain Questionnaire</t>
  </si>
  <si>
    <t>abcd_pq01</t>
  </si>
  <si>
    <t>Youth Risk Behavior Survey Exercise Physical Activity</t>
  </si>
  <si>
    <t>abcd_yrb01</t>
  </si>
  <si>
    <t>Parent Medications Survey Inventory</t>
  </si>
  <si>
    <t>medsy01</t>
  </si>
  <si>
    <t>Longitudinal Parent Ohio State Traumatic Brain Injury Screen</t>
  </si>
  <si>
    <t>abcd_lpohstbi01, abcd_lsstbi01</t>
  </si>
  <si>
    <t>Locus</t>
  </si>
  <si>
    <t>Locus Unique ID</t>
  </si>
  <si>
    <t>CHR</t>
  </si>
  <si>
    <t>BP</t>
  </si>
  <si>
    <t>P-value</t>
  </si>
  <si>
    <t>rsID</t>
  </si>
  <si>
    <t>2:54127754:C:G</t>
  </si>
  <si>
    <t>rs12162343</t>
  </si>
  <si>
    <t>3:48718388:C:G</t>
  </si>
  <si>
    <t>rs9877794</t>
  </si>
  <si>
    <t>3:48724811:C:T</t>
  </si>
  <si>
    <t>rs4858828</t>
  </si>
  <si>
    <t>3:48938762:C:T</t>
  </si>
  <si>
    <t>rs11712982</t>
  </si>
  <si>
    <t>3:48940875:A:G</t>
  </si>
  <si>
    <t>rs55674449</t>
  </si>
  <si>
    <t>3:49113729:C:T</t>
  </si>
  <si>
    <t>rs73082362</t>
  </si>
  <si>
    <t>3:49200137:G:T</t>
  </si>
  <si>
    <t>rs1134043</t>
  </si>
  <si>
    <t>3:50189531:G:T</t>
  </si>
  <si>
    <t>rs73080977</t>
  </si>
  <si>
    <t>3:62560804:A:C</t>
  </si>
  <si>
    <t>rs833654</t>
  </si>
  <si>
    <t>4:109933872:A:G</t>
  </si>
  <si>
    <t>rs186039389</t>
  </si>
  <si>
    <t>5:106513762:C:T</t>
  </si>
  <si>
    <t>rs17452122</t>
  </si>
  <si>
    <t>7:93910024:A:G</t>
  </si>
  <si>
    <t>rs983892</t>
  </si>
  <si>
    <t>8:143316970:A:G</t>
  </si>
  <si>
    <t>rs13262595</t>
  </si>
  <si>
    <t>10:75864372:C:G</t>
  </si>
  <si>
    <t>rs2131959</t>
  </si>
  <si>
    <t>11:58767127:G:T</t>
  </si>
  <si>
    <t>rs143927602</t>
  </si>
  <si>
    <t>11:115096956:A:T</t>
  </si>
  <si>
    <t>rs6589488</t>
  </si>
  <si>
    <t>11:115134635:A:C</t>
  </si>
  <si>
    <t>rs72994087</t>
  </si>
  <si>
    <t>12:49887733:C:T</t>
  </si>
  <si>
    <t>rs12315996</t>
  </si>
  <si>
    <t>Resting state functional connectivity (rs-fMRI)</t>
  </si>
  <si>
    <t>Diffusion Tensor Imaging (DTI)</t>
  </si>
  <si>
    <t>Structural MRI (sMRI)</t>
  </si>
  <si>
    <t xml:space="preserve">    Global Metrics</t>
  </si>
  <si>
    <t xml:space="preserve">    Regional Metrics</t>
  </si>
  <si>
    <t>Youth Block Food Screen</t>
  </si>
  <si>
    <t>abcd_bkfs01</t>
  </si>
  <si>
    <t>Parent Gender Identity</t>
  </si>
  <si>
    <t>abcd_pgi01</t>
  </si>
  <si>
    <t>Youth Gender Identity</t>
  </si>
  <si>
    <t>abcd_ygi01</t>
  </si>
  <si>
    <t>Adult Behavior Checklist</t>
  </si>
  <si>
    <t>Parent Diagnostic Interview for DSM-5 (KSADS) Traumatic Events</t>
  </si>
  <si>
    <t>abcd_ptsd01</t>
  </si>
  <si>
    <t>abcd_bpmt01, abcd_ssbpmtf01.txt</t>
  </si>
  <si>
    <t>abcd_bpm01</t>
  </si>
  <si>
    <t>Youth 7-Up Mania Items</t>
  </si>
  <si>
    <t>abcd_y7mi01</t>
  </si>
  <si>
    <t>Youth NIH Toolbox Positive Affect Items</t>
  </si>
  <si>
    <t>abcd_ytbpai01</t>
  </si>
  <si>
    <t>abcd_peq01</t>
  </si>
  <si>
    <t>Early Adolescent Temperament Questionnaire Parent</t>
  </si>
  <si>
    <t>abcd_eatqp01</t>
  </si>
  <si>
    <t>Occupation Survey Parent</t>
  </si>
  <si>
    <t>abcd_occsp01</t>
  </si>
  <si>
    <t>Parent Short Social Responsiveness Scale</t>
  </si>
  <si>
    <t>abcd_pssrs01</t>
  </si>
  <si>
    <t>abcd_smrip101/abcd_smrip102</t>
  </si>
  <si>
    <t>abcd_betnet02</t>
  </si>
  <si>
    <t>abcd_dti_p101</t>
  </si>
  <si>
    <t>For address-specific items, only Address 1 was considered; reshist_state_mj_law values of 4 recoded to NA</t>
  </si>
  <si>
    <t>Where multiple versions of the same item existed, retained only Z-scores. Included nationally-normed but not state- or metro-normed items. Retained annual average scores only for NO2, O3, and particulate matter estimates; reshist_state_mj_law values of 4 recoded to NA</t>
  </si>
  <si>
    <t>Values of 6 and 7 recoded to NA</t>
  </si>
  <si>
    <t>Bonferroni P-val</t>
  </si>
  <si>
    <t>ple_law_fu2_y</t>
  </si>
  <si>
    <t>ple_jail_fu2_y</t>
  </si>
  <si>
    <t>ple_law_fu2_p</t>
  </si>
  <si>
    <t>screentime_sq2_phoneoff</t>
  </si>
  <si>
    <t>screentime_sq2_ringeron</t>
  </si>
  <si>
    <t>N</t>
  </si>
  <si>
    <t>Data were extracted from release 4.0 due to inconsistencies with the 3.0 release</t>
  </si>
  <si>
    <t>NA values on "use" items replaced with 0s when "heard of" items were not missing; Irrelevant items: past-6-month items, items ending in "_dk", "_date", "_max", "_use", "_lt", "_last" due to redundancy</t>
  </si>
  <si>
    <t>recoded tlfb_list_l_1, 3, 7, 12, 18, as well as tlfb heard of for alc, tob, mj, mj synth, bitta, inhalant, caffeine, rx misuse, tlfb list yes/no, and alc_sip to merge with baseline (any heard of or use at either time point considered); 95 items for 6mo/past year/xskip removed; 34 _date items removed; 30 _calc or _l items removed depending on which gave more information</t>
  </si>
  <si>
    <t>"_calc" items used instead where available; categorical items merged with baseline; su_isip_1b_calc_l left as reported at 2-year follow-up; age first sip merged across waves (if reported different ages at both waves, first report retained)</t>
  </si>
  <si>
    <t>recoded -1, 777,999 as NAs; for kbi_p_c_drop_in_grades , kbi_p_c_det_susp 2=0; for kbi_p_c_best_friend, kbi_p_c_reg_friend_group,  kbi_p_c_det_susp, kbi_p_c_mh_sa 3=NA; for kbi_p_c_gay, kbi_p_c_gay_problems, kbi_y_sex_orient 4=NA; for kbi_new_school_setting_l 0=public, 1=regular private, 2=home school</t>
  </si>
  <si>
    <t>su_caff_intake_1_calc</t>
  </si>
  <si>
    <t>su_caff_intake_3_calc</t>
  </si>
  <si>
    <t>su_caff_intake_4_calc</t>
  </si>
  <si>
    <t>su_caff_intake_6_calc</t>
  </si>
  <si>
    <t>su_caff_intake_9_calc</t>
  </si>
  <si>
    <t>su_caff_max_calc</t>
  </si>
  <si>
    <t>parent_rules_q6</t>
  </si>
  <si>
    <t>parent_rules_q9</t>
  </si>
  <si>
    <t>su_caff_ss_sum_calc</t>
  </si>
  <si>
    <t>sai_ss_music_nyr_p</t>
  </si>
  <si>
    <t>sai_ss_read_years_p</t>
  </si>
  <si>
    <t>screen_wkdy_y</t>
  </si>
  <si>
    <t>screentime1_p_composite</t>
  </si>
  <si>
    <t>screentime2_p_composite</t>
  </si>
  <si>
    <t>pps_ss_mean_severity</t>
  </si>
  <si>
    <t>demo_yrs_1</t>
  </si>
  <si>
    <t>demo_yrs_2</t>
  </si>
  <si>
    <t>abcd_bpmt01, abcd_ssbpmtf01</t>
  </si>
  <si>
    <t>recoded 777,999 as NAs; recoded demo_prnt_prtnr_v2_l, demo_prnt_prtnr_bio_l 2=0; recoded demo_prnt_empl_v2_l and demo_prtnr_empl_v2_l 1=full time employment|0=all other responses besidees full time; recoded demo_prnt_ed_v2_2yr_l and demo_prtnr_ed_v2_2yr_l 22 and 23 = 15 (to match baseline)</t>
  </si>
  <si>
    <t>Values for pulse averaged to compute mean pulse across 3 time points, as was already done for systolic and diastolic blood pressure values</t>
  </si>
  <si>
    <r>
      <rPr>
        <i/>
        <sz val="12"/>
        <color theme="1"/>
        <rFont val="Calibri"/>
        <family val="2"/>
        <scheme val="minor"/>
      </rPr>
      <t>Note.</t>
    </r>
    <r>
      <rPr>
        <sz val="12"/>
        <color theme="1"/>
        <rFont val="Calibri"/>
        <family val="2"/>
        <scheme val="minor"/>
      </rPr>
      <t xml:space="preserve"> Associations between each PRS and global imaging metrics were tested with the lme4 R package. Covariates include age, sex, first 10 ancestral principal components, MRI scanner type; mean motion for DTI analyses; random intercepts for family and study site</t>
    </r>
  </si>
  <si>
    <t>dmri_dtimd_fiberat_allfibers</t>
  </si>
  <si>
    <r>
      <rPr>
        <i/>
        <sz val="12"/>
        <color theme="1"/>
        <rFont val="Calibri"/>
        <family val="2"/>
        <scheme val="minor"/>
      </rPr>
      <t>Note.</t>
    </r>
    <r>
      <rPr>
        <sz val="12"/>
        <color theme="1"/>
        <rFont val="Calibri"/>
        <family val="2"/>
        <scheme val="minor"/>
      </rPr>
      <t xml:space="preserve"> Mixed effects models were conducted using the lme4 R package to examine associations between each PRS and regional cortical volume metrics. Covariates include age, sex, first 10 ancestral principal components, MRI scanner type, total cortical volume; random intercepts for family and study site
							</t>
    </r>
  </si>
  <si>
    <t>smri_area_cdk_banksstslh</t>
  </si>
  <si>
    <t>smri_area_cdk_cdacatelh</t>
  </si>
  <si>
    <t>smri_area_cdk_cdmdfrlh</t>
  </si>
  <si>
    <t>smri_area_cdk_cuneuslh</t>
  </si>
  <si>
    <t>smri_area_cdk_ehinallh</t>
  </si>
  <si>
    <t>smri_area_cdk_fusiformlh</t>
  </si>
  <si>
    <t>smri_area_cdk_ifpllh</t>
  </si>
  <si>
    <t>smri_area_cdk_iftmlh</t>
  </si>
  <si>
    <t>smri_area_cdk_ihcatelh</t>
  </si>
  <si>
    <t>smri_area_cdk_locclh</t>
  </si>
  <si>
    <t>smri_area_cdk_lobfrlh</t>
  </si>
  <si>
    <t>smri_area_cdk_linguallh</t>
  </si>
  <si>
    <t>smri_area_cdk_mobfrlh</t>
  </si>
  <si>
    <t>smri_area_cdk_mdtmlh</t>
  </si>
  <si>
    <t>smri_area_cdk_parahpallh</t>
  </si>
  <si>
    <t>smri_area_cdk_paracnlh</t>
  </si>
  <si>
    <t>smri_area_cdk_parsopclh</t>
  </si>
  <si>
    <t>smri_area_cdk_parsobislh</t>
  </si>
  <si>
    <t>smri_area_cdk_parstgrislh</t>
  </si>
  <si>
    <t>smri_area_cdk_pericclh</t>
  </si>
  <si>
    <t>smri_area_cdk_postcnlh</t>
  </si>
  <si>
    <t>smri_area_cdk_ptcatelh</t>
  </si>
  <si>
    <t>smri_area_cdk_precnlh</t>
  </si>
  <si>
    <t>smri_area_cdk_pclh</t>
  </si>
  <si>
    <t>smri_area_cdk_rracatelh</t>
  </si>
  <si>
    <t>smri_area_cdk_rrmdfrlh</t>
  </si>
  <si>
    <t>smri_area_cdk_sufrlh</t>
  </si>
  <si>
    <t>smri_area_cdk_supllh</t>
  </si>
  <si>
    <t>smri_area_cdk_sutmlh</t>
  </si>
  <si>
    <t>smri_area_cdk_smlh</t>
  </si>
  <si>
    <t>smri_area_cdk_frpolelh</t>
  </si>
  <si>
    <t>smri_area_cdk_tmpolelh</t>
  </si>
  <si>
    <t>smri_area_cdk_trvtmlh</t>
  </si>
  <si>
    <t>smri_area_cdk_insulalh</t>
  </si>
  <si>
    <t>smri_area_cdk_banksstsrh</t>
  </si>
  <si>
    <t>smri_area_cdk_cdacaterh</t>
  </si>
  <si>
    <t>smri_area_cdk_cdmdfrrh</t>
  </si>
  <si>
    <t>smri_area_cdk_cuneusrh</t>
  </si>
  <si>
    <t>smri_area_cdk_ehinalrh</t>
  </si>
  <si>
    <t>smri_area_cdk_fusiformrh</t>
  </si>
  <si>
    <t>smri_area_cdk_ifplrh</t>
  </si>
  <si>
    <t>smri_area_cdk_iftmrh</t>
  </si>
  <si>
    <t>smri_area_cdk_ihcaterh</t>
  </si>
  <si>
    <t>smri_area_cdk_loccrh</t>
  </si>
  <si>
    <t>smri_area_cdk_lobfrrh</t>
  </si>
  <si>
    <t>smri_area_cdk_lingualrh</t>
  </si>
  <si>
    <t>smri_area_cdk_mobfrrh</t>
  </si>
  <si>
    <t>smri_area_cdk_mdtmrh</t>
  </si>
  <si>
    <t>smri_area_cdk_parahpalrh</t>
  </si>
  <si>
    <t>smri_area_cdk_paracnrh</t>
  </si>
  <si>
    <t>smri_area_cdk_parsopcrh</t>
  </si>
  <si>
    <t>smri_area_cdk_parsobisrh</t>
  </si>
  <si>
    <t>smri_area_cdk_parstgrisrh</t>
  </si>
  <si>
    <t>smri_area_cdk_periccrh</t>
  </si>
  <si>
    <t>smri_area_cdk_postcnrh</t>
  </si>
  <si>
    <t>smri_area_cdk_ptcaterh</t>
  </si>
  <si>
    <t>smri_area_cdk_precnrh</t>
  </si>
  <si>
    <t>smri_area_cdk_pcrh</t>
  </si>
  <si>
    <t>smri_area_cdk_rracaterh</t>
  </si>
  <si>
    <t>smri_area_cdk_rrmdfrrh</t>
  </si>
  <si>
    <t>smri_area_cdk_sufrrh</t>
  </si>
  <si>
    <t>smri_area_cdk_suplrh</t>
  </si>
  <si>
    <t>smri_area_cdk_sutmrh</t>
  </si>
  <si>
    <t>smri_area_cdk_smrh</t>
  </si>
  <si>
    <t>smri_area_cdk_frpolerh</t>
  </si>
  <si>
    <t>smri_area_cdk_tmpolerh</t>
  </si>
  <si>
    <t>smri_area_cdk_trvtmrh</t>
  </si>
  <si>
    <t>smri_area_cdk_insularh</t>
  </si>
  <si>
    <r>
      <rPr>
        <i/>
        <sz val="12"/>
        <color theme="1"/>
        <rFont val="Calibri"/>
        <family val="2"/>
        <scheme val="minor"/>
      </rPr>
      <t>Note.</t>
    </r>
    <r>
      <rPr>
        <sz val="12"/>
        <color theme="1"/>
        <rFont val="Calibri"/>
        <family val="2"/>
        <scheme val="minor"/>
      </rPr>
      <t xml:space="preserve"> Mixed effects models were conducted using the lme4 R package to examine associations between each PRS and regional cortical thickness metrics. Covariates include age, sex, first 10 ancestral principal components, MRI scanner type, mean cortical thickness; random intercepts for family and study site
							</t>
    </r>
  </si>
  <si>
    <r>
      <rPr>
        <i/>
        <sz val="12"/>
        <color theme="1"/>
        <rFont val="Calibri"/>
        <family val="2"/>
        <scheme val="minor"/>
      </rPr>
      <t>Note.</t>
    </r>
    <r>
      <rPr>
        <sz val="12"/>
        <color theme="1"/>
        <rFont val="Calibri"/>
        <family val="2"/>
        <scheme val="minor"/>
      </rPr>
      <t xml:space="preserve"> Mixed effects models were conducted using the lme4 R package to examine associations between each PRS and regional cortical surface area metrics. Covariates include age, sex, first 10 ancestral principal components, MRI scanner type, total cortical surface area; random intercepts for family and study site
							</t>
    </r>
  </si>
  <si>
    <r>
      <rPr>
        <i/>
        <sz val="12"/>
        <color theme="1"/>
        <rFont val="Calibri"/>
        <family val="2"/>
        <scheme val="minor"/>
      </rPr>
      <t>Note.</t>
    </r>
    <r>
      <rPr>
        <sz val="12"/>
        <color theme="1"/>
        <rFont val="Calibri"/>
        <family val="2"/>
        <scheme val="minor"/>
      </rPr>
      <t xml:space="preserve"> Mixed effects models were conducted using the lme4 R package to examine associations between each PRS and regional subcortical volume metrics. Covariates include age, sex, first 10 ancestral principal components, MRI scanner type, total subcortical gray matter volume; random intercepts for family and study site
							</t>
    </r>
  </si>
  <si>
    <r>
      <rPr>
        <i/>
        <sz val="12"/>
        <color theme="1"/>
        <rFont val="Calibri"/>
        <family val="2"/>
        <scheme val="minor"/>
      </rPr>
      <t>Note.</t>
    </r>
    <r>
      <rPr>
        <sz val="12"/>
        <color theme="1"/>
        <rFont val="Calibri"/>
        <family val="2"/>
        <scheme val="minor"/>
      </rPr>
      <t xml:space="preserve"> Mixed effects models were conducted using the lme4 R package to examine associations between each PRS and within- and across-network resting state functional connectivity metrics. Covariates include age, sex, first 10 ancestral principal components, MRI scanner type, mean motion; random intercepts for family and study site
							</t>
    </r>
  </si>
  <si>
    <t>rsfmri_c_ngd_ad_ngd_cgc</t>
  </si>
  <si>
    <t>rsfmri_c_ngd_ad_ngd_ca</t>
  </si>
  <si>
    <t>rsfmri_c_ngd_ad_ngd_dt</t>
  </si>
  <si>
    <t>rsfmri_c_ngd_ad_ngd_dla</t>
  </si>
  <si>
    <t>rsfmri_c_ngd_ad_ngd_fo</t>
  </si>
  <si>
    <t>rsfmri_c_ngd_ad_ngd_n</t>
  </si>
  <si>
    <t>rsfmri_c_ngd_ad_ngd_rspltp</t>
  </si>
  <si>
    <t>rsfmri_c_ngd_ad_ngd_smh</t>
  </si>
  <si>
    <t>rsfmri_c_ngd_ad_ngd_smm</t>
  </si>
  <si>
    <t>rsfmri_c_ngd_ad_ngd_sa</t>
  </si>
  <si>
    <t>rsfmri_c_ngd_ad_ngd_vta</t>
  </si>
  <si>
    <t>rsfmri_c_ngd_ad_ngd_vs</t>
  </si>
  <si>
    <t>rsfmri_c_ngd_cgc_ngd_dt</t>
  </si>
  <si>
    <t>rsfmri_c_ngd_cgc_ngd_dla</t>
  </si>
  <si>
    <t>rsfmri_c_ngd_cgc_ngd_fo</t>
  </si>
  <si>
    <t>rsfmri_c_ngd_cgc_ngd_n</t>
  </si>
  <si>
    <t>rsfmri_c_ngd_cgc_ngd_rspltp</t>
  </si>
  <si>
    <t>rsfmri_c_ngd_cgc_ngd_smh</t>
  </si>
  <si>
    <t>rsfmri_c_ngd_cgc_ngd_smm</t>
  </si>
  <si>
    <t>rsfmri_c_ngd_cgc_ngd_sa</t>
  </si>
  <si>
    <t>rsfmri_c_ngd_cgc_ngd_vta</t>
  </si>
  <si>
    <t>rsfmri_c_ngd_cgc_ngd_vs</t>
  </si>
  <si>
    <t>rsfmri_c_ngd_ca_ngd_cgc</t>
  </si>
  <si>
    <t>rsfmri_c_ngd_ca_ngd_dt</t>
  </si>
  <si>
    <t>rsfmri_c_ngd_ca_ngd_dla</t>
  </si>
  <si>
    <t>rsfmri_c_ngd_ca_ngd_fo</t>
  </si>
  <si>
    <t>rsfmri_c_ngd_ca_ngd_n</t>
  </si>
  <si>
    <t>rsfmri_c_ngd_ca_ngd_rspltp</t>
  </si>
  <si>
    <t>rsfmri_c_ngd_ca_ngd_smh</t>
  </si>
  <si>
    <t>rsfmri_c_ngd_ca_ngd_smm</t>
  </si>
  <si>
    <t>rsfmri_c_ngd_ca_ngd_sa</t>
  </si>
  <si>
    <t>rsfmri_c_ngd_ca_ngd_vta</t>
  </si>
  <si>
    <t>rsfmri_c_ngd_ca_ngd_vs</t>
  </si>
  <si>
    <t>rsfmri_c_ngd_dt_ngd_fo</t>
  </si>
  <si>
    <t>rsfmri_c_ngd_dt_ngd_n</t>
  </si>
  <si>
    <t>rsfmri_c_ngd_dt_ngd_rspltp</t>
  </si>
  <si>
    <t>rsfmri_c_ngd_dt_ngd_smh</t>
  </si>
  <si>
    <t>rsfmri_c_ngd_dt_ngd_smm</t>
  </si>
  <si>
    <t>rsfmri_c_ngd_dt_ngd_sa</t>
  </si>
  <si>
    <t>rsfmri_c_ngd_dt_ngd_vta</t>
  </si>
  <si>
    <t>rsfmri_c_ngd_dt_ngd_vs</t>
  </si>
  <si>
    <t>rsfmri_c_ngd_dla_ngd_dt</t>
  </si>
  <si>
    <t>rsfmri_c_ngd_dla_ngd_fo</t>
  </si>
  <si>
    <t>rsfmri_c_ngd_dla_ngd_n</t>
  </si>
  <si>
    <t>rsfmri_c_ngd_dla_ngd_rspltp</t>
  </si>
  <si>
    <t>rsfmri_c_ngd_dla_ngd_smh</t>
  </si>
  <si>
    <t>rsfmri_c_ngd_dla_ngd_smm</t>
  </si>
  <si>
    <t>rsfmri_c_ngd_dla_ngd_sa</t>
  </si>
  <si>
    <t>rsfmri_c_ngd_dla_ngd_vta</t>
  </si>
  <si>
    <t>rsfmri_c_ngd_dla_ngd_vs</t>
  </si>
  <si>
    <t>rsfmri_c_ngd_fo_ngd_n</t>
  </si>
  <si>
    <t>rsfmri_c_ngd_fo_ngd_rspltp</t>
  </si>
  <si>
    <t>rsfmri_c_ngd_fo_ngd_smh</t>
  </si>
  <si>
    <t>rsfmri_c_ngd_fo_ngd_smm</t>
  </si>
  <si>
    <t>rsfmri_c_ngd_fo_ngd_sa</t>
  </si>
  <si>
    <t>rsfmri_c_ngd_fo_ngd_vta</t>
  </si>
  <si>
    <t>rsfmri_c_ngd_fo_ngd_vs</t>
  </si>
  <si>
    <t>rsfmri_c_ngd_n_ngd_rspltp</t>
  </si>
  <si>
    <t>rsfmri_c_ngd_n_ngd_smh</t>
  </si>
  <si>
    <t>rsfmri_c_ngd_n_ngd_smm</t>
  </si>
  <si>
    <t>rsfmri_c_ngd_n_ngd_sa</t>
  </si>
  <si>
    <t>rsfmri_c_ngd_n_ngd_vta</t>
  </si>
  <si>
    <t>rsfmri_c_ngd_n_ngd_vs</t>
  </si>
  <si>
    <t>rsfmri_c_ngd_rspltp_ngd_smh</t>
  </si>
  <si>
    <t>rsfmri_c_ngd_rspltp_ngd_smm</t>
  </si>
  <si>
    <t>rsfmri_c_ngd_rspltp_ngd_sa</t>
  </si>
  <si>
    <t>rsfmri_c_ngd_rspltp_ngd_vta</t>
  </si>
  <si>
    <t>rsfmri_c_ngd_rspltp_ngd_vs</t>
  </si>
  <si>
    <t>rsfmri_c_ngd_smh_ngd_smm</t>
  </si>
  <si>
    <t>rsfmri_c_ngd_smh_ngd_vta</t>
  </si>
  <si>
    <t>rsfmri_c_ngd_smh_ngd_vs</t>
  </si>
  <si>
    <t>rsfmri_c_ngd_smm_ngd_vta</t>
  </si>
  <si>
    <t>rsfmri_c_ngd_smm_ngd_vs</t>
  </si>
  <si>
    <t>rsfmri_c_ngd_sa_ngd_smh</t>
  </si>
  <si>
    <t>rsfmri_c_ngd_sa_ngd_smm</t>
  </si>
  <si>
    <t>rsfmri_c_ngd_sa_ngd_vta</t>
  </si>
  <si>
    <t>rsfmri_c_ngd_sa_ngd_vs</t>
  </si>
  <si>
    <t>rsfmri_c_ngd_vs_ngd_vta</t>
  </si>
  <si>
    <r>
      <rPr>
        <i/>
        <sz val="12"/>
        <color theme="1"/>
        <rFont val="Calibri"/>
        <family val="2"/>
        <scheme val="minor"/>
      </rPr>
      <t>Note.</t>
    </r>
    <r>
      <rPr>
        <sz val="12"/>
        <color theme="1"/>
        <rFont val="Calibri"/>
        <family val="2"/>
        <scheme val="minor"/>
      </rPr>
      <t xml:space="preserve"> Mixed effects models were conducted using the lme4 R package to examine associations between each PRS and DTI fractional anisotropy metrics. Covariates include age, sex, first 10 ancestral principal components, MRI scanner type, mean motion, total fractional anisotropy across all fibers; random intercepts for family and study site
							</t>
    </r>
  </si>
  <si>
    <t>dmri_dtifa_fiberat_fxrh</t>
  </si>
  <si>
    <t>dmri_dtifa_fiberat_fxlh</t>
  </si>
  <si>
    <t>dmri_dtifa_fiberat_cgcrh</t>
  </si>
  <si>
    <t>dmri_dtifa_fiberat_cgclh</t>
  </si>
  <si>
    <t>dmri_dtifa_fiberat_cghrh</t>
  </si>
  <si>
    <t>dmri_dtifa_fiberat_cghlh</t>
  </si>
  <si>
    <t>dmri_dtifa_fiberat_cstrh</t>
  </si>
  <si>
    <t>dmri_dtifa_fiberat_cstlh</t>
  </si>
  <si>
    <t>dmri_dtifa_fiberat_atrrh</t>
  </si>
  <si>
    <t>dmri_dtifa_fiberat_atrlh</t>
  </si>
  <si>
    <t>dmri_dtifa_fiberat_uncrh</t>
  </si>
  <si>
    <t>dmri_dtifa_fiberat_unclh</t>
  </si>
  <si>
    <t>dmri_dtifa_fiberat_ilfrh</t>
  </si>
  <si>
    <t>dmri_dtifa_fiberat_ilflh</t>
  </si>
  <si>
    <t>dmri_dtifa_fiberat_iforh</t>
  </si>
  <si>
    <t>dmri_dtifa_fiberat_ifolh</t>
  </si>
  <si>
    <t>dmri_dtifa_fiberat_slfrh</t>
  </si>
  <si>
    <t>dmri_dtifa_fiberat_slflh</t>
  </si>
  <si>
    <t>dmri_dtifa_fiberat_tslfrh</t>
  </si>
  <si>
    <t>dmri_dtifa_fiberat_tslflh</t>
  </si>
  <si>
    <t>dmri_dtifa_fiberat_pslfrh</t>
  </si>
  <si>
    <t>dmri_dtifa_fiberat_pslflh</t>
  </si>
  <si>
    <t>dmri_dtifa_fiberat_scsrh</t>
  </si>
  <si>
    <t>dmri_dtifa_fiberat_scslh</t>
  </si>
  <si>
    <t>dmri_dtifa_fiberat_fscsrh</t>
  </si>
  <si>
    <t>dmri_dtifa_fiberat_fscslh</t>
  </si>
  <si>
    <t>dmri_dtifa_fiberat_pscsrh</t>
  </si>
  <si>
    <t>dmri_dtifa_fiberat_pscslh</t>
  </si>
  <si>
    <t>dmri_dtifa_fiberat_sifcrh</t>
  </si>
  <si>
    <t>dmri_dtifa_fiberat_sifclh</t>
  </si>
  <si>
    <t>dmri_dtifa_fiberat_ifsfcrh</t>
  </si>
  <si>
    <t>dmri_dtifa_fiberat_ifsfclh</t>
  </si>
  <si>
    <t>dmri_dtifa_fiberat_fxcutrh</t>
  </si>
  <si>
    <t>dmri_dtifa_fiberat_fxcutlh</t>
  </si>
  <si>
    <r>
      <rPr>
        <i/>
        <sz val="12"/>
        <color theme="1"/>
        <rFont val="Calibri"/>
        <family val="2"/>
        <scheme val="minor"/>
      </rPr>
      <t>Note.</t>
    </r>
    <r>
      <rPr>
        <sz val="12"/>
        <color theme="1"/>
        <rFont val="Calibri"/>
        <family val="2"/>
        <scheme val="minor"/>
      </rPr>
      <t xml:space="preserve"> Mixed effects models were conducted using the lme4 R package to examine associations between each PRS and DTI mean diffusivity metrics. Covariates include age, sex, first 10 ancestral principal components, MRI scanner type, mean motion, total fractional anisotropy across all fibers; random intercepts for family and study site
							</t>
    </r>
  </si>
  <si>
    <t>dmri_dtimd_fiberat_fxrh</t>
  </si>
  <si>
    <t>dmri_dtimd_fiberat_fxlh</t>
  </si>
  <si>
    <t>dmri_dtimd_fiberat_cgcrh</t>
  </si>
  <si>
    <t>dmri_dtimd_fiberat_cgclh</t>
  </si>
  <si>
    <t>dmri_dtimd_fiberat_cghrh</t>
  </si>
  <si>
    <t>dmri_dtimd_fiberat_cghlh</t>
  </si>
  <si>
    <t>dmri_dtimd_fiberat_cstrh</t>
  </si>
  <si>
    <t>dmri_dtimd_fiberat_cstlh</t>
  </si>
  <si>
    <t>dmri_dtimd_fiberat_atrrh</t>
  </si>
  <si>
    <t>dmri_dtimd_fiberat_atrlh</t>
  </si>
  <si>
    <t>dmri_dtimd_fiberat_uncrh</t>
  </si>
  <si>
    <t>dmri_dtimd_fiberat_unclh</t>
  </si>
  <si>
    <t>dmri_dtimd_fiberat_ilfrh</t>
  </si>
  <si>
    <t>dmri_dtimd_fiberat_ilflh</t>
  </si>
  <si>
    <t>dmri_dtimd_fiberat_iforh</t>
  </si>
  <si>
    <t>dmri_dtimd_fiberat_ifolh</t>
  </si>
  <si>
    <t>dmri_dtimd_fiberat_fmaj</t>
  </si>
  <si>
    <t>dmri_dtimd_fiberat_fmin</t>
  </si>
  <si>
    <t>dmri_dtimd_fiberat_cc</t>
  </si>
  <si>
    <t>dmri_dtimd_fiberat_slfrh</t>
  </si>
  <si>
    <t>dmri_dtimd_fiberat_slflh</t>
  </si>
  <si>
    <t>dmri_dtimd_fiberat_tslfrh</t>
  </si>
  <si>
    <t>dmri_dtimd_fiberat_tslflh</t>
  </si>
  <si>
    <t>dmri_dtimd_fiberat_pslfrh</t>
  </si>
  <si>
    <t>dmri_dtimd_fiberat_pslflh</t>
  </si>
  <si>
    <t>dmri_dtimd_fiberat_scsrh</t>
  </si>
  <si>
    <t>dmri_dtimd_fiberat_scslh</t>
  </si>
  <si>
    <t>dmri_dtimd_fiberat_fscsrh</t>
  </si>
  <si>
    <t>dmri_dtimd_fiberat_fscslh</t>
  </si>
  <si>
    <t>dmri_dtimd_fiberat_pscsrh</t>
  </si>
  <si>
    <t>dmri_dtimd_fiberat_pscslh</t>
  </si>
  <si>
    <t>dmri_dtimd_fiberat_sifcrh</t>
  </si>
  <si>
    <t>dmri_dtimd_fiberat_sifclh</t>
  </si>
  <si>
    <t>dmri_dtimd_fiberat_ifsfcrh</t>
  </si>
  <si>
    <t>dmri_dtimd_fiberat_ifsfclh</t>
  </si>
  <si>
    <t>dmri_dtimd_fiberat_fxcutrh</t>
  </si>
  <si>
    <t>dmri_dtimd_fiberat_fxcutlh</t>
  </si>
  <si>
    <t>abcd_lpksad01</t>
  </si>
  <si>
    <t>recoded -1, 777,999 as NAs; for kbi_y_sex_orient &amp; kbi_y_trans_id 4=NA</t>
  </si>
  <si>
    <t>recoded -1, 777,999 as NAs; for kbi_p_c_drop_in_grades_l , kbi_p_c_det_susp_l, kbi_p_c_best_friend_l, kbi_p_c_reg_friend_group_l, 2=0; for kbi_p_c_best_friend_l, kbi_p_c_det_susp_l, kbi_p_c_reg_friend_group_l, kbi_p_c_mh_sa_l 3=NA; for kbi_p_c_gay_l, kbi_p_c_gay_problems_l, kbi_p_c_trans_problems_l 4=NA; for kbi_new_school_setting_l 0=public, 1=regular private, 2=home school</t>
  </si>
  <si>
    <t>cash_choice_task*</t>
  </si>
  <si>
    <t>SCREEN TIME</t>
  </si>
  <si>
    <t>DEMOGRAPHICS</t>
  </si>
  <si>
    <t>demo_child_time_v2*</t>
  </si>
  <si>
    <t>demo_fam_exp1_v2*</t>
  </si>
  <si>
    <t>demo_fam_exp2_v2*</t>
  </si>
  <si>
    <t>demo_fam_exp3_v2*</t>
  </si>
  <si>
    <t>demo_fam_exp5_v2*</t>
  </si>
  <si>
    <t>demo_fam_exp6_v2*</t>
  </si>
  <si>
    <t>demo_fam_exp7_v2*</t>
  </si>
  <si>
    <t>demo_prnt_16*</t>
  </si>
  <si>
    <t>demo_prnt_prtnr_adopt*</t>
  </si>
  <si>
    <t>demo_prnt_prtnr_bio*</t>
  </si>
  <si>
    <t>demo_prnt_prtnr_v2*</t>
  </si>
  <si>
    <t>demo_prnt_working*</t>
  </si>
  <si>
    <t>demo_prtnr_working*</t>
  </si>
  <si>
    <t>demo_yrs_2a_2*</t>
  </si>
  <si>
    <t>demo_yrs_2b_2*</t>
  </si>
  <si>
    <t>SUBSTANCE</t>
  </si>
  <si>
    <t>caff_24*</t>
  </si>
  <si>
    <t>isip_1b_yn*</t>
  </si>
  <si>
    <t>parent_rules_q1*</t>
  </si>
  <si>
    <t>parent_rules_q2*</t>
  </si>
  <si>
    <t>parent_rules_q4*</t>
  </si>
  <si>
    <t>parent_rules_q7*</t>
  </si>
  <si>
    <t>tlfb_alc_sip*</t>
  </si>
  <si>
    <t>tlfb_inhalant*</t>
  </si>
  <si>
    <t>tlfb_list___1*</t>
  </si>
  <si>
    <t>tlfb_list___18*</t>
  </si>
  <si>
    <t>tlfb_list___7*</t>
  </si>
  <si>
    <t>tlfb_list_yes_no*</t>
  </si>
  <si>
    <t>tlfb_mj*</t>
  </si>
  <si>
    <t>tlfb_mj_synth*</t>
  </si>
  <si>
    <t>tlfb_rx_misuse*</t>
  </si>
  <si>
    <t>tlfb_tob*</t>
  </si>
  <si>
    <t>CULTURE/ENVIRONMENT</t>
  </si>
  <si>
    <t>fam_enviro1_p*</t>
  </si>
  <si>
    <t>fam_enviro2r_p*</t>
  </si>
  <si>
    <t>fam_enviro3_p*</t>
  </si>
  <si>
    <t>fam_enviro4r_p*</t>
  </si>
  <si>
    <t>fam_enviro5_p*</t>
  </si>
  <si>
    <t>fam_enviro6_p*</t>
  </si>
  <si>
    <t>fam_enviro7r_p*</t>
  </si>
  <si>
    <t>fam_enviro8_p*</t>
  </si>
  <si>
    <t>fam_enviro9r_p*</t>
  </si>
  <si>
    <t>fes_youth_q1*</t>
  </si>
  <si>
    <t>fes_youth_q2*</t>
  </si>
  <si>
    <t>fes_youth_q3*</t>
  </si>
  <si>
    <t>fes_youth_q4*</t>
  </si>
  <si>
    <t>fes_youth_q5*</t>
  </si>
  <si>
    <t>fes_youth_q6*</t>
  </si>
  <si>
    <t>fes_youth_q7*</t>
  </si>
  <si>
    <t>fes_youth_q8*</t>
  </si>
  <si>
    <t>fes_youth_q9*</t>
  </si>
  <si>
    <t>reshist_state_mj_laws1*</t>
  </si>
  <si>
    <t>reshist_state_mj_laws2*</t>
  </si>
  <si>
    <t>reshist_state_mj_laws3*</t>
  </si>
  <si>
    <t>Any_antidepressantAfter*</t>
  </si>
  <si>
    <t>Any_antidepressantB4*</t>
  </si>
  <si>
    <t>brought_medications*</t>
  </si>
  <si>
    <t>child_antidep_use*</t>
  </si>
  <si>
    <t>child_SSRI_use*</t>
  </si>
  <si>
    <t>devhx_10*</t>
  </si>
  <si>
    <t>devhx_10a3_p*</t>
  </si>
  <si>
    <t>devhx_10b3_p*</t>
  </si>
  <si>
    <t>devhx_10c3_p*</t>
  </si>
  <si>
    <t>devhx_10g3_p*</t>
  </si>
  <si>
    <t>devhx_10h3_p*</t>
  </si>
  <si>
    <t>devhx_10i3_p*</t>
  </si>
  <si>
    <t>devhx_10j3_p*</t>
  </si>
  <si>
    <t>devhx_10k3_p*</t>
  </si>
  <si>
    <t>devhx_10m3_p*</t>
  </si>
  <si>
    <t>devhx_12_p*</t>
  </si>
  <si>
    <t>devhx_12a_p*</t>
  </si>
  <si>
    <t>devhx_13_3_p*</t>
  </si>
  <si>
    <t>devhx_14a3_p*</t>
  </si>
  <si>
    <t>devhx_14c3_p*</t>
  </si>
  <si>
    <t>devhx_14e3_p*</t>
  </si>
  <si>
    <t>devhx_14f3_p*</t>
  </si>
  <si>
    <t>devhx_14h3_p*</t>
  </si>
  <si>
    <t>devhx_22_3_p*</t>
  </si>
  <si>
    <t>devhx_5_p*</t>
  </si>
  <si>
    <t>devhx_6_p*</t>
  </si>
  <si>
    <t>devhx_8_alcohol*</t>
  </si>
  <si>
    <t>devhx_8_marijuana*</t>
  </si>
  <si>
    <t>devhx_8_prescript_med*</t>
  </si>
  <si>
    <t>devhx_8_tobacco*</t>
  </si>
  <si>
    <t>devhx_9_alcohol*</t>
  </si>
  <si>
    <t>devhx_9_med1_fu*</t>
  </si>
  <si>
    <t>devhx_9_prescript_med*</t>
  </si>
  <si>
    <t>devhx_9_tobacco*</t>
  </si>
  <si>
    <t>medhx_1a*</t>
  </si>
  <si>
    <t>medhx_2a*</t>
  </si>
  <si>
    <t>medhx_2b*</t>
  </si>
  <si>
    <t>medhx_2c*</t>
  </si>
  <si>
    <t>medhx_2d*</t>
  </si>
  <si>
    <t>medhx_2i*</t>
  </si>
  <si>
    <t>medhx_2n*</t>
  </si>
  <si>
    <t>medhx_2o*</t>
  </si>
  <si>
    <t>medhx_2q*</t>
  </si>
  <si>
    <t>medhx_2r*</t>
  </si>
  <si>
    <t>medhx_2s*</t>
  </si>
  <si>
    <t>medhx_4a*</t>
  </si>
  <si>
    <t>medhx_5a*</t>
  </si>
  <si>
    <t>medhx_6a*</t>
  </si>
  <si>
    <t>medhx_6b*</t>
  </si>
  <si>
    <t>medhx_6c*</t>
  </si>
  <si>
    <t>medhx_6d*</t>
  </si>
  <si>
    <t>medhx_6e*</t>
  </si>
  <si>
    <t>medhx_6f*</t>
  </si>
  <si>
    <t>medhx_6h*</t>
  </si>
  <si>
    <t>medhx_6i*</t>
  </si>
  <si>
    <t>medhx_6l*</t>
  </si>
  <si>
    <t>medhx_6m*</t>
  </si>
  <si>
    <t>medhx_6n*</t>
  </si>
  <si>
    <t>medhx_6p*</t>
  </si>
  <si>
    <t>medhx_6t*</t>
  </si>
  <si>
    <t>medhx_8a*</t>
  </si>
  <si>
    <t>medhx_9a*</t>
  </si>
  <si>
    <t>SSRIAfter*</t>
  </si>
  <si>
    <t>SSRIB4*</t>
  </si>
  <si>
    <t>tbi_1*</t>
  </si>
  <si>
    <t>tbi_1c*</t>
  </si>
  <si>
    <t>tbi_3*</t>
  </si>
  <si>
    <t>tbi_3c*</t>
  </si>
  <si>
    <t>FAMILY MENTAL HEALTH</t>
  </si>
  <si>
    <t>famhx_ss_fath_prob_alc_p*</t>
  </si>
  <si>
    <t>famhx_ss_fath_prob_dg_p*</t>
  </si>
  <si>
    <t>famhx_ss_fath_prob_dprs_p*</t>
  </si>
  <si>
    <t>famhx_ss_fath_prob_hspd_p*</t>
  </si>
  <si>
    <t>famhx_ss_fath_prob_ma_p*</t>
  </si>
  <si>
    <t>famhx_ss_fath_prob_nrv_p*</t>
  </si>
  <si>
    <t>famhx_ss_fath_prob_prf_p*</t>
  </si>
  <si>
    <t>famhx_ss_fath_prob_scd_p*</t>
  </si>
  <si>
    <t>famhx_ss_fath_prob_trb_p*</t>
  </si>
  <si>
    <t>famhx_ss_fulsibo1_prob_dprs_p*</t>
  </si>
  <si>
    <t>famhx_ss_fulsibo1_prob_prf_p*</t>
  </si>
  <si>
    <t>famhx_ss_fulsibo2_prob_prf_p*</t>
  </si>
  <si>
    <t>famhx_ss_fulsiby1_prob_prf_p*</t>
  </si>
  <si>
    <t>famhx_ss_hlfsibo1_prob_prf_p*</t>
  </si>
  <si>
    <t>famhx_ss_matant1_prob_alc_p*</t>
  </si>
  <si>
    <t>famhx_ss_matant1_prob_dg_p*</t>
  </si>
  <si>
    <t>famhx_ss_matant1_prob_dprs_p*</t>
  </si>
  <si>
    <t>famhx_ss_matant1_prob_hspd_p*</t>
  </si>
  <si>
    <t>famhx_ss_matant1_prob_nrv_p*</t>
  </si>
  <si>
    <t>famhx_ss_matant1_prob_prf_p*</t>
  </si>
  <si>
    <t>famhx_ss_matant1_prob_scd_p*</t>
  </si>
  <si>
    <t>famhx_ss_matant1_prob_trb_p*</t>
  </si>
  <si>
    <t>famhx_ss_matant2_prob_dprs_p*</t>
  </si>
  <si>
    <t>famhx_ss_matant2_prob_prf_p*</t>
  </si>
  <si>
    <t>famhx_ss_matgf_prob_alc_p*</t>
  </si>
  <si>
    <t>famhx_ss_matgf_prob_dg_p*</t>
  </si>
  <si>
    <t>famhx_ss_matgf_prob_dprs_p*</t>
  </si>
  <si>
    <t>famhx_ss_matgf_prob_hspd_p*</t>
  </si>
  <si>
    <t>famhx_ss_matgf_prob_nrv_p*</t>
  </si>
  <si>
    <t>famhx_ss_matgf_prob_prf_p*</t>
  </si>
  <si>
    <t>famhx_ss_matgf_prob_scd_p*</t>
  </si>
  <si>
    <t>famhx_ss_matgf_prob_trb_p*</t>
  </si>
  <si>
    <t>famhx_ss_matgm_prob_alc_p*</t>
  </si>
  <si>
    <t>famhx_ss_matgm_prob_dg_p*</t>
  </si>
  <si>
    <t>famhx_ss_matgm_prob_dprs_p*</t>
  </si>
  <si>
    <t>famhx_ss_matgm_prob_hspd_p*</t>
  </si>
  <si>
    <t>famhx_ss_matgm_prob_ma_p*</t>
  </si>
  <si>
    <t>famhx_ss_matgm_prob_nrv_p*</t>
  </si>
  <si>
    <t>famhx_ss_matgm_prob_prf_p*</t>
  </si>
  <si>
    <t>famhx_ss_matgm_prob_scd_p*</t>
  </si>
  <si>
    <t>famhx_ss_matunc1_prob_alc_p*</t>
  </si>
  <si>
    <t>famhx_ss_matunc1_prob_dg_p*</t>
  </si>
  <si>
    <t>famhx_ss_matunc1_prob_dprs_p*</t>
  </si>
  <si>
    <t>famhx_ss_matunc1_prob_hspd_p*</t>
  </si>
  <si>
    <t>famhx_ss_matunc1_prob_nrv_p*</t>
  </si>
  <si>
    <t>famhx_ss_matunc1_prob_prf_p*</t>
  </si>
  <si>
    <t>famhx_ss_matunc1_prob_trb_p*</t>
  </si>
  <si>
    <t>famhx_ss_matunc2_prob_alc_p*</t>
  </si>
  <si>
    <t>famhx_ss_matunc2_prob_dprs_p*</t>
  </si>
  <si>
    <t>famhx_ss_matunc2_prob_prf_p*</t>
  </si>
  <si>
    <t>famhx_ss_momdad_alc_p*</t>
  </si>
  <si>
    <t>famhx_ss_momdad_dg_p*</t>
  </si>
  <si>
    <t>famhx_ss_momdad_dprs_p*</t>
  </si>
  <si>
    <t>famhx_ss_momdad_hspd_p*</t>
  </si>
  <si>
    <t>famhx_ss_momdad_ma_p*</t>
  </si>
  <si>
    <t>famhx_ss_momdad_nrv_p*</t>
  </si>
  <si>
    <t>famhx_ss_momdad_prf_p*</t>
  </si>
  <si>
    <t>famhx_ss_momdad_scd_p*</t>
  </si>
  <si>
    <t>famhx_ss_momdad_trb_p*</t>
  </si>
  <si>
    <t>famhx_ss_moth_prob_alc_p*</t>
  </si>
  <si>
    <t>famhx_ss_moth_prob_dg_p*</t>
  </si>
  <si>
    <t>famhx_ss_moth_prob_dprs_p*</t>
  </si>
  <si>
    <t>famhx_ss_moth_prob_hspd_p*</t>
  </si>
  <si>
    <t>famhx_ss_moth_prob_ma_p*</t>
  </si>
  <si>
    <t>famhx_ss_moth_prob_nrv_p*</t>
  </si>
  <si>
    <t>famhx_ss_moth_prob_prf_p*</t>
  </si>
  <si>
    <t>famhx_ss_moth_prob_scd_p*</t>
  </si>
  <si>
    <t>famhx_ss_moth_prob_trb_p*</t>
  </si>
  <si>
    <t>famhx_ss_patant1_prob_alc_p*</t>
  </si>
  <si>
    <t>famhx_ss_patant1_prob_dg_p*</t>
  </si>
  <si>
    <t>famhx_ss_patant1_prob_dprs_p*</t>
  </si>
  <si>
    <t>famhx_ss_patant1_prob_hspd_p*</t>
  </si>
  <si>
    <t>famhx_ss_patant1_prob_nrv_p*</t>
  </si>
  <si>
    <t>famhx_ss_patant1_prob_prf_p*</t>
  </si>
  <si>
    <t>famhx_ss_patant2_prob_dprs_p*</t>
  </si>
  <si>
    <t>famhx_ss_patant2_prob_prf_p*</t>
  </si>
  <si>
    <t>famhx_ss_patgf_prob_alc_p*</t>
  </si>
  <si>
    <t>famhx_ss_patgf_prob_dg_p*</t>
  </si>
  <si>
    <t>famhx_ss_patgf_prob_dprs_p*</t>
  </si>
  <si>
    <t>famhx_ss_patgf_prob_hspd_p*</t>
  </si>
  <si>
    <t>famhx_ss_patgf_prob_nrv_p*</t>
  </si>
  <si>
    <t>famhx_ss_patgf_prob_prf_p*</t>
  </si>
  <si>
    <t>famhx_ss_patgf_prob_trb_p*</t>
  </si>
  <si>
    <t>famhx_ss_patgm_prob_alc_p*</t>
  </si>
  <si>
    <t>famhx_ss_patgm_prob_dg_p*</t>
  </si>
  <si>
    <t>famhx_ss_patgm_prob_dprs_p*</t>
  </si>
  <si>
    <t>famhx_ss_patgm_prob_hspd_p*</t>
  </si>
  <si>
    <t>famhx_ss_patgm_prob_nrv_p*</t>
  </si>
  <si>
    <t>famhx_ss_patgm_prob_prf_p*</t>
  </si>
  <si>
    <t>famhx_ss_patunc1_prob_alc_p*</t>
  </si>
  <si>
    <t>famhx_ss_patunc1_prob_dg_p*</t>
  </si>
  <si>
    <t>famhx_ss_patunc1_prob_dprs_p*</t>
  </si>
  <si>
    <t>famhx_ss_patunc1_prob_hspd_p*</t>
  </si>
  <si>
    <t>famhx_ss_patunc1_prob_nrv_p*</t>
  </si>
  <si>
    <t>famhx_ss_patunc1_prob_prf_p*</t>
  </si>
  <si>
    <t>famhx_ss_patunc1_prob_trb_p*</t>
  </si>
  <si>
    <t>famhx_ss_patunc2_prob_alc_p*</t>
  </si>
  <si>
    <t>famhx_ss_patunc2_prob_prf_p*</t>
  </si>
  <si>
    <t>CHILD MENTAL HEALTH</t>
  </si>
  <si>
    <t>kbi_p_c_best_friend*</t>
  </si>
  <si>
    <t>kbi_p_c_bully*</t>
  </si>
  <si>
    <t>kbi_p_c_det_susp*</t>
  </si>
  <si>
    <t>kbi_p_c_drop_in_grades*</t>
  </si>
  <si>
    <t>kbi_p_c_guard___1*</t>
  </si>
  <si>
    <t>kbi_p_c_guard___2*</t>
  </si>
  <si>
    <t>kbi_p_c_live_full_time*</t>
  </si>
  <si>
    <t>kbi_p_c_mh_sa*</t>
  </si>
  <si>
    <t>kbi_p_c_reg_friend_group*</t>
  </si>
  <si>
    <t>kbi_p_c_scheck1*</t>
  </si>
  <si>
    <t>kbi_p_c_scheck10*</t>
  </si>
  <si>
    <t>kbi_p_c_scheck7*</t>
  </si>
  <si>
    <t>kbi_p_c_scheck8*</t>
  </si>
  <si>
    <t>kbi_p_c_scheck9*</t>
  </si>
  <si>
    <t>kbi_p_c_spec_serv___10*</t>
  </si>
  <si>
    <t>kbi_p_c_spec_serv___4*</t>
  </si>
  <si>
    <t>kbi_p_c_spec_serv___6*</t>
  </si>
  <si>
    <t>kbi_p_c_spec_serv___7*</t>
  </si>
  <si>
    <t>kbi_p_c_spec_serv___8*</t>
  </si>
  <si>
    <t>kbi_p_c_spec_serv___9*</t>
  </si>
  <si>
    <t>kbi_p_conflict_causes___1*</t>
  </si>
  <si>
    <t>kbi_p_conflict_causes___2*</t>
  </si>
  <si>
    <t>kbi_p_conflict_causes___4*</t>
  </si>
  <si>
    <t>kbi_p_conflict_causes___5*</t>
  </si>
  <si>
    <t>kbi_p_conflict_causes___6*</t>
  </si>
  <si>
    <t>kbi_p_conflict_causes___8*</t>
  </si>
  <si>
    <t>kbi_p_conflict_causes___9*</t>
  </si>
  <si>
    <t>kbi_y_det_reason___1*</t>
  </si>
  <si>
    <t>kbi_y_det_reason___8*</t>
  </si>
  <si>
    <t>kbi_y_det_susp*</t>
  </si>
  <si>
    <t>kbi_y_drop_in_grades*</t>
  </si>
  <si>
    <t>kbi_y_grade_repeat*</t>
  </si>
  <si>
    <t>ksads_1_1_t*</t>
  </si>
  <si>
    <t>ksads_1_156_t*</t>
  </si>
  <si>
    <t>ksads_1_158_t*</t>
  </si>
  <si>
    <t>ksads_1_160_t*</t>
  </si>
  <si>
    <t>ksads_1_162_t*</t>
  </si>
  <si>
    <t>ksads_1_164_t*</t>
  </si>
  <si>
    <t>ksads_1_166_t*</t>
  </si>
  <si>
    <t>ksads_1_170_t*</t>
  </si>
  <si>
    <t>ksads_1_174_t*</t>
  </si>
  <si>
    <t>ksads_1_176_t*</t>
  </si>
  <si>
    <t>ksads_1_178_t*</t>
  </si>
  <si>
    <t>ksads_1_182_t*</t>
  </si>
  <si>
    <t>ksads_1_183_t*</t>
  </si>
  <si>
    <t>ksads_1_184_t*</t>
  </si>
  <si>
    <t>ksads_1_187_t*</t>
  </si>
  <si>
    <t>ksads_1_188_t*</t>
  </si>
  <si>
    <t>ksads_1_2_t*</t>
  </si>
  <si>
    <t>ksads_1_3_t*</t>
  </si>
  <si>
    <t>ksads_1_4_t*</t>
  </si>
  <si>
    <t>ksads_1_5_t*</t>
  </si>
  <si>
    <t>ksads_1_6_t*</t>
  </si>
  <si>
    <t>ksads_1_847_t*</t>
  </si>
  <si>
    <t>ksads_10_321_t*</t>
  </si>
  <si>
    <t>ksads_10_323_t*</t>
  </si>
  <si>
    <t>ksads_10_325_t*</t>
  </si>
  <si>
    <t>ksads_10_327_t*</t>
  </si>
  <si>
    <t>ksads_10_329_t*</t>
  </si>
  <si>
    <t>ksads_10_46_t*</t>
  </si>
  <si>
    <t>ksads_2_10_t*</t>
  </si>
  <si>
    <t>ksads_2_11_t*</t>
  </si>
  <si>
    <t>ksads_2_12_t*</t>
  </si>
  <si>
    <t>ksads_2_13_t*</t>
  </si>
  <si>
    <t>ksads_2_196_t*</t>
  </si>
  <si>
    <t>ksads_2_198_t*</t>
  </si>
  <si>
    <t>ksads_2_200_t*</t>
  </si>
  <si>
    <t>ksads_2_202_t*</t>
  </si>
  <si>
    <t>ksads_2_204_t*</t>
  </si>
  <si>
    <t>ksads_2_206_t*</t>
  </si>
  <si>
    <t>ksads_2_207_t*</t>
  </si>
  <si>
    <t>ksads_2_208_t*</t>
  </si>
  <si>
    <t>ksads_2_211_t*</t>
  </si>
  <si>
    <t>ksads_2_214_t*</t>
  </si>
  <si>
    <t>ksads_2_215_t*</t>
  </si>
  <si>
    <t>ksads_2_216_t*</t>
  </si>
  <si>
    <t>ksads_2_219_t*</t>
  </si>
  <si>
    <t>ksads_2_220_t*</t>
  </si>
  <si>
    <t>ksads_2_221_t*</t>
  </si>
  <si>
    <t>ksads_2_222_t*</t>
  </si>
  <si>
    <t>ksads_2_7_t*</t>
  </si>
  <si>
    <t>ksads_2_8_t*</t>
  </si>
  <si>
    <t>ksads_2_839_t*</t>
  </si>
  <si>
    <t>ksads_2_9_t*</t>
  </si>
  <si>
    <t>ksads_22_141_t*</t>
  </si>
  <si>
    <t>ksads_22_142_t*</t>
  </si>
  <si>
    <t>ksads_22_969_t*</t>
  </si>
  <si>
    <t>ksads_22_970_t*</t>
  </si>
  <si>
    <t>ksads_23_143_t*</t>
  </si>
  <si>
    <t>ksads_23_144_t*</t>
  </si>
  <si>
    <t>ksads_23_146_t*</t>
  </si>
  <si>
    <t>ksads_23_148_t*</t>
  </si>
  <si>
    <t>ksads_23_945_t*</t>
  </si>
  <si>
    <t>ksads_23_956_t*</t>
  </si>
  <si>
    <t>ksads_23_957_t*</t>
  </si>
  <si>
    <t>ksads_23_958_t*</t>
  </si>
  <si>
    <t>ksads_8_302_t*</t>
  </si>
  <si>
    <t>ksads_8_304_t*</t>
  </si>
  <si>
    <t>ksads_8_308_t*</t>
  </si>
  <si>
    <t>ksads_8_31_t*</t>
  </si>
  <si>
    <t>ksads_8_310_t*</t>
  </si>
  <si>
    <t>ksads_8_312_t*</t>
  </si>
  <si>
    <t>ksads_ptsd_raw_754_p*</t>
  </si>
  <si>
    <t>ksads_ptsd_raw_755_p*</t>
  </si>
  <si>
    <t>ksads_ptsd_raw_756_p*</t>
  </si>
  <si>
    <t>ksads_ptsd_raw_757_p*</t>
  </si>
  <si>
    <t>ksads_ptsd_raw_766_p*</t>
  </si>
  <si>
    <t>ksads_ptsd_raw_770_p*</t>
  </si>
  <si>
    <t>pps_1_bother_yn*</t>
  </si>
  <si>
    <t>pps_10_bother_yn*</t>
  </si>
  <si>
    <t>pps_11_bother_yn*</t>
  </si>
  <si>
    <t>pps_12_bother_yn*</t>
  </si>
  <si>
    <t>pps_13_bother_yn*</t>
  </si>
  <si>
    <t>pps_14_bother_yn*</t>
  </si>
  <si>
    <t>pps_15_bother_yn*</t>
  </si>
  <si>
    <t>pps_16_bother_yn*</t>
  </si>
  <si>
    <t>pps_17_bother_yn*</t>
  </si>
  <si>
    <t>pps_18_bother_yn*</t>
  </si>
  <si>
    <t>pps_19_bother_yn*</t>
  </si>
  <si>
    <t>pps_2_bother_yn*</t>
  </si>
  <si>
    <t>pps_20_bother_yn*</t>
  </si>
  <si>
    <t>pps_21_bother_yn*</t>
  </si>
  <si>
    <t>pps_3_bother_yn*</t>
  </si>
  <si>
    <t>pps_6_bother_yn*</t>
  </si>
  <si>
    <t>pps_8_bother_yn*</t>
  </si>
  <si>
    <t>pps_9_bother_yn*</t>
  </si>
  <si>
    <t>prodromal_1_y*</t>
  </si>
  <si>
    <t>prodromal_10_y*</t>
  </si>
  <si>
    <t>prodromal_11_y*</t>
  </si>
  <si>
    <t>prodromal_12_y*</t>
  </si>
  <si>
    <t>prodromal_13_y*</t>
  </si>
  <si>
    <t>prodromal_14_y*</t>
  </si>
  <si>
    <t>prodromal_15_y*</t>
  </si>
  <si>
    <t>prodromal_16_y*</t>
  </si>
  <si>
    <t>prodromal_17_y*</t>
  </si>
  <si>
    <t>prodromal_18_y*</t>
  </si>
  <si>
    <t>prodromal_19_y*</t>
  </si>
  <si>
    <t>prodromal_2_y*</t>
  </si>
  <si>
    <t>prodromal_20_y*</t>
  </si>
  <si>
    <t>prodromal_21_y*</t>
  </si>
  <si>
    <t>prodromal_3_y*</t>
  </si>
  <si>
    <t>prodromal_4_y*</t>
  </si>
  <si>
    <t>prodromal_5_y*</t>
  </si>
  <si>
    <t>prodromal_6_y*</t>
  </si>
  <si>
    <t>prodromal_7_y*</t>
  </si>
  <si>
    <t>prodromal_8_y*</t>
  </si>
  <si>
    <t>prodromal_9_y*</t>
  </si>
  <si>
    <t>COGNITION</t>
  </si>
  <si>
    <t>PHYSICAL HEALTH</t>
  </si>
  <si>
    <t>see Barch et al., 2021 for notes about KSADS; MDD, PDD, and ADHD diagnoses recoded to reflect symptom impairment in 2+ areas (the latter data extracted from release 4.0)</t>
  </si>
  <si>
    <r>
      <rPr>
        <i/>
        <sz val="12"/>
        <color theme="1"/>
        <rFont val="Calibri"/>
        <family val="2"/>
        <scheme val="minor"/>
      </rPr>
      <t>Note.</t>
    </r>
    <r>
      <rPr>
        <sz val="12"/>
        <color theme="1"/>
        <rFont val="Calibri"/>
        <family val="2"/>
        <scheme val="minor"/>
      </rPr>
      <t xml:space="preserve"> The lme4 R package was used to conduct PheWAS between each PRS and 1,269 baseline phenotypes. P-values are corrected within each PRS. Covariates include sex, age, first 10 ancestral principal components; random intercepts for family and study site. * = dichotomous variables analyzed with glmer(); estimates are odds ratios (ORs)</t>
    </r>
  </si>
  <si>
    <t>ADHD_present*</t>
  </si>
  <si>
    <t>ADHD_past*</t>
  </si>
  <si>
    <t>ksads_1_156_p*</t>
  </si>
  <si>
    <t>ksads_1_160_p*</t>
  </si>
  <si>
    <t>ksads_1_162_p*</t>
  </si>
  <si>
    <t>ksads_1_164_p*</t>
  </si>
  <si>
    <t>ksads_1_166_p*</t>
  </si>
  <si>
    <t>ksads_1_174_p*</t>
  </si>
  <si>
    <t>ksads_1_178_p*</t>
  </si>
  <si>
    <t>ksads_1_182_p*</t>
  </si>
  <si>
    <t>ksads_1_183_p*</t>
  </si>
  <si>
    <t>ksads_1_184_p*</t>
  </si>
  <si>
    <t>ksads_1_187_p*</t>
  </si>
  <si>
    <t>ksads_1_188_p*</t>
  </si>
  <si>
    <t>ksads_1_2_p*</t>
  </si>
  <si>
    <t>ksads_1_4_p*</t>
  </si>
  <si>
    <t>ksads_1_6_p*</t>
  </si>
  <si>
    <t>ksads_1_847_p*</t>
  </si>
  <si>
    <t>ksads_10_320_p*</t>
  </si>
  <si>
    <t>ksads_10_321_p*</t>
  </si>
  <si>
    <t>ksads_10_322_p*</t>
  </si>
  <si>
    <t>ksads_10_323_p*</t>
  </si>
  <si>
    <t>ksads_10_324_p*</t>
  </si>
  <si>
    <t>ksads_10_325_p*</t>
  </si>
  <si>
    <t>ksads_10_326_p*</t>
  </si>
  <si>
    <t>ksads_10_327_p*</t>
  </si>
  <si>
    <t>ksads_10_328_p*</t>
  </si>
  <si>
    <t>ksads_10_329_p*</t>
  </si>
  <si>
    <t>ksads_10_330_p*</t>
  </si>
  <si>
    <t>ksads_10_45_p*</t>
  </si>
  <si>
    <t>ksads_10_46_p*</t>
  </si>
  <si>
    <t>ksads_10_47_p*</t>
  </si>
  <si>
    <t>ksads_10_870_p*</t>
  </si>
  <si>
    <t>ksads_10_914_p*</t>
  </si>
  <si>
    <t>ksads_11_331_p*</t>
  </si>
  <si>
    <t>ksads_11_332_p*</t>
  </si>
  <si>
    <t>ksads_11_333_p*</t>
  </si>
  <si>
    <t>ksads_11_334_p*</t>
  </si>
  <si>
    <t>ksads_11_336_p*</t>
  </si>
  <si>
    <t>ksads_11_337_p*</t>
  </si>
  <si>
    <t>ksads_11_338_p*</t>
  </si>
  <si>
    <t>ksads_11_339_p*</t>
  </si>
  <si>
    <t>ksads_11_340_p*</t>
  </si>
  <si>
    <t>ksads_11_341_p*</t>
  </si>
  <si>
    <t>ksads_11_343_p*</t>
  </si>
  <si>
    <t>ksads_11_344_p*</t>
  </si>
  <si>
    <t>ksads_11_345_p*</t>
  </si>
  <si>
    <t>ksads_11_346_p*</t>
  </si>
  <si>
    <t>ksads_11_347_p*</t>
  </si>
  <si>
    <t>ksads_11_348_p*</t>
  </si>
  <si>
    <t>ksads_11_48_p*</t>
  </si>
  <si>
    <t>ksads_11_49_p*</t>
  </si>
  <si>
    <t>ksads_11_50_p*</t>
  </si>
  <si>
    <t>ksads_11_51_p*</t>
  </si>
  <si>
    <t>ksads_11_917_p*</t>
  </si>
  <si>
    <t>ksads_11_918_p*</t>
  </si>
  <si>
    <t>ksads_13_475_p*</t>
  </si>
  <si>
    <t>ksads_13_476_p*</t>
  </si>
  <si>
    <t>ksads_13_67_p*</t>
  </si>
  <si>
    <t>ksads_13_68_p*</t>
  </si>
  <si>
    <t>ksads_13_74_p*</t>
  </si>
  <si>
    <t>ksads_13_941_p*</t>
  </si>
  <si>
    <t>ksads_14_394_p*</t>
  </si>
  <si>
    <t>ksads_14_395_p*</t>
  </si>
  <si>
    <t>ksads_14_396_p*</t>
  </si>
  <si>
    <t>ksads_14_397_p*</t>
  </si>
  <si>
    <t>ksads_14_398_p*</t>
  </si>
  <si>
    <t>ksads_14_399_p*</t>
  </si>
  <si>
    <t>ksads_14_400_p*</t>
  </si>
  <si>
    <t>ksads_14_401_p*</t>
  </si>
  <si>
    <t>ksads_14_402_p*</t>
  </si>
  <si>
    <t>ksads_14_403_p*</t>
  </si>
  <si>
    <t>ksads_14_404_p*</t>
  </si>
  <si>
    <t>ksads_14_405_p*</t>
  </si>
  <si>
    <t>ksads_14_406_p*</t>
  </si>
  <si>
    <t>ksads_14_407_p*</t>
  </si>
  <si>
    <t>ksads_14_408_p*</t>
  </si>
  <si>
    <t>ksads_14_409_p*</t>
  </si>
  <si>
    <t>ksads_14_410_p*</t>
  </si>
  <si>
    <t>ksads_14_411_p*</t>
  </si>
  <si>
    <t>ksads_14_412_p*</t>
  </si>
  <si>
    <t>ksads_14_413_p*</t>
  </si>
  <si>
    <t>ksads_14_414_p*</t>
  </si>
  <si>
    <t>ksads_14_415_p*</t>
  </si>
  <si>
    <t>ksads_14_416_p*</t>
  </si>
  <si>
    <t>ksads_14_417_p*</t>
  </si>
  <si>
    <t>ksads_14_418_p*</t>
  </si>
  <si>
    <t>ksads_14_419_p*</t>
  </si>
  <si>
    <t>ksads_14_420_p*</t>
  </si>
  <si>
    <t>ksads_14_421_p*</t>
  </si>
  <si>
    <t>ksads_14_422_p*</t>
  </si>
  <si>
    <t>ksads_14_423_p*</t>
  </si>
  <si>
    <t>ksads_14_424_p*</t>
  </si>
  <si>
    <t>ksads_14_425_p*</t>
  </si>
  <si>
    <t>ksads_14_429_p*</t>
  </si>
  <si>
    <t>ksads_14_430_p*</t>
  </si>
  <si>
    <t>ksads_14_76_p*</t>
  </si>
  <si>
    <t>ksads_14_77_p*</t>
  </si>
  <si>
    <t>ksads_14_78_p*</t>
  </si>
  <si>
    <t>ksads_14_79_p*</t>
  </si>
  <si>
    <t>ksads_14_80_p*</t>
  </si>
  <si>
    <t>ksads_14_81_p*</t>
  </si>
  <si>
    <t>ksads_14_82_p*</t>
  </si>
  <si>
    <t>ksads_14_83_p*</t>
  </si>
  <si>
    <t>ksads_14_84_p*</t>
  </si>
  <si>
    <t>ksads_14_85_p*</t>
  </si>
  <si>
    <t>ksads_14_86_p*</t>
  </si>
  <si>
    <t>ksads_14_87_p*</t>
  </si>
  <si>
    <t>ksads_14_88_p*</t>
  </si>
  <si>
    <t>ksads_14_89_p*</t>
  </si>
  <si>
    <t>ksads_14_90_p*</t>
  </si>
  <si>
    <t>ksads_15_432_p*</t>
  </si>
  <si>
    <t>ksads_15_433_p*</t>
  </si>
  <si>
    <t>ksads_15_434_p*</t>
  </si>
  <si>
    <t>ksads_15_435_p*</t>
  </si>
  <si>
    <t>ksads_15_436_p*</t>
  </si>
  <si>
    <t>ksads_15_437_p*</t>
  </si>
  <si>
    <t>ksads_15_438_p*</t>
  </si>
  <si>
    <t>ksads_15_439_p*</t>
  </si>
  <si>
    <t>ksads_15_440_p*</t>
  </si>
  <si>
    <t>ksads_15_441_p*</t>
  </si>
  <si>
    <t>ksads_15_442_p*</t>
  </si>
  <si>
    <t>ksads_15_443_p*</t>
  </si>
  <si>
    <t>ksads_15_444_p*</t>
  </si>
  <si>
    <t>ksads_15_445_p*</t>
  </si>
  <si>
    <t>ksads_15_901_p*</t>
  </si>
  <si>
    <t>ksads_15_902_p*</t>
  </si>
  <si>
    <t>ksads_15_91_p*</t>
  </si>
  <si>
    <t>ksads_15_92_p*</t>
  </si>
  <si>
    <t>ksads_15_93_p*</t>
  </si>
  <si>
    <t>ksads_15_94_p*</t>
  </si>
  <si>
    <t>ksads_15_95_p*</t>
  </si>
  <si>
    <t>ksads_15_96_p*</t>
  </si>
  <si>
    <t>ksads_15_97_p*</t>
  </si>
  <si>
    <t>ksads_16_104_p*</t>
  </si>
  <si>
    <t>ksads_16_105_p*</t>
  </si>
  <si>
    <t>ksads_16_448_p*</t>
  </si>
  <si>
    <t>ksads_16_461_p*</t>
  </si>
  <si>
    <t>ksads_16_462_p*</t>
  </si>
  <si>
    <t>ksads_16_897_p*</t>
  </si>
  <si>
    <t>ksads_16_98_p*</t>
  </si>
  <si>
    <t>ksads_16_99_p*</t>
  </si>
  <si>
    <t>ksads_18_112_p*</t>
  </si>
  <si>
    <t>ksads_18_113_p*</t>
  </si>
  <si>
    <t>ksads_18_114_p*</t>
  </si>
  <si>
    <t>ksads_18_115_p*</t>
  </si>
  <si>
    <t>ksads_18_116_p*</t>
  </si>
  <si>
    <t>ksads_18_117_p*</t>
  </si>
  <si>
    <t>ksads_18_903_p*</t>
  </si>
  <si>
    <t>ksads_2_10_p*</t>
  </si>
  <si>
    <t>ksads_2_11_p*</t>
  </si>
  <si>
    <t>ksads_2_196_p*</t>
  </si>
  <si>
    <t>ksads_2_198_p*</t>
  </si>
  <si>
    <t>ksads_2_200_p*</t>
  </si>
  <si>
    <t>ksads_2_202_p*</t>
  </si>
  <si>
    <t>ksads_2_204_p*</t>
  </si>
  <si>
    <t>ksads_2_206_p*</t>
  </si>
  <si>
    <t>ksads_2_207_p*</t>
  </si>
  <si>
    <t>ksads_2_208_p*</t>
  </si>
  <si>
    <t>ksads_2_211_p*</t>
  </si>
  <si>
    <t>ksads_2_212_p*</t>
  </si>
  <si>
    <t>ksads_2_214_p*</t>
  </si>
  <si>
    <t>ksads_2_215_p*</t>
  </si>
  <si>
    <t>ksads_2_216_p*</t>
  </si>
  <si>
    <t>ksads_2_219_p*</t>
  </si>
  <si>
    <t>ksads_2_220_p*</t>
  </si>
  <si>
    <t>ksads_2_221_p*</t>
  </si>
  <si>
    <t>ksads_2_222_p*</t>
  </si>
  <si>
    <t>ksads_2_7_p*</t>
  </si>
  <si>
    <t>ksads_2_8_p*</t>
  </si>
  <si>
    <t>ksads_2_839_p*</t>
  </si>
  <si>
    <t>ksads_2_9_p*</t>
  </si>
  <si>
    <t>ksads_20_126_p*</t>
  </si>
  <si>
    <t>ksads_21_134_p*</t>
  </si>
  <si>
    <t>ksads_21_136_p*</t>
  </si>
  <si>
    <t>ksads_21_138_p*</t>
  </si>
  <si>
    <t>ksads_21_140_p*</t>
  </si>
  <si>
    <t>ksads_21_350_p*</t>
  </si>
  <si>
    <t>ksads_21_352_p*</t>
  </si>
  <si>
    <t>ksads_21_354_p*</t>
  </si>
  <si>
    <t>ksads_21_360_p*</t>
  </si>
  <si>
    <t>ksads_21_362_p*</t>
  </si>
  <si>
    <t>ksads_21_366_p*</t>
  </si>
  <si>
    <t>ksads_21_372_p*</t>
  </si>
  <si>
    <t>ksads_21_378_p*</t>
  </si>
  <si>
    <t>ksads_21_380_p*</t>
  </si>
  <si>
    <t>ksads_21_382_p*</t>
  </si>
  <si>
    <t>ksads_21_385_p*</t>
  </si>
  <si>
    <t>ksads_21_386_p*</t>
  </si>
  <si>
    <t>ksads_21_387_p*</t>
  </si>
  <si>
    <t>ksads_21_388_p*</t>
  </si>
  <si>
    <t>ksads_21_390_p*</t>
  </si>
  <si>
    <t>ksads_21_391_p*</t>
  </si>
  <si>
    <t>ksads_21_392_p*</t>
  </si>
  <si>
    <t>ksads_21_924_p*</t>
  </si>
  <si>
    <t>ksads_22_141_p*</t>
  </si>
  <si>
    <t>ksads_22_142_p*</t>
  </si>
  <si>
    <t>ksads_22_969_p*</t>
  </si>
  <si>
    <t>ksads_22_970_p*</t>
  </si>
  <si>
    <t>ksads_23_144_p*</t>
  </si>
  <si>
    <t>ksads_23_146_p*</t>
  </si>
  <si>
    <t>ksads_23_148_p*</t>
  </si>
  <si>
    <t>ksads_23_956_p*</t>
  </si>
  <si>
    <t>ksads_23_957_p*</t>
  </si>
  <si>
    <t>ksads_23_958_p*</t>
  </si>
  <si>
    <t>ksads_3_226_p*</t>
  </si>
  <si>
    <t>ksads_3_227_p*</t>
  </si>
  <si>
    <t>ksads_3_229_p*</t>
  </si>
  <si>
    <t>ksads_4_17_p*</t>
  </si>
  <si>
    <t>ksads_4_233_p*</t>
  </si>
  <si>
    <t>ksads_4_234_p*</t>
  </si>
  <si>
    <t>ksads_4_242_p*</t>
  </si>
  <si>
    <t>ksads_4_255_p*</t>
  </si>
  <si>
    <t>ksads_5_20_p*</t>
  </si>
  <si>
    <t>ksads_5_21_p*</t>
  </si>
  <si>
    <t>ksads_5_262_p*</t>
  </si>
  <si>
    <t>ksads_7_25_p*</t>
  </si>
  <si>
    <t>ksads_7_27_p*</t>
  </si>
  <si>
    <t>ksads_7_282_p*</t>
  </si>
  <si>
    <t>ksads_7_284_p*</t>
  </si>
  <si>
    <t>ksads_7_286_p*</t>
  </si>
  <si>
    <t>ksads_7_288_p*</t>
  </si>
  <si>
    <t>ksads_7_290_p*</t>
  </si>
  <si>
    <t>ksads_7_292_p*</t>
  </si>
  <si>
    <t>ksads_7_294_p*</t>
  </si>
  <si>
    <t>ksads_7_296_p*</t>
  </si>
  <si>
    <t>ksads_7_298_p*</t>
  </si>
  <si>
    <t>ksads_7_300_p*</t>
  </si>
  <si>
    <t>ksads_7_862_p*</t>
  </si>
  <si>
    <t>ksads_7_910_p*</t>
  </si>
  <si>
    <t>ksads_8_302_p*</t>
  </si>
  <si>
    <t>ksads_8_304_p*</t>
  </si>
  <si>
    <t>ksads_8_308_p*</t>
  </si>
  <si>
    <t>ksads_8_31_p*</t>
  </si>
  <si>
    <t>ksads_8_310_p*</t>
  </si>
  <si>
    <t>ksads_8_312_p*</t>
  </si>
  <si>
    <t>ksads_8_313_p*</t>
  </si>
  <si>
    <t>ksads_8_864_p*</t>
  </si>
  <si>
    <t>ksads_9_34_p*</t>
  </si>
  <si>
    <t>ksads_9_35_p*</t>
  </si>
  <si>
    <t>ksads_9_36_p*</t>
  </si>
  <si>
    <t>ksads_9_37_p*</t>
  </si>
  <si>
    <t>ksads_9_38_p*</t>
  </si>
  <si>
    <t>ksads_9_39_p*</t>
  </si>
  <si>
    <t>ksads_9_40_p*</t>
  </si>
  <si>
    <t>ksads_9_41_p*</t>
  </si>
  <si>
    <t>ksads_9_42_p*</t>
  </si>
  <si>
    <t>ksads_9_43_p*</t>
  </si>
  <si>
    <t>ksads_9_44_p*</t>
  </si>
  <si>
    <t>ksads_9_867_p*</t>
  </si>
  <si>
    <t>ksads_9_868_p*</t>
  </si>
  <si>
    <t>Variable Name</t>
  </si>
  <si>
    <t>Total whole brain cortical area in mm^2 </t>
  </si>
  <si>
    <t>Total left hemisphere cortical area in mm^2</t>
  </si>
  <si>
    <t>Total right hemisphere cortical area in mm^2</t>
  </si>
  <si>
    <t>Mean cortical thickness in mm for whole brain</t>
  </si>
  <si>
    <t>Mean cortical thickness in mm for left hemisphere</t>
  </si>
  <si>
    <t>Mean cortical thickness in mm for right hemisphere</t>
  </si>
  <si>
    <t>Total whole brain cortical volume in mm^3</t>
  </si>
  <si>
    <t>Total left hemisphere cortical volume in mm^3</t>
  </si>
  <si>
    <t>Total right hemisphere cortical volume in mm^3</t>
  </si>
  <si>
    <t>Volume in mm^3 of ASEG ROI left-cerebral-white-matter</t>
  </si>
  <si>
    <t>Volume in mm^3 of ASEG ROI right-cerebral-white-matter</t>
  </si>
  <si>
    <t>Volume in mm^3 of ASEG ROI intracranialvolume</t>
  </si>
  <si>
    <t>Volume in mm^3 of ASEG ROI wholebrain</t>
  </si>
  <si>
    <t>Volume in mm^3 of ASEG ROI subcorticalgrayvolume</t>
  </si>
  <si>
    <t>Volume in mm^3 of ASEG ROI supratentorialvolume</t>
  </si>
  <si>
    <t>Average fractional anisotropy within all DTI atlas tract fibers </t>
  </si>
  <si>
    <t>Mean diffusivity within all DTI atlas tract fibers</t>
  </si>
  <si>
    <t>Variable Description</t>
  </si>
  <si>
    <t>lh-Banks of Superior Temporal Sulcus</t>
  </si>
  <si>
    <t>rh-Banks of Superior Temporal Sulcus</t>
  </si>
  <si>
    <t>lh-caudalanteriorcingulate</t>
  </si>
  <si>
    <t>rh-caudalanteriorcingulate</t>
  </si>
  <si>
    <t>lh-caudalmiddlefrontal</t>
  </si>
  <si>
    <t>rh-caudalmiddlefrontal</t>
  </si>
  <si>
    <t>lh-cuneus</t>
  </si>
  <si>
    <t>rh-cuneus</t>
  </si>
  <si>
    <t>lh-entorhinal</t>
  </si>
  <si>
    <t>rh-entorhinal</t>
  </si>
  <si>
    <t>lh-frontalpole</t>
  </si>
  <si>
    <t>rh-frontalpole</t>
  </si>
  <si>
    <t>lh-fusiform</t>
  </si>
  <si>
    <t>rh-fusiform</t>
  </si>
  <si>
    <t>lh-inferiorparietal</t>
  </si>
  <si>
    <t>rh-inferiorparietal</t>
  </si>
  <si>
    <t>lh-inferiortemporal</t>
  </si>
  <si>
    <t>rh-inferiortemporal</t>
  </si>
  <si>
    <t>lh-isthmuscingulate</t>
  </si>
  <si>
    <t>rh-isthmuscingulate</t>
  </si>
  <si>
    <t>lh-insula</t>
  </si>
  <si>
    <t>rh-insula</t>
  </si>
  <si>
    <t>lh-lingual</t>
  </si>
  <si>
    <t>rh-lingual</t>
  </si>
  <si>
    <t>lh-lateralorbitofrontal</t>
  </si>
  <si>
    <t>rh-lateralorbitofrontal</t>
  </si>
  <si>
    <t>lh-lateraloccipital</t>
  </si>
  <si>
    <t>rh-lateraloccipital</t>
  </si>
  <si>
    <t>lh-middletemporal</t>
  </si>
  <si>
    <t>rh-middletemporal</t>
  </si>
  <si>
    <t>lh-medialorbitofrontal</t>
  </si>
  <si>
    <t>rh-medialorbitofrontal</t>
  </si>
  <si>
    <t>lh-paracentral</t>
  </si>
  <si>
    <t>rh-paracentral</t>
  </si>
  <si>
    <t>lh-parahippocampal</t>
  </si>
  <si>
    <t>rh-parahippocampal</t>
  </si>
  <si>
    <t>lh-parsorbitalis</t>
  </si>
  <si>
    <t>rh-parsorbitalis</t>
  </si>
  <si>
    <t>lh-parsopercularis</t>
  </si>
  <si>
    <t>rh-parsopercularis</t>
  </si>
  <si>
    <t>lh-parstriangularis</t>
  </si>
  <si>
    <t>rh-parstriangularis</t>
  </si>
  <si>
    <t>lh-precuneus</t>
  </si>
  <si>
    <t>rh-precuneus</t>
  </si>
  <si>
    <t>lh-pericalcarine</t>
  </si>
  <si>
    <t>rh-pericalcarine</t>
  </si>
  <si>
    <t>lh-postcentral</t>
  </si>
  <si>
    <t>rh-postcentral</t>
  </si>
  <si>
    <t>lh-precentral</t>
  </si>
  <si>
    <t>rh-precentral</t>
  </si>
  <si>
    <t>lh-posteriorcingulate</t>
  </si>
  <si>
    <t>rh-posteriorcingulate</t>
  </si>
  <si>
    <t>lh-rostralanteriorcingulate</t>
  </si>
  <si>
    <t>rh-rostralanteriorcingulate</t>
  </si>
  <si>
    <t>lh-rostralmiddlefrontal</t>
  </si>
  <si>
    <t>rh-rostralmiddlefrontal</t>
  </si>
  <si>
    <t>lh-supramarginal</t>
  </si>
  <si>
    <t>rh-supramarginal</t>
  </si>
  <si>
    <t>lh-superiorfrontal</t>
  </si>
  <si>
    <t>rh-superiorfrontal</t>
  </si>
  <si>
    <t>lh-superiorparietal</t>
  </si>
  <si>
    <t>rh-superiorparietal</t>
  </si>
  <si>
    <t>lh-superiortemporal</t>
  </si>
  <si>
    <t>rh-superiortemporal</t>
  </si>
  <si>
    <t>lh-temporalpole</t>
  </si>
  <si>
    <t>rh-temporalpole</t>
  </si>
  <si>
    <t>lh-transversetemporal</t>
  </si>
  <si>
    <t>rh-transversetemporal</t>
  </si>
  <si>
    <t xml:space="preserve"> lh-Banks of Superior Temporal Sulcus</t>
  </si>
  <si>
    <t xml:space="preserve"> rh-Banks of Superior Temporal Sulcus</t>
  </si>
  <si>
    <t xml:space="preserve"> lh-caudalanteriorcingulate</t>
  </si>
  <si>
    <t xml:space="preserve"> rh-caudalanteriorcingulate</t>
  </si>
  <si>
    <t xml:space="preserve"> lh-caudalmiddlefrontal</t>
  </si>
  <si>
    <t xml:space="preserve"> rh-caudalmiddlefrontal</t>
  </si>
  <si>
    <t xml:space="preserve"> lh-cuneus</t>
  </si>
  <si>
    <t xml:space="preserve"> rh-cuneus</t>
  </si>
  <si>
    <t xml:space="preserve"> lh-entorhinal</t>
  </si>
  <si>
    <t xml:space="preserve"> rh-entorhinal</t>
  </si>
  <si>
    <t xml:space="preserve"> lh-frontalpole</t>
  </si>
  <si>
    <t xml:space="preserve"> rh-frontalpole</t>
  </si>
  <si>
    <t xml:space="preserve"> lh-fusiform</t>
  </si>
  <si>
    <t xml:space="preserve"> rh-fusiform</t>
  </si>
  <si>
    <t xml:space="preserve"> lh-inferiorparietal</t>
  </si>
  <si>
    <t xml:space="preserve"> rh-inferiorparietal</t>
  </si>
  <si>
    <t xml:space="preserve"> lh-inferiortemporal</t>
  </si>
  <si>
    <t xml:space="preserve"> rh-inferiortemporal</t>
  </si>
  <si>
    <t xml:space="preserve"> lh-isthmuscingulate</t>
  </si>
  <si>
    <t xml:space="preserve"> rh-isthmuscingulate</t>
  </si>
  <si>
    <t xml:space="preserve"> lh-insula</t>
  </si>
  <si>
    <t xml:space="preserve"> rh-insula</t>
  </si>
  <si>
    <t xml:space="preserve"> lh-lingual</t>
  </si>
  <si>
    <t xml:space="preserve"> rh-lingual</t>
  </si>
  <si>
    <t xml:space="preserve"> lh-lateralorbitofrontal</t>
  </si>
  <si>
    <t xml:space="preserve"> rh-lateralorbitofrontal</t>
  </si>
  <si>
    <t xml:space="preserve"> lh-lateraloccipital</t>
  </si>
  <si>
    <t xml:space="preserve"> rh-lateraloccipital</t>
  </si>
  <si>
    <t xml:space="preserve"> lh-middletemporal</t>
  </si>
  <si>
    <t xml:space="preserve"> rh-middletemporal</t>
  </si>
  <si>
    <t xml:space="preserve"> lh-medialorbitofrontal</t>
  </si>
  <si>
    <t xml:space="preserve"> rh-medialorbitofrontal</t>
  </si>
  <si>
    <t xml:space="preserve"> lh-paracentral</t>
  </si>
  <si>
    <t xml:space="preserve"> rh-paracentral</t>
  </si>
  <si>
    <t xml:space="preserve"> lh-parahippocampal</t>
  </si>
  <si>
    <t xml:space="preserve"> rh-parahippocampal</t>
  </si>
  <si>
    <t xml:space="preserve"> lh-parsorbitalis</t>
  </si>
  <si>
    <t xml:space="preserve"> rh-parsorbitalis</t>
  </si>
  <si>
    <t xml:space="preserve"> lh-parsopercularis</t>
  </si>
  <si>
    <t xml:space="preserve"> rh-parsopercularis</t>
  </si>
  <si>
    <t xml:space="preserve"> lh-parstriangularis</t>
  </si>
  <si>
    <t xml:space="preserve"> rh-parstriangularis</t>
  </si>
  <si>
    <t xml:space="preserve"> lh-precuneus</t>
  </si>
  <si>
    <t xml:space="preserve"> rh-precuneus</t>
  </si>
  <si>
    <t xml:space="preserve"> lh-pericalcarine</t>
  </si>
  <si>
    <t xml:space="preserve"> rh-pericalcarine</t>
  </si>
  <si>
    <t xml:space="preserve"> lh-postcentral</t>
  </si>
  <si>
    <t xml:space="preserve"> rh-postcentral</t>
  </si>
  <si>
    <t xml:space="preserve"> lh-precentral</t>
  </si>
  <si>
    <t xml:space="preserve"> rh-precentral</t>
  </si>
  <si>
    <t xml:space="preserve"> lh-posteriorcingulate</t>
  </si>
  <si>
    <t xml:space="preserve"> rh-posteriorcingulate</t>
  </si>
  <si>
    <t xml:space="preserve"> lh-rostralanteriorcingulate</t>
  </si>
  <si>
    <t xml:space="preserve"> rh-rostralanteriorcingulate</t>
  </si>
  <si>
    <t xml:space="preserve"> lh-rostralmiddlefrontal</t>
  </si>
  <si>
    <t xml:space="preserve"> rh-rostralmiddlefrontal</t>
  </si>
  <si>
    <t xml:space="preserve"> lh-supramarginal</t>
  </si>
  <si>
    <t xml:space="preserve"> rh-supramarginal</t>
  </si>
  <si>
    <t xml:space="preserve"> lh-superiorfrontal</t>
  </si>
  <si>
    <t xml:space="preserve"> rh-superiorfrontal</t>
  </si>
  <si>
    <t xml:space="preserve"> lh-superiorparietal</t>
  </si>
  <si>
    <t xml:space="preserve"> rh-superiorparietal</t>
  </si>
  <si>
    <t xml:space="preserve"> lh-superiortemporal</t>
  </si>
  <si>
    <t xml:space="preserve"> rh-superiortemporal</t>
  </si>
  <si>
    <t xml:space="preserve"> lh-temporalpole</t>
  </si>
  <si>
    <t xml:space="preserve"> rh-temporalpole</t>
  </si>
  <si>
    <t xml:space="preserve"> lh-transversetemporal</t>
  </si>
  <si>
    <t xml:space="preserve"> rh-transversetemporal</t>
  </si>
  <si>
    <t xml:space="preserve"> 3rd-ventricle</t>
  </si>
  <si>
    <t xml:space="preserve"> 4th-ventricle</t>
  </si>
  <si>
    <t xml:space="preserve"> left-accumbens-area</t>
  </si>
  <si>
    <t xml:space="preserve"> right-accumbens area</t>
  </si>
  <si>
    <t xml:space="preserve"> left-amygdala</t>
  </si>
  <si>
    <t xml:space="preserve"> right-amygdala</t>
  </si>
  <si>
    <t xml:space="preserve"> brain-stem</t>
  </si>
  <si>
    <t xml:space="preserve"> left-caudate</t>
  </si>
  <si>
    <t xml:space="preserve"> right-caudate</t>
  </si>
  <si>
    <t xml:space="preserve"> CC-Anterior</t>
  </si>
  <si>
    <t xml:space="preserve"> CC-Central</t>
  </si>
  <si>
    <t xml:space="preserve"> CC-Mid_Anterior</t>
  </si>
  <si>
    <t xml:space="preserve"> CC-Mid_Posterior</t>
  </si>
  <si>
    <t xml:space="preserve"> left-cerebellum-cortex</t>
  </si>
  <si>
    <t xml:space="preserve"> right-cerebellum-cortex</t>
  </si>
  <si>
    <t xml:space="preserve"> left-cerebellum-white-matter</t>
  </si>
  <si>
    <t xml:space="preserve"> right-cerebellum-white-matter</t>
  </si>
  <si>
    <t xml:space="preserve"> csf</t>
  </si>
  <si>
    <t xml:space="preserve"> left-hippocampus</t>
  </si>
  <si>
    <t xml:space="preserve"> right-hippocampus</t>
  </si>
  <si>
    <t xml:space="preserve"> left-inf-lat-vent</t>
  </si>
  <si>
    <t xml:space="preserve"> right-inf-lat-vent</t>
  </si>
  <si>
    <t xml:space="preserve"> left-lateral-ventricle</t>
  </si>
  <si>
    <t xml:space="preserve"> right-lateral-ventricle</t>
  </si>
  <si>
    <t xml:space="preserve"> left-pallidum</t>
  </si>
  <si>
    <t xml:space="preserve"> right-pallidum</t>
  </si>
  <si>
    <t xml:space="preserve"> left-putamen</t>
  </si>
  <si>
    <t xml:space="preserve"> right-putamen</t>
  </si>
  <si>
    <t xml:space="preserve"> left-thalamus-proper</t>
  </si>
  <si>
    <t xml:space="preserve"> right-thalamus-proper</t>
  </si>
  <si>
    <t xml:space="preserve"> left-ventraldc</t>
  </si>
  <si>
    <t xml:space="preserve"> right-ventraldc</t>
  </si>
  <si>
    <t xml:space="preserve"> lateral-ventricles </t>
  </si>
  <si>
    <t xml:space="preserve"> CC-Posterior</t>
  </si>
  <si>
    <t xml:space="preserve"> all-ventricles</t>
  </si>
  <si>
    <t>auditory network and auditory network</t>
  </si>
  <si>
    <t>auditory network and cingulo-parietal network</t>
  </si>
  <si>
    <t>auditory network and cingulo-opercular network</t>
  </si>
  <si>
    <t>auditory network and dorsal attention network</t>
  </si>
  <si>
    <t>auditory network and default network</t>
  </si>
  <si>
    <t>auditory network and fronto-parietal network</t>
  </si>
  <si>
    <t>auditory network and "none" network</t>
  </si>
  <si>
    <t>auditory network and retrosplenial temporal network</t>
  </si>
  <si>
    <t>auditory network and salience network</t>
  </si>
  <si>
    <t>auditory network and sensorimotor hand network</t>
  </si>
  <si>
    <t>auditory network and sensorimotor mouth network</t>
  </si>
  <si>
    <t>auditory network and visual network</t>
  </si>
  <si>
    <t>auditory network and ventral attention network</t>
  </si>
  <si>
    <t>cingulo-parietal network and cingulo-parietal network</t>
  </si>
  <si>
    <t>cingulo-parietal network and cingulo-opercular network</t>
  </si>
  <si>
    <t>cingulo-parietal network and dorsal attention network</t>
  </si>
  <si>
    <t>cingulo-parietal network and default network</t>
  </si>
  <si>
    <t>cingulo-parietal network and fronto-parietal network</t>
  </si>
  <si>
    <t>cingulo-parietal network and "none" network</t>
  </si>
  <si>
    <t>cingulo-parietal network and retrosplenial temporal network</t>
  </si>
  <si>
    <t>cingulo-parietal network and salience network</t>
  </si>
  <si>
    <t>cingulo-parietal network and sensorimotor hand network</t>
  </si>
  <si>
    <t>cingulo-parietal network and sensorimotor mouth network</t>
  </si>
  <si>
    <t>cingulo-parietal network and visual network</t>
  </si>
  <si>
    <t>cingulo-parietal network and ventral attention network</t>
  </si>
  <si>
    <t>cingulo-opercular network and cingulo-opercular network</t>
  </si>
  <si>
    <t>cingulo-opercular network and dorsal attention network</t>
  </si>
  <si>
    <t>cingulo-opercular network and default network</t>
  </si>
  <si>
    <t>cingulo-opercular network and fronto-parietal network</t>
  </si>
  <si>
    <t>cingulo-opercular network and "none" network</t>
  </si>
  <si>
    <t>cingulo-opercular network and retrosplenial temporal network</t>
  </si>
  <si>
    <t>cingulo-opercular network and salience network</t>
  </si>
  <si>
    <t>cingulo-opercular network and sensorimotor hand network</t>
  </si>
  <si>
    <t>cingulo-opercular network and sensorimotor mouth network</t>
  </si>
  <si>
    <t>cingulo-opercular network and visual network</t>
  </si>
  <si>
    <t>cingulo-opercular network and ventral attention network</t>
  </si>
  <si>
    <t>dorsal attention network and dorsal attention network</t>
  </si>
  <si>
    <t>dorsal attention network and default network</t>
  </si>
  <si>
    <t>dorsal attention network and fronto-parietal network</t>
  </si>
  <si>
    <t>dorsal attention network and "none" network</t>
  </si>
  <si>
    <t>dorsal attention network and retrosplenial temporal network</t>
  </si>
  <si>
    <t>dorsal attention network and salience network</t>
  </si>
  <si>
    <t>dorsal attention network and sensorimotor hand network</t>
  </si>
  <si>
    <t>dorsal attention network and sensorimotor mouth network</t>
  </si>
  <si>
    <t>dorsal attention network and visual network</t>
  </si>
  <si>
    <t>dorsal attention network and ventral attention network</t>
  </si>
  <si>
    <t>default network and default network</t>
  </si>
  <si>
    <t>default network and fronto-parietal network</t>
  </si>
  <si>
    <t>default network and "none" network</t>
  </si>
  <si>
    <t>default network and retrosplenial temporal network</t>
  </si>
  <si>
    <t>default network and salience network</t>
  </si>
  <si>
    <t>default network and sensorimotor hand network</t>
  </si>
  <si>
    <t>default network and sensorimotor mouth network</t>
  </si>
  <si>
    <t>default network and visual network</t>
  </si>
  <si>
    <t>default network and ventral attention network</t>
  </si>
  <si>
    <t>fronto-parietal network and fronto-parietal network</t>
  </si>
  <si>
    <t>fronto-parietal network and "none" network</t>
  </si>
  <si>
    <t>fronto-parietal network and retrosplenial temporal network</t>
  </si>
  <si>
    <t>fronto-parietal network and salience network</t>
  </si>
  <si>
    <t>fronto-parietal network and sensorimotor hand network</t>
  </si>
  <si>
    <t>fronto-parietal network and sensorimotor mouth network</t>
  </si>
  <si>
    <t>fronto-parietal network and visual network</t>
  </si>
  <si>
    <t>fronto-parietal network and ventral attention network</t>
  </si>
  <si>
    <t>"none" network and "none" network</t>
  </si>
  <si>
    <t>"none" network and retrosplenial temporal network</t>
  </si>
  <si>
    <t>"none" network and salience network</t>
  </si>
  <si>
    <t>"none" network and sensorimotor hand network</t>
  </si>
  <si>
    <t>"none" network and sensorimotor mouth network</t>
  </si>
  <si>
    <t>"none" network and visual network</t>
  </si>
  <si>
    <t>"none" network and ventral attention network</t>
  </si>
  <si>
    <t>retrosplenial temporal network and retrosplenial temporal network</t>
  </si>
  <si>
    <t>retrosplenial temporal network and salience network</t>
  </si>
  <si>
    <t>retrosplenial temporal network and sensorimotor hand network</t>
  </si>
  <si>
    <t>retrosplenial temporal network and sensorimotor mouth network</t>
  </si>
  <si>
    <t>retrosplenial temporal network and visual network</t>
  </si>
  <si>
    <t>retrosplenial temporal network and ventral attention network</t>
  </si>
  <si>
    <t>salience network and salience network</t>
  </si>
  <si>
    <t>salience network and sensorimotor hand network</t>
  </si>
  <si>
    <t>salience network and sensorimotor mouth network</t>
  </si>
  <si>
    <t>salience network and visual network</t>
  </si>
  <si>
    <t>salience network and ventral attention network</t>
  </si>
  <si>
    <t>sensorimotor hand network and sensorimotor hand network</t>
  </si>
  <si>
    <t>sensorimotor hand network and sensorimotor mouth network</t>
  </si>
  <si>
    <t>sensorimotor hand network and visual network</t>
  </si>
  <si>
    <t>sensorimotor hand network and ventral attention network</t>
  </si>
  <si>
    <t>sensorimotor mouth network and sensorimotor mouth network</t>
  </si>
  <si>
    <t>sensorimotor mouth network and visual network</t>
  </si>
  <si>
    <t>sensorimotor mouth network and ventral attention network</t>
  </si>
  <si>
    <t>visual network and visual network</t>
  </si>
  <si>
    <t>visual network and ventral attention network</t>
  </si>
  <si>
    <t>ventral attention network and ventral attention network</t>
  </si>
  <si>
    <t>Variable Description (average correlation between)</t>
  </si>
  <si>
    <t xml:space="preserve"> left anterior thalamic radiations</t>
  </si>
  <si>
    <t xml:space="preserve"> right anterior thalamic radiations</t>
  </si>
  <si>
    <t xml:space="preserve"> corpus callosum</t>
  </si>
  <si>
    <t xml:space="preserve"> left cingulate cingulum</t>
  </si>
  <si>
    <t xml:space="preserve"> right cingulate cingulum</t>
  </si>
  <si>
    <t xml:space="preserve"> left parahippocampal cingulum</t>
  </si>
  <si>
    <t xml:space="preserve"> right parahippocampal cingulum</t>
  </si>
  <si>
    <t xml:space="preserve"> left corticospinal/pyramidal</t>
  </si>
  <si>
    <t xml:space="preserve"> right corticospinal/pyramidal</t>
  </si>
  <si>
    <t xml:space="preserve"> foreceps major</t>
  </si>
  <si>
    <t xml:space="preserve"> foreceps minor</t>
  </si>
  <si>
    <t xml:space="preserve"> left superior corticostriate-frontal cortex only</t>
  </si>
  <si>
    <t xml:space="preserve"> right superior corticostriate-frontal cortex only</t>
  </si>
  <si>
    <t xml:space="preserve"> left fornix, excluding fimbria</t>
  </si>
  <si>
    <t xml:space="preserve"> right fornix, excluding fimbria</t>
  </si>
  <si>
    <t xml:space="preserve"> left fornix</t>
  </si>
  <si>
    <t xml:space="preserve"> right fornix</t>
  </si>
  <si>
    <t xml:space="preserve"> left inferior-fronto-occipital fasiculus</t>
  </si>
  <si>
    <t xml:space="preserve"> right inferior-fronto-occipital fasiculus</t>
  </si>
  <si>
    <t xml:space="preserve"> left inferior frontal superior frontal cortex</t>
  </si>
  <si>
    <t xml:space="preserve"> right inferior frontal superior frontal cortex</t>
  </si>
  <si>
    <t xml:space="preserve"> left inferior longitudinal fasiculus</t>
  </si>
  <si>
    <t xml:space="preserve"> right inferior longitudinal fasiculus</t>
  </si>
  <si>
    <t xml:space="preserve"> left superior corticostriate-parietal cortex only</t>
  </si>
  <si>
    <t xml:space="preserve"> right superior corticostriate-parietal cortex only</t>
  </si>
  <si>
    <t xml:space="preserve"> left parietal superior longitudinal fasiculus</t>
  </si>
  <si>
    <t xml:space="preserve"> right parietal superior longitudinal fasiculus</t>
  </si>
  <si>
    <t xml:space="preserve"> left superior corticostriate</t>
  </si>
  <si>
    <t xml:space="preserve"> right superior corticostriate</t>
  </si>
  <si>
    <t xml:space="preserve"> left striatal inferior frontal cortex</t>
  </si>
  <si>
    <t xml:space="preserve"> right striatal inferior frontal cortex</t>
  </si>
  <si>
    <t xml:space="preserve"> left superior longitudinal fasiculus</t>
  </si>
  <si>
    <t xml:space="preserve"> right superior longitudinal fasiculus</t>
  </si>
  <si>
    <t xml:space="preserve"> left temporal superior longitudinal fasiculus</t>
  </si>
  <si>
    <t xml:space="preserve"> right temporal superior longitudinal fasiculus</t>
  </si>
  <si>
    <t xml:space="preserve"> left uncinate</t>
  </si>
  <si>
    <t xml:space="preserve"> right uncinate</t>
  </si>
  <si>
    <r>
      <t xml:space="preserve">Items reflecting time of day were excluded due to difficulties posed to analysis (i.e., 11:59pm is not qualitatively distinct from 12:01am, but they would get respective values of 23:59 and 0:01) and their being captured in other measures; items reflecting school were also excluded due to their being secondary measure items used to calculate composite measures. Absolute social jetlag was selected and relative social jetlag was not; they are somewhat redundant, but absolute social jetlag appears to be used more in the literature (e.g., Jankovic et al. (2022) </t>
    </r>
    <r>
      <rPr>
        <i/>
        <sz val="12"/>
        <color rgb="FFFF0000"/>
        <rFont val="Calibri"/>
        <family val="2"/>
        <scheme val="minor"/>
      </rPr>
      <t>Eur J Clin Nutr)</t>
    </r>
  </si>
  <si>
    <t>abcd_lpsaiq01</t>
  </si>
  <si>
    <t>Longitudinal Parent Sports and Activities Involvement Questionnaire</t>
  </si>
  <si>
    <t>Composite of # activities participated in since last assessment computed; 2 items assessing # hours/week listen to music and read included as is, with 999s recoded to NA, and blanks recoded to 0 based on branching logig</t>
  </si>
  <si>
    <t>abcd_fbdpas01</t>
  </si>
  <si>
    <t>steps, mets, sedentary, light, moderate, vigrous physical activity from DAILY LEVEL SUMMARY</t>
  </si>
  <si>
    <t>Recoded 777 to NA; only overall scale items considered</t>
  </si>
  <si>
    <t>Values of -1, 999, 777 recoded to NA; Dummy-coded "screentime_sq2" into 4 separate variables</t>
  </si>
  <si>
    <t>Composites created for total weekend and weekday screen time; screentime_device_cell_age_p extreme outlier recoded to NA; recoded screentime_device_cell_no_p such that 1 = 2 and 2 = 1;</t>
  </si>
  <si>
    <t>abcd_abcls01</t>
  </si>
  <si>
    <t>FDR Pval 2</t>
  </si>
  <si>
    <t>Bonferroni Pval 1</t>
  </si>
  <si>
    <t>FDR Pval 1</t>
  </si>
  <si>
    <t>mctq_sjl_calc</t>
  </si>
  <si>
    <t>screentime_8_wkdy_</t>
  </si>
  <si>
    <t>screentime_wkdy_typical_composit</t>
  </si>
  <si>
    <t>screentime_8_wknd_composit</t>
  </si>
  <si>
    <t>screentime_10_wknd_composit</t>
  </si>
  <si>
    <t>screentime_1_wkdy_composit</t>
  </si>
  <si>
    <t>screentime_14_wknd_composit</t>
  </si>
  <si>
    <t>screentime_wknd_typical_composit</t>
  </si>
  <si>
    <t>screentime_2_wkdy_composit</t>
  </si>
  <si>
    <t>screentime_1_wknd_composit_p</t>
  </si>
  <si>
    <t>eatq_insult_p</t>
  </si>
  <si>
    <t>eatq_finish_p</t>
  </si>
  <si>
    <t>eatq_turn_taking_p</t>
  </si>
  <si>
    <t>eatq_before_hw_p</t>
  </si>
  <si>
    <t>eatq_concentrate_p</t>
  </si>
  <si>
    <t>eatq_right_away_p</t>
  </si>
  <si>
    <t>eatq_rude_p</t>
  </si>
  <si>
    <t>eatq_distracted_p</t>
  </si>
  <si>
    <t>eatq_impulse_p</t>
  </si>
  <si>
    <t>eatq_blame_p</t>
  </si>
  <si>
    <t>eatq_sad_p</t>
  </si>
  <si>
    <t>eatq_doorslam_p</t>
  </si>
  <si>
    <t>eatq_try_focus_p</t>
  </si>
  <si>
    <t>eatq_finish_hw_p</t>
  </si>
  <si>
    <t>eatq_early_start_p</t>
  </si>
  <si>
    <t>eatq_peripheral_p</t>
  </si>
  <si>
    <t>eatq_irritated_enjoy_p</t>
  </si>
  <si>
    <t>eatq_puts_off_p</t>
  </si>
  <si>
    <t>eatq_sidetracked_p</t>
  </si>
  <si>
    <t>eatq_seems_sad_p</t>
  </si>
  <si>
    <t>eatq_stick_to_plan_p</t>
  </si>
  <si>
    <t>eatq_close_attention_p</t>
  </si>
  <si>
    <t>kbipcserviceschecklistl1</t>
  </si>
  <si>
    <t>kbipcserviceschecklistl8</t>
  </si>
  <si>
    <t>kbipcserviceschecklistl10</t>
  </si>
  <si>
    <r>
      <rPr>
        <i/>
        <sz val="12"/>
        <color theme="1"/>
        <rFont val="Calibri"/>
        <family val="2"/>
        <scheme val="minor"/>
      </rPr>
      <t>Note.</t>
    </r>
    <r>
      <rPr>
        <sz val="12"/>
        <color theme="1"/>
        <rFont val="Calibri"/>
        <family val="2"/>
        <scheme val="minor"/>
      </rPr>
      <t xml:space="preserve"> Mixed effects models were conducted using the lme4 R package to examine associations between each imaging metric and follow-up phenotype significantly associated with the same PRS. Covariates include age, sex, MRI scanner type, and in models with 4th ventricle volume as a predictor, total subcortical gray matter volume was also included as a covariate; models included random intercepts for family and study site. Two FDR corrections were used: FDR Pval 1 = p-values corrected within each brain region; FDR Pval 2 = p-values corrected across all 1055 analyses run. Bonferroni correction was conducted across all 1,055 tests. 
							</t>
    </r>
  </si>
  <si>
    <t>Imaging Variable Name</t>
  </si>
  <si>
    <t>Imaging Variable Description</t>
  </si>
  <si>
    <t>Phenotypic Variable Name</t>
  </si>
  <si>
    <r>
      <rPr>
        <i/>
        <sz val="12"/>
        <color theme="1"/>
        <rFont val="Calibri"/>
        <family val="2"/>
        <scheme val="minor"/>
      </rPr>
      <t>Note.</t>
    </r>
    <r>
      <rPr>
        <sz val="12"/>
        <color theme="1"/>
        <rFont val="Calibri"/>
        <family val="2"/>
        <scheme val="minor"/>
      </rPr>
      <t xml:space="preserve"> Mixed effects models were conducted using the lme4 R package to examine associations between each imaging metric and follow-up phenotype significantly associated with Psychotic PRS. Covariates include age, sex, MRI scanner type, and for right hemisphere pars orbitalis thickness, right ventral diencephalon volume, and corpus callosum fractional anisotropy, respectively, total mean cortical thickness, total subcortical volume, and average fractional anisotropy of all fiber tracts and mean motion were covaried for as well; models included random intercepts for family and study site. No p-values were corrected, given non-significant values.
							</t>
    </r>
  </si>
  <si>
    <t>Total Cortical Volume</t>
  </si>
  <si>
    <r>
      <t xml:space="preserve">Note. </t>
    </r>
    <r>
      <rPr>
        <sz val="12"/>
        <color theme="1"/>
        <rFont val="Calibri"/>
        <family val="2"/>
        <scheme val="minor"/>
      </rPr>
      <t>Indirect effects models were run using the lavaan and lavaan.survey R packages to test whether total cortical volume indirectly linked Neurodevelopmental PRS and 50 outcomes measured at the 2-year-follow-up wave. Covariates include baseline age ("a" path) or follow-up age ("b" path), sex, first 10 ancestral principal components, MRI scanner type, and COVID visit type ("b" path only). Models were estimated with Maximum Likelihood for continuous phenotypes and with the weighted least square mean and variance adjusted (WLSMV) estimator for dichotomous phenotypes.</t>
    </r>
  </si>
  <si>
    <t>Supratentorial Volume</t>
  </si>
  <si>
    <r>
      <t xml:space="preserve">Note. </t>
    </r>
    <r>
      <rPr>
        <sz val="12"/>
        <color theme="1"/>
        <rFont val="Calibri"/>
        <family val="2"/>
        <scheme val="minor"/>
      </rPr>
      <t>Indirect effects models were run using the lavaan and lavaan.survey R packages to test whether supratentorial volume indirectly linked Neurodevelopmental PRS and 47 outcomes measured at the 2-year-follow-up wave. Covariates include baseline age ("a" path) or follow-up age ("b" path), sex, first 10 ancestral principal components, MRI scanner type, and COVID visit type ("b" path only). Models were estimated with Maximum Likelihood for continuous phenotypes and with the weighted least square mean and variance adjusted (WLSMV) estimator for dichotomous phenotypes.</t>
    </r>
  </si>
  <si>
    <t>Whole Brain Volume</t>
  </si>
  <si>
    <t>Note. Indirect effects models were run using the lavaan and lavaan.survey R packages to test whether whole brain volume indirectly linked Neurodevelopmental PRS and 51 outcomes measured at the 2-year-follow-up wave. Covariates include baseline age ("a" path) or follow-up age ("b" path), sex, first 10 ancestral principal components, MRI scanner type, and COVID visit type ("b" path only). Models were estimated with Maximum Likelihood for continuous phenotypes and with the weighted least square mean and variance adjusted (WLSMV) estimator for dichotomous phenotypes.</t>
  </si>
  <si>
    <t>su_crpf_avail_6</t>
  </si>
  <si>
    <t>su_crpf_avail_9</t>
  </si>
  <si>
    <t>anthroweight1lb</t>
  </si>
  <si>
    <t>blood_pressure_sys_mean</t>
  </si>
  <si>
    <t>blood_pressure_dia_mean</t>
  </si>
  <si>
    <t>mctq_sd_min_to_sleep</t>
  </si>
  <si>
    <t>mctq_fd_min_to_sleep</t>
  </si>
  <si>
    <t>mctq_sdw_calc</t>
  </si>
  <si>
    <t>mctq_sdf_calc</t>
  </si>
  <si>
    <t>mctq_tbtw_calc</t>
  </si>
  <si>
    <t>mctq_tbtf_calc</t>
  </si>
  <si>
    <t>mctq_sdweek_calc</t>
  </si>
  <si>
    <t>mctq_msfsc_calc</t>
  </si>
  <si>
    <t>bkfs_group_sugarybevg_t_kcal</t>
  </si>
  <si>
    <t>ple_y_ss_affected_good_mean</t>
  </si>
  <si>
    <t>ple_y_ss_affected_bad_mean</t>
  </si>
  <si>
    <t>peq_ss_reputation_aggs</t>
  </si>
  <si>
    <t>peq_ss_relational_aggs</t>
  </si>
  <si>
    <t>screentime_4_wkdy_composit</t>
  </si>
  <si>
    <t>screentime_5_wkdy_composit</t>
  </si>
  <si>
    <t>screentime_6_wkdy_composit</t>
  </si>
  <si>
    <t>screentime_7_wkdy_composit</t>
  </si>
  <si>
    <t>screentime_9_wkdy_composit</t>
  </si>
  <si>
    <t>screentime_7_wknd_composit</t>
  </si>
  <si>
    <t>screentime_9_wknd_composit</t>
  </si>
  <si>
    <t>screentime_11_wknd_composit</t>
  </si>
  <si>
    <t>screentime_12_wknd_composit</t>
  </si>
  <si>
    <t>screentime_13_wknd_composit</t>
  </si>
  <si>
    <t>screentime_15_wknd_composit</t>
  </si>
  <si>
    <t>screentime_smq_mg_chat</t>
  </si>
  <si>
    <t>screentime_3_wkdy_composit</t>
  </si>
  <si>
    <t>screentime_smq_soc_med_composit</t>
  </si>
  <si>
    <t>screentime_wkdy_school_</t>
  </si>
  <si>
    <t>screentime_1_wkdy_composit_p</t>
  </si>
  <si>
    <t>kbi_y_trans_id</t>
  </si>
  <si>
    <t>kbipcregfriend_groupopin_l</t>
  </si>
  <si>
    <t>kbi_p_c_trans_problems_l</t>
  </si>
  <si>
    <t>ksads_sa_raw_1836_p</t>
  </si>
  <si>
    <t>ksads_sa_raw_1837_pTRAN</t>
  </si>
  <si>
    <t>ksads_sleepprob_raw_814_p</t>
  </si>
  <si>
    <t>ksads_sleepprob_raw_814_t</t>
  </si>
  <si>
    <t>ksads_sad_raw_209_t</t>
  </si>
  <si>
    <t>ksads_phobia_raw_268_p</t>
  </si>
  <si>
    <t>ksads_phobia_raw_270_pTRAN</t>
  </si>
  <si>
    <t>ksads_phobia_raw_230_p</t>
  </si>
  <si>
    <t>ksads_eatingdis_raw_359_tBMI</t>
  </si>
  <si>
    <t>ksads_eatingdis_raw_358_t</t>
  </si>
  <si>
    <t>ksads_eatingdis_raw_363_pBMI</t>
  </si>
  <si>
    <t>ksads_eatingdis_raw_359_pBMI</t>
  </si>
  <si>
    <t>ksads_eatingdis_raw_358_p</t>
  </si>
  <si>
    <t>ksads_gad_raw_271_t</t>
  </si>
  <si>
    <t>ksads_gad_raw_1965_p</t>
  </si>
  <si>
    <t>ksads_gad_raw_1966_pTRAN</t>
  </si>
  <si>
    <t>ksads_gad_raw_271_p</t>
  </si>
  <si>
    <t>ksads_odd_raw_1022_p</t>
  </si>
  <si>
    <t>ksads_odd_raw_1030_pTRAN</t>
  </si>
  <si>
    <t>ksads_odd_raw_1042_pTRAN</t>
  </si>
  <si>
    <t>ksads_odd_raw_1020_p</t>
  </si>
  <si>
    <t>ksads_odd_raw_454_p</t>
  </si>
  <si>
    <t>ksads_odd_raw_457_p</t>
  </si>
  <si>
    <t>ksads_odd_raw_465_p_ageonset</t>
  </si>
  <si>
    <t>ksads_odd_raw_465_p_ageworsen</t>
  </si>
  <si>
    <t>ksads_odd_raw_1019_p</t>
  </si>
  <si>
    <t>ksads_bd_raw_959_p</t>
  </si>
  <si>
    <t>ksads_bd_raw_126_p</t>
  </si>
  <si>
    <t>ksads_bd_raw_122_p</t>
  </si>
  <si>
    <t>ksads_bd_raw_119_p</t>
  </si>
  <si>
    <t>ksads_bd_raw_162_tTRAN</t>
  </si>
  <si>
    <t>ksads_bd_raw_126_t</t>
  </si>
  <si>
    <t>ksads_bd_raw_122_t</t>
  </si>
  <si>
    <t>ksads_bd_raw_119_t</t>
  </si>
  <si>
    <t>ksads_adhd_raw_978_p</t>
  </si>
  <si>
    <t>ksads_adhd_raw_988_p</t>
  </si>
  <si>
    <t>ksads_adhd_raw_987_p</t>
  </si>
  <si>
    <t>ksads_adhd_raw_986_p</t>
  </si>
  <si>
    <t>ksads_adhd_raw_985_p</t>
  </si>
  <si>
    <t>ksads_adhd_raw_984_p</t>
  </si>
  <si>
    <t>ksads_adhd_raw_981_p</t>
  </si>
  <si>
    <t>ksads_adhd_raw_980_p</t>
  </si>
  <si>
    <t>ksads_adhd_raw_979_p</t>
  </si>
  <si>
    <t>ksads_adhd_raw_977_p</t>
  </si>
  <si>
    <t>ksads_adhd_raw_976_p</t>
  </si>
  <si>
    <t>ksads_adhd_raw_975_p</t>
  </si>
  <si>
    <t>ksads_adhd_raw_414_p</t>
  </si>
  <si>
    <t>ksads_adhd_raw_419_p</t>
  </si>
  <si>
    <t>ksads_adhd_raw_409_p</t>
  </si>
  <si>
    <t>ksads_adhd_raw_404_p</t>
  </si>
  <si>
    <t>ksads_cdr_raw_466_t</t>
  </si>
  <si>
    <t>ksads_dp_raw_101_t</t>
  </si>
  <si>
    <t>ksads_dp_raw_98_t</t>
  </si>
  <si>
    <t>ksads_dp_raw_95_t</t>
  </si>
  <si>
    <t>ksads_dp_raw_118_tTRAN</t>
  </si>
  <si>
    <t>ksads_dp_raw_101_p</t>
  </si>
  <si>
    <t>ksads_dp_raw_98_p</t>
  </si>
  <si>
    <t>ksads_dp_raw_95_p</t>
  </si>
  <si>
    <t>ksads_dp_raw_118_pTRAN</t>
  </si>
  <si>
    <t>ksads_asd_raw_562_p</t>
  </si>
  <si>
    <t>ksads_asd_raw_560_p</t>
  </si>
  <si>
    <t>ksads_asd_raw_558_p</t>
  </si>
  <si>
    <t>ksads_cdr_466_p</t>
  </si>
  <si>
    <t>ksads_cdr_473_p</t>
  </si>
  <si>
    <t>eatq_trouble_p</t>
  </si>
  <si>
    <t>eatq_africa_p</t>
  </si>
  <si>
    <t>eatq_deal_p</t>
  </si>
  <si>
    <t>eatq_enjoy_p</t>
  </si>
  <si>
    <t>eatq_open_present_p</t>
  </si>
  <si>
    <t>eatq_ski_slope_p</t>
  </si>
  <si>
    <t>eatq_cry_p</t>
  </si>
  <si>
    <t>eatq_angry_hit_p</t>
  </si>
  <si>
    <t>eatq_care_p</t>
  </si>
  <si>
    <t>eatq_share_p</t>
  </si>
  <si>
    <t>eatq_city_move_p</t>
  </si>
  <si>
    <t>eatq_spend_time_p</t>
  </si>
  <si>
    <t>eatq_annoyed_p</t>
  </si>
  <si>
    <t>eatq_irritated_crit_p</t>
  </si>
  <si>
    <t>eatq_hugs_p</t>
  </si>
  <si>
    <t>eatq_social_p</t>
  </si>
  <si>
    <t>eatq_sea_dive_p</t>
  </si>
  <si>
    <t>eatq_travel_p</t>
  </si>
  <si>
    <t>eatq_worry_p</t>
  </si>
  <si>
    <t>eatq_irritated_place_p</t>
  </si>
  <si>
    <t>eatq_hardly_sad_p</t>
  </si>
  <si>
    <t>eatq_race_car_p</t>
  </si>
  <si>
    <t>eatq_school_excite_p</t>
  </si>
  <si>
    <t>eatq_energized_p</t>
  </si>
  <si>
    <t>eatq_makes_fun_p</t>
  </si>
  <si>
    <t>eatq_no_criticize_p</t>
  </si>
  <si>
    <t>eatq_close_rel_p</t>
  </si>
  <si>
    <t>eatq_is_shy_p</t>
  </si>
  <si>
    <t>eatq_laugh_control_p</t>
  </si>
  <si>
    <t>eatq_attachment_p</t>
  </si>
  <si>
    <t>eatq_not_shy_p</t>
  </si>
  <si>
    <t>eatq_friendly_p</t>
  </si>
  <si>
    <t>eatq_ball_scared_p</t>
  </si>
  <si>
    <t>eatq_meet_p</t>
  </si>
  <si>
    <t>eatq_dark_scared_p</t>
  </si>
  <si>
    <t>eatq_rides_scared_p</t>
  </si>
  <si>
    <t>eatq_disagree_p</t>
  </si>
  <si>
    <t>eatq_frustrated_p</t>
  </si>
  <si>
    <t>eatq_alone_p</t>
  </si>
  <si>
    <t>eatq_shy_meet_p</t>
  </si>
  <si>
    <t>ple_p_ss_affected_good_mean</t>
  </si>
  <si>
    <t>ple_p_ss_affected_bad_mean</t>
  </si>
  <si>
    <t>ple_p_ss_affected_mean</t>
  </si>
  <si>
    <t>ple_crime_fu2_p</t>
  </si>
  <si>
    <t>ple_friend_fu2_p</t>
  </si>
  <si>
    <t>ple_jail_fu2_p</t>
  </si>
  <si>
    <t>bpmt_q6</t>
  </si>
  <si>
    <t>reshist_addr1_no2_2016_aavg</t>
  </si>
  <si>
    <t>reshist_state_mj_laws_rec</t>
  </si>
  <si>
    <t>reshist_state_mj_laws_med</t>
  </si>
  <si>
    <t>reshist_state_mj_laws_low</t>
  </si>
  <si>
    <t>biospec_blood_imm_gran_per</t>
  </si>
  <si>
    <t>biospec_blood_imm_gran_abs</t>
  </si>
  <si>
    <t>fit_ss_fitbit_totalsteps</t>
  </si>
  <si>
    <t>fit_ss_fitbit_sedentarymin</t>
  </si>
  <si>
    <t>fit_ss_fitbit_lightlyactivemin</t>
  </si>
  <si>
    <t>fit_ss_fitbit_fairlyactivemin</t>
  </si>
  <si>
    <t>fit_ss_fitbit_veryactivemin</t>
  </si>
  <si>
    <t>ksads_sleepprob_raw_818_pTRAN</t>
  </si>
  <si>
    <t>ksads_sleepprob_raw_818_tTRAN</t>
  </si>
  <si>
    <t>ple_injur_fu2_p</t>
  </si>
  <si>
    <t>ple_friend_died_fu2_p</t>
  </si>
  <si>
    <t>tlfb_list_l2___18</t>
  </si>
  <si>
    <t>isip_1b_yn_l2</t>
  </si>
  <si>
    <t>pnh_art_involve</t>
  </si>
  <si>
    <t>dim_yesno_q1</t>
  </si>
  <si>
    <t>fes_1_p</t>
  </si>
  <si>
    <t>medhx_2q_l</t>
  </si>
  <si>
    <t>medhx_2_notes2_l</t>
  </si>
  <si>
    <t>medhx_6t_l</t>
  </si>
  <si>
    <t>medhx_12_l</t>
  </si>
  <si>
    <t>child_antidep_use</t>
  </si>
  <si>
    <t>prodromal_5_y</t>
  </si>
  <si>
    <t>pps_19_bother_yn</t>
  </si>
  <si>
    <t>pps_21_bother_yn</t>
  </si>
  <si>
    <t>ple_separ_past_yr_y</t>
  </si>
  <si>
    <t>ple_step_past_yr_y</t>
  </si>
  <si>
    <t>cybb_phenx_power</t>
  </si>
  <si>
    <t>screentime_secs_media_p</t>
  </si>
  <si>
    <t>screentime_scrn_media_p__1</t>
  </si>
  <si>
    <t>screentime_scrn_media_p__2</t>
  </si>
  <si>
    <t>screentime_scrn_media_p__3</t>
  </si>
  <si>
    <t>screentime_scrn_media_p__4</t>
  </si>
  <si>
    <t>screentime_scrn_media_p__5</t>
  </si>
  <si>
    <t>screentime_scrn_media_p__6</t>
  </si>
  <si>
    <t>screentime_device_p__0</t>
  </si>
  <si>
    <t>screentime_device_p__1</t>
  </si>
  <si>
    <t>screentime_device_p__2</t>
  </si>
  <si>
    <t>screentime_device_p__3</t>
  </si>
  <si>
    <t>screentime_device_p__4</t>
  </si>
  <si>
    <t>screentime_device_p__6</t>
  </si>
  <si>
    <t>demo_prnt_empl_v2_l</t>
  </si>
  <si>
    <t>demo_prtnr_empl_v2_l</t>
  </si>
  <si>
    <t>demo_fam_exp5_v2_l</t>
  </si>
  <si>
    <t>demo_med_insur_e_p</t>
  </si>
  <si>
    <t>kbipcserviceschecklistl7</t>
  </si>
  <si>
    <t>kbipcserviceschecklistl9</t>
  </si>
  <si>
    <t>ple_crime_past_yr_p</t>
  </si>
  <si>
    <t>ple_financial_fu_p</t>
  </si>
  <si>
    <t>ple_injur_p</t>
  </si>
  <si>
    <t>ple_away_fu_p</t>
  </si>
  <si>
    <t>ple_friend_died_p</t>
  </si>
  <si>
    <t>ple_sib_fu_p</t>
  </si>
  <si>
    <t>ple_jail_p</t>
  </si>
  <si>
    <t>ksads_odd_raw_455_p</t>
  </si>
  <si>
    <t>ksads_odd_raw_458_p</t>
  </si>
  <si>
    <t>ksads_bd_raw_948_p</t>
  </si>
  <si>
    <t>ksads_odd_raw_1033_p</t>
  </si>
  <si>
    <t>ksads_odd_raw_1032_p</t>
  </si>
  <si>
    <t>ksads_odd_raw_1034_p</t>
  </si>
  <si>
    <t>ksads_odd_raw_1035_p</t>
  </si>
  <si>
    <t>ksads_odd_raw_1037_p</t>
  </si>
  <si>
    <t>ksads_odd_raw_1039_p</t>
  </si>
  <si>
    <t>ksads_gad_raw_273_p</t>
  </si>
  <si>
    <t>ksads_phobia_raw_220_p</t>
  </si>
  <si>
    <t>ksads_phobia_raw_221_p</t>
  </si>
  <si>
    <t>ksads_phobia_raw_222_p</t>
  </si>
  <si>
    <t>ksads_phobia_raw_228_p</t>
  </si>
  <si>
    <t>ksads_phobia_raw_251_p</t>
  </si>
  <si>
    <t>ksads_phobia_raw_252_p</t>
  </si>
  <si>
    <t>ksads_phobia_raw_259_p</t>
  </si>
  <si>
    <t>ksads_bd_raw_953_p</t>
  </si>
  <si>
    <t>ksads_sa_raw_198_p</t>
  </si>
  <si>
    <t>ksads_sa_raw_201_p</t>
  </si>
  <si>
    <t>ksads_bd_raw_124_p</t>
  </si>
  <si>
    <t>ksads_adhd_raw_423_p</t>
  </si>
  <si>
    <t>ksads_adhd_raw_421_p</t>
  </si>
  <si>
    <t>ksads_adhd_raw_1004_p</t>
  </si>
  <si>
    <t>ksads_adhd_raw_1013_p</t>
  </si>
  <si>
    <t>ksads_adhd_raw_1012_p</t>
  </si>
  <si>
    <t>ksads_adhd_raw_1010_p</t>
  </si>
  <si>
    <t>ksads_adhd_raw_1009_p</t>
  </si>
  <si>
    <t>ksads_adhd_raw_1008_p</t>
  </si>
  <si>
    <t>ksads_adhd_raw_1007_p</t>
  </si>
  <si>
    <t>ksads_adhd_raw_1006_p</t>
  </si>
  <si>
    <t>ksads_adhd_raw_1005_p</t>
  </si>
  <si>
    <t>ksads_adhd_raw_1003_p</t>
  </si>
  <si>
    <t>ksads_adhd_raw_1001_p</t>
  </si>
  <si>
    <t>ksads_adhd_raw_416_p</t>
  </si>
  <si>
    <t>ksads_adhd_raw_413_p</t>
  </si>
  <si>
    <t>ksads_adhd_raw_411_p</t>
  </si>
  <si>
    <t>ksads_adhd_raw_408_p</t>
  </si>
  <si>
    <t>ksads_adhd_raw_406_p</t>
  </si>
  <si>
    <t>ksads_cdr_raw_467_t</t>
  </si>
  <si>
    <t>ksads_asd_raw_563_p</t>
  </si>
  <si>
    <t>ksads_cdr_467_p</t>
  </si>
  <si>
    <t>ksads_cdr_1087_p___5th</t>
  </si>
  <si>
    <t>ksads_1_4_p</t>
  </si>
  <si>
    <t>ksads_1_2_p</t>
  </si>
  <si>
    <t>ksads_1_184_p</t>
  </si>
  <si>
    <t>ksads_2_211_p</t>
  </si>
  <si>
    <t>ksads_2_216_p</t>
  </si>
  <si>
    <t>ksads_2_11_p</t>
  </si>
  <si>
    <t>ksads_2_10_p</t>
  </si>
  <si>
    <t>ksads_2_222_p</t>
  </si>
  <si>
    <t>ksads_2_220_p</t>
  </si>
  <si>
    <t>ksads_7_300_p</t>
  </si>
  <si>
    <t>ksads_7_27_p</t>
  </si>
  <si>
    <t>ksads_7_294_p</t>
  </si>
  <si>
    <t>ksads_7_296_p</t>
  </si>
  <si>
    <t>ksads_7_25_p</t>
  </si>
  <si>
    <t>ksads_7_298_p</t>
  </si>
  <si>
    <t>ksads_8_31_p</t>
  </si>
  <si>
    <t>ksads_8_312_p</t>
  </si>
  <si>
    <t>ksads_8_302_p</t>
  </si>
  <si>
    <t>ksads_9_868_p</t>
  </si>
  <si>
    <t>ksads_9_38_p</t>
  </si>
  <si>
    <t>ksads_9_42_p</t>
  </si>
  <si>
    <t>ksads_9_44_p</t>
  </si>
  <si>
    <t>ksads_9_40_p</t>
  </si>
  <si>
    <t>ksads_9_34_p</t>
  </si>
  <si>
    <t>ksads_9_35_p</t>
  </si>
  <si>
    <t>ksads_9_36_p</t>
  </si>
  <si>
    <t>ksads_10_46_p</t>
  </si>
  <si>
    <t>ksads_10_321_p</t>
  </si>
  <si>
    <t>ksads_10_325_p</t>
  </si>
  <si>
    <t>ksads_10_329_p</t>
  </si>
  <si>
    <t>ksads_10_327_p</t>
  </si>
  <si>
    <t>ksads_10_323_p</t>
  </si>
  <si>
    <t>ksads_13_67_p</t>
  </si>
  <si>
    <t>ksads_14_398_p</t>
  </si>
  <si>
    <t>ksads_14_414_p</t>
  </si>
  <si>
    <t>ksads_14_419_p</t>
  </si>
  <si>
    <t>ksads_14_421_p</t>
  </si>
  <si>
    <t>ksads_14_422_p</t>
  </si>
  <si>
    <t>ksads_14_76_p</t>
  </si>
  <si>
    <t>ksads_14_413_p</t>
  </si>
  <si>
    <t>ksads_14_396_p</t>
  </si>
  <si>
    <t>ksads_14_420_p</t>
  </si>
  <si>
    <t>ksads_14_397_p</t>
  </si>
  <si>
    <t>ksads_14_87_p</t>
  </si>
  <si>
    <t>ksads_14_86_p</t>
  </si>
  <si>
    <t>ksads_14_78_p</t>
  </si>
  <si>
    <t>ksads_14_77_p</t>
  </si>
  <si>
    <t>ksads_14_79_p</t>
  </si>
  <si>
    <t>ksads_14_412_p</t>
  </si>
  <si>
    <t>ksads_14_401_p</t>
  </si>
  <si>
    <t>ksads_14_417_p</t>
  </si>
  <si>
    <t>ksads_14_80_p</t>
  </si>
  <si>
    <t>ksads_14_82_p</t>
  </si>
  <si>
    <t>ksads_14_81_p</t>
  </si>
  <si>
    <t>ksads_14_83_p</t>
  </si>
  <si>
    <t>ksads_14_400_p</t>
  </si>
  <si>
    <t>ksads_14_416_p</t>
  </si>
  <si>
    <t>ksads_14_89_p</t>
  </si>
  <si>
    <t>ksads_14_90_p</t>
  </si>
  <si>
    <t>ksads_14_415_p</t>
  </si>
  <si>
    <t>ksads_14_424_p</t>
  </si>
  <si>
    <t>ksads_14_410_p</t>
  </si>
  <si>
    <t>ksads_14_395_p</t>
  </si>
  <si>
    <t>ksads_14_411_p</t>
  </si>
  <si>
    <t>ksads_14_407_p</t>
  </si>
  <si>
    <t>ksads_14_423_p</t>
  </si>
  <si>
    <t>ksads_14_418_p</t>
  </si>
  <si>
    <t>ksads_14_409_p</t>
  </si>
  <si>
    <t>ksads_14_425_p</t>
  </si>
  <si>
    <t>ksads_14_429_p</t>
  </si>
  <si>
    <t>ksads_14_430_p</t>
  </si>
  <si>
    <t>ksads_15_902_p</t>
  </si>
  <si>
    <t>ksads_15_436_p</t>
  </si>
  <si>
    <t>ksads_15_442_p</t>
  </si>
  <si>
    <t>ksads_15_96_p</t>
  </si>
  <si>
    <t>ksads_15_440_p</t>
  </si>
  <si>
    <t>ksads_15_94_p</t>
  </si>
  <si>
    <t>ksads_15_443_p</t>
  </si>
  <si>
    <t>ksads_15_93_p</t>
  </si>
  <si>
    <t>ksads_15_439_p</t>
  </si>
  <si>
    <t>ksads_15_92_p</t>
  </si>
  <si>
    <t>ksads_15_445_p</t>
  </si>
  <si>
    <t>ksads_15_438_p</t>
  </si>
  <si>
    <t>ksads_15_97_p</t>
  </si>
  <si>
    <t>ksads_15_437_p</t>
  </si>
  <si>
    <t>ksads_15_444_p</t>
  </si>
  <si>
    <t>ksads_15_441_p</t>
  </si>
  <si>
    <t>ksads_16_99_p</t>
  </si>
  <si>
    <t>ksads_18_117_p</t>
  </si>
  <si>
    <t>ksads_21_134_p</t>
  </si>
  <si>
    <t>ksads_21_140_p</t>
  </si>
  <si>
    <t>ksads_21_388_p</t>
  </si>
  <si>
    <t>ksads_22_970_p</t>
  </si>
  <si>
    <t>ksads_22_142_p</t>
  </si>
  <si>
    <t>ksads_23_957_p</t>
  </si>
  <si>
    <t>ksads_1_2_t</t>
  </si>
  <si>
    <t>ksads_2_13_t</t>
  </si>
  <si>
    <t>ksads_16_99_t</t>
  </si>
  <si>
    <t>ksads_22_142_t</t>
  </si>
  <si>
    <t>ksads_22_970_t</t>
  </si>
  <si>
    <t>screentime_sq2_silent</t>
  </si>
  <si>
    <t>screentime_sq2_outside</t>
  </si>
  <si>
    <t>tlfb_list_l2___1*</t>
  </si>
  <si>
    <t>tlfb_list_l2___12*</t>
  </si>
  <si>
    <t>tlfb_list_l2___3*</t>
  </si>
  <si>
    <t>tlfb_list_l2___7*</t>
  </si>
  <si>
    <t>tlfb_list_l2___18*</t>
  </si>
  <si>
    <t>isip_1b_yn_l2*</t>
  </si>
  <si>
    <t>caff_max_yn_l*</t>
  </si>
  <si>
    <t>tlfb_mj_l2*</t>
  </si>
  <si>
    <t>tlfb_mj_synth_l2*</t>
  </si>
  <si>
    <t>tlfb_bitta_l2*</t>
  </si>
  <si>
    <t>tlfb_inhalant_l2*</t>
  </si>
  <si>
    <t>tlfb_rx_misuse_l2*</t>
  </si>
  <si>
    <t>tlfb_list_yes_no_l2*</t>
  </si>
  <si>
    <t>tlfb_alc_sip_l2*</t>
  </si>
  <si>
    <t>pnh_substance*</t>
  </si>
  <si>
    <t>pnh_help*</t>
  </si>
  <si>
    <t>pnh_encourage*</t>
  </si>
  <si>
    <t>pnh_art_involve*</t>
  </si>
  <si>
    <t>dim_yesno_q1*</t>
  </si>
  <si>
    <t>dim_yesno_q3*</t>
  </si>
  <si>
    <t>dim_yesno_q4*</t>
  </si>
  <si>
    <t>sag_iep_current_p*</t>
  </si>
  <si>
    <t>sag_iep_ever_p*</t>
  </si>
  <si>
    <t>fes_1_p*</t>
  </si>
  <si>
    <t>fes_11r_p*</t>
  </si>
  <si>
    <t>fes_12_p*</t>
  </si>
  <si>
    <t>fes_16r_p*</t>
  </si>
  <si>
    <t>fes_17_p*</t>
  </si>
  <si>
    <t>fes_19_p*</t>
  </si>
  <si>
    <t>fes_21_p*</t>
  </si>
  <si>
    <t>fes_22_p*</t>
  </si>
  <si>
    <t>fes_26_p*</t>
  </si>
  <si>
    <t>fes_27r_p*</t>
  </si>
  <si>
    <t>fes_29r_p*</t>
  </si>
  <si>
    <t>fes_2r_p*</t>
  </si>
  <si>
    <t>fes_31_p*</t>
  </si>
  <si>
    <t>fes_32_p*</t>
  </si>
  <si>
    <t>fes_36r_p*</t>
  </si>
  <si>
    <t>fes_37_p*</t>
  </si>
  <si>
    <t>fes_39_p*</t>
  </si>
  <si>
    <t>fes_41r_p*</t>
  </si>
  <si>
    <t>fes_42_p*</t>
  </si>
  <si>
    <t>fes_46r_p*</t>
  </si>
  <si>
    <t>fes_47_p*</t>
  </si>
  <si>
    <t>fes_49r_p*</t>
  </si>
  <si>
    <t>fes_51_p*</t>
  </si>
  <si>
    <t>fes_52r_p*</t>
  </si>
  <si>
    <t>fes_56_p*</t>
  </si>
  <si>
    <t>fes_57r_p*</t>
  </si>
  <si>
    <t>fes_59_p*</t>
  </si>
  <si>
    <t>fes_6_p*</t>
  </si>
  <si>
    <t>fes_61r_p*</t>
  </si>
  <si>
    <t>fes_62_p*</t>
  </si>
  <si>
    <t>fes_66_p*</t>
  </si>
  <si>
    <t>fes_67_p*</t>
  </si>
  <si>
    <t>fes_69_p*</t>
  </si>
  <si>
    <t>fes_71_p*</t>
  </si>
  <si>
    <t>fes_72r_p*</t>
  </si>
  <si>
    <t>fes_76r_p*</t>
  </si>
  <si>
    <t>fes_77_p*</t>
  </si>
  <si>
    <t>fes_79r_p*</t>
  </si>
  <si>
    <t>fes_7r_p*</t>
  </si>
  <si>
    <t>fes_81_p*</t>
  </si>
  <si>
    <t>fes_82_p*</t>
  </si>
  <si>
    <t>fes_86_p*</t>
  </si>
  <si>
    <t>fes_87r_p*</t>
  </si>
  <si>
    <t>fes_89_p*</t>
  </si>
  <si>
    <t>fes_9_p*</t>
  </si>
  <si>
    <t>medhx_1a_l*</t>
  </si>
  <si>
    <t>medhx_2a_l*</t>
  </si>
  <si>
    <t>medhx_2b_l*</t>
  </si>
  <si>
    <t>medhx_2n_l*</t>
  </si>
  <si>
    <t>medhx_2q_l*</t>
  </si>
  <si>
    <t>medhx_2r_l*</t>
  </si>
  <si>
    <t>medhx_2_notes2_l*</t>
  </si>
  <si>
    <t>medhx_4a_l*</t>
  </si>
  <si>
    <t>medhx_6a_l*</t>
  </si>
  <si>
    <t>medhx_6b_l*</t>
  </si>
  <si>
    <t>medhx_6c_l*</t>
  </si>
  <si>
    <t>medhx_6f_l*</t>
  </si>
  <si>
    <t>medhx_6h_l*</t>
  </si>
  <si>
    <t>medhx_6t_l*</t>
  </si>
  <si>
    <t>medhx_9a_l*</t>
  </si>
  <si>
    <t>medhx_11_l*</t>
  </si>
  <si>
    <t>medhx_12_l*</t>
  </si>
  <si>
    <t>mctq_sd_alarm_clock*</t>
  </si>
  <si>
    <t>mctq_sd_before_alarm*</t>
  </si>
  <si>
    <t>mctq_fd_alarm_parent*</t>
  </si>
  <si>
    <t>pain_last_month*</t>
  </si>
  <si>
    <t>tbi_3_l*</t>
  </si>
  <si>
    <t>ple_died_y*</t>
  </si>
  <si>
    <t>ple_died_past_yr_y*</t>
  </si>
  <si>
    <t>ple_injured_y*</t>
  </si>
  <si>
    <t>ple_injured_past_yr_y*</t>
  </si>
  <si>
    <t>ple_crime_y*</t>
  </si>
  <si>
    <t>ple_crime_past_yr_y*</t>
  </si>
  <si>
    <t>ple_friend_y*</t>
  </si>
  <si>
    <t>ple_friend_past_yr_y*</t>
  </si>
  <si>
    <t>ple_friend_injur_y*</t>
  </si>
  <si>
    <t>ple_friend_injur_past_yr_y*</t>
  </si>
  <si>
    <t>ple_financial_y*</t>
  </si>
  <si>
    <t>ple_financial_past_yr_y*</t>
  </si>
  <si>
    <t>ple_sud_y*</t>
  </si>
  <si>
    <t>ple_sud_past_yr_y*</t>
  </si>
  <si>
    <t>ple_ill_y*</t>
  </si>
  <si>
    <t>ple_ill_past_yr_y*</t>
  </si>
  <si>
    <t>ple_injur_y*</t>
  </si>
  <si>
    <t>ple_injur_y_past_yr_y*</t>
  </si>
  <si>
    <t>ple_argue_y*</t>
  </si>
  <si>
    <t>ple_argue_past_yr_y*</t>
  </si>
  <si>
    <t>ple_job_y*</t>
  </si>
  <si>
    <t>ple_job_past_yr_y*</t>
  </si>
  <si>
    <t>ple_away_y*</t>
  </si>
  <si>
    <t>ple_away_past_yr_y*</t>
  </si>
  <si>
    <t>ple_arrest_y*</t>
  </si>
  <si>
    <t>ple_arrest_past_yr_y*</t>
  </si>
  <si>
    <t>ple_friend_died_y*</t>
  </si>
  <si>
    <t>ple_mh_y*</t>
  </si>
  <si>
    <t>ple_mh_past_yr_y*</t>
  </si>
  <si>
    <t>ple_sib_y*</t>
  </si>
  <si>
    <t>ple_sib_past_yr_y*</t>
  </si>
  <si>
    <t>ple_separ_y*</t>
  </si>
  <si>
    <t>ple_separ_past_yr_y*</t>
  </si>
  <si>
    <t>ple_law_y*</t>
  </si>
  <si>
    <t>ple_school_y*</t>
  </si>
  <si>
    <t>ple_school_past_yr_y*</t>
  </si>
  <si>
    <t>ple_move_y*</t>
  </si>
  <si>
    <t>ple_move_past_yr_y*</t>
  </si>
  <si>
    <t>ple_jail_y*</t>
  </si>
  <si>
    <t>ple_step_y*</t>
  </si>
  <si>
    <t>ple_step_past_yr_y*</t>
  </si>
  <si>
    <t>ple_new_job_y*</t>
  </si>
  <si>
    <t>ple_new_job_past_yr_y*</t>
  </si>
  <si>
    <t>ple_new_sib_y*</t>
  </si>
  <si>
    <t>ple_new_sib_past_yr_y*</t>
  </si>
  <si>
    <t>ple_away_fu_y*</t>
  </si>
  <si>
    <t>ple_sib_fu_y*</t>
  </si>
  <si>
    <t>ple_school_fu_y*</t>
  </si>
  <si>
    <t>ple_move_fu_y*</t>
  </si>
  <si>
    <t>cybb_phenx_harm*</t>
  </si>
  <si>
    <t>cybb_phenx_harm_12mo*</t>
  </si>
  <si>
    <t>cybb_phenx_power*</t>
  </si>
  <si>
    <t>screentime_following_child_p*</t>
  </si>
  <si>
    <t>screentime_secs_media_p*</t>
  </si>
  <si>
    <t>screentime_scrn_media_p__1*</t>
  </si>
  <si>
    <t>screentime_scrn_media_p__2*</t>
  </si>
  <si>
    <t>screentime_scrn_media_p__3*</t>
  </si>
  <si>
    <t>screentime_scrn_media_p__4*</t>
  </si>
  <si>
    <t>screentime_scrn_media_p__5*</t>
  </si>
  <si>
    <t>screentime_scrn_media_p__6*</t>
  </si>
  <si>
    <t>screentime_device_p__0*</t>
  </si>
  <si>
    <t>screentime_device_p__1*</t>
  </si>
  <si>
    <t>screentime_device_p__2*</t>
  </si>
  <si>
    <t>screentime_device_p__3*</t>
  </si>
  <si>
    <t>screentime_device_p__4*</t>
  </si>
  <si>
    <t>screentime_device_p__6*</t>
  </si>
  <si>
    <t>screentime_device_wifi_p*</t>
  </si>
  <si>
    <t>screentime_phone_yn*</t>
  </si>
  <si>
    <t>screentime_usesoc*</t>
  </si>
  <si>
    <t>screentime_smq_account*</t>
  </si>
  <si>
    <t>screentime_sq1*</t>
  </si>
  <si>
    <t>demo_prnt_empl_v2_l*</t>
  </si>
  <si>
    <t>demo_prnt_prtnr_v2_l*</t>
  </si>
  <si>
    <t>demo_prnt_prtnr_bio_l*</t>
  </si>
  <si>
    <t>demo_prtnr_empl_v2_l*</t>
  </si>
  <si>
    <t>demo_child_time_v2_l*</t>
  </si>
  <si>
    <t>demo_fam_exp1_v2_l*</t>
  </si>
  <si>
    <t>demo_fam_exp3_v2_l*</t>
  </si>
  <si>
    <t>demo_fam_exp5_v2_l*</t>
  </si>
  <si>
    <t>demo_fam_exp6_v2_l*</t>
  </si>
  <si>
    <t>demo_fam_exp7_v2_l*</t>
  </si>
  <si>
    <t>demo_yrs_2a_l*</t>
  </si>
  <si>
    <t>demo_yrs_2b_l*</t>
  </si>
  <si>
    <t>demo_med_insur_a_p*</t>
  </si>
  <si>
    <t>demo_med_insur_b_p*</t>
  </si>
  <si>
    <t>demo_med_insur_d_p*</t>
  </si>
  <si>
    <t>demo_med_insur_e_p*</t>
  </si>
  <si>
    <t>kbi_p_c_live_full_time_l*</t>
  </si>
  <si>
    <t>kbi_p_c_guard_l___2*</t>
  </si>
  <si>
    <t>kbi_p_conflict_causes_l___1*</t>
  </si>
  <si>
    <t>kbi_p_conflict_causes_l___2*</t>
  </si>
  <si>
    <t>kbi_p_conflict_causes_l___4*</t>
  </si>
  <si>
    <t>kbi_p_conflict_causes_l___5*</t>
  </si>
  <si>
    <t>kbi_p_conflict_causes_l___6*</t>
  </si>
  <si>
    <t>kbi_p_conflict_causes_l___8*</t>
  </si>
  <si>
    <t>kbi_p_conflict_causes_l___9*</t>
  </si>
  <si>
    <t>kbi_p_c_drop_in_grades_l*</t>
  </si>
  <si>
    <t>kbi_p_c_spec_serv_l___4*</t>
  </si>
  <si>
    <t>kbi_p_c_spec_serv_l___6*</t>
  </si>
  <si>
    <t>kbi_p_c_spec_serv_l___7*</t>
  </si>
  <si>
    <t>kbi_p_c_spec_serv_l___8*</t>
  </si>
  <si>
    <t>kbi_p_c_spec_serv_l___9*</t>
  </si>
  <si>
    <t>kbi_p_c_spec_serv_l___10*</t>
  </si>
  <si>
    <t>kbi_p_c_det_susp_l*</t>
  </si>
  <si>
    <t>kbi_p_c_det_reason_l___8*</t>
  </si>
  <si>
    <t>kbi_p_c_best_friend_l*</t>
  </si>
  <si>
    <t>kbi_p_c_reg_friend_group_l*</t>
  </si>
  <si>
    <t>kbi_p_c_bully_l*</t>
  </si>
  <si>
    <t>kbipcserviceschecklistl1*</t>
  </si>
  <si>
    <t>kbipcserviceschecklistl7*</t>
  </si>
  <si>
    <t>kbipcserviceschecklistl8*</t>
  </si>
  <si>
    <t>kbipcserviceschecklistl9*</t>
  </si>
  <si>
    <t>kbipcserviceschecklistl10*</t>
  </si>
  <si>
    <t>ple_died_p*</t>
  </si>
  <si>
    <t>ple_died_past_yr_p*</t>
  </si>
  <si>
    <t>ple_died_fu_p*</t>
  </si>
  <si>
    <t>ple_injured_p*</t>
  </si>
  <si>
    <t>ple_injur_p_p*</t>
  </si>
  <si>
    <t>ple_crime_p*</t>
  </si>
  <si>
    <t>ple_crime_past_yr_p*</t>
  </si>
  <si>
    <t>ple_friend_p*</t>
  </si>
  <si>
    <t>ple_friend_past_yr_p*</t>
  </si>
  <si>
    <t>ple_friend_injur_p*</t>
  </si>
  <si>
    <t>ple_financial_p*</t>
  </si>
  <si>
    <t>ple_financial_past_yr_p*</t>
  </si>
  <si>
    <t>ple_financial_fu_p*</t>
  </si>
  <si>
    <t>ple_sud_p*</t>
  </si>
  <si>
    <t>ple_sud_past_yr_p*</t>
  </si>
  <si>
    <t>ple_ill_p*</t>
  </si>
  <si>
    <t>ple_injur_p*</t>
  </si>
  <si>
    <t>ple_argue_p*</t>
  </si>
  <si>
    <t>ple_argue_past_yr_p*</t>
  </si>
  <si>
    <t>ple_job_p*</t>
  </si>
  <si>
    <t>ple_job_past_yr_p*</t>
  </si>
  <si>
    <t>ple_job_fu_p*</t>
  </si>
  <si>
    <t>ple_away_p*</t>
  </si>
  <si>
    <t>ple_away_past_yr_p*</t>
  </si>
  <si>
    <t>ple_away_fu_p*</t>
  </si>
  <si>
    <t>ple_arrest_p*</t>
  </si>
  <si>
    <t>ple_friend_died_p*</t>
  </si>
  <si>
    <t>ple_mh_p*</t>
  </si>
  <si>
    <t>ple_mh_past_yr_p*</t>
  </si>
  <si>
    <t>ple_sib_p*</t>
  </si>
  <si>
    <t>ple_sib_past_yr_p*</t>
  </si>
  <si>
    <t>ple_sib_fu_p*</t>
  </si>
  <si>
    <t>ple_separ_p*</t>
  </si>
  <si>
    <t>ple_separ_past_yr_p*</t>
  </si>
  <si>
    <t>ple_separ_fu_p*</t>
  </si>
  <si>
    <t>ple_law_p*</t>
  </si>
  <si>
    <t>ple_school_p*</t>
  </si>
  <si>
    <t>ple_school_past_yr_p*</t>
  </si>
  <si>
    <t>ple_school_fu_p*</t>
  </si>
  <si>
    <t>ple_move_p*</t>
  </si>
  <si>
    <t>ple_move_past_yr_p*</t>
  </si>
  <si>
    <t>ple_jail_p*</t>
  </si>
  <si>
    <t>ple_step_p*</t>
  </si>
  <si>
    <t>ple_new_job_p*</t>
  </si>
  <si>
    <t>ple_new_job_past_yr_p*</t>
  </si>
  <si>
    <t>ple_new_sib_p*</t>
  </si>
  <si>
    <t>ple_new_sib_past_yr_p*</t>
  </si>
  <si>
    <t>ksads_odd_raw_455_p*</t>
  </si>
  <si>
    <t>ksads_odd_raw_458_p*</t>
  </si>
  <si>
    <t>ksads_bd_raw_948_p*</t>
  </si>
  <si>
    <t>ksads_odd_raw_1033_p*</t>
  </si>
  <si>
    <t>ksads_odd_raw_1032_p*</t>
  </si>
  <si>
    <t>ksads_odd_raw_1034_p*</t>
  </si>
  <si>
    <t>ksads_odd_raw_1035_p*</t>
  </si>
  <si>
    <t>ksads_odd_raw_1037_p*</t>
  </si>
  <si>
    <t>ksads_odd_raw_1039_p*</t>
  </si>
  <si>
    <t>ksads_gad_raw_273_p*</t>
  </si>
  <si>
    <t>ksads_phobia_raw_220_p*</t>
  </si>
  <si>
    <t>ksads_phobia_raw_221_p*</t>
  </si>
  <si>
    <t>ksads_phobia_raw_222_p*</t>
  </si>
  <si>
    <t>ksads_phobia_raw_228_p*</t>
  </si>
  <si>
    <t>ksads_phobia_raw_251_p*</t>
  </si>
  <si>
    <t>ksads_phobia_raw_252_p*</t>
  </si>
  <si>
    <t>ksads_phobia_raw_259_p*</t>
  </si>
  <si>
    <t>ksads_bd_raw_953_p*</t>
  </si>
  <si>
    <t>ksads_sa_raw_198_p*</t>
  </si>
  <si>
    <t>ksads_sa_raw_201_p*</t>
  </si>
  <si>
    <t>ksads_bd_raw_124_p*</t>
  </si>
  <si>
    <t>ksads_adhd_raw_423_p*</t>
  </si>
  <si>
    <t>ksads_adhd_raw_421_p*</t>
  </si>
  <si>
    <t>ksads_adhd_raw_1004_p*</t>
  </si>
  <si>
    <t>ksads_adhd_raw_1013_p*</t>
  </si>
  <si>
    <t>ksads_adhd_raw_1012_p*</t>
  </si>
  <si>
    <t>ksads_adhd_raw_1010_p*</t>
  </si>
  <si>
    <t>ksads_adhd_raw_1009_p*</t>
  </si>
  <si>
    <t>ksads_adhd_raw_1008_p*</t>
  </si>
  <si>
    <t>ksads_adhd_raw_1007_p*</t>
  </si>
  <si>
    <t>ksads_adhd_raw_1006_p*</t>
  </si>
  <si>
    <t>ksads_adhd_raw_1005_p*</t>
  </si>
  <si>
    <t>ksads_adhd_raw_1003_p*</t>
  </si>
  <si>
    <t>ksads_adhd_raw_1001_p*</t>
  </si>
  <si>
    <t>ksads_adhd_raw_416_p*</t>
  </si>
  <si>
    <t>ksads_adhd_raw_413_p*</t>
  </si>
  <si>
    <t>ksads_adhd_raw_411_p*</t>
  </si>
  <si>
    <t>ksads_adhd_raw_408_p*</t>
  </si>
  <si>
    <t>ksads_adhd_raw_406_p*</t>
  </si>
  <si>
    <t>ksads_cdr_raw_467_t*</t>
  </si>
  <si>
    <t>ksads_asd_raw_563_p*</t>
  </si>
  <si>
    <t>ksads_cdr_467_p*</t>
  </si>
  <si>
    <t>ksads_cdr_1087_p___5th*</t>
  </si>
  <si>
    <t>ksads_16_99_t*</t>
  </si>
  <si>
    <t>screentime_sq2_phoneoff*</t>
  </si>
  <si>
    <t>screentime_sq2_silent*</t>
  </si>
  <si>
    <t>screentime_sq2_ringeron*</t>
  </si>
  <si>
    <t>screentime_sq2_outside*</t>
  </si>
  <si>
    <r>
      <t xml:space="preserve">Note. </t>
    </r>
    <r>
      <rPr>
        <sz val="12"/>
        <color theme="1"/>
        <rFont val="Calibri"/>
        <family val="2"/>
        <scheme val="minor"/>
      </rPr>
      <t>The lme4 R package was used to conduct PheWAS between each PRS and 1,694 2-year-follow-up phenotypes. P-values are corrected within each PRS.</t>
    </r>
    <r>
      <rPr>
        <i/>
        <sz val="12"/>
        <color theme="1"/>
        <rFont val="Calibri"/>
        <family val="2"/>
        <scheme val="minor"/>
      </rPr>
      <t xml:space="preserve"> </t>
    </r>
    <r>
      <rPr>
        <sz val="12"/>
        <color theme="1"/>
        <rFont val="Calibri"/>
        <family val="2"/>
        <scheme val="minor"/>
      </rPr>
      <t>Covariates include age, sex, first 10 ancestral principal components, and COVID visit type (i.e., remote, in-person, hybrid); random intercepts for family and study site</t>
    </r>
    <r>
      <rPr>
        <i/>
        <sz val="12"/>
        <color theme="1"/>
        <rFont val="Calibri"/>
        <family val="2"/>
        <scheme val="minor"/>
      </rPr>
      <t xml:space="preserve">. * </t>
    </r>
    <r>
      <rPr>
        <sz val="12"/>
        <color theme="1"/>
        <rFont val="Calibri"/>
        <family val="2"/>
        <scheme val="minor"/>
      </rPr>
      <t>= dichotomous variables analyzed with glmer(); estimates are odds ratios (ORs)</t>
    </r>
  </si>
  <si>
    <t>Study Variable</t>
  </si>
  <si>
    <t>Original Variable Name</t>
  </si>
  <si>
    <t>Description </t>
  </si>
  <si>
    <r>
      <t>COGNITION</t>
    </r>
    <r>
      <rPr>
        <sz val="12"/>
        <color theme="1"/>
        <rFont val="Calibri"/>
        <family val="2"/>
        <scheme val="minor"/>
      </rPr>
      <t> </t>
    </r>
  </si>
  <si>
    <t>cash_choice_task</t>
  </si>
  <si>
    <t>Let's pretend a kind person wanted to give you some money. Would you rather have $75 in three days or $115 in 3 months?</t>
  </si>
  <si>
    <t>Percentage correct of all 32 presented trials</t>
  </si>
  <si>
    <t>NIH Toolbox Dimensional Change Card Sort Test Ages 8-11 v2.0 Uncorrected Standard Score</t>
  </si>
  <si>
    <t>Crystallized Composite Uncorrected Standard Score</t>
  </si>
  <si>
    <t>NIH Toolbox Flanker Inhibitory Control and Attention Test Ages 8-11 v2.0 Uncorrected Standard Score</t>
  </si>
  <si>
    <t>Cognition Fluid Composite Uncorrected Standard Score</t>
  </si>
  <si>
    <t>NIH Toolbox List Sorting Working Memory Test Age 7+ v2.0 Uncorrected Standard Score</t>
  </si>
  <si>
    <t>NIH Toolbox Pattern Comparison Processing Speed Test Age 7+ v2.0 Uncorrected Standard Score</t>
  </si>
  <si>
    <t>NIH Toolbox Picture Sequence Memory Test Age 8+ Form A v2.0 Uncorrected Standard Score</t>
  </si>
  <si>
    <t>NIH Toolbox Picture Vocabulary Test Age 3+ v2.0 Uncorrected Standard Score</t>
  </si>
  <si>
    <t>NIH Toolbox Oral Reading Recognition Test Age 3+ v2.0 Uncorrected Standard Score</t>
  </si>
  <si>
    <t>Cognition Total Composite Score Uncorrected Standard Score</t>
  </si>
  <si>
    <t>Rey Auditory Verbal Learning Test total score created from Thompson et al. (2019) https://www.sciencedirect.com/science/article/pii/S1878929318301622</t>
  </si>
  <si>
    <t>On a typical weekday, how many hours do you: Video chat (Skype, Facetime, etc.)?</t>
  </si>
  <si>
    <t>On a typical weekday, how many hours do you: Watch TV shows or movies?</t>
  </si>
  <si>
    <t>On a typical weekend day, how many hours do you: Text on a cell phone, tablet, or computer (GChat, Whatsapp, etc.)?</t>
  </si>
  <si>
    <t>On a typical weekend day, how many hours do you: Visit social networking sites like Facebook, Twitter, Instagram, etc.?</t>
  </si>
  <si>
    <t>On a typical weekend day, how many hours do you: Video chat (Skype, Facetime, etc.)?</t>
  </si>
  <si>
    <t>How often do you play mature-rated video games (e.g., Call of Duty, Grand Theft Auto, Assassin's Creed, etc.)?</t>
  </si>
  <si>
    <t>How often do you watch R-rated movies?</t>
  </si>
  <si>
    <t>On a typical weekday, how many hours do you: Watch videos (such as YouTube)?</t>
  </si>
  <si>
    <t>On a typical weekday, how many hours do you: Play video games on a computer, console, phone or other device (Xbox, Play Station, iPad)?</t>
  </si>
  <si>
    <t>On a typical weekday, how many hours do you: Text on a cell phone, tablet, or computer (e.g. GChat, Whatsapp, etc.)?</t>
  </si>
  <si>
    <t>On a typical weekday, how many hours do you: Visit social networking sites like Facebook, Twitter, Instagram, etc.?</t>
  </si>
  <si>
    <t>On a typical weekend day, how many hours do you: Watch TV shows or movies?</t>
  </si>
  <si>
    <t>On a typical weekend day, how many hours do you: Watch videos (such as YouTube)?</t>
  </si>
  <si>
    <t>On a typical weekend day, how many hours do you: Play video games on a computer, console, phone or other device (Xbox, Play Station, iPad)?</t>
  </si>
  <si>
    <t>Created from Parent Screen Time Survey. Composite of time youth spends on screens on weekdays</t>
  </si>
  <si>
    <t>Created from Parent Screen Time Survey. Composite of time youth spends on screens on weekends</t>
  </si>
  <si>
    <t>Screen Time Youth: Weekday Sum: screen1_wkdy_y + screen2_wkdy_y + screen3_wkdy_y + screen4_wkdy_y + screen5_wkdy_y + screen_wkdy_y; Validation: No minimum</t>
  </si>
  <si>
    <t>Screen Time Youth: Weekend Sum: screen7_wknd_y plus screen8_wknd_y plus screen9_wknd_y plus screen10_wknd_y plus screen11_wknd plus screen12_wknd_y; Validation: No minimum</t>
  </si>
  <si>
    <t>demo_child_time_v2</t>
  </si>
  <si>
    <t>Is there another household in which the child spends a significant amount of time? ¿Hay otro hogar en donde su niño(a) pase una cantidad importante de tiempo?</t>
  </si>
  <si>
    <t>demo_comb_income_v2</t>
  </si>
  <si>
    <t>What is your TOTAL COMBINED FAMILY INCOME for the past 12 months? This should include income (before taxes and deductions) from all sources, wages, rent from properties, social security, disability and/or veteran's benefits, unemployment benefits, workman's compensation, help from relative (include child payments and alimony), and so on. ¿Cuál de estas categorías es la que mejor describe su INGRESO FAMILIAR TOTAL COMBINADO de los últimos 12 meses? Este debe incluir los ingresos (antes de impuestos y deducciones) provenientes de todas las fuentes, salarios, renta de propiedades, seguro social, pagos por incapacidad o subsidios para veteranos, subsidios por desempleo, compensación por accidentes de trabajo, ayuda de familiares (incluya pensiones alimenticias para hijos y cónyuges divorciados), etc.</t>
  </si>
  <si>
    <t>demo_ed_v2</t>
  </si>
  <si>
    <t>What grade is the child in? If it is summer, indicate grade starting in the fall. ¿En qué grado está el/la niño(a)? [Si es verano, indique el grado que iniciará en el otoño]</t>
  </si>
  <si>
    <t>demo_fam_exp1_v2</t>
  </si>
  <si>
    <t>In the past 12 months, has there been a time when you and your immediate family experienced any of the following: Needed food but couldn't afford to buy it or couldn't afford to go out to get it? ¿Necesitaban comida pero no les alcanzaba el dinero para comprarla o para salir a comprarla?</t>
  </si>
  <si>
    <t>demo_fam_exp2_v2</t>
  </si>
  <si>
    <t>In the past 12 months, has there been a time when you and your immediate family experienced any of the following: Were without telephone service because you could not afford it? ¿Estuvieron sin servicio telefónico porque no les alcanzaba el dinero?</t>
  </si>
  <si>
    <t>demo_fam_exp3_v2</t>
  </si>
  <si>
    <t>In the past 12 months, has there been a time when you and your immediate family experienced any of the following: Didn't pay the full amount of the rent or mortgage because you could not afford it? ¿No pagaron el monto total de la renta o hipoteca porque no les alcanzaba el dinero?</t>
  </si>
  <si>
    <t>demo_fam_exp5_v2</t>
  </si>
  <si>
    <t>In the past 12 months, has there been a time when you and your immediate family experienced any of the following: Had services turned off by the gas or electric company, or the oil company wouldn't deliver oil because payments were not made? ¿Les suspendieron el servicio de gas o electricidad, o la compañía de petróleo se negó a abastecerles por falta de pago?</t>
  </si>
  <si>
    <t>demo_fam_exp6_v2</t>
  </si>
  <si>
    <t>In the past 12 months, has there been a time when you and your immediate family experienced any of the following: Had someone who needed to see a doctor or go to the hospital but didn't go because you could not afford it? ¿Tuvieron a alguien quien necesitaba ir al médico o al hospital, pero no fueron porque no les alcanzaba el dinero?</t>
  </si>
  <si>
    <t>demo_fam_exp7_v2</t>
  </si>
  <si>
    <t>In the past 12 months, has there been a time when you and your immediate family experienced any of the following: Had someone who needed a dentist but couldn't go because you could not afford it? ¿Tuvieron a alguien quien necesitaba ir al dentista, pero no pudieron ir porque no les alcanzaba el dinero?</t>
  </si>
  <si>
    <t>demo_prnt_16</t>
  </si>
  <si>
    <t>Was anyone in your child's family born outside of the United States? By your child's family, I mean you, your child's father (or mother if talking to father) or your child's maternal or paternal grandparents. ¿Hubo alguien en la familia de su niño(a) que nació fuera de los Estados Unidos? Por la familia de su niño(a), me refiero a usted, al padre de su niño(a) (o madre si habla con su padre) o los abuelos maternos o paternos de su niño(a).</t>
  </si>
  <si>
    <t>demo_prnt_age_v2</t>
  </si>
  <si>
    <t>How old are you? ¿Qué edad tiene usted?</t>
  </si>
  <si>
    <t>demo_prnt_ed_v2</t>
  </si>
  <si>
    <t>What is the highest grade or level of school you have completed or the highest degree you have received? ¿Cuál es su máximo nivel de estudios completados o el máximo título que ha recibido?</t>
  </si>
  <si>
    <t>demo_prnt_income_v2</t>
  </si>
  <si>
    <t>How much did you earn, before taxes and other deductions, during the past 12 months? ¿Cuál fue su ingreso, antes de impuestos y otras deducciones, en los últimos 12 meses?</t>
  </si>
  <si>
    <t>demo_prnt_prtnr_adopt</t>
  </si>
  <si>
    <t>Is your partner the child's adoptive parent? ¿Es su pareja el padre o la madre adoptiva de el niño o la niña?</t>
  </si>
  <si>
    <t>demo_prnt_prtnr_bio</t>
  </si>
  <si>
    <t>Is your partner the child's biological parent? ¿Su pareja es el padre o la madre biológico(a) del niño o de la niña?</t>
  </si>
  <si>
    <t>demo_prnt_prtnr_v2</t>
  </si>
  <si>
    <t>Do you have a partner? ¿Usted tiene una pareja?</t>
  </si>
  <si>
    <t>Derived from: demo_prtnr_empl_v2</t>
  </si>
  <si>
    <t>Recoded demo_prnt_empl_v2 so that 1= parent full time working; 0=all other responses</t>
  </si>
  <si>
    <t>demo_prnt_years_us_v2</t>
  </si>
  <si>
    <t>How many years have you lived in the United States? ¿Cuántos años lleva usted viviendo en los Estados Unidos?</t>
  </si>
  <si>
    <t>demo_prtnr_ed_v2</t>
  </si>
  <si>
    <t>What is the highest grade or level of school your partner completed or highest degree they received? ¿Cuál es el máximo nivel de estudios completados de su pareja o el máximo título que ha recibido?</t>
  </si>
  <si>
    <t>demo_prtnr_income_v2</t>
  </si>
  <si>
    <t>How much does your partner earn, before taxes and other deductions, during the past 12 months? ¿Cuál fue el ingreso de su pareja, antes de impuestos y otras deducciones, en los últimos 12 meses?</t>
  </si>
  <si>
    <t>How many people are living at your address? INCLUDE everyone who is living or staying at your address for more than 2 months. ¿Cuántas personas están viviendo o quedándose en su domicilio? INCLUYA a todas las personas que lleven viviendo o quedándose en su domicilio durante más de 2 meses.</t>
  </si>
  <si>
    <t>How many years has the child lived in the United States? ¿Cuántos años lleva el/la niño(a) viviendo en los Estados Unidos?</t>
  </si>
  <si>
    <t>How often does your child attend religious services? ¿Con qué frecuencia asiste su niño(a) a servicios religiosos?</t>
  </si>
  <si>
    <t>In general, how important are your child's religious and spiritual beliefs in his/her daily life? ¿En general, cuán importantes son las creencias religiosas y espirituales en la vida diaria de su niño(a)?</t>
  </si>
  <si>
    <t>demo_yrs_2a_2</t>
  </si>
  <si>
    <t>Does your child's religion have rules forbidding the use of alcohol? ¿La religión de su niño(a) tiene reglas que prohíben el uso del alcohol?</t>
  </si>
  <si>
    <t>demo_yrs_2b_2</t>
  </si>
  <si>
    <t>Does your child's religion have rules forbidding the use of drugs? ¿La religión de su niño(a) tiene reglas que prohíben el uso de drogas?</t>
  </si>
  <si>
    <t>SUBSTANCE </t>
  </si>
  <si>
    <t>Has your child consumed a caffeinated beverage (such as Mountain Dew, Coke, Pepsi, Barq's root beer, energy drink like Red Bull or Monster, coffee or espresso or green tea, black tea, or sweet tea) in the last 24 hours?</t>
  </si>
  <si>
    <t>How long ago did your child last consume a caffeinated beverage?</t>
  </si>
  <si>
    <t>isip_1b_yn</t>
  </si>
  <si>
    <t>Have you ever had alcohol not as part of a religious ceremony such as in church or at a Seder dinner?</t>
  </si>
  <si>
    <t>isip_1d_2</t>
  </si>
  <si>
    <t>How old were you the first time you had a sip of alcohol?</t>
  </si>
  <si>
    <t>Which statement best describes the rules for your child's drinking in your house? / ¿Cuál de las siguientes afirmaciones describe mejor las reglas que debe seguir su niño(a) con respecto al consumo de alcohol en su casa?</t>
  </si>
  <si>
    <t>Are these the same rules for all family members? /Estas reglas son las mismas para todos los miembros de la familia?</t>
  </si>
  <si>
    <t>Do you have penalties for violating family rules about drinking?? / ¿Tiene sanciones establecidas por no respetar las reglas familiares con respecto al consumo de alcohol?</t>
  </si>
  <si>
    <t>What are the family rules about smoking cigarettes for your son/daughter? / ¿Cuáles son las reglas familiares que debe seguir su niño(a) con respecto a fumar cigarrillos?</t>
  </si>
  <si>
    <t>Do you enforce penalties for violating family rules about smoking? /¿Aplica sanciones por no respetar las reglas familiares con respecto a fumar cigarrillos?</t>
  </si>
  <si>
    <t>What are the family rules about using marijuana for your son/daughter? /¿Cuáles son las reglas familiares que debe seguir su niño(a) con respecto al consumo de marihuana?</t>
  </si>
  <si>
    <t>Are these the same rules for all family members? / ¿Estas reglas son las mismas para todos los miembros de la familia?</t>
  </si>
  <si>
    <t>Do you enforce penalties for violating family rules about using marijuana? /¿Aplica sanciones por no respetar las reglas familiares sobre el consumo de marihuana?</t>
  </si>
  <si>
    <t>Have you ever been curious about using a tobacco product such as cigarettes, e-cigarettes, hookah, or cigars?</t>
  </si>
  <si>
    <t>Have you ever been curious about drinking alcohol?</t>
  </si>
  <si>
    <t>Do you think you will try a tobacco product soon?</t>
  </si>
  <si>
    <t>Do you think you will try alcohol soon?</t>
  </si>
  <si>
    <t>If one of your best friends were to offer you a tobacco product, would you try it?</t>
  </si>
  <si>
    <t>If one of your best friends were to offer you alcohol, would you try it?</t>
  </si>
  <si>
    <t>Drink alcohol (full beer, wine or liquor)</t>
  </si>
  <si>
    <t>Coffee (instant, brewed) coffee, with caffeine, including flavored types If "Have you heard of caffeine ...?" is not endorsed , values for "caff_intake_1" will be missing. Here, these missing values have been replaced with "0.</t>
  </si>
  <si>
    <t>Espresso and espresso drinks, with caffeine (Latte, Mocha, Americano) If "Have you heard of caffeine ...?" is not endorsed , values for "caff_intake_3" will be missing. Here, these missing values have been replaced with "0.</t>
  </si>
  <si>
    <t>Tea with caffeine (Green Tea, Black Tea, Sweet Tea, Earl Grey) If "Have you heard of caffeine ...?" is not endorsed , values for "caff_intake_4" will be missing. Here, these missing values have been replaced with "0.</t>
  </si>
  <si>
    <t>Soda with caffeine (Mountain Dew, Jolt, Coke, Pepsi, Dr. Pepper, Barq's root beer) If "Have you heard of caffeine ...?" is not endorsed , values for "caff_intake_6" will be missing. Here, these missing values have been replaced with "0.</t>
  </si>
  <si>
    <t>Energy drinks (Red Bull, Monster, Rock Star, 5-hr energy*, AMP, Full Throttle) If "Have you heard of caffeine ...?" is not endorsed , values for "caff_intake_9" will be missing. Here, these missing values have been replaced with "0.</t>
  </si>
  <si>
    <t>What was the largest amount of a caffeinated beverage you drank in ONE DAY in the past 6 months? [Interviewer: calculate total oz; for example 2 cans of soda=24oz] If "Have you heard of caffeine ...?" is not endorsed , values for "caff_max" will be missing. Here, these missing values have been replaced with "0.</t>
  </si>
  <si>
    <t>Sum of caff_intake_1, caff_intake_3, caff_intake_4, caff_intake_6 caff_intake_9 with "0" replacing blank when tlfb_caff = "0".</t>
  </si>
  <si>
    <t>How many total times have you had a sip of alcohol? If either "Have you heard of "alcohol ...?" or "Have you had a sip ...?" is not endorsed ," values for "isip_1" are missing. Here, these missing values have been replaced with "0.</t>
  </si>
  <si>
    <t>How many times? When "no" is endorsed for "isip_1b_yn" values for "isip_1b_2" are missing. Here, these missing values have been replaced with "0.</t>
  </si>
  <si>
    <t>If your child wanted to get some beer, wine, or hard liquor (for example vodka, whiskey, or gin), how easy would it be for them to get some?</t>
  </si>
  <si>
    <t>If your child wanted to get some cigarettes, how easy would it be for them to get some?</t>
  </si>
  <si>
    <t>If your child wanted to get some electronic nicotine or vaping products, such as e-cigarettes, vape pens, or Juuls, how easy would it be for them to get some?</t>
  </si>
  <si>
    <t>If your child wanted to get some marijuana, how easy would it be for them to get some?</t>
  </si>
  <si>
    <t>If your child wanted to get a drug like cocaine, LSD, or amphetamines, how easy would it be for them to get some?</t>
  </si>
  <si>
    <t>Is "medical marijuana" (marijuana prescribed by a doctor) legal in your state? ¿Es la "marihuana medicinal" (marihuana recetada por un médico) legal en su estado?</t>
  </si>
  <si>
    <t>If your child wanted to get medical marijuana from someone with a prescription, how easy would it be? Si su niño(a) quisiera conseguir marihuana de alguien con una receta para uso medicinal, ¿qué tan fácil le sería?</t>
  </si>
  <si>
    <t>If your child wanted to get a prescription for medical marijuana, how easy would it be? Si su niño(a) quisiera conseguir una receta de marihuana medicinal, ¿qué tan fácil le sería?</t>
  </si>
  <si>
    <t>How many of your friends or family members have a medical marijuana prescription? ¿Cuántos de sus amigos(as) o familiares tienen una receta para marihuana medicinal?</t>
  </si>
  <si>
    <t>tlfb_alc_sip</t>
  </si>
  <si>
    <t>I want to start by asking if you have EVER TRIED any of the following drugs in your life. Have you ever tried___________at any time in your life? A sip of alcohol such as beer, wine or liquor (rum, vodka, gin, whiskey)</t>
  </si>
  <si>
    <t>tlfb_inhalant</t>
  </si>
  <si>
    <t>Have you heard of ____ Sniffing liquids, sprays and or other products to get high?</t>
  </si>
  <si>
    <t>tlfb_list___1</t>
  </si>
  <si>
    <t>What other drugs have you heard of? Interviewer: Do not read this list to the child. Only click the drugs that they mention. (1, Stimulant drugs such as cocaine)</t>
  </si>
  <si>
    <t>tlfb_list___18</t>
  </si>
  <si>
    <t>What other drugs have you heard of? Interviewer: Do not read this list to the child. Only click the drugs that they mention. (18, None)</t>
  </si>
  <si>
    <t>tlfb_list___7</t>
  </si>
  <si>
    <t>What other drugs have you heard of? Interviewer: Do not read this list to the child. Only click the drugs that they mention. ( 7, Heroin)</t>
  </si>
  <si>
    <t>tlfb_list_yes_no</t>
  </si>
  <si>
    <t>Have you heard of people using anything else to make them feel high, dizzy or different?</t>
  </si>
  <si>
    <t>tlfb_mj</t>
  </si>
  <si>
    <t>Have you heard of ____ marijuana, weed, pot, blunts, dabs, marijuana drinks or food with marijuana?</t>
  </si>
  <si>
    <t>tlfb_mj_synth</t>
  </si>
  <si>
    <t>Have you heard of ____ fake or synthetic marijuana such as K2 or spice?</t>
  </si>
  <si>
    <t>tlfb_rx_misuse</t>
  </si>
  <si>
    <t>Have you heard of ____ Taking pills, liquids, or medications to get high in a way that your doctor or parents did not direct you to use them?</t>
  </si>
  <si>
    <t>tlfb_tob</t>
  </si>
  <si>
    <t>Have you heard of ____ tobacco products, such as cigarettes, smokeless tobacco, cigars, hookah, electronic or e-cigarettes?</t>
  </si>
  <si>
    <t>Makes me feel better after talking over my worries with them.</t>
  </si>
  <si>
    <t>Second caregiver. Smiles at me very often.</t>
  </si>
  <si>
    <t>Second caregiver. Is able to make me feel better when I am upset.</t>
  </si>
  <si>
    <t>Believes in showing their love for me.</t>
  </si>
  <si>
    <t>Second caregiver. Is easy to talk to.</t>
  </si>
  <si>
    <t>First caregiver (caregiver participating in study/completing protocol). Makes me feel better after talking over my worries with him/her</t>
  </si>
  <si>
    <t>First caregiver (caregiver participating in study/completing protocol). Smiles at me very often.</t>
  </si>
  <si>
    <t>First caregiver (caregiver participating in study/completing protocol). Is able to make me feel better when I am upset.</t>
  </si>
  <si>
    <t>First caregiver (caregiver participating in study/completing protocol). Believes in showing his/her love for me.</t>
  </si>
  <si>
    <t>First caregiver (caregiver participating in study/completing protocol). Is easy to talk to.</t>
  </si>
  <si>
    <t>CRPBI - Acceptance Subscale Mean of Report by Secondary Caregiver by youth: (crpbi_caregiver12_y + crpbi_caregiver13_y + crpbi_caregiver14_y + crpbi_caregiver15_y + crpbi_caregiver16_y)/5; Validation: Minimum of four items answered</t>
  </si>
  <si>
    <t>CRPBI - Acceptance Subscale Mean of Report by Parent Completing Protocol by youth: (crpbi_parent1_y + crpbi_parent2_y + crpbi_parent3_y], crpbi_parent4_y + crpbi_parent5_y)/5; Validation: Minimum of 4 items answered</t>
  </si>
  <si>
    <t>We fight a lot in our family. /Peleamos mucho en nuestra familia.</t>
  </si>
  <si>
    <t>Family members rarely become openly angry. /Los miembros de la familia raramente se enojan abiertamente.</t>
  </si>
  <si>
    <t>Family members sometimes get so angry they throw things./ Los miembros de la familia algunas veces se enojan tanto que avientan cosas.</t>
  </si>
  <si>
    <t>Family members hardly ever lose their tempers. /Los miembros de la familia dificilmente pierden su temperamento.</t>
  </si>
  <si>
    <t>Family members often criticize each other. /Los miembros de la familia con frecuencia se critican unos a otros.</t>
  </si>
  <si>
    <t>Family members sometimes hit each other./ Los miembros de la familia algunas veces se golpean unos a otros.</t>
  </si>
  <si>
    <t>If there is a disagreement in our family, we try hard to smooth things over and keep the peace. /Si hay un desacuerdo en nuestra familia, hacemos todo lo posible por resolverlo y conservar la paz.</t>
  </si>
  <si>
    <t>Family members often try to one-up or outdo each other./ Los miembros de la familia con frecuencia tratan de superar a los demás.</t>
  </si>
  <si>
    <t>In our family, we believe you don't ever get anywhere by raising your voice. /En nuestra familia, creemos que no se llega a nada levantando la voz.</t>
  </si>
  <si>
    <t>Conflict subscale from the Family Environment Scale Sum of Parent Report Prorated Score (Based on minimum of five items answered)</t>
  </si>
  <si>
    <t>Conflict Subscale from the Family Environment Scale, Sum of Youth Report: Prorated Score (Based on minimum of five items answered): [fes_y_ss_fc]*[fes_y_ss_fc_nt] /[fes_y_ss_fc_na]</t>
  </si>
  <si>
    <t>We fight a lot in our family.</t>
  </si>
  <si>
    <t>Family members rarely become openly angry.</t>
  </si>
  <si>
    <t>Family members sometimes get so angry they throw things.</t>
  </si>
  <si>
    <t>Family members hardly ever lose their tempers.</t>
  </si>
  <si>
    <t>Family members often criticize each other.</t>
  </si>
  <si>
    <t>Family members sometimes hit each other.</t>
  </si>
  <si>
    <t>If there's a disagreement in our family, we try hard to smooth things over and keep the peace.</t>
  </si>
  <si>
    <t>Family members often try to one-up or outdo each other.</t>
  </si>
  <si>
    <t>In our family, we believe you don't ever get anywhere by raising your voice.</t>
  </si>
  <si>
    <t>My neighborhood is safe from crime.</t>
  </si>
  <si>
    <t>I feel safe walking in my neighborhood, day or night. Me siento seguro(a) caminando por mi vecindario, de día o de noche.</t>
  </si>
  <si>
    <t>Violence is not a problem in my neighborhood./ La violencia no es un problema en mi vecindario.</t>
  </si>
  <si>
    <t>My neighborhood is safe from crime. Mi vecindario está a salvo de la delincuencia.</t>
  </si>
  <si>
    <t>Neighborhood Safety Protocol: Mean of Parent Report, (neighborhood1r_p + neighborhood2r_p + neighborhood3r_p)/3; Validation: No minimum</t>
  </si>
  <si>
    <t>How often do your parents/guardians know where you are?</t>
  </si>
  <si>
    <t>How often do your parents know who you are with when you are not at school and away from home?</t>
  </si>
  <si>
    <t>If you are at home when your parents or guardians are not, how often do you know how to get in touch with them?</t>
  </si>
  <si>
    <t>How often do you talk to your parent or guardian about your plans for the coming day, such as your plans about what will happen at school or what you are going to do with friends?</t>
  </si>
  <si>
    <t>In an average week, how many times do you and your parents/guardians, eat dinner together?</t>
  </si>
  <si>
    <t>Parental Monitoring: Mean (parent_monitor_q1_y + parent_monitor_q2_y + parent_monitor_q3_y + parent_monitor_q4_y parent_monitor_q5_y)/5; Validation: no minimum number of answers</t>
  </si>
  <si>
    <t>My child is… Considerate of other people's feelings. /Tiene consideración por los sentimientos de los demás.</t>
  </si>
  <si>
    <t>I try to be nice to other people. I care about their feelings</t>
  </si>
  <si>
    <t>My child is… Helpful if someone is hurt, upset, or feeling ill. /Ayuda cuando alguien se lastima, se molesta o se siente enfermo.</t>
  </si>
  <si>
    <t>I am helpful if someone is hurt, upset, or feeling sick.</t>
  </si>
  <si>
    <t>My child is… Often offers to help others (parents, teachers, other children). /Con frecuencia se ofrece para ayudar a los demás (padres, maestros, otros niños).</t>
  </si>
  <si>
    <t>I often offer to help others (parents, teachers, children).</t>
  </si>
  <si>
    <t>Prosocial Behavior Subscale Mean of Parent Report on Youth: (prosocial_q1_p + prosocial_q2_p + prosocial_q3_p)/3; Validation: Minimum of two items answered</t>
  </si>
  <si>
    <t>Prosocial Behavior Subscale Mean of Youth Self Report: (prosocial_q1_y + prosocial_q2_y + prosocial_q3_y)/3; Validation:Minimum of two items answered</t>
  </si>
  <si>
    <t>Residential history derived - Area Deprivation Index: Percentage of population below 138% of the poverty threshold 1</t>
  </si>
  <si>
    <t>Residential history derived - Area Deprivation Index: Percentage of occupied housing units with &gt;1 person per room (crowding) 1</t>
  </si>
  <si>
    <t>Residential history derived - Area Deprivation Index: Percentage of population aged &gt;=25 y with at least a high school diploma 1</t>
  </si>
  <si>
    <t>Residential history derived - Area Deprivation Index: Percentage of population aged &gt;=25 y with &lt;9 y of education 1</t>
  </si>
  <si>
    <t>Residential history derived - Area Deprivation Index: Percentage of owner 1</t>
  </si>
  <si>
    <t>Residential history derived - Area Deprivation Index: Median home value 1</t>
  </si>
  <si>
    <t>Residential history derived - Area Deprivation Index: Income disparity defined by Singh as the log of 100 x ratio of the number of households with &lt;10000 annual income to the number of households with &gt;50000 annual income. 1</t>
  </si>
  <si>
    <t>Residential history derived - Area Deprivation Index: Median family income 1</t>
  </si>
  <si>
    <t>Residential history derived - Area Deprivation Index: Median monthly mortgage 1</t>
  </si>
  <si>
    <t>Residential history derived - Area Deprivation Index: Percentage of occupied housing units without a motor vehicle 1</t>
  </si>
  <si>
    <t>Residential history derived - Area Deprivation Index: Percentage of occupied housing units without complete plumbing (log) 1</t>
  </si>
  <si>
    <t>Residential history derived - Area Deprivation Index: Percentage of occupied housing units without a telephone 1</t>
  </si>
  <si>
    <t>Residential history derived - Area Deprivation Index: national percentiles, higher means higher value of ADI 1</t>
  </si>
  <si>
    <t>Residential history derived - Area Deprivation Index: Percentage of families below the poverty level 1</t>
  </si>
  <si>
    <t>Residential history derived - Area Deprivation Index: Median gross rent 1</t>
  </si>
  <si>
    <t>Residential history derived - Area Deprivation Index: Percentage of single 1</t>
  </si>
  <si>
    <t>Residential history derived - Area Deprivation Index: Percentage of civilian labor force population aged &gt;=16 y unemployed (unemployment rate) 1</t>
  </si>
  <si>
    <t>Residential history derived - Area Deprivation Index: Percentage of employed persons aged &gt;=16 y in white collar occupations 1</t>
  </si>
  <si>
    <t>Residential history derived - Area Deprivation Index: scaled weighted sum based on Kind et al., Annals of Internal Medicine, 2014 1</t>
  </si>
  <si>
    <t>Residential history derived - gross residential density 1</t>
  </si>
  <si>
    <t>Residential history derived - Uniform Crime Reports: drug possession total 1</t>
  </si>
  <si>
    <t>Residential history derived - Uniform Crime Reports: drug sale total 1</t>
  </si>
  <si>
    <t>Residential history derived - Uniform Crime Reports: drug abuse violations total 1</t>
  </si>
  <si>
    <t>Residential history derived - Uniform Crime Reports: DUI 1</t>
  </si>
  <si>
    <t>Residential history derived elevation 1</t>
  </si>
  <si>
    <t>Residential history derived - Uniform Crime Reports: grand total 1</t>
  </si>
  <si>
    <t>Estimated lead risk in census tract of primary residential address (1-10 scale)</t>
  </si>
  <si>
    <t>Estimated percentage of homes at risk for lead exposure given lead-based paint in census tract of primary residential address</t>
  </si>
  <si>
    <t>Percentage of individuals below -125 percent of poverty level in census tract of primary residential address</t>
  </si>
  <si>
    <t>Residential history derived - Uniform Crime Reports: Marijuana sale 1</t>
  </si>
  <si>
    <t>Residential history derived - 3 years average of ground level NO2 at 10x10km2 1</t>
  </si>
  <si>
    <t>Residential history derived - Uniform Crime Reports: total adult offenses 1</t>
  </si>
  <si>
    <t>Residential history derived - Uniform Crime Reports: adult violent crimes 1</t>
  </si>
  <si>
    <t>percentage of time spent at primary residential address</t>
  </si>
  <si>
    <t>Residential history derived - annual average of PM 2.5 at 10x10km2 1</t>
  </si>
  <si>
    <t>Residential history derived - annual average of PM 2.5 in 2016 at primary residential address at 1x1km2</t>
  </si>
  <si>
    <t>Residential history derived - UN adjusted population density 1</t>
  </si>
  <si>
    <t>Residential history derived - proximity to major roads, in meters 1</t>
  </si>
  <si>
    <t>Residential history derived - national walkability index 1</t>
  </si>
  <si>
    <t>Residential history years of residence 1</t>
  </si>
  <si>
    <t>State level indicators of immigrant bias from survey and implicit bias measures and state level structural variables</t>
  </si>
  <si>
    <t>Derived from: reshist_state_mj_law</t>
  </si>
  <si>
    <t>Dummy code created from reshist_state_mj_law. Recreational versus not</t>
  </si>
  <si>
    <t>Dummy code created from reshist_state_mj_law. Medical  versus not</t>
  </si>
  <si>
    <t>reshist_state_mj_laws3</t>
  </si>
  <si>
    <t>Dummy code created from reshist_state_mj_law. Low THC/CBD versus not</t>
  </si>
  <si>
    <t>State level indicators of racism from survey and implicit bias measures and state level structural variables</t>
  </si>
  <si>
    <t>State level indicators of sexism from survey and implicit bias measures</t>
  </si>
  <si>
    <t>State level indicators of bias against sexual orientation from structural variables</t>
  </si>
  <si>
    <t>There are lots of chances to be part of class discussions or activities. </t>
  </si>
  <si>
    <t>In general, I like school a lot. </t>
  </si>
  <si>
    <t>Usually, school bores me. </t>
  </si>
  <si>
    <t>Getting good grades is not so important to me. </t>
  </si>
  <si>
    <t>In my school, students have lots of chances to help decide things like class activities and rules.</t>
  </si>
  <si>
    <t>I get along with my teachers. </t>
  </si>
  <si>
    <t>My teacher(s) notices when I am doing a good job and lets me know about it. </t>
  </si>
  <si>
    <t>There are lots of chances for students in my school to get involved in sports, clubs, or other school activities outside of class. </t>
  </si>
  <si>
    <t>I feel safe at my school. </t>
  </si>
  <si>
    <t>The school lets my parents know when I have done something well. </t>
  </si>
  <si>
    <t>I like school because I do well in class. </t>
  </si>
  <si>
    <t>I feel I'm just as smart as other kids my age. </t>
  </si>
  <si>
    <t>SRPF School Disengagement Subscale, Sum: school_15_y + school_17_y; Validation: All items must be answered</t>
  </si>
  <si>
    <t>SRPF School Involvement Subscale, Sum: school_8_y + school_9_y + school_10_y + school_12_y; Validation: Minimum of three items answered</t>
  </si>
  <si>
    <t>SRPF School Environment Subscale, Sum: school_2_y + school_3_y + school_4_y + school_5_y + school_6_y + school_7_y; Validation: Minimum of five items answered</t>
  </si>
  <si>
    <t>PHSYICAL HEALTH</t>
  </si>
  <si>
    <t>Measured circumference (in inches):</t>
  </si>
  <si>
    <t>Standing Height Average (inches): If three measurements were obtained, the two closest measurements will be averaged. Should the third measurement fall equally between the first two measurements, all three will be averaged.</t>
  </si>
  <si>
    <t>Average Measured Weight (lbs):If three measurements were obtained, the two closest measurements will be averaged. Should the third measurement fall equally between the first two measurements, all three will be averaged.</t>
  </si>
  <si>
    <t>Any_antidepressantAfter</t>
  </si>
  <si>
    <t>Created variable from developmental history - any prenatal exposure to antidepressants after maternal knowledge of pregnancy</t>
  </si>
  <si>
    <t>Any_antidepressantB4</t>
  </si>
  <si>
    <t>Created variable from developmental history - any prenatal exposure to antidepressants before maternal knowledge of pregnancy</t>
  </si>
  <si>
    <t>Derived from: birth_weight_lbs and birth_weight_oz</t>
  </si>
  <si>
    <t>Combined from birth_weight_lbs and birth_weight_oz variables in developmental history questionnaire. Lbs*16 + Oz</t>
  </si>
  <si>
    <t>Derived from: med1_rxnorm_p-med15_rxnorm_p</t>
  </si>
  <si>
    <t>Created from medication history. Any child antidepressant use.</t>
  </si>
  <si>
    <t>Created from medication questionnaire. Any child SSRI use.</t>
  </si>
  <si>
    <t>devhx_10</t>
  </si>
  <si>
    <t>Did you/biological mother take prenatal vitamins during the pregnancy? /¿Tomo usted o la madre biológica vitaminas prenatales durante el embarazo?</t>
  </si>
  <si>
    <t>devhx_10a3_p</t>
  </si>
  <si>
    <t>During the pregnancy with this child, did you/biological mother have any of the following conditions? Severe nausea and vomiting extending past the 6th month or accompanied by weight loss? /¿Náuseas y vómitos severos que continuaron hasta después del 6.º mes de embarazo o que estuvieron acompañados de una pérdida de peso?</t>
  </si>
  <si>
    <t>devhx_10b3_p</t>
  </si>
  <si>
    <t>During the pregnancy with this child, did you/biological mother have any of the following conditions? Heavy bleeding requiring bed rest or special treatment? /¿Sangrado abundante que requirió reposo en cama o tratamiento especial?</t>
  </si>
  <si>
    <t>devhx_10c3_p</t>
  </si>
  <si>
    <t>During the pregnancy with this child, did you/biological mother have any of the following conditions? Pre-eclampsia, eclampsia, or toxemia? /¿Pre-eclampsia, eclampsia o toxemia?</t>
  </si>
  <si>
    <t>devhx_10g3_p</t>
  </si>
  <si>
    <t>During the pregnancy with this child, did you/biological mother have any of the following conditions? Severe anemia?/¿Anemia grave?</t>
  </si>
  <si>
    <t>devhx_10h3_p</t>
  </si>
  <si>
    <t>During the pregnancy with this child, did you/biological mother have any of the following conditions? Urinary tract infections? /¿Infecciones de vías urinarias?</t>
  </si>
  <si>
    <t>devhx_10i3_p</t>
  </si>
  <si>
    <t>During the pregnancy with this child, did you/biological mother have any of the following conditions? Pregnancy-related diabetes?/ ¿Diabetes relacionada con el embarazo?</t>
  </si>
  <si>
    <t>devhx_10j3_p</t>
  </si>
  <si>
    <t>During the pregnancy with this child, did you/biological mother have any of the following conditions? Pregnancy-related high blood pressure? /¿Presión arterial alta relacionada con el embarazo?</t>
  </si>
  <si>
    <t>devhx_10k3_p</t>
  </si>
  <si>
    <t>During the pregnancy with this child, did you/biological mother have any of the following conditions? Previa, abruptio, or other problems with the placenta? /¿Placenta previa, desprendimiento de placenta u otros problemas con la placenta?</t>
  </si>
  <si>
    <t>devhx_10m3_p</t>
  </si>
  <si>
    <t>During the pregnancy with this child, did you/biological mother have any of the following conditions? Any other conditions requiring medical care? /¿Algún otro padecimiento que requiriera atención médica?</t>
  </si>
  <si>
    <t>About how many times did you/biological mother see a doctor or other medical professional for prenatal care during this pregnancy? /¿Aproximadamente cuántas veces usted o la madre biológica visitó a un médico u otro profesional de la salud para recibir atención prenatal durante este embarazo?</t>
  </si>
  <si>
    <t>devhx_12_p</t>
  </si>
  <si>
    <t>About how many weeks premature was the child when they were born? /¿Aproximadamente qué tan prematuro (en semanas) fue este niño(a) al nacer?</t>
  </si>
  <si>
    <t>devhx_12a_p</t>
  </si>
  <si>
    <t>Was the child born prematurely? /¿Nació el niño o la niña antes de tiempo?</t>
  </si>
  <si>
    <t>devhx_13_3_p</t>
  </si>
  <si>
    <t>Was your child born by Caesarian section?</t>
  </si>
  <si>
    <t>devhx_14a3_p</t>
  </si>
  <si>
    <t>Did he/she have any of the following complications at birth? Blue at birth? /¿Coloración azul (cianosis) al nacer?</t>
  </si>
  <si>
    <t>devhx_14c3_p</t>
  </si>
  <si>
    <t>Did he/she have any of the following complications at birth? Did not breathe at first? /¿No respiró al principio?</t>
  </si>
  <si>
    <t>devhx_14e3_p</t>
  </si>
  <si>
    <t>Did he/she have any of the following complications at birth? Jaundice needing treatment? /¿Ictericia que requirió tratamiento?</t>
  </si>
  <si>
    <t>devhx_14f3_p</t>
  </si>
  <si>
    <t>Did he/she have any of the following complications at birth? Required oxygen?/ ¿Requirió oxígeno?</t>
  </si>
  <si>
    <t>devhx_14h3_p</t>
  </si>
  <si>
    <t>Did he/she have any of the following complications at birth? Rh incompatibility? /¿Incompatibilidad de Rh?</t>
  </si>
  <si>
    <t>For how many days after birth was your child in an incubator?</t>
  </si>
  <si>
    <t>About how many days in the first 12 months of life, did your child have a fever of 104 degrees or greater?</t>
  </si>
  <si>
    <t>About how many days in the first 12 months of life did your child have any infections or serious illnesses?</t>
  </si>
  <si>
    <t>For how many months was your child breast fed?</t>
  </si>
  <si>
    <t>At approximately what age (number of months) was he/she FIRST able to do each of the following? Roll over? /¿Rodarse?</t>
  </si>
  <si>
    <t>At approximately what age (number of months) was he/she FIRST able to do each of the following? Sit without assistance? /¿Sentarse sin ayuda?</t>
  </si>
  <si>
    <t>At approximately what age (number of months) was he/she FIRST able to do each of the following? Walk without assistance? /¿Caminar sin ayuda?</t>
  </si>
  <si>
    <t>At approximately what age (number of months) was your child FIRST able to do each of the following? Say his/her first word?</t>
  </si>
  <si>
    <t>Would you say your child motor development (sitting, crawling, walking) was earlier, average, or later than most other children?</t>
  </si>
  <si>
    <t>Would you say his/her speech development was earlier, average, or later than most other children?</t>
  </si>
  <si>
    <t>devhx_22_3_p</t>
  </si>
  <si>
    <t>Has your child ever wet the bed at night?/ ¿Alguna vez su niño(a) se ha orinado en la cama por la noche?</t>
  </si>
  <si>
    <t>At what age (in years) did they stop wetting the bed at night?</t>
  </si>
  <si>
    <t>How old were you/biological mother when the child was born? /¿Cuántos años tenía usted (o la madre biológica) cuando nació el niño o la niña?</t>
  </si>
  <si>
    <t>How old was the child's biological father when the child was born?</t>
  </si>
  <si>
    <t>devhx_5_p</t>
  </si>
  <si>
    <t>Does your child have a twin? /¿Su niño(a) tiene un gemelo?</t>
  </si>
  <si>
    <t>devhx_6_p</t>
  </si>
  <si>
    <t>Was your pregnancy with this child a planned pregnancy? /Fue su embarazo con este(a) niño(a) un embarazo planeado?</t>
  </si>
  <si>
    <t>How far along (in weeks) were you with your child when you found out that you were pregnant? /¿Qué tan avanzada (en semanas) estaba usted con su hijo(a) cuando se enteró de que estaba embarazada?</t>
  </si>
  <si>
    <t>devhx_8_alcohol</t>
  </si>
  <si>
    <t>Before knowing of pregnancy. Alcohol? /¿Alcohol?</t>
  </si>
  <si>
    <t>devhx_8_marijuana</t>
  </si>
  <si>
    <t>Before knowing of pregnancy. Marijuana? /¿Marihuana?</t>
  </si>
  <si>
    <t>devhx_8_prescript_med</t>
  </si>
  <si>
    <t>Before the biological mother/you found out she was pregnant, but while she/you might have been pregnant with this child, did she/you use any of the following?/ Antes de que la madre biológica se halla enterado que estaba embarazada, pero mientras ella pudiera haber estado embarazada con este(a) niño(a), utilizó algo de los siguiente? Prescription medications? /¿Medicamentos recetados?</t>
  </si>
  <si>
    <t>devhx_8_tobacco</t>
  </si>
  <si>
    <t>Before knowing of pregnancy. Tobacco? /¿Tabaco?</t>
  </si>
  <si>
    <t>devhx_9_alcohol</t>
  </si>
  <si>
    <t>Knowing of pregnancy. Alcohol? /¿Alcohol?</t>
  </si>
  <si>
    <t>devhx_9_med1_fu</t>
  </si>
  <si>
    <t>Any other prescription medications. Medication 2?/ ¿Algún otro medicamento recetado?</t>
  </si>
  <si>
    <t>devhx_9_prescript_med</t>
  </si>
  <si>
    <t>Once you /biomom knew you/she were pregnant, were you/biomom using any of the following? ¿Estaba usted usando algo de lo siguiente ya sabiendo que estaba embarazada? Prescription medications? / ¿Medicamentos recetados?</t>
  </si>
  <si>
    <t>devhx_9_tobacco</t>
  </si>
  <si>
    <t>Knowing of pregnancy. Tobacco? /¿Tabaco?</t>
  </si>
  <si>
    <t>devhx_caffeine_11</t>
  </si>
  <si>
    <t>Did you/biological mother have any caffeine during pregnancy (from conception until delivery)?/ ¿Consumió usted o la madre biológica cafeína durante el embarazo (desde la concepción hasta el parto)?</t>
  </si>
  <si>
    <t>Derived from: devhx_caffeine_amt, devhx_caffeine_amt_week, devhx_caff_amt_month</t>
  </si>
  <si>
    <t>Created from caffeine variables in developmental history questionnaire. Total caffeine amount per month.</t>
  </si>
  <si>
    <t>About how many weeks premature was the child when they were born?</t>
  </si>
  <si>
    <t>Alcohol? Average drinks per week?</t>
  </si>
  <si>
    <t>Alcohol? How many drinks did it take to feel the effects of alcohol?</t>
  </si>
  <si>
    <t>Alcohol? Maximum drinks in one sitting?</t>
  </si>
  <si>
    <t>Tobacco? How many times per day?</t>
  </si>
  <si>
    <t>Marijuana? How many times per day?</t>
  </si>
  <si>
    <t>Derived from: dhea_rep1, dhea_rep2</t>
  </si>
  <si>
    <t>Created with code…DHEA hormone levels (code cleaned up and averaged values)</t>
  </si>
  <si>
    <t>Derived from: hormone_scr_hse_rep1, hormone_scr_hse_rep2</t>
  </si>
  <si>
    <t>Created with code… Estradiol hormone levels (code cleaned up and averaged values)</t>
  </si>
  <si>
    <t>Derived from: hormone_scr_ert_rep1, hormone_scr_ert_rep2</t>
  </si>
  <si>
    <t>Created with code… Testoseterone hormone levels (code cleaned up and averaged values)</t>
  </si>
  <si>
    <t>medhx_1a</t>
  </si>
  <si>
    <t>During the past year, has your child been to see a doctor, nurse, nurse practitioner, dentist, or any other health professional like that, OTHER than for regular checkups? /En el último año? / ¿su niño(a) ha visto a un médico, enfermero(a), dentista o algún otro profesional similar de la salud, por algún motivo distinto a sus chequeos periódicos?</t>
  </si>
  <si>
    <t>has your child been to see a doctor, nurse, nurse practitioner, dentist, or any other health professional like that, OTHER than for regular checkups. What about the rest of his/her life before the past year? / ¿Y durante el resto de su vida antes del último año?</t>
  </si>
  <si>
    <t>medhx_2a</t>
  </si>
  <si>
    <t>Asthma Asma</t>
  </si>
  <si>
    <t>medhx_2b</t>
  </si>
  <si>
    <t>Has she/he ever been to a doctor for any of these things… Allergies Alergias</t>
  </si>
  <si>
    <t>medhx_2c</t>
  </si>
  <si>
    <t>Has she/he ever been to a doctor for any of these things…Brain Injury /Lesión Cerebral</t>
  </si>
  <si>
    <t>medhx_2d</t>
  </si>
  <si>
    <t>Has she/he ever been to a doctor for any of these things…Bronchitis /Bronquitus</t>
  </si>
  <si>
    <t>medhx_2i</t>
  </si>
  <si>
    <t>Has she/he ever been to a doctor for any of these things… Hearing Problem Problema Auditivo</t>
  </si>
  <si>
    <t>medhx_2n</t>
  </si>
  <si>
    <t>Has she/he ever been to a doctor for any of these things… Has she/he ever been to a doctor for any of these things…Problems with Vision (including the need for glasses) /Problemas de la vista (incluyendo la necesidad de lentes/gafas)</t>
  </si>
  <si>
    <t>medhx_2o</t>
  </si>
  <si>
    <t>Has she/he ever been to a doctor for any of these things… Problems with Heart Problemas del corazón</t>
  </si>
  <si>
    <t>medhx_2q</t>
  </si>
  <si>
    <t>Has she/he ever been to a doctor for any of these things…Very Bad Headaches /Dolores de cabeza muy intensos</t>
  </si>
  <si>
    <t>medhx_2r</t>
  </si>
  <si>
    <t>Has she/he ever been to a doctor for any of these things…An Operation /Cirugías</t>
  </si>
  <si>
    <t>medhx_2s</t>
  </si>
  <si>
    <t>Has she/he ever been to a doctor for any of these things…Any Other Illness /Cualquier otra enfermedad</t>
  </si>
  <si>
    <t>medhx_4a</t>
  </si>
  <si>
    <t>Has he/she been to an emergency room in the past year? / ¿Su niño(a) ha visitado una sala de emergencias en el último año?</t>
  </si>
  <si>
    <t>How many times has he/she been to the emergency room in that past year? / ¿Cuántas veces ha visitado él/ella la sala de emergencias en este último año?</t>
  </si>
  <si>
    <t>medhx_5a</t>
  </si>
  <si>
    <t>Has he/she been to the emergency room any time BEFORE this past year, that is, any other time in his/her whole life? / ¿Su niño(a) visitó la sala de emergencias en algún momento ANTES de este último año; es decir, en algún otro momento de su vida?</t>
  </si>
  <si>
    <t>How many times did s(he) go to the emergency room before the past year? / ¿Cuántas veces acudió a la sala de emergencias antes de este último año ?</t>
  </si>
  <si>
    <t>medhx_6a</t>
  </si>
  <si>
    <t>Has she/he ever been to a doctor for any of these things… Broken Bones Fracturas</t>
  </si>
  <si>
    <t>Broken Bones. How many times? / ¿Cuántas veces?</t>
  </si>
  <si>
    <t>medhx_6b</t>
  </si>
  <si>
    <t>Has he/she ever been to a doctor, a nurse, nurse practitioner, the emergency room or a clinic because any of these things happened...Sprains /Esguinces</t>
  </si>
  <si>
    <t>Sprains. How many times? / ¿Cuántas veces?</t>
  </si>
  <si>
    <t>medhx_6c</t>
  </si>
  <si>
    <t>Has he/she ever been to a doctor, a nurse, nurse practitioner, the emergency room or a clinic because any of these things happened...Cuts or Scrapes /Cortadas o rasguños</t>
  </si>
  <si>
    <t>Cuts or Scrapes. How many times? / ¿Cuántas veces?</t>
  </si>
  <si>
    <t>medhx_6d</t>
  </si>
  <si>
    <t>Has he/she ever been to a doctor, a nurse, nurse practitioner, the emergency room or a clinic because any of these things happened...Stitches /Suturas</t>
  </si>
  <si>
    <t>Stitches. How many times? / ¿Cuántas veces?</t>
  </si>
  <si>
    <t>medhx_6e</t>
  </si>
  <si>
    <t>Has he/she ever been to a doctor, a nurse, nurse practitioner, the emergency room or a clinic because any of these things happened...Other Serious Wounds /Otras heridas graves</t>
  </si>
  <si>
    <t>Other Serious Wounds. How many times? / ¿Cuántas veces?</t>
  </si>
  <si>
    <t>medhx_6f</t>
  </si>
  <si>
    <t>Has he/she ever been to a doctor, a nurse, nurse practitioner, the emergency room or a clinic because any of these things happened...Falls/ Caídas</t>
  </si>
  <si>
    <t>Falls. How many times? / ¿Cuántas veces?</t>
  </si>
  <si>
    <t>medhx_6h</t>
  </si>
  <si>
    <t>Has he/she ever been to a doctor, a nurse, nurse practitioner, the emergency room or a clinic because any of these things happened...High Fever /Fiebre alta</t>
  </si>
  <si>
    <t>High Fever. How many times? / ¿Cuántas veces?</t>
  </si>
  <si>
    <t>medhx_6i</t>
  </si>
  <si>
    <t>Has he/she ever been to a doctor, a nurse, nurse practitioner, the emergency room or a clinic because any of these things happened...Head Injury /Lesión en la cabeza</t>
  </si>
  <si>
    <t>Head Injury. How many times? / ¿Cuántas veces?</t>
  </si>
  <si>
    <t>medhx_6l</t>
  </si>
  <si>
    <t>Since we last saw you, has she/he been to a doctor for any of these things? Has he/she ever been to a doctor, a nurse, nurse practitioner, the emergency room or a clinic because any of these things happened...Asthma Attack/ Ataque de asma</t>
  </si>
  <si>
    <t>Asthma Attack. How many times? / ¿Cuántas veces?</t>
  </si>
  <si>
    <t>medhx_6m</t>
  </si>
  <si>
    <t>Has he/she ever been to a doctor, a nurse, nurse practitioner, the emergency room or a clinic because any of these things happened...Broken Teeth/ Dientes rotos</t>
  </si>
  <si>
    <t>Broken Teeth. How many times? / ¿Cuántas veces?</t>
  </si>
  <si>
    <t>medhx_6n</t>
  </si>
  <si>
    <t>Has he/she ever been to a doctor, a nurse, nurse practitioner, the emergency room or a clinic because any of these things happened...Animal Bite/ Mordedura de animal</t>
  </si>
  <si>
    <t>Animal Bite. How many times? / ¿Cuántas veces?</t>
  </si>
  <si>
    <t>medhx_6p</t>
  </si>
  <si>
    <t>Has he/she ever been to a doctor, a nurse, nurse practitioner, the emergency room or a clinic because any of these things happened...Seizure/ Convulsión</t>
  </si>
  <si>
    <t>Seizure. How many times? / ¿Cuántas veces?</t>
  </si>
  <si>
    <t>medhx_6t</t>
  </si>
  <si>
    <t>Has he/she ever been to a doctor, a nurse, nurse practitioner, the emergency room or a clinic because any of these things happened...Other /Otro hospitalization reasons</t>
  </si>
  <si>
    <t>Other hospitalizations. How many times? / ¿Cuántas veces?</t>
  </si>
  <si>
    <t>medhx_8a</t>
  </si>
  <si>
    <t>Has he/she ever been in the hospital overnight or longer? / ¿Él/ella ha pasado una noche o más en el hospital?</t>
  </si>
  <si>
    <t>medhx_9a</t>
  </si>
  <si>
    <t>Has he/she ever had general anesthesia or sedation for any surgery or procedure? / ¿Alguna vez él/ella ha estado bajo anestesia general o sedación para alguna cirugía o procedimiento?</t>
  </si>
  <si>
    <t>general anesthesia or sedation for any surgery or procedure. How many times? / ¿Cuántas veces?</t>
  </si>
  <si>
    <t>general anesthesia or sedation for any surgery or procedure. At what age for the most recent time? / ¿A qué edad durante el tiempo más reciente?</t>
  </si>
  <si>
    <t>Would you say that your child's growth in height: Con respecto a la estatura de su niño(a), ¿diría usted que...?</t>
  </si>
  <si>
    <t>And how about the growth of your child's body hair ("body hair" means hair any place other than their head, such as under their arms)? Would you say that your child's body hair growth: ¿Y qué diría del crecimiento del vello corporal de su niño(a) ("vello corporal" se refiere al vello que crece en cualquier parte del cuerpo que no sea el pelo de la cabeza, como en las axilas)?¿Diría usted que el vello corporal de su niño(a)...?</t>
  </si>
  <si>
    <t>Have you noticed any changes to their skin, especially pimples? ¿Ha notado cambios en la piel de su niño(a), particularmente acné, granos o espinillas</t>
  </si>
  <si>
    <t>And how about the growth of your body hair? ("Body hair" means hair any place other than your head, such as under your arms) Would you say that your body hair growth:</t>
  </si>
  <si>
    <t>Have you noticed that your breasts have begun to grow?</t>
  </si>
  <si>
    <t>Have you noticed that your child's breasts have begun to grow? ¿Ha notado que los senos de su niña han empezado a crecer?</t>
  </si>
  <si>
    <t>Would you say that your growth in height:</t>
  </si>
  <si>
    <t>Have you noticed a deepening of his voice? ¿Ha notado que la voz de su niño se ha vuelto más profunda?</t>
  </si>
  <si>
    <t>Have you noticed a deepening of your voice?</t>
  </si>
  <si>
    <t>Has he begun to grow hair on his face? ¿A su niño le ha empezado a crecer vello en la cara?</t>
  </si>
  <si>
    <t>Have you begun to grow hair on your face?</t>
  </si>
  <si>
    <t>Pubertal Developmental Scale Parent: Female Category - based on sex at birth; pubertdev_sum_p_f = pubertdev_2_p plus pubertdev_f4_p; 1 - prepuberty - pubertdev_sum_p_f = 2 and pubertdev_f5b_p= 1; 2 - early puberty - pubertdev_sum_p_f = 3 and pubertdev_f5b_p = 1; 3 - mid puberty - pubertdev_sum_p_f &gt; 3 and pubertdev_f5b_p = 1; 4 - late puberty - pubertdev_sum_p_f &lt;= 7 and pubertdev_f5b_p = 4 ; 5 - post puberty - pubertdev_sum_p_f = 8 and pubertdev_f5b_p = 4 ; Validation: All items must be answered</t>
  </si>
  <si>
    <t>Pubertal Developmental Scale Parent: Male Category - based on sex at birth; pubertdev_sum_p_m = pubertdev_2_p + pubertdev_m4_p + pubertdev_m5_p; 1 - prepuberty pubertdev_sum_p_m = 3; 2 - early puberty pubertdev_sum_p_m &gt;= 4 and &lt;=5; 3 - mid puberty pubertdev_sum_p_m &gt;=6 and &lt;=8; 4 - late puberty pubertdev_sum_p_m &gt;= 9 and &lt;= 11; 5 - post puberty pubertdev_sum_p_m = 12; Validation: All items must be answered</t>
  </si>
  <si>
    <t>Have you noticed any skin changes, especially pimples?</t>
  </si>
  <si>
    <t>Pubertal Developmental Scale Youth, Female Category: pds_y_ss_f_cat_sum (sum_y_f) = pds_bdyhair_y + pds_4_2_y; 1 - prepuberty - sum_y_f = 2 and pds_5_y = 1, 2 - early puberty - sum_y_f = 3 and pds_5_y = 1, 3 - mid puberty - sum_y_f &gt; 3 and pds_5_y = 4, 4 - late puberty - sum_y_f = &lt;= 7 and pds_5_y = 4, 5 - post puberty - sum_y_f = 8 and pds_5_y = 4; Validation: All items must be answered</t>
  </si>
  <si>
    <t>Pubertal Developmental Scale Youth: Male Category - based on sex at birth; pubertdev_sum_y_m = pubertdev_2 plus pubertdev_m4 plus pubertdev_m5; 1 - prepuberty pubertdev_sum_y_m = 3; 2 - early puberty pubertdev_sum_y_m &gt;= 4 and &lt;=5; 3 - mid puberty pubertdev_sum_y_m &gt;=6 and &lt;=8; 4 - late puberty pubertdev_sum_y_m &gt;= 9 and &lt;= 11; 5 - post puberty pubertdev_sum_y_m = 12; Validation: All items must be answered</t>
  </si>
  <si>
    <t>Created from sports activity questionnaire: number of activities participated in in past 12 months</t>
  </si>
  <si>
    <t>Musical Instrument (Singing, Choir, Guitar, Piano, Drums, Violin, Flute, Band, Rock Band, Orchestra…) : For how many years did your child participate in this activity?</t>
  </si>
  <si>
    <t>Reading : For how many years has your child read for pleasure?</t>
  </si>
  <si>
    <t>Disorder of Arousal (DA) SUM: sleepdisturb17_p + sleepdisturb20_p + sleepdisturb21_p; Validation: All items must be answered</t>
  </si>
  <si>
    <t>Disorders of Initiating and Maintaining Sleep (DIMS) SUM: sleepdisturb1_p + sleepdisturb2_p + sleepdisturb3_p + sleepdisturb4_p + sleepdisturb5_p + sleepdisturb10_p + sleepdisturb11_p; Validation: All items must be answered</t>
  </si>
  <si>
    <t>Disorders of Excessive Somnolence (DOES) SUM: sleepdisturb22_p + sleepdisturb23_p + sleepdisturb24_p + sleepdisturb25_p + sleepdisturb26_p; Validation: All items must be answered</t>
  </si>
  <si>
    <t>Sleep Breathing disorders (SBD): SUM sleepdisturb13_p + sleepdisturb14_p + sleepdisturb15_p; Validation: All items must be answered</t>
  </si>
  <si>
    <t>Sleep Hyperhydrosis (SHY) SUM: sleepdisturb9_p + sleepdisturb16_p; Validation: All items must be answered</t>
  </si>
  <si>
    <t>Sleep-Wake transition Disorders (SWTD) SUM: sleepdisturb6_p + sleepdisturb7_p + sleepdisturb8_p + sleepdisturb12_p + sleepdisturb18_p + sleepdisturb19_p; Validation: All items must be answered</t>
  </si>
  <si>
    <t>Total Score (Sum of 6 Factors): sds_p_ss_dims + sds_p_ss_sbd + sds_p_ss_da + sds_p_ss_swtd + sds_p_ss_does + sds_p_ss_shy; Validation: All items must be answered</t>
  </si>
  <si>
    <t>How many hours of sleep does your child get on most nights? ¿Cuántas horas duerme su niño(a) la mayoría de las noches?</t>
  </si>
  <si>
    <t>The child wakes up more than twice per night. El niño / la niña se despierta más de dos veces por noche.</t>
  </si>
  <si>
    <t>After waking up in the night, the child has difficulty to fall asleep again. Después de despertarse en la noche, el niño / la niña tiene dificultad para quedarse dormido(a) de nuevo.</t>
  </si>
  <si>
    <t>The child has frequent twitching or jerking of legs while asleep or often changes position during the night or kicks the covers off the bed. Al niño / A la niña se le contraen de repente o se le sacuden las piernas frecuentemente mientras duerme o a menudo cambia de posición durante la noche o patea las cobijas hasta tirarlas de la cama.</t>
  </si>
  <si>
    <t>The child has difficulty in breathing during the night. El niño / la niña tiene dificultad respirando durante la noche.</t>
  </si>
  <si>
    <t>The child snores. El niño / la niña ronca.</t>
  </si>
  <si>
    <t>The child sweats excessively during the night. El niño / la niña suda en exceso durante la noche.</t>
  </si>
  <si>
    <t>You have observed the child sleepwalking. Usted ha visto al niño / la niña caminar mientras duerme.</t>
  </si>
  <si>
    <t>You have observed the child talking in their sleep.</t>
  </si>
  <si>
    <t>The child grinds their teeth during sleep.</t>
  </si>
  <si>
    <t>How long after going to bed does your child usually fall asleep? Después de acostarse ¿generalmente cuánto tiempo tarda su niño(a) en quedarse dormido(a)?</t>
  </si>
  <si>
    <t>The child wakes from sleep screaming or confused so you cannot seem to get through to they, but has no memory of these events the next morning.</t>
  </si>
  <si>
    <t>The child has nightmares which they don't remember the next day.</t>
  </si>
  <si>
    <t>The child is unusuallly difficult to wake up in the morning. Es inusualmente difícil despertar al niño / la niña en la mañana.</t>
  </si>
  <si>
    <t>The child awakes in the morning feeling tired. El niño / la niña se despierta en la mañana sintiéndose cansado(a).</t>
  </si>
  <si>
    <t>The child feels unable to move when waking up in the morning. El niño / la niña siente que no puede moverse cuando se despierta en la mañana.</t>
  </si>
  <si>
    <t>The child experiences daytime sleepiness. El niño / la niña siente sueño durante el día.</t>
  </si>
  <si>
    <t>The child goes to bed reluctantly. El niño/ la niña se va a la cama de mala gana.</t>
  </si>
  <si>
    <t>The child has difficulty getting to sleep at night. El niño / la niña tiene dificultad quedándose dormido(a) en la noche.</t>
  </si>
  <si>
    <t>The child feels anxious or afraid when falling asleep. El niño / la niña siente ansiedad o miedo cuando se está quedando dormido(a).</t>
  </si>
  <si>
    <t>The child startles or jerks parts of the body while falling asleep. El niño / la niña se sobresalta o sacude partes del cuerpo mientras se está quedando dormido(a).</t>
  </si>
  <si>
    <t>The child experiences vivid dream-like scenes while falling asleep. El niño / la niña experimenta escenas vívidas como si fuera un sueño mientras se está quedando dormido(a).</t>
  </si>
  <si>
    <t>The child sweats excessively while falling asleep. El niño / la niña suda excesivamente mientras se está quedando dormido(a).</t>
  </si>
  <si>
    <t>SSRIAfter</t>
  </si>
  <si>
    <t>Created variable from developmental history - any prenatal exposure to SSRIs after maternal knowledge of pregnancy</t>
  </si>
  <si>
    <t>SSRIB4</t>
  </si>
  <si>
    <t>Created variable from developmental history - any prenatal exposure to SSRIs before maternal knowledge of pregnancy</t>
  </si>
  <si>
    <t>tbi_1</t>
  </si>
  <si>
    <t>Has your child ever been hospitalized or treated in an emergency room following an injury to his/her head or neck? ¿Alguna vez han hospitalizado a su niño/a o le han tratado en una sala de emergencias después de sufrir una lesión en la cabeza o en el cuello?</t>
  </si>
  <si>
    <t>tbi_1c</t>
  </si>
  <si>
    <t>Was he/she dazed or did he/she have a gap in his/her memory from the injury? ¿Se sintió él/ella aturdido, o tuvo lapsos de memoria por causa de la lesión?</t>
  </si>
  <si>
    <t>tbi_3</t>
  </si>
  <si>
    <t>Has you child ever injured his/her head or neck in a fall or from being hit by something? (For example, falling from a bike or horse, rollerblading, falling on ice, being hit by a rock) Has your child ever injured his/her head or neck playing sports or on the playground? ¿Su niño/a alguna vez se ha lastimado la cabeza o el cuello en una caída o porque algo le haya caído en la cabeza (p. ej., al caerse de una bicicleta o un caballo, al andar en patines, al caerse en el hielo o que le haya caído una roca)? ¿Su niño(a) alguna vez se ha lastimado la cabeza o el cuello haciendo deporte o jugando en un parque?</t>
  </si>
  <si>
    <t>tbi_3c</t>
  </si>
  <si>
    <t>How old was he/she? ¿Qué edad tenía? </t>
  </si>
  <si>
    <t>Worst Injury Overall: Worst TBI - 1, Improbable TBI (no TBI or TBI w/o LOC or memory loss); 2, Possible mild TBI (TBI w/o LOC but memory loss); 3, Mild TBI (TBI w/LOC ≤ 30 min); 4, Moderate TBI (TBI w/LOC 30 min - 24 hrs); 5, Severe TBI (TBI w/ LOC ≥ 24 hrs)</t>
  </si>
  <si>
    <t>FAMILY MENTAL HEALTH </t>
  </si>
  <si>
    <t>I am too forgetful Soy demasiado olvidadizo(a)</t>
  </si>
  <si>
    <t>I make good use of my opportunities Aprovecho bien mis oportunidades</t>
  </si>
  <si>
    <t>I argue a lot Discuto mucho</t>
  </si>
  <si>
    <t>I work up to my ability Trabajo a mi máxima capacidad</t>
  </si>
  <si>
    <t>I blame others for my problems Culpo a otros por mis problemas</t>
  </si>
  <si>
    <t>I use drugs (other than alcohol, nicotine) for nonmedical purposes Uso drogas sin motivo médico (no incluya alcohol o tabaco)</t>
  </si>
  <si>
    <t>I brag Soy engreído o presumido(a)</t>
  </si>
  <si>
    <t>I have trouble concentrating or paying attention for long No puedo concentrarme o prestar atención por mucho tiempo</t>
  </si>
  <si>
    <t>I can't get my mind off certain thoughts No puedo sacarme de la mente ciertos pensamientos, obsesiones</t>
  </si>
  <si>
    <t>I have trouble sitting still No puedo quedarme quieto(a); soy inquieto (a) o hiperactivo (a)</t>
  </si>
  <si>
    <t>I have trouble sleeping No duermo bien</t>
  </si>
  <si>
    <t>I stay away from my job even when I'm not sick or not on vacation Falto al trabajo aunque no esté enfermo(a) o de vacaciones</t>
  </si>
  <si>
    <t>I don't have much energy Soy poco activo(a), lento(a) o me falta energía</t>
  </si>
  <si>
    <t>I am unhappy, sad, or depressed Me siento infeliz, triste o deprimido(a)</t>
  </si>
  <si>
    <t>I am louder than others Soy más ruidoso(a) de lo común</t>
  </si>
  <si>
    <t>People think I am disorganized La gente piensa que soy desorganizado(a)</t>
  </si>
  <si>
    <t>I try to be fair to others Trato de ser justo(a) con los demás</t>
  </si>
  <si>
    <t>I feel that I can't succeed Siento que no puedo alcanzar el éxito</t>
  </si>
  <si>
    <t>I tend to lose things Pierdo las cosas fácilmente</t>
  </si>
  <si>
    <t>I like to try new things Me gusta intentar cosas nuevas</t>
  </si>
  <si>
    <t>I am too dependent on others Dependo demasiado de otros</t>
  </si>
  <si>
    <t>I keep from getting involved with others Me aíslo, no me relaciono con los demás</t>
  </si>
  <si>
    <t>I worry a lot Me preocupo mucho</t>
  </si>
  <si>
    <t>I worry about my relations with the opposite sex Me preocupan mis relaciones con personas del sexo opuesto</t>
  </si>
  <si>
    <t>I fail to pay my debts or meet other financial responsibilities No pago mis deudas ni me hago cargo de responsabilidades financieras</t>
  </si>
  <si>
    <t>I feel restless or fidgety Me siento intranquilo(a) o inquieto(a)</t>
  </si>
  <si>
    <t>I get upset too easily Me altero fácilmente</t>
  </si>
  <si>
    <t>I have trouble managing my money or credit card Me cuesta trabajo manejar el dinero o las tarjetas de crédito</t>
  </si>
  <si>
    <t>I am too impatient Soy demasiado(a) impaciente</t>
  </si>
  <si>
    <t>I am not good at details No soy bueno(a) con los detalles</t>
  </si>
  <si>
    <t>I feel lonely Me siento solo(a)</t>
  </si>
  <si>
    <t>I drive too fast Manejo/conduzco muy rápido</t>
  </si>
  <si>
    <t>I tend to be late for appointments Usualmente llego tarde a mis compromisos</t>
  </si>
  <si>
    <t>I have trouble keeping a job Se me hace difícil mantener un trabajo</t>
  </si>
  <si>
    <t>I am a happy person Soy una persona feliz</t>
  </si>
  <si>
    <t>In the past 6 months, about how many times per day did you use tobacco (including smokeless tobacco)? En los últimos 6 meses, aproximadamente ¿cuántas veces por día consumió tabaco (incluyendo tabaco sin humo)?</t>
  </si>
  <si>
    <t>In the past 6 months, on how many days were you drunk? En los últimos 6 meses, ¿cuántos días estuvo borracho(a)?</t>
  </si>
  <si>
    <t>In the past 6 months, on how many days did you use drugs for nonmedical purposes (including marijuana, cocaine, and other drugs, except alcohol and nicotine)? En los últimos 6 meses, ¿cuántos días consumió drogas sin razón médica (incluyendo marihuana, cocaína, y otras drogas, sin incluir alcohol o tabaco)?</t>
  </si>
  <si>
    <t>I feel confused or in a fog Me siento confundido(a)</t>
  </si>
  <si>
    <t>I cry a lot Lloro mucho</t>
  </si>
  <si>
    <t>I am pretty honest Soy muy honesto(a)</t>
  </si>
  <si>
    <t>I am mean to others Soy malo(a) con los demás</t>
  </si>
  <si>
    <t>I daydream a lot Sueño despierto(a); me pierdo en mis propios pensamientos</t>
  </si>
  <si>
    <t>I try to get a lot of attention Exijo mucha atención</t>
  </si>
  <si>
    <t>I worry about my future Me preocupo por mi futuro</t>
  </si>
  <si>
    <t>I break rules at work or elsewhere Rompo las reglas en el trabajo o en otros lados</t>
  </si>
  <si>
    <t>I don't eat as well as I should No como tan bien como debería</t>
  </si>
  <si>
    <t>I don't get along with other people No me llevo bien con los demás</t>
  </si>
  <si>
    <t>I don't feel guilty after doing something I shouldn't No me siento culpable después de haber hecho mal</t>
  </si>
  <si>
    <t>I am jealous of others Me pongo celoso (a) fácilmente</t>
  </si>
  <si>
    <t>I get along badly with my family Me llevo mal con mi familia</t>
  </si>
  <si>
    <t>I am afraid of certain animals, situations, or places Me dan miedo ciertas situaciones, animales o lugares</t>
  </si>
  <si>
    <t>My relations with the opposite sex are poor Mis relaciones con personas del sexo opuesto son malas</t>
  </si>
  <si>
    <t>I am afraid I might think or do something bad Tengo miedo de que pueda pensar o hacer algo malo</t>
  </si>
  <si>
    <t>I feel that I have to be perfect Siento como que tengo que ser perfecto(a)</t>
  </si>
  <si>
    <t>I feel that no one loves me Siento como que nadie me quiere</t>
  </si>
  <si>
    <t>I feel that others are out to get me Siento que los demás quieren perjudicarme</t>
  </si>
  <si>
    <t>I feel worthless and inferior Me siento inferior o creo que no valgo nada</t>
  </si>
  <si>
    <t>I accidentally get hurt a lot, accident-prone Me lastimo accidentalmente con mucha frecuencia, soy propenso(a) a accidentes</t>
  </si>
  <si>
    <t>My relations with neighbors are poor Mi relación con mis vecinos es mala</t>
  </si>
  <si>
    <t>I am impulsive or act without thinking Soy impulsivo(a); actúo sin pensar</t>
  </si>
  <si>
    <t>I would rather be alone than with others Prefiero más estar solo(a) que con otras personas</t>
  </si>
  <si>
    <t>I lie or cheat Digo mentiras o hago trampa</t>
  </si>
  <si>
    <t>I feel overwhelmed by my responsibilities Me siento abrumado(a) con mis responsabilidades</t>
  </si>
  <si>
    <t>I am nervous or tense Soy nervioso(a), o tenso(a)</t>
  </si>
  <si>
    <t>Parts of my body twitch or make nervous movements Tengo movimientos involuntarios o tics</t>
  </si>
  <si>
    <t>I lack self-confidence Me falta confianza en mí mismo(a)</t>
  </si>
  <si>
    <t>I am not liked by others No le caigo bien a los demás</t>
  </si>
  <si>
    <t>I can do certain things better than other people Puedo hacer ciertas cosas mejor que los demás</t>
  </si>
  <si>
    <t>I am too fearful or anxious Soy demasiado miedoso(a) o ansioso(a)</t>
  </si>
  <si>
    <t>I feel dizzy or lightheaded Me siento mareado(a)</t>
  </si>
  <si>
    <t>I feel too guilty Me siento demasiado culpable</t>
  </si>
  <si>
    <t>I have trouble planning for the future Me cuesta trabajo planear mi futuro</t>
  </si>
  <si>
    <t>I feel tired without good reason Me siento demasiado cansado(a) sin razón para estarlo</t>
  </si>
  <si>
    <t>My moods swing between elation and depression Mi humor cambia entre euforia y depresión</t>
  </si>
  <si>
    <t>Aches or pains (not stomach or headaches) Dolores o molestias (sin que sean del estómago o dolores de cabeza)</t>
  </si>
  <si>
    <t>Headaches Dolores de cabeza</t>
  </si>
  <si>
    <t>Nausea, feel sick Náuseas</t>
  </si>
  <si>
    <t>Problems with eyes (not if corrected by glasses) Problemas con los ojos ( no incluya si corregido con lentes/espejuelos)</t>
  </si>
  <si>
    <t>Rashes or other skin problems Me da salpullido o irritación en la piel</t>
  </si>
  <si>
    <t>Stomachaches Dolores de estómago/barriga o retortijones</t>
  </si>
  <si>
    <t>Vomiting, throwing up Vómito</t>
  </si>
  <si>
    <t>Heart Pounding or racing Palpitaciones aceleradas</t>
  </si>
  <si>
    <t>Numbness or tingling in body parts Adormecimiento o cosquílleo en partes del cuerpo</t>
  </si>
  <si>
    <t>I pick my skin or other parts of my body Me rasco o me araño la piel u otras partes del cuerpo</t>
  </si>
  <si>
    <t>I fail to finish things I should do Dejo sin en terminar lo que empiezo</t>
  </si>
  <si>
    <t>There is very little I enjoy Hay muy pocas cosas que disfruto</t>
  </si>
  <si>
    <t>My work performance is poor Mi desempeño en el trabajo es bajo</t>
  </si>
  <si>
    <t>I am poorly coordinated or clumsy Tengo mala coordinación o torpeza</t>
  </si>
  <si>
    <t>I would rather be with older people than with people of my own age Prefiero estar con gente mayor que yo, que con gente de mi edad</t>
  </si>
  <si>
    <t>I have trouble setting priorities Me cuesta trabajo poner prioridades</t>
  </si>
  <si>
    <t>I refuse to talk Me rehúso a hablar</t>
  </si>
  <si>
    <t>I repeat certain acts over and over Repito ciertas acciones una y otra vez</t>
  </si>
  <si>
    <t>I have trouble making or keeping friends Me cuesta trabajo hacer o conservar amistades</t>
  </si>
  <si>
    <t>I scream or yell a lot Grito mucho</t>
  </si>
  <si>
    <t>I am secretive or keep things to myself Soy muy reservado(a), me callo todo</t>
  </si>
  <si>
    <t>I am self-conscious or easily embarrassed Me cohíbo o me avergüenzo con facilidad</t>
  </si>
  <si>
    <t>I worry about my family Me preocupo por mi familia</t>
  </si>
  <si>
    <t>I meet my responsibilities to my family Cumplo con las responsabilidades familiares</t>
  </si>
  <si>
    <t>I show off or clown Me gusta llamar la atención o hacerme el(la) gracioso(a)</t>
  </si>
  <si>
    <t>I am too shy or timid Soy demasiado tímido(a)</t>
  </si>
  <si>
    <t>My behavior is irresponsible Mi comportamiento es irresponsable</t>
  </si>
  <si>
    <t>I sleep more than most other people during day and/or night Duermo más que la mayoria de las personas durante el día y/o la noche</t>
  </si>
  <si>
    <t>I have trouble making decisions Me cuesta trabajo tomar decisiones</t>
  </si>
  <si>
    <t>I stand up for my rights Defiendo mis derechos</t>
  </si>
  <si>
    <t>My behavior is very changeable Mi comportamiento cambia mucho</t>
  </si>
  <si>
    <t>I am easily bored Me aburro fácilmente</t>
  </si>
  <si>
    <t>I do things that other people think are strange Hago cosas que otras personas piensan que son extrañas</t>
  </si>
  <si>
    <t>I have thoughts that other people would think are strange Tengo ideas que otras personas pensarían que son extrañas</t>
  </si>
  <si>
    <t>I am stubborn, sullen, or irritable Soy obstinado(a), malhumorado(a) o irritable</t>
  </si>
  <si>
    <t>My moods or feeling change suddenly Tengo bruscos cambios de humor o sentimientos</t>
  </si>
  <si>
    <t>I enjoy being with people Disfruto estar con gente</t>
  </si>
  <si>
    <t>I rush into things without considering the risks Me meto en situaciones sin pensar en los riesgos</t>
  </si>
  <si>
    <t>I drink too much alcohol or get drunk Tomo demasiado alcohol o me emborracho</t>
  </si>
  <si>
    <t>I think about killing myself Pienso en matarme</t>
  </si>
  <si>
    <t>I talk too much Hablo demasiado</t>
  </si>
  <si>
    <t>I tease others a lot Me burlo/molesto mucho a los demás</t>
  </si>
  <si>
    <t>I have a hot temper Me dan rabietas o tengo mal genio</t>
  </si>
  <si>
    <t>I think about sex too much Pienso demasiado en sexo</t>
  </si>
  <si>
    <t>I like to help others Me gusta ayudar a los demás</t>
  </si>
  <si>
    <t>I dislike staying in one place for very long No me gusta estar mucho tiempo en el mismo lugar</t>
  </si>
  <si>
    <t>AD/H Problems ASR DSM-5-Oriented Scale (raw score)</t>
  </si>
  <si>
    <t>Aggressive Behavior ASR Syndrome Scale (raw score)</t>
  </si>
  <si>
    <t>Antisocial Personality Problems ASR DSM-5-Oriented Scale (raw score)</t>
  </si>
  <si>
    <t>Anxious/Depressed ASR Syndrome Scale (raw score)</t>
  </si>
  <si>
    <t>Anxiety Problems ASR DSM-5-Oriented Scale (raw score)</t>
  </si>
  <si>
    <t>Attention Problems ASR Syndrome Scale (raw score)</t>
  </si>
  <si>
    <t>Avoidant Personality Problems ASR DSM-5-Oriented Scale (raw score)</t>
  </si>
  <si>
    <t>Depressive Problems ASR DSM-5-Oriented Scale (raw score)</t>
  </si>
  <si>
    <t>Externalizing Problems ASR Syndrome Scale (raw score)</t>
  </si>
  <si>
    <t>Hyperactivity-Impulsivity ASR DSM-5-Oriented Scale (raw score)</t>
  </si>
  <si>
    <t>Inattention ASR DSM-5-Oriented Scale (raw score)</t>
  </si>
  <si>
    <t>Interalizing Problems ASR Syndrome Scale (raw score)</t>
  </si>
  <si>
    <t>Intrusive ASR Syndrome Scale (raw score)</t>
  </si>
  <si>
    <t>Personal Strength ASR Adaptive Functioning Scale (raw score)</t>
  </si>
  <si>
    <t>Rule-Breaking Behavior ASR Syndrome Scale (raw score)</t>
  </si>
  <si>
    <t>Somatic Complaints ASR Syndrome Scale (raw score)</t>
  </si>
  <si>
    <t>Somatic Problems ASR DSM-5-Oriented Scale (raw score)</t>
  </si>
  <si>
    <t>Thought Problems ASR Syndrome Scale (raw score)</t>
  </si>
  <si>
    <t>Total Problems ASR Syndrome Scale (raw score)</t>
  </si>
  <si>
    <t>Withdrawn ASR Syndrome Scale (raw score)</t>
  </si>
  <si>
    <t>famhx_ss_fath_prob_alc_p</t>
  </si>
  <si>
    <t>father alcohol problem</t>
  </si>
  <si>
    <t>famhx_ss_fath_prob_dg_p</t>
  </si>
  <si>
    <t>father drug use problem</t>
  </si>
  <si>
    <t>famhx_ss_fath_prob_dprs_p</t>
  </si>
  <si>
    <t>father depression problem</t>
  </si>
  <si>
    <t>famhx_ss_fath_prob_hspd_p</t>
  </si>
  <si>
    <t>father hospitalized due to emotional/mental problem</t>
  </si>
  <si>
    <t>famhx_ss_fath_prob_ma_p</t>
  </si>
  <si>
    <t>father mania problem</t>
  </si>
  <si>
    <t>famhx_ss_fath_prob_nrv_p</t>
  </si>
  <si>
    <t>father nerves/nervous breakdown problem</t>
  </si>
  <si>
    <t>famhx_ss_fath_prob_prf_p</t>
  </si>
  <si>
    <t>father been to a doctor or counselor due to emotional/mental problem</t>
  </si>
  <si>
    <t>famhx_ss_fath_prob_scd_p</t>
  </si>
  <si>
    <t>father attempted or committed suicide</t>
  </si>
  <si>
    <t>famhx_ss_fath_prob_trb_p</t>
  </si>
  <si>
    <t>father trouble holds job/fights/police problem</t>
  </si>
  <si>
    <t>famhx_ss_fulsibo1_prob_dprs_p</t>
  </si>
  <si>
    <t>full sibling older 1 depression problem</t>
  </si>
  <si>
    <t>famhx_ss_fulsibo1_prob_prf_p</t>
  </si>
  <si>
    <t>full sibling older 1 been to a doctor or counselor due to emotional/mental problem</t>
  </si>
  <si>
    <t>famhx_ss_fulsibo2_prob_prf_p</t>
  </si>
  <si>
    <t>full sibling older 2 been to a doctor or counselor due to emotional/mental problem</t>
  </si>
  <si>
    <t>famhx_ss_fulsiby1_prob_prf_p</t>
  </si>
  <si>
    <t>full sibling younger 1 been to a doctor or counselor due to emotional/mental problem</t>
  </si>
  <si>
    <t>famhx_ss_hlfsibo1_prob_prf_p</t>
  </si>
  <si>
    <t>half sibling older 1 been to a doctor or counselor due to emotional/mental problem</t>
  </si>
  <si>
    <t>famhx_ss_matant1_prob_alc_p</t>
  </si>
  <si>
    <t>maternal aunt 1 alcohol problem</t>
  </si>
  <si>
    <t>famhx_ss_matant1_prob_dg_p</t>
  </si>
  <si>
    <t>maternal aunt 1 drug use problem</t>
  </si>
  <si>
    <t>famhx_ss_matant1_prob_dprs_p</t>
  </si>
  <si>
    <t>maternal aunt 1 depression problem</t>
  </si>
  <si>
    <t>famhx_ss_matant1_prob_hspd_p</t>
  </si>
  <si>
    <t>maternal aunt 1 hospitalized due to emotional/mental problem</t>
  </si>
  <si>
    <t>famhx_ss_matant1_prob_nrv_p</t>
  </si>
  <si>
    <t>maternal aunt 1 nerves/nervous breakdown problem</t>
  </si>
  <si>
    <t>famhx_ss_matant1_prob_prf_p</t>
  </si>
  <si>
    <t>maternal aunt 1 been to a doctor or counselor due to emotional/mental problem</t>
  </si>
  <si>
    <t>famhx_ss_matant1_prob_scd_p</t>
  </si>
  <si>
    <t>maternal aunt 1 attempted or committed suicide</t>
  </si>
  <si>
    <t>famhx_ss_matant1_prob_trb_p</t>
  </si>
  <si>
    <t>maternal aunt 1 trouble holds job/fights/police problem</t>
  </si>
  <si>
    <t>famhx_ss_matant2_prob_dprs_p</t>
  </si>
  <si>
    <t>maternal aunt 2 depression problem</t>
  </si>
  <si>
    <t>famhx_ss_matant2_prob_prf_p</t>
  </si>
  <si>
    <t>maternal aunt 2 been to a doctor or counselor due to emotional/mental problem</t>
  </si>
  <si>
    <t>famhx_ss_matgf_prob_alc_p</t>
  </si>
  <si>
    <t>maternal grandfather alcohol problem</t>
  </si>
  <si>
    <t>famhx_ss_matgf_prob_dg_p</t>
  </si>
  <si>
    <t>maternal grandfather drug use problem</t>
  </si>
  <si>
    <t>famhx_ss_matgf_prob_dprs_p</t>
  </si>
  <si>
    <t>maternal grandfather depression problem</t>
  </si>
  <si>
    <t>famhx_ss_matgf_prob_hspd_p</t>
  </si>
  <si>
    <t>maternal grandfather hospitalized due to emotional/mental problem</t>
  </si>
  <si>
    <t>famhx_ss_matgf_prob_nrv_p</t>
  </si>
  <si>
    <t>maternal grandfather nerves/nervous breakdown problem</t>
  </si>
  <si>
    <t>famhx_ss_matgf_prob_prf_p</t>
  </si>
  <si>
    <t>maternal grandfather been to a doctor or counselor due to emotional/mental problem</t>
  </si>
  <si>
    <t>famhx_ss_matgf_prob_scd_p</t>
  </si>
  <si>
    <t>maternal grandfather attempted or committed suicide</t>
  </si>
  <si>
    <t>famhx_ss_matgf_prob_trb_p</t>
  </si>
  <si>
    <t>maternal grandfather trouble holds job/fights/police problem</t>
  </si>
  <si>
    <t>famhx_ss_matgm_prob_alc_p</t>
  </si>
  <si>
    <t>maternal grandmother alcohol problem</t>
  </si>
  <si>
    <t>famhx_ss_matgm_prob_dg_p</t>
  </si>
  <si>
    <t>maternal grandmother drug use problem</t>
  </si>
  <si>
    <t>famhx_ss_matgm_prob_dprs_p</t>
  </si>
  <si>
    <t>maternal grandmother depression problem</t>
  </si>
  <si>
    <t>famhx_ss_matgm_prob_hspd_p</t>
  </si>
  <si>
    <t>maternal grandmother hospitalized due to emotional/mental problem</t>
  </si>
  <si>
    <t>famhx_ss_matgm_prob_ma_p</t>
  </si>
  <si>
    <t>maternal grandmother mania problem</t>
  </si>
  <si>
    <t>famhx_ss_matgm_prob_nrv_p</t>
  </si>
  <si>
    <t>maternal grandmother nerves/nervous breakdown problem</t>
  </si>
  <si>
    <t>famhx_ss_matgm_prob_prf_p</t>
  </si>
  <si>
    <t>maternal grandmother been to a doctor or counselor due to emotional/mental problem</t>
  </si>
  <si>
    <t>famhx_ss_matgm_prob_scd_p</t>
  </si>
  <si>
    <t>maternal grandmother attempted or committed suicide</t>
  </si>
  <si>
    <t>famhx_ss_matunc1_prob_alc_p</t>
  </si>
  <si>
    <t>maternal uncle 1 alcohol problem</t>
  </si>
  <si>
    <t>famhx_ss_matunc1_prob_dg_p</t>
  </si>
  <si>
    <t>maternal uncle 1 drug use problem</t>
  </si>
  <si>
    <t>famhx_ss_matunc1_prob_dprs_p</t>
  </si>
  <si>
    <t>maternal uncle 1 depression problem</t>
  </si>
  <si>
    <t>famhx_ss_matunc1_prob_hspd_p</t>
  </si>
  <si>
    <t>maternal uncle 1 hospitalized due to emotional/mental problem</t>
  </si>
  <si>
    <t>famhx_ss_matunc1_prob_nrv_p</t>
  </si>
  <si>
    <t>maternal uncle 1 nerves/nervous breakdown problem</t>
  </si>
  <si>
    <t>famhx_ss_matunc1_prob_prf_p</t>
  </si>
  <si>
    <t>maternal uncle 1 been to a doctor or counselor due to emotional/mental problem</t>
  </si>
  <si>
    <t>famhx_ss_matunc1_prob_trb_p</t>
  </si>
  <si>
    <t>maternal uncle 1 trouble holds job/fights/police problem</t>
  </si>
  <si>
    <t>famhx_ss_matunc2_prob_alc_p</t>
  </si>
  <si>
    <t>maternal uncle 2 alcohol problem</t>
  </si>
  <si>
    <t>famhx_ss_matunc2_prob_dprs_p</t>
  </si>
  <si>
    <t>maternal uncle 2 depression problem</t>
  </si>
  <si>
    <t>famhx_ss_matunc2_prob_prf_p</t>
  </si>
  <si>
    <t>maternal uncle 2 been to a doctor or counselor due to emotional/mental problem</t>
  </si>
  <si>
    <t>famhx_ss_momdad_alc_p</t>
  </si>
  <si>
    <t>Either parent with alcohol problem</t>
  </si>
  <si>
    <t>famhx_ss_momdad_dg_p</t>
  </si>
  <si>
    <t>Either parent with drug use problem</t>
  </si>
  <si>
    <t>famhx_ss_momdad_dprs_p</t>
  </si>
  <si>
    <t>Either parent with depression problem</t>
  </si>
  <si>
    <t>famhx_ss_momdad_hspd_p</t>
  </si>
  <si>
    <t>Either parent hospitalized due to emotional/mental problem</t>
  </si>
  <si>
    <t>famhx_ss_momdad_ma_p</t>
  </si>
  <si>
    <t>Either parent with mania problem</t>
  </si>
  <si>
    <t>famhx_ss_momdad_nrv_p</t>
  </si>
  <si>
    <t>Either parent with nerves/nervous breakdown problem</t>
  </si>
  <si>
    <t>famhx_ss_momdad_prf_p</t>
  </si>
  <si>
    <t>Either parent been to a doctor or counselor due to emotional/mental problem</t>
  </si>
  <si>
    <t>famhx_ss_momdad_scd_p</t>
  </si>
  <si>
    <t>Either parent attempted or committed suicide</t>
  </si>
  <si>
    <t>famhx_ss_momdad_trb_p</t>
  </si>
  <si>
    <t>Either parent with trouble holds job/fights/police problem</t>
  </si>
  <si>
    <t>famhx_ss_moth_prob_alc_p</t>
  </si>
  <si>
    <t>mother alcohol problem</t>
  </si>
  <si>
    <t>famhx_ss_moth_prob_dg_p</t>
  </si>
  <si>
    <t>mother drug use problem</t>
  </si>
  <si>
    <t>famhx_ss_moth_prob_dprs_p</t>
  </si>
  <si>
    <t>mother depression problem</t>
  </si>
  <si>
    <t>famhx_ss_moth_prob_hspd_p</t>
  </si>
  <si>
    <t>mother hospitalized due to emotional/mental problem</t>
  </si>
  <si>
    <t>famhx_ss_moth_prob_ma_p</t>
  </si>
  <si>
    <t>mother mania problem</t>
  </si>
  <si>
    <t>famhx_ss_moth_prob_nrv_p</t>
  </si>
  <si>
    <t>mother nerves/nervous breakdown problem</t>
  </si>
  <si>
    <t>famhx_ss_moth_prob_prf_p</t>
  </si>
  <si>
    <t>mother been to a doctor or counselor due to emotional/mental problem</t>
  </si>
  <si>
    <t>famhx_ss_moth_prob_scd_p</t>
  </si>
  <si>
    <t>mother attempted or committed suicide</t>
  </si>
  <si>
    <t>famhx_ss_moth_prob_trb_p</t>
  </si>
  <si>
    <t>mother trouble holds job/fights/police problem</t>
  </si>
  <si>
    <t>famhx_ss_patant1_prob_alc_p</t>
  </si>
  <si>
    <t>paternal aunt 1 alcohol problem</t>
  </si>
  <si>
    <t>famhx_ss_patant1_prob_dg_p</t>
  </si>
  <si>
    <t>paternal aunt 1 drug use problem</t>
  </si>
  <si>
    <t>famhx_ss_patant1_prob_dprs_p</t>
  </si>
  <si>
    <t>paternal aunt 1 depression problem</t>
  </si>
  <si>
    <t>famhx_ss_patant1_prob_hspd_p</t>
  </si>
  <si>
    <t>paternal aunt 1 hospitalized due to emotional/mental problem</t>
  </si>
  <si>
    <t>famhx_ss_patant1_prob_nrv_p</t>
  </si>
  <si>
    <t>paternal aunt 1 nerves/nervous breakdown problem</t>
  </si>
  <si>
    <t>famhx_ss_patant1_prob_prf_p</t>
  </si>
  <si>
    <t>paternal aunt 1 been to a doctor or counselor due to emotional/mental problem</t>
  </si>
  <si>
    <t>famhx_ss_patant2_prob_dprs_p</t>
  </si>
  <si>
    <t>paternal aunt 2 depression problem</t>
  </si>
  <si>
    <t>famhx_ss_patant2_prob_prf_p</t>
  </si>
  <si>
    <t>paternal aunt 2 been to a doctor or counselor due to emotional/mental problem</t>
  </si>
  <si>
    <t>famhx_ss_patgf_prob_alc_p</t>
  </si>
  <si>
    <t>paternal grandfather alcohol problem</t>
  </si>
  <si>
    <t>famhx_ss_patgf_prob_dg_p</t>
  </si>
  <si>
    <t>paternal grandfather drug use problem</t>
  </si>
  <si>
    <t>famhx_ss_patgf_prob_dprs_p</t>
  </si>
  <si>
    <t>paternal grandfather depression problem</t>
  </si>
  <si>
    <t>famhx_ss_patgf_prob_hspd_p</t>
  </si>
  <si>
    <t>paternal grandfather hospitalized due to emotional/mental problem</t>
  </si>
  <si>
    <t>famhx_ss_patgf_prob_nrv_p</t>
  </si>
  <si>
    <t>paternal grandfather nerves/nervous breakdown problem</t>
  </si>
  <si>
    <t>famhx_ss_patgf_prob_prf_p</t>
  </si>
  <si>
    <t>paternal grandfather been to a doctor or counselor due to emotional/mental problem</t>
  </si>
  <si>
    <t>famhx_ss_patgf_prob_trb_p</t>
  </si>
  <si>
    <t>paternal grandfather trouble holds job/fights/police problem</t>
  </si>
  <si>
    <t>famhx_ss_patgm_prob_alc_p</t>
  </si>
  <si>
    <t>paternal grandmother alcohol problem</t>
  </si>
  <si>
    <t>famhx_ss_patgm_prob_dg_p</t>
  </si>
  <si>
    <t>paternal grandmother drug use problem</t>
  </si>
  <si>
    <t>famhx_ss_patgm_prob_dprs_p</t>
  </si>
  <si>
    <t>paternal grandmother depression problem</t>
  </si>
  <si>
    <t>famhx_ss_patgm_prob_hspd_p</t>
  </si>
  <si>
    <t>paternal grandmother hospitalized due to emotional/mental problem</t>
  </si>
  <si>
    <t>famhx_ss_patgm_prob_nrv_p</t>
  </si>
  <si>
    <t>paternal grandmother nerves/nervous breakdown problem</t>
  </si>
  <si>
    <t>famhx_ss_patgm_prob_prf_p</t>
  </si>
  <si>
    <t>paternal grandmother been to a doctor or counselor due to emotional/mental problem</t>
  </si>
  <si>
    <t>famhx_ss_patunc1_prob_alc_p</t>
  </si>
  <si>
    <t>paternal uncle 1 alcohol problem</t>
  </si>
  <si>
    <t>famhx_ss_patunc1_prob_dg_p</t>
  </si>
  <si>
    <t>paternal uncle 1 drug use problem</t>
  </si>
  <si>
    <t>famhx_ss_patunc1_prob_dprs_p</t>
  </si>
  <si>
    <t>paternal uncle 1 depression problem</t>
  </si>
  <si>
    <t>famhx_ss_patunc1_prob_hspd_p</t>
  </si>
  <si>
    <t>paternal uncle 1 hospitalized due to emotional/mental problem</t>
  </si>
  <si>
    <t>famhx_ss_patunc1_prob_nrv_p</t>
  </si>
  <si>
    <t>paternal uncle 1 nerves/nervous breakdown problem</t>
  </si>
  <si>
    <t>famhx_ss_patunc1_prob_prf_p</t>
  </si>
  <si>
    <t>paternal uncle 1 been to a doctor or counselor due to emotional/mental problem</t>
  </si>
  <si>
    <t>famhx_ss_patunc1_prob_trb_p</t>
  </si>
  <si>
    <t>paternal uncle 1 trouble holds job/fights/police problem</t>
  </si>
  <si>
    <t>famhx_ss_patunc2_prob_alc_p</t>
  </si>
  <si>
    <t>paternal uncle 2 alcohol problem</t>
  </si>
  <si>
    <t>famhx_ss_patunc2_prob_prf_p</t>
  </si>
  <si>
    <t>paternal uncle 2 been to a doctor or counselor due to emotional/mental problem</t>
  </si>
  <si>
    <t>ADHD_present</t>
  </si>
  <si>
    <t>Derived from: ksads_14_853_p</t>
  </si>
  <si>
    <t>Diagnosis - Attention-Deficit/Hyperactivity Disorder Present, recoded as 1 if ksads_14_853_p present as well as endorsement of two impairment items which were pulled from release 4.0 to correct for errors at 3.0</t>
  </si>
  <si>
    <t>ADHD_past</t>
  </si>
  <si>
    <t>Derived from: ksads_14_854_p</t>
  </si>
  <si>
    <t>Diagnosis - Attention-Deficit/Hyperactivity Disorder Past, recoded as 1 if ksads_14_854_p present as well as endorsement of two impairment items  which were pulled from release 4.0 to correct for errors at 3.0</t>
  </si>
  <si>
    <t>DESCRIPTION: BIS/BAS: BAS drive bisbas13_y + bisbas14_y + bisbas15_y + bisbas16_y Validation: All items must be answered</t>
  </si>
  <si>
    <t>DESCRIPTION: BIS/BAS: BAS Fun Seeking bisbas17_y + bisbas18_y + bisbas19_y + bisbas20_y Validation: All items must be answered</t>
  </si>
  <si>
    <t>DESCRIPTION: BIS/BAS: BAS Reward Responsiveness bisbas8_y + bisbas9_y + bisbas10_y + bisbas11_y + bisbas12_y Validation: All items must be answered</t>
  </si>
  <si>
    <t>DESCRIPTION: BIS/BAS: BAS drive (modified) bisbas13_y + bisbas14_y + bisbas15_y + bisbas16_y Validation: All items must be answered</t>
  </si>
  <si>
    <t>DESCRIPTION: BIS/BAS: BAS Reward Responsiveness (modified) bisbas8_y + bisbas9_y + bisbas11_y + bisbas12_y Validation: All items must be answered</t>
  </si>
  <si>
    <t>DESCRIPTION: BIS/BAS: BIS Sum bisbas1_y + bisbas2_y + bisbas3_y + bisbas4_y + bisbas5_y + bisbas6_y+ bisbas7_y Validation: All items must be answered</t>
  </si>
  <si>
    <t>DESCRIPTION: BIS/BAS: BIS Sum (modified) bisbas2_y + bisbas3_y + bisbas4_y + bisbas6_y Validation: All items must be answered</t>
  </si>
  <si>
    <t>I usually get very tense when I think something unpleasant is going to happen.</t>
  </si>
  <si>
    <t>I get thrilled when good things happen to me.</t>
  </si>
  <si>
    <t>It would excite me to win a contest.</t>
  </si>
  <si>
    <t>I get really excited when I see an opportunity to get something I like.</t>
  </si>
  <si>
    <t>When I want something, I usually go all the way to get it.</t>
  </si>
  <si>
    <t>I do everything to get the things that I want.</t>
  </si>
  <si>
    <t>When I see an opportunity to get something I want, I go for it right away.</t>
  </si>
  <si>
    <t>Nobody can stop me when I want something.</t>
  </si>
  <si>
    <t>I often do things for no other reason than they might be fun.</t>
  </si>
  <si>
    <t>I crave excitement and new sensations.</t>
  </si>
  <si>
    <t>I am always willing to try something new, when I think it will be fun.</t>
  </si>
  <si>
    <t>I worry about making mistakes.</t>
  </si>
  <si>
    <t>I often do things on the spur of the moment.</t>
  </si>
  <si>
    <t>I am hurt when people scold me or tell me that I do something wrong.</t>
  </si>
  <si>
    <t>I feel pretty upset when I think that someone is angry with me.</t>
  </si>
  <si>
    <t>I do not become fearful or nervous, even when something bad happens to me.</t>
  </si>
  <si>
    <t>I feel worried when I have done poorly at something.</t>
  </si>
  <si>
    <t>I am very fearful compared to my friends.</t>
  </si>
  <si>
    <t>I feel excited and full of energy when I get something that I want.</t>
  </si>
  <si>
    <t>When I am doing well at something, I like to keep doing this.</t>
  </si>
  <si>
    <t>Raw Score: bpmt_q1 plus bpmt_q3 plus bpmt_q4 plus bpmt_q5 plus bpmt_q9 plus bpmt_q13 Validation: All items must be answered</t>
  </si>
  <si>
    <t>Raw Score: bpmt_q2 plus bpmt_q6 plus bpmt_q7 plus bpmt_q14 plus bpmt_q15 plus bpmt_q16; Validation: All items must be answered</t>
  </si>
  <si>
    <t>Raw Score: bpmt_q8 plus bpmt_q10 plus bpmt_q11 plus bpmt_q12 plus bpmt_q17 plus bpmt_q18); Validation: All items must be answered</t>
  </si>
  <si>
    <t>Raw Score: bpmt_q1 plus bpmt_q2 plus bpmt_q3 plus bpmt_q4 plus bpmt_q5 plus bpmt_q6 plus bpmt_q7 plus bpmt_q8 plus bpmt_q9 plus bpmt_q10 plus bpmt_q11 plus bpmt_q12 plus bpmt_q13 plus bpmt_q14 plus bpmt_q15 plus bpmt_q16 plus bpmt_q17 plus bpmt_q18; Validation: All items must be answered</t>
  </si>
  <si>
    <t>Acts too young for his/her age.</t>
  </si>
  <si>
    <t>Too fearful or anxious.</t>
  </si>
  <si>
    <t>Feels too guilty.</t>
  </si>
  <si>
    <t>Self-conscious or easily embarrassed.</t>
  </si>
  <si>
    <t>Inattentive or easily distracted.</t>
  </si>
  <si>
    <t>Stubborn, sullen, or irritable.</t>
  </si>
  <si>
    <t>Temper tantrums or hot temper.</t>
  </si>
  <si>
    <t>Threatens people.</t>
  </si>
  <si>
    <t>Unhappy, sad, or depressed.</t>
  </si>
  <si>
    <t>Worries.</t>
  </si>
  <si>
    <t>Argues a lot.</t>
  </si>
  <si>
    <t>Fails to finish things he/she starts.</t>
  </si>
  <si>
    <t>Can't concentrate, can't pay attention for long.</t>
  </si>
  <si>
    <t>Can't sit still, restless, or hyperactive.</t>
  </si>
  <si>
    <t>Disobedient at school.</t>
  </si>
  <si>
    <t>Feels worthless or inferior.</t>
  </si>
  <si>
    <t>Impulsive or acts without thinking.</t>
  </si>
  <si>
    <t>Acts too young for their age</t>
  </si>
  <si>
    <t>Argues a lot Discute mucho</t>
  </si>
  <si>
    <t>Fails to finish things they start</t>
  </si>
  <si>
    <t>There is very little they enjoy</t>
  </si>
  <si>
    <t>Bragging, boasting Es engreído(a), presumido(a)</t>
  </si>
  <si>
    <t>Can't concentrate, can't pay attention for long No puede concentrarse o prestar atención por mucho tiempo</t>
  </si>
  <si>
    <t>Can't get their mind off certain thoughts; obsessions</t>
  </si>
  <si>
    <t>Can't sit still, restless, or hyperactive No puede quedarse quieto(a); es inquieto(a) o hiperactivo(a)</t>
  </si>
  <si>
    <t>Trouble sleeping No duerme bien</t>
  </si>
  <si>
    <t>Underactive, slow moving, or lacks energy Poco activo(a), lento(a), o le falta energía</t>
  </si>
  <si>
    <t>Unhappy, sad, or depressed Infeliz, triste, o deprimido(a)</t>
  </si>
  <si>
    <t>Unusually loud Más ruidoso(a) de lo común</t>
  </si>
  <si>
    <t>Wets the bed Se orina en la cama</t>
  </si>
  <si>
    <t>Whining Se queja mucho</t>
  </si>
  <si>
    <t>Clings to adults or too dependent Es demasiado dependiente o apegado(a) a los adultos</t>
  </si>
  <si>
    <t>Withdrawn, doesn't get involved with others Se aísla, no se relaciona con los demás</t>
  </si>
  <si>
    <t>Worries Se preocupa mucho</t>
  </si>
  <si>
    <t>Complains of loneliness Se queja de que se siente solo(a)</t>
  </si>
  <si>
    <t>Confused or seems to be in a fog Está confundido(a) o parece como si estuviera en las nubes</t>
  </si>
  <si>
    <t>Cries a lot Llora mucho</t>
  </si>
  <si>
    <t>Cruelty, bullying, or meanness to others Es cruel, abusador(a), y malo(a) con los demás</t>
  </si>
  <si>
    <t>Daydreams or gets lost in their thoughts</t>
  </si>
  <si>
    <t>Demands a lot of attention Exige mucha atención</t>
  </si>
  <si>
    <t>Destroys their own things</t>
  </si>
  <si>
    <t>Destroys things belonging to their family or others</t>
  </si>
  <si>
    <t>Disobedient at home Desobedece en casa</t>
  </si>
  <si>
    <t>Disobedient at school Desobedece en la escuela</t>
  </si>
  <si>
    <t>Doesn't eat well No come bien</t>
  </si>
  <si>
    <t>Doesn't get along with other kids No se lleva bien con otros niños(as)/jóvenes</t>
  </si>
  <si>
    <t>Doesn't seem to feel guilty after misbehaving No parece sentirse culpable después de portarse mal</t>
  </si>
  <si>
    <t>Easily jealous Se pone celoso(a) facilmente</t>
  </si>
  <si>
    <t>Breaks rules at home, school or elsewhere No respeta/rompe las reglas en casa, en la escuela, o en otro lugar</t>
  </si>
  <si>
    <t>Fears certain animals, situations, or places, other than school Tiene miedo de ciertas situaciones, animales o lugares (no incluya la escuela)</t>
  </si>
  <si>
    <t>Fears going to school Le da miedo ir a la escuela</t>
  </si>
  <si>
    <t>Fears they might think or do something bad</t>
  </si>
  <si>
    <t>Feels they have to be perfect</t>
  </si>
  <si>
    <t>Feels or complains that no one loves them</t>
  </si>
  <si>
    <t>Feels others are out to get them</t>
  </si>
  <si>
    <t>Feels worthless or inferior Se siente inferior o cree que no vale nada</t>
  </si>
  <si>
    <t>Gets hurt a lot, accident prone Se lastima accidentalmente con mucha frecuencia, propenso(a) a accidentes</t>
  </si>
  <si>
    <t>Gets in many fights Se mete mucho en peleas</t>
  </si>
  <si>
    <t>Gets teased a lot Los demás se burlan de él/ella a menudo</t>
  </si>
  <si>
    <t>Hangs around with others who get in trouble Se junta con niños(as)/jóvenes que se meten en problemas</t>
  </si>
  <si>
    <t>Impulsive or acts without thinking Impulsivo(a); actúa sin pensar</t>
  </si>
  <si>
    <t>Would rather be alone than with others Prefiere estar solo(a) que con otras personas</t>
  </si>
  <si>
    <t>Lying or cheating Dice mentiras o hace trampas</t>
  </si>
  <si>
    <t>Bites fingernails Se come/muerde las uñas</t>
  </si>
  <si>
    <t>Nervous, highstrung, or tense Nervioso(a), tenso(a)</t>
  </si>
  <si>
    <t>Nervous movements or twitching Movimientos involuntarios o tics</t>
  </si>
  <si>
    <t>Nightmares Pesadillas</t>
  </si>
  <si>
    <t>Not liked by other kids No le cae bien a otros niños(as)/jóvenes</t>
  </si>
  <si>
    <t>Constipated, doesn't move bowels Padece de estreñimiento</t>
  </si>
  <si>
    <t>Too fearful or anxious Demasiado ansioso(a) o miedoso(a)</t>
  </si>
  <si>
    <t>Feels dizzy or lightheaded Se siente mareado(a)</t>
  </si>
  <si>
    <t>Feels too guilty Se siente demasiado culpable</t>
  </si>
  <si>
    <t>Overeating Come demasiado</t>
  </si>
  <si>
    <t>Overtired without good reason Se siente demasiado cansado(a) sin razón para estarlo</t>
  </si>
  <si>
    <t>Overweight Tiene sobrepeso</t>
  </si>
  <si>
    <t>Nausea, feels sick Náuseas, ganas de vomitar</t>
  </si>
  <si>
    <t>Problems with eyes (not if corrected by glasses) Problemas con los ojos (no incluya si se corrigió con gafas/lentes/espejuelos)</t>
  </si>
  <si>
    <t>Rashes or other skin problems Salpullido o irritación en la piel</t>
  </si>
  <si>
    <t>Stomachaches Dolores de estómago</t>
  </si>
  <si>
    <t>Vomiting, throwing up Vómitos</t>
  </si>
  <si>
    <t>Other (physical problems without known physical cause) Otros (problemas físicos sin causa médica conocida)</t>
  </si>
  <si>
    <t>Physically attacks people Ataca/agrede físicamente a otras personas</t>
  </si>
  <si>
    <t>Picks nose, skin, or other parts of body Mete el dedo en la nariz, se araña la piel u otras partes del cuerpo</t>
  </si>
  <si>
    <t>Poor school work Tiene bajo rendimiento en la escuela</t>
  </si>
  <si>
    <t>Poorly coordinated or clumsy Mala coordinación o torpeza</t>
  </si>
  <si>
    <t>Prefers being with older kids Prefiere estar con niños(as) mayores que él/ella</t>
  </si>
  <si>
    <t>Prefers being with younger kids Prefiere estar con niños(as) menores que él/ella</t>
  </si>
  <si>
    <t>Refuses to talk Se rehusa a hablar</t>
  </si>
  <si>
    <t>Repeats certain acts over and over; compulsions Repite ciertas acciones una y otra vez; compulsiones</t>
  </si>
  <si>
    <t>Screams a lot Grita mucho</t>
  </si>
  <si>
    <t>Secretive, keeps things to self Reservado(a); se calla todo</t>
  </si>
  <si>
    <t>Self-conscious or easily embarrassed Se cohíbe y se avergüenza con facilidad</t>
  </si>
  <si>
    <t>Showing off or clowning Le gusta llamar la atención o hacerse el/la payaso(a), gracioso(a)</t>
  </si>
  <si>
    <t>Too shy or timid Demasiado tímido(a)</t>
  </si>
  <si>
    <t>Sleeps less than most kids Duerme menos que la mayoría de los/las niños(as)/jóvenes</t>
  </si>
  <si>
    <t>Sleeps more than most kids during day and/or night Duerme más que la mayoría de los/las niños(as)/jóvenes durante el día y/o la noche</t>
  </si>
  <si>
    <t>Inattentive or easily distracted No presta atención o se distrae fácilmente</t>
  </si>
  <si>
    <t>Speech problem Problemas con el habla (describa)</t>
  </si>
  <si>
    <t>Stares blankly Se queda con la mirada fija, mirando al vacío</t>
  </si>
  <si>
    <t>Steals at home Roba en casa</t>
  </si>
  <si>
    <t>Stores up too many things they don't need</t>
  </si>
  <si>
    <t>Strange behavior Comportamiento raro</t>
  </si>
  <si>
    <t>Strange ideas Ideas raras</t>
  </si>
  <si>
    <t>Stubborn, sullen, or irritable Obstinado(a), malhumorado(a), irritable</t>
  </si>
  <si>
    <t>Sudden changes in mood or feelings Súbitos cambios de humor o sentimientos</t>
  </si>
  <si>
    <t>Sulks a lot Queda contrariado(a), pone mala cara con frecuencia</t>
  </si>
  <si>
    <t>Suspicious Desconfiado(a), receloso(a)</t>
  </si>
  <si>
    <t>Swearing or obscene language Dice groserías, usa lenguaje obsceno</t>
  </si>
  <si>
    <t>Talks about killing self Habla de querer matarse</t>
  </si>
  <si>
    <t>Talks or walks in sleep Habla o camina cuando está dormido(a)</t>
  </si>
  <si>
    <t>Talks too much Habla demasiado</t>
  </si>
  <si>
    <t>Teases a lot Se burla mucho de los demás</t>
  </si>
  <si>
    <t>Temper tantrums or hot temper Le dan rabietas o tiene mal genio</t>
  </si>
  <si>
    <t>Threatens people Amenaza a otros</t>
  </si>
  <si>
    <t>Thumb-sucking Se chupa el dedo</t>
  </si>
  <si>
    <t>Obsessive-Compulsive Problems (OCD) CBCL Scale2007 Scale (raw score)</t>
  </si>
  <si>
    <t>Sluggish Cognitive Tempo (SCT) CBCL Scale2007 Scale (raw score)</t>
  </si>
  <si>
    <t>Stress CBCL Scale2007 Scale (raw score)</t>
  </si>
  <si>
    <t>ADHD CBCL DSM5 Scale (raw score)</t>
  </si>
  <si>
    <t>AnxDisord CBCL DSM5 Scale (raw score)</t>
  </si>
  <si>
    <t>Conduct CBCL DSM5 Scale (raw score)</t>
  </si>
  <si>
    <t>Depress CBCL DSM5 Scale (raw score)</t>
  </si>
  <si>
    <t>Opposit CBCL DSM5 Scale (raw score)</t>
  </si>
  <si>
    <t>SomaticPr CBCL DSM5 Scale (raw score)</t>
  </si>
  <si>
    <t>Aggressive CBCL Syndrome Scale (raw score)</t>
  </si>
  <si>
    <t>AnxDep CBCL Syndrome Scale (raw score) = cbcl_q14_p and cbcl_q29_p and cbcl_q30_p and cbcl_q31_p and cbcl_q32_p and cbcl_q33_p and cbcl_q35_p and cbcl_q45_p and cbcl_q50_p and cbcl_q52_p and cbcl_q71_p and cbcl_q91_p and cbcl_q112_p</t>
  </si>
  <si>
    <t>Attention CBCL Syndrome Scale (raw score)</t>
  </si>
  <si>
    <t>External CBCL Syndrome Scale (raw score)</t>
  </si>
  <si>
    <t>Internal CBCL Syndrome Scale (raw score)</t>
  </si>
  <si>
    <t>RuleBreak CBCL Syndrome Scale (raw score)</t>
  </si>
  <si>
    <t>Social CBCL Syndrome Scale (raw score)</t>
  </si>
  <si>
    <t>Somatic CBCL Syndrome Scale (raw score)</t>
  </si>
  <si>
    <t>Thought CBCL Syndrome Scale (raw score)</t>
  </si>
  <si>
    <t>TotProb CBCL Syndrome Scale (raw score)</t>
  </si>
  <si>
    <t>WithDep CBCL Syndrome Scale (raw score)</t>
  </si>
  <si>
    <t>Has your child experienced periods of several days or more when, although he/she was feeling unusually happy and intensely energetic (clearly more than your child's usual self), he/she was also physically restless, unable to sit still, and had to keep moving or jumping from one activity to another? ¿Ha tenido su niño(a) períodos de varios días o más en los que, a pesar de sentirse inusualmente feliz y con un nivel intenso de energía (claramente más de lo normal para él/ella), también estaba físicamente inquieto(a), era incapaz de estarse quieto(a) y tenía que seguir moviéndose o brincando de una actividad a otra?</t>
  </si>
  <si>
    <t>Has your child had times when his/her thoughts and ideas came so fast that he/she couldn't get them all out, or they came so quickly others complained that they couldn't keep up with your child's ideas? ¿Su niño(a) ha tenido momentos en los que sus pensamientos e ideas surgían tan rápidamente que no podía expresarlos todos o que surgían con tal rapidez que otras personas se quejaban de que no podían seguirle el paso a sus ideas?</t>
  </si>
  <si>
    <t>Has your child's mood or energy shifted rapidly back and forth from happy to sad or high to low? ¿El estado de ánimo o la energía de su niño(a) ha tenido cambios abruptos de felicidad a tristeza o de euforia a decaimiento y vice versa?</t>
  </si>
  <si>
    <t>Has your child had periods of extreme happiness and intense energy that last several days or more when he/she also felt more anxious or tense (jittery, nervous, uptight) than usual (other than relates to the menstrual cycle)? ¿Ha tenido su niño(a) períodos (no relacionados con el ciclo menstrual) de varios días o más de felicidad extrema y energía intensa, en los que también se sintió mucho más ansioso(a) o tenso(a) [inquieto(a), nervioso(a)] de lo normal?</t>
  </si>
  <si>
    <t>Have there been times of several days or more when, although your child was feeling unusually happy and intensely energetic (clearly more than his/her usual self), he/she also had to struggle very hard to control inner feelings of rage or an urge to smash or destroy things? ¿Han habido períodos de varios días o más en los que, a pesar de sentirse inusualmente feliz y con un nivel intenso de energía (claramente más de lo normal para él/ella), también tuvo su niño(a) que batallar muy duro para controlar sus sentimientos internos de ira o una necesidad de destrozar o destruir cosas?</t>
  </si>
  <si>
    <t>Has your child had periods of extreme happiness and intense energy (clearly more than his/her normal self) when, for several days or more, it took him/her over an hour to get to sleep at night? ¿Su niño(a) ha tenido períodos de felicidad extrema y energía intensa (claramente más de lo normal para él/ella) por varios días o más en los que tardó más de una hora en quedarse dormido(a) en la noche?</t>
  </si>
  <si>
    <t>Have you ever found that your child's feelings or energy are generally up or down, but rarely in the middle? ¿Ha notado que los sentimientos o los niveles de energía de su niño(a) generalmente son altos o bajos, pero rara vez se encuentran en un punto medio?</t>
  </si>
  <si>
    <t>Has your child had periods lasting several days or more when he/she felt depressed or irritable, and then other periods of several days or more when he/she felt extremely high, elated, and overflowing with energy? ¿Su niño(a) ha tenido períodos de varios días o más en los que se ha sentido deprimido(a) o irritable, y luego otros períodos de varios días o más en los que se ha sentido extremadamente eufórico(a), entusiasmado(a) y desbordante de energía?</t>
  </si>
  <si>
    <t>Have there been periods when, although your child was feeling unusually happy and intensely energetic, almost everything got on his/her nerves and made him/her irritable or angry (other than related to the menstrual cycle)? ¿Han habido períodos (no relacionados con el ciclo menstrual) en los que, a pesar de sentirse inusualmente feliz y con un nivel intenso de energía, casi todo lo/la sacaba de quicio o lo/la hacía sentirse irritable o enojado(a)?</t>
  </si>
  <si>
    <t>Derived from: kbi_p_c_school_setting</t>
  </si>
  <si>
    <t>Dummy code created from kbi_p_c_school_setting. Home school vs. not.</t>
  </si>
  <si>
    <t>Dummy code created from kbi_p_c_school_setting. Private school vs. not.</t>
  </si>
  <si>
    <t>Dummy code created from kbi_p_c_school_setting Public school vs. not.</t>
  </si>
  <si>
    <t>How old was your child when they first received mental health or substance abuse services?/ ¿Qué edad tenía su niño(a) cuando recibió por primera vez servicios de salud mental o para el abuso de sustancias? Anótela en el espacio en blanco</t>
  </si>
  <si>
    <t>kbi_p_c_best_friend</t>
  </si>
  <si>
    <t>Does your child have a best friend?/ ¿Su niño(a) tiene un mejor amigo o amiga?</t>
  </si>
  <si>
    <t>How long has your child been friends with this best friend?/ ¿Hace cuánto tiempo que su niño(a) es amigo(a) de este mejor amigo o amiga?</t>
  </si>
  <si>
    <t>kbi_p_c_bully</t>
  </si>
  <si>
    <t>Does your child have any problems with bullying at school or in your neighborhood?/ ¿Su niño(a) tiene algún problema de acoso en la escuela o en su vecindario?</t>
  </si>
  <si>
    <t>kbi_p_c_det_susp</t>
  </si>
  <si>
    <t>In the past year, has you/your child had any detentions or suspensions? En el último año?/ ¿su niño(a) ha tenido alguna detención o suspensión en la escuela?</t>
  </si>
  <si>
    <t>kbi_p_c_drop_in_grades</t>
  </si>
  <si>
    <t>In the past year or past several months, has there been a drop in your/your child's grades?/ ¿Las calificaciones de su niño(a) han bajado en el último año o en los últimos meses?</t>
  </si>
  <si>
    <t>Is you/your child gay?/ ¿Su niño(a) es homosexual?</t>
  </si>
  <si>
    <t>Has this caused any problems for you/your child with your family or with kids at school?/ ¿Esto le ha causado a su niño(a) algún problema con su familia o con los niños en la escuela?</t>
  </si>
  <si>
    <t>kbi_p_c_guard___1</t>
  </si>
  <si>
    <t>Who else does your child live with at least part of the time?/ ¿Con quién más pasa tiempo su niño(a)? (Lea la lista sin la opción seleccionada arriba). (1, Biological Mother/ Madre biológica)</t>
  </si>
  <si>
    <t>kbi_p_c_guard___2</t>
  </si>
  <si>
    <t>Who else does your child live with at least part of the time?/ ¿Con quién más pasa tiempo su niño(a)? (Lea la lista sin la opción seleccionada arriba). ( 2, Biological Father /Padre biológico)</t>
  </si>
  <si>
    <t>kbi_p_c_live_full_time</t>
  </si>
  <si>
    <t>Does your child live with you full time?/ ¿Su niño(a) vive con usted todo el tiempo?</t>
  </si>
  <si>
    <t>kbi_p_c_mh_sa</t>
  </si>
  <si>
    <t>Has your child ever received mental health or substance abuse services?/ ¿Su niño(a) ha recibido alguna vez servicios de salud mental o para el abuso de sustancias?</t>
  </si>
  <si>
    <t>kbi_p_c_reg_friend_group</t>
  </si>
  <si>
    <t>Does your child have a regular group of kids he or she hangs out with at school or in your neighborhood?/ ¿Su niño(a) tiene un grupo de niños con quienes comparte habitualmente en la escuela o en su vecindario?</t>
  </si>
  <si>
    <t>How long has your child hung out with them?/ ¿Hace cuánto tiempo que su niño(a) comparte con ellos?</t>
  </si>
  <si>
    <t>Do you like your child's friends?/ ¿A usted le caen bien los amigos de su niño(a)?</t>
  </si>
  <si>
    <t>kbi_p_c_scheck1</t>
  </si>
  <si>
    <t>Types of mental health or substance abuse services your child has received/ Seleccione todos los tipos de servicios de salud mental o para el abuso de sustancias que haya recibido su niño(a)/ (1, outpatient mental health /Atención ambulatoria para la salud mental)</t>
  </si>
  <si>
    <t>kbi_p_c_scheck10</t>
  </si>
  <si>
    <t>Types of mental health or substance abuse services your child has received/ Seleccione todos los tipos de servicios de salud mental o para el abuso de sustancias que haya recibido su niño(a)/ ( 10, none /Ninguno)</t>
  </si>
  <si>
    <t>kbi_p_c_scheck7</t>
  </si>
  <si>
    <t>Types of mental health or substance abuse services your child has received/ Seleccione todos los tipos de servicios de salud mental o para el abuso de sustancias que haya recibido su niño(a)/ ( 7, psychotherapy /Psicoterapia)</t>
  </si>
  <si>
    <t>kbi_p_c_scheck8</t>
  </si>
  <si>
    <t>Types of mental health or substance abuse services your child has received/ Seleccione todos los tipos de servicios de salud mental o para el abuso de sustancias que haya recibido su niño(a)/ ( 8, medication management /Administración de medicamentos)</t>
  </si>
  <si>
    <t>kbi_p_c_scheck9</t>
  </si>
  <si>
    <t>Types of mental health or substance abuse services your child has received/ Seleccione todos los tipos de servicios de salud mental o para el abuso de sustancias que haya recibido su niño(a)/ ( 9, other /Otro)</t>
  </si>
  <si>
    <t>kbi_p_c_spec_serv___10</t>
  </si>
  <si>
    <t>Does your child receive special services at school? / ¿Su niño(a) recibe servicios especiales en la escuela? Seleccione todas las opciones que correspondan o apliquen: ( 10, Child does not receive special services /Su niño(a) no recibe servicios especiales)</t>
  </si>
  <si>
    <t>kbi_p_c_spec_serv___4</t>
  </si>
  <si>
    <t>Does your child receive special services at school? / ¿Su niño(a) recibe servicios especiales en la escuela? Seleccione todas las opciones que correspondan o apliquen: ( 4, Special Education for specific subjects (partially mainstreamed) /Educación especial para asignaturas específicas (parcialmente en un salón de educación general))</t>
  </si>
  <si>
    <t>kbi_p_c_spec_serv___6</t>
  </si>
  <si>
    <t>Does your child receive special services at school? / ¿Su niño(a) recibe servicios especiales en la escuela? Seleccione todas las opciones que correspondan o apliquen: ( 6, Resource Room /Salón de clases con recursos especiales)</t>
  </si>
  <si>
    <t>kbi_p_c_spec_serv___7</t>
  </si>
  <si>
    <t>Does your child receive special services at school? / ¿Su niño(a) recibe servicios especiales en la escuela? Seleccione todas las opciones que correspondan o apliquen: ( 7, Tutoring Support /Recibe apoyo con clases particulares)</t>
  </si>
  <si>
    <t>kbi_p_c_spec_serv___8</t>
  </si>
  <si>
    <t>Does your child receive special services at school? / ¿Su niño(a) recibe servicios especiales en la escuela? Seleccione todas las opciones que correspondan o apliquen: ( 8, Gifted Program /Programa para niños dotados)</t>
  </si>
  <si>
    <t>kbi_p_c_spec_serv___9</t>
  </si>
  <si>
    <t>Does your child receive special services at school? / ¿Su niño(a) recibe servicios especiales en la escuela? Seleccione todas las opciones que correspondan o apliquen: ( 9, Other /Otro)</t>
  </si>
  <si>
    <t>In general, how do you and your child get along? En general?/ ¿cómo se llevan usted y su niño(a)?</t>
  </si>
  <si>
    <t>kbi_p_conflict_causes___1</t>
  </si>
  <si>
    <t>Click the things that cause conflict between you and your child/ A continuación, seleccione aquello que causa conflicto entre usted y su niño(a): (1, Chores /Quehaceres)</t>
  </si>
  <si>
    <t>kbi_p_conflict_causes___2</t>
  </si>
  <si>
    <t>Click the things that cause conflict between you and your child/ A continuación, seleccione aquello que causa conflicto entre usted y su niño(a): ( 2, Messy Room /Habitación desordenada)</t>
  </si>
  <si>
    <t>kbi_p_conflict_causes___4</t>
  </si>
  <si>
    <t>Click the things that cause conflict between you and your child/ A continuación, seleccione aquello que causa conflicto entre usted y su niño(a): ( 4, Conflict with Siblings /Conflicto con hermanos)</t>
  </si>
  <si>
    <t>kbi_p_conflict_causes___5</t>
  </si>
  <si>
    <t>Click the things that cause conflict between you and your child/ A continuación, seleccione aquello que causa conflicto entre usted y su niño(a): ( 5, Grades /Calificaciones)</t>
  </si>
  <si>
    <t>kbi_p_conflict_causes___6</t>
  </si>
  <si>
    <t>Click the things that cause conflict between you and your child/ A continuación, seleccione aquello que causa conflicto entre usted y su niño(a): ( 6, Trouble in School /Problemas en la escuela)</t>
  </si>
  <si>
    <t>kbi_p_conflict_causes___8</t>
  </si>
  <si>
    <t>Click the things that cause conflict between you and your child/ A continuación, seleccione aquello que causa conflicto entre usted y su niño(a): ( 8, Moods /Estados de ánimo)</t>
  </si>
  <si>
    <t>kbi_p_conflict_causes___9</t>
  </si>
  <si>
    <t>Click the things that cause conflict between you and your child/ A continuación, seleccione aquello que causa conflicto entre usted y su niño(a): ( 9, Other /Otra)</t>
  </si>
  <si>
    <t>What kind of grades does your child get on average?/ ¿Cuál es el promedio de calificaciones de su niño(a)?</t>
  </si>
  <si>
    <t>In general, how does your child do in school? En general?/ ¿cómo le va a su niño(a) en la escuela?</t>
  </si>
  <si>
    <t>kbi_y_det_reason___1</t>
  </si>
  <si>
    <t>For what? Click all that apply: (1, Fighting)</t>
  </si>
  <si>
    <t>For what? Click all that apply: ( 8, Other (fill in blank))</t>
  </si>
  <si>
    <t>In the past year, have you had any detentions or suspensions?</t>
  </si>
  <si>
    <t>Has there been a drop in your grades in the past year?</t>
  </si>
  <si>
    <t>Have you ever repeated a grade?</t>
  </si>
  <si>
    <t>Are you gay or bisexual?</t>
  </si>
  <si>
    <t>ksads_1_1_t</t>
  </si>
  <si>
    <t>Symptom - Depressed Mood, Present</t>
  </si>
  <si>
    <t>ksads_1_156_p</t>
  </si>
  <si>
    <t>Symptom - Insomnia when depressed Past</t>
  </si>
  <si>
    <t>ksads_1_156_t</t>
  </si>
  <si>
    <t>Symptom - Insomnia when depressed, Past</t>
  </si>
  <si>
    <t>ksads_1_158_t</t>
  </si>
  <si>
    <t>Symptom - Hypersomnia, Past</t>
  </si>
  <si>
    <t>ksads_1_160_p</t>
  </si>
  <si>
    <t>Symptom - Fatigue Past</t>
  </si>
  <si>
    <t>ksads_1_160_t</t>
  </si>
  <si>
    <t>Symptom - Fatigue, Past</t>
  </si>
  <si>
    <t>ksads_1_162_p</t>
  </si>
  <si>
    <t>Symptom - Concentration Disturbance Past</t>
  </si>
  <si>
    <t>ksads_1_162_t</t>
  </si>
  <si>
    <t>Symptom - Concentration Disturbance, Past</t>
  </si>
  <si>
    <t>ksads_1_164_p</t>
  </si>
  <si>
    <t>Symptom - Indecision Past</t>
  </si>
  <si>
    <t>ksads_1_164_t</t>
  </si>
  <si>
    <t>Symptom - Indecision, Past</t>
  </si>
  <si>
    <t>ksads_1_166_p</t>
  </si>
  <si>
    <t>Symptom - Decreased Appetite Past</t>
  </si>
  <si>
    <t>ksads_1_166_t</t>
  </si>
  <si>
    <t>Symptom - Decreased Appetite, Past</t>
  </si>
  <si>
    <t>ksads_1_170_t</t>
  </si>
  <si>
    <t>Symptom - Increased Appetite, Past</t>
  </si>
  <si>
    <t>ksads_1_174_p</t>
  </si>
  <si>
    <t>Symptom - Psychomotor Agitation in Depressive Disorder Past</t>
  </si>
  <si>
    <t>ksads_1_174_t</t>
  </si>
  <si>
    <t>Symptom - Psychomotor Agitation in Depressive Disorder, Past</t>
  </si>
  <si>
    <t>ksads_1_176_t</t>
  </si>
  <si>
    <t>Symptom - Psychomotor Retardation, Past</t>
  </si>
  <si>
    <t>ksads_1_178_p</t>
  </si>
  <si>
    <t>Symptom - Guilt Past</t>
  </si>
  <si>
    <t>ksads_1_178_t</t>
  </si>
  <si>
    <t>Symptom - Guilt, Past</t>
  </si>
  <si>
    <t>ksads_1_182_p</t>
  </si>
  <si>
    <t>Symptom - Decreased Self-Esteem Past</t>
  </si>
  <si>
    <t>ksads_1_182_t</t>
  </si>
  <si>
    <t>Symptom - Decreased Self-Esteem, Past</t>
  </si>
  <si>
    <t>ksads_1_183_p</t>
  </si>
  <si>
    <t>Symptom - Impairment in functioning due to depression Present</t>
  </si>
  <si>
    <t>ksads_1_183_t</t>
  </si>
  <si>
    <t>Symptom - Impairment in functioning due to depression, Present</t>
  </si>
  <si>
    <t>Symptom - Impairment in functioning due to depression Past</t>
  </si>
  <si>
    <t>ksads_1_184_t</t>
  </si>
  <si>
    <t>Symptom - Impairment in functioning due to depression, Past</t>
  </si>
  <si>
    <t>ksads_1_187_p</t>
  </si>
  <si>
    <t>Symptom - No two month symptom-free interval Present</t>
  </si>
  <si>
    <t>ksads_1_187_t</t>
  </si>
  <si>
    <t>Symptom - No two month symptom-free interval, Present</t>
  </si>
  <si>
    <t>ksads_1_188_p</t>
  </si>
  <si>
    <t>Symptom - No two month symptom-free interval Past</t>
  </si>
  <si>
    <t>ksads_1_188_t</t>
  </si>
  <si>
    <t>Symptom - No two month symptom-free interval, Past</t>
  </si>
  <si>
    <t>Symptom - Depressed Mood Past</t>
  </si>
  <si>
    <t>Symptom - Depressed Mood, Past</t>
  </si>
  <si>
    <t>ksads_1_3_t</t>
  </si>
  <si>
    <t>Symptom - Irritability, Present</t>
  </si>
  <si>
    <t>Symptom - Irritability Past</t>
  </si>
  <si>
    <t>ksads_1_4_t</t>
  </si>
  <si>
    <t>Symptom - Irritability, Past</t>
  </si>
  <si>
    <t>ksads_1_5_t</t>
  </si>
  <si>
    <t>Symptom - Anhedonia, Present</t>
  </si>
  <si>
    <t>ksads_1_6_p</t>
  </si>
  <si>
    <t>Symptom - Anhedonia Past</t>
  </si>
  <si>
    <t>ksads_1_6_t</t>
  </si>
  <si>
    <t>Symptom - Anhedonia, Past</t>
  </si>
  <si>
    <t>ksads_1_847_p</t>
  </si>
  <si>
    <t>Diagnosis - Unspecified Depressive Disorder PAST (F32.9)</t>
  </si>
  <si>
    <t>ksads_1_847_t</t>
  </si>
  <si>
    <t>ksads_10_320_p</t>
  </si>
  <si>
    <t>Symptom - Excessive worries across breadth of domains Present</t>
  </si>
  <si>
    <t>Symptom - Excessive worries across breadth of domains Past</t>
  </si>
  <si>
    <t>ksads_10_321_t</t>
  </si>
  <si>
    <t>Symptom - Excessive worries across breadth of domains, Past</t>
  </si>
  <si>
    <t>ksads_10_322_p</t>
  </si>
  <si>
    <t>Symptom - Worry associated with defined symptom(s) Present</t>
  </si>
  <si>
    <t>Symptom - Worry associated with defined symptom(s) Past</t>
  </si>
  <si>
    <t>ksads_10_323_t</t>
  </si>
  <si>
    <t>Symptom - Worry associated with defined symptom(s), Past</t>
  </si>
  <si>
    <t>ksads_10_324_p</t>
  </si>
  <si>
    <t>Symptom - Difficulty controlling worries Present</t>
  </si>
  <si>
    <t>Symptom - Difficulty controlling worries Past</t>
  </si>
  <si>
    <t>ksads_10_325_t</t>
  </si>
  <si>
    <t>Symptom - Difficulty controlling worries, Past</t>
  </si>
  <si>
    <t>ksads_10_326_p</t>
  </si>
  <si>
    <t>Symptom - Impairment in functioning due to worries Present</t>
  </si>
  <si>
    <t>Symptom - Impairment in functioning due to worries Past</t>
  </si>
  <si>
    <t>ksads_10_327_t</t>
  </si>
  <si>
    <t>Symptom - Impairment in functioning due to worries, Past</t>
  </si>
  <si>
    <t>ksads_10_328_p</t>
  </si>
  <si>
    <t>Symptom - Clinically significant distress due to worries Present</t>
  </si>
  <si>
    <t>Symptom - Clinically significant distress due to worries Past</t>
  </si>
  <si>
    <t>ksads_10_329_t</t>
  </si>
  <si>
    <t>Symptom - Clinically significant distress due to worries, Past</t>
  </si>
  <si>
    <t>ksads_10_330_p</t>
  </si>
  <si>
    <t>Symptom - Worrying has lasted at least 6 months Past</t>
  </si>
  <si>
    <t>ksads_10_45_p</t>
  </si>
  <si>
    <t>Symptom - Excessive worries more days than not Present</t>
  </si>
  <si>
    <t>Symptom - Excessive worries more days than not Past</t>
  </si>
  <si>
    <t>ksads_10_46_t</t>
  </si>
  <si>
    <t>ksads_10_47_p</t>
  </si>
  <si>
    <t>Symptom - Worrying has lasted at least 6 months Present</t>
  </si>
  <si>
    <t>ksads_10_870_p</t>
  </si>
  <si>
    <t>Diagnosis - Generalized Anxiety Disorder Š—–Past (F41.1)</t>
  </si>
  <si>
    <t>ksads_10_914_p</t>
  </si>
  <si>
    <t>Diagnosis - Other Specified Anxiety Disorder (Generalized Anxiety Disorder impairment does not meet minimum duration) PAST ξF41.8</t>
  </si>
  <si>
    <t>ksads_11_331_p</t>
  </si>
  <si>
    <t>Symptom - Obsessive thoughts experienced as Intrusive/unwanted Present</t>
  </si>
  <si>
    <t>ksads_11_332_p</t>
  </si>
  <si>
    <t>Symptom - Obsessive thoughts experienced as Intrusive/unwanted Past</t>
  </si>
  <si>
    <t>ksads_11_333_p</t>
  </si>
  <si>
    <t>Symptom - Attempts to suppress or neutralize thoughts Present</t>
  </si>
  <si>
    <t>ksads_11_334_p</t>
  </si>
  <si>
    <t>Symptom - Attempts to suppress or neutralize thoughts Past</t>
  </si>
  <si>
    <t>ksads_11_336_p</t>
  </si>
  <si>
    <t>Symptom - Obsessions time consuming Past</t>
  </si>
  <si>
    <t>ksads_11_337_p</t>
  </si>
  <si>
    <t>Symptom - Impairment in functioning due to obsessions Present</t>
  </si>
  <si>
    <t>ksads_11_338_p</t>
  </si>
  <si>
    <t>Symptom - Impairment in functioning due to obsessions Past</t>
  </si>
  <si>
    <t>ksads_11_339_p</t>
  </si>
  <si>
    <t>Symptom - Clinically significant distress due to obsessions Present</t>
  </si>
  <si>
    <t>ksads_11_340_p</t>
  </si>
  <si>
    <t>Symptom - Clinically significant distress due to obsessions Past</t>
  </si>
  <si>
    <t>ksads_11_341_p</t>
  </si>
  <si>
    <t>Symptom - Compulsions time consuming Present</t>
  </si>
  <si>
    <t>ksads_11_343_p</t>
  </si>
  <si>
    <t>Symptom - Purpose of compulsions to prevent/reduce anxiety or prevent dreaded event Present</t>
  </si>
  <si>
    <t>ksads_11_344_p</t>
  </si>
  <si>
    <t>Symptom - Purpose of compulsions to prevent/reduce anxiety or prevent dreaded event Past</t>
  </si>
  <si>
    <t>ksads_11_345_p</t>
  </si>
  <si>
    <t>Symptom - Impairment in functioning due to compulsions Present</t>
  </si>
  <si>
    <t>ksads_11_346_p</t>
  </si>
  <si>
    <t>Symptom - Impairment in functioning due to compulsions Past</t>
  </si>
  <si>
    <t>ksads_11_347_p</t>
  </si>
  <si>
    <t>Symptom - Clinically significant distress due to compulsions Present</t>
  </si>
  <si>
    <t>ksads_11_348_p</t>
  </si>
  <si>
    <t>Symptom - Clinically significant distress due to compulsions Past</t>
  </si>
  <si>
    <t>ksads_11_48_p</t>
  </si>
  <si>
    <t>Symptom - Obsessions Present</t>
  </si>
  <si>
    <t>ksads_11_49_p</t>
  </si>
  <si>
    <t>Symptom - Obsessions Past</t>
  </si>
  <si>
    <t>ksads_11_50_p</t>
  </si>
  <si>
    <t>Symptom - Compulsions Present</t>
  </si>
  <si>
    <t>ksads_11_51_p</t>
  </si>
  <si>
    <t>Symptom - Compulsions Past</t>
  </si>
  <si>
    <t>ksads_11_917_p</t>
  </si>
  <si>
    <t>Diagnosis - Obsessive-Compulsive Disorder Š—–Present (F42)</t>
  </si>
  <si>
    <t>ksads_11_918_p</t>
  </si>
  <si>
    <t>Diagnosis - Obsessive-Compulsive Disorder Š—–Past (F42)</t>
  </si>
  <si>
    <t>ksads_13_475_p</t>
  </si>
  <si>
    <t>Symptom - Distress associated with binge eating Present</t>
  </si>
  <si>
    <t>ksads_13_476_p</t>
  </si>
  <si>
    <t>Symptom - Self-worth tied to weight Past</t>
  </si>
  <si>
    <t>Symptom - Fear of becoming obese Past</t>
  </si>
  <si>
    <t>ksads_13_68_p</t>
  </si>
  <si>
    <t>Symptom - Emaciation Present</t>
  </si>
  <si>
    <t>ksads_13_74_p</t>
  </si>
  <si>
    <t>Symptom - Binge Eating Present</t>
  </si>
  <si>
    <t>ksads_13_941_p</t>
  </si>
  <si>
    <t>Diagnosis - Other Specified Feeding or Eating Disorder Anorexia Nervosa current does not meet full criteria (F50.8)</t>
  </si>
  <si>
    <t>ksads_14_394_p</t>
  </si>
  <si>
    <t>Symptom - Often makes careless mistakes Present</t>
  </si>
  <si>
    <t>Symptom - Often doesnŠ—Èt seem to listen when spoken to Present</t>
  </si>
  <si>
    <t>Symptom - Difficulty following Instructions Present</t>
  </si>
  <si>
    <t>Symptom - Difficulty organizing tasks Present</t>
  </si>
  <si>
    <t>Symptom - Avoids tasks requiring attention Present</t>
  </si>
  <si>
    <t>ksads_14_399_p</t>
  </si>
  <si>
    <t>Symptom - Often loses things Present</t>
  </si>
  <si>
    <t>Symptom - Forgetful in daily activities Present</t>
  </si>
  <si>
    <t>Symptom - Fidgets Present</t>
  </si>
  <si>
    <t>ksads_14_402_p</t>
  </si>
  <si>
    <t>Symptom - Runs or climbs excessively Present</t>
  </si>
  <si>
    <t>ksads_14_403_p</t>
  </si>
  <si>
    <t>Symptom - Acts like driven by a motor Present</t>
  </si>
  <si>
    <t>ksads_14_404_p</t>
  </si>
  <si>
    <t>Symptom - Difficulty playing quietly Present</t>
  </si>
  <si>
    <t>ksads_14_405_p</t>
  </si>
  <si>
    <t>Symptom - Blurts out answers Present</t>
  </si>
  <si>
    <t>ksads_14_406_p</t>
  </si>
  <si>
    <t>Symptom - Difficulty waiting turn Present</t>
  </si>
  <si>
    <t>Symptom - Often Interrupts or intrudes on others Present</t>
  </si>
  <si>
    <t>ksads_14_408_p</t>
  </si>
  <si>
    <t>Symptom - Often talks excessively Present</t>
  </si>
  <si>
    <t>Symptom - Symptoms interfere with social academic or occupational functioning Present</t>
  </si>
  <si>
    <t>Symptom - Often makes careless mistakes Past</t>
  </si>
  <si>
    <t>Symptom - Often doesnŠ—Èt seem to listen when spoken to Past</t>
  </si>
  <si>
    <t>Symptom - Difficulty following Instructions Past</t>
  </si>
  <si>
    <t>Symptom - Difficulty organizing tasks Past</t>
  </si>
  <si>
    <t>Symptom - Avoids tasks requiring attention Past</t>
  </si>
  <si>
    <t>Symptom - Often loses things Past</t>
  </si>
  <si>
    <t>Symptom - Forgetful in daily activities Past</t>
  </si>
  <si>
    <t>Symptom - Fidgets Past</t>
  </si>
  <si>
    <t>Symptom - Runs or climbs excessively Past</t>
  </si>
  <si>
    <t>Symptom - Acts like driven by a motor Past</t>
  </si>
  <si>
    <t>Symptom - Difficulty playing quietly Past</t>
  </si>
  <si>
    <t>Symptom - Blurts out answers Past</t>
  </si>
  <si>
    <t>Symptom - Difficulty waiting turn Past</t>
  </si>
  <si>
    <t>Symptom - Often Interrupts or intrudes on others Past</t>
  </si>
  <si>
    <t>Symptom - Often talks excessively Past</t>
  </si>
  <si>
    <t>Symptom - Symptoms interfere with social academic or occupational functioning Past</t>
  </si>
  <si>
    <t>Symptom - Several symptoms present prior to age 12 years Present</t>
  </si>
  <si>
    <t>Symptom - Several symptoms present prior to age 12 years Past</t>
  </si>
  <si>
    <t>Symptom - Difficulty sustaining attention Present</t>
  </si>
  <si>
    <t>Symptom - Difficulty sustaining attention since elementary school Present</t>
  </si>
  <si>
    <t>Symptom - Difficulty sustaining attention Past</t>
  </si>
  <si>
    <t>Symptom - Difficulty sustaining attention for more than one school year Past</t>
  </si>
  <si>
    <t>Symptom - Easily distracted Present</t>
  </si>
  <si>
    <t>Symptom - Easily distracted since elementary school Present</t>
  </si>
  <si>
    <t>Symptom - Easily distracted Past</t>
  </si>
  <si>
    <t>Symptom - Easily distracted for more than one school year Past</t>
  </si>
  <si>
    <t>ksads_14_84_p</t>
  </si>
  <si>
    <t>Symptom - Difficulty remaining seated Present</t>
  </si>
  <si>
    <t>ksads_14_85_p</t>
  </si>
  <si>
    <t>Symptom - Difficulty remaining seated since elementary school ξPresent ξ</t>
  </si>
  <si>
    <t>Symptom - Difficulty remaining seated Past</t>
  </si>
  <si>
    <t>Symptom - Difficulty remaining seated for more than one school year Past</t>
  </si>
  <si>
    <t>ksads_14_88_p</t>
  </si>
  <si>
    <t>Symptom - Impulsivity Present</t>
  </si>
  <si>
    <t>Symptom - Impulsivity Past</t>
  </si>
  <si>
    <t>Symptom - Impulsivity for more than one school year Past</t>
  </si>
  <si>
    <t>ksads_15_432_p</t>
  </si>
  <si>
    <t>Symptom - Often touchy or easily annoyed Present</t>
  </si>
  <si>
    <t>ksads_15_433_p</t>
  </si>
  <si>
    <t>Symptom - Often angry or resentful Present</t>
  </si>
  <si>
    <t>ksads_15_434_p</t>
  </si>
  <si>
    <t>Symptom - Spiteful or vindictive Present</t>
  </si>
  <si>
    <t>ksads_15_435_p</t>
  </si>
  <si>
    <t>Symptom - Often deliberatively annoys people Present</t>
  </si>
  <si>
    <t>Symptom - Often blames others for own mistakes Present</t>
  </si>
  <si>
    <t>Symptom - Causes problems in functioning or distress in self or others Present</t>
  </si>
  <si>
    <t>Symptom - Duration of at least 6 months Present</t>
  </si>
  <si>
    <t>Symptom - Often touchy or easily annoyed Past</t>
  </si>
  <si>
    <t>Symptom - Often angry or resentful Past</t>
  </si>
  <si>
    <t>Symptom - Spiteful or vindictive Past</t>
  </si>
  <si>
    <t>Symptom - Often deliberatively annoys people Past</t>
  </si>
  <si>
    <t>Symptom - Often blames others for own mistakes Past</t>
  </si>
  <si>
    <t>Symptom - Causes problems in functioning or distress in self or others Past</t>
  </si>
  <si>
    <t>Symptom - Duration of at least 6 months Past</t>
  </si>
  <si>
    <t>ksads_15_901_p</t>
  </si>
  <si>
    <t>Diagnosis - Oppositional Defiant Disorder Present F91.3</t>
  </si>
  <si>
    <t>Diagnosis - Oppositional Defiant Disorder Past F91.3</t>
  </si>
  <si>
    <t>ksads_15_91_p</t>
  </si>
  <si>
    <t>Symptom - Often loses temper Present</t>
  </si>
  <si>
    <t>Symptom - Often loses temper Past</t>
  </si>
  <si>
    <t>Symptom - Often argues with adults/authority Present</t>
  </si>
  <si>
    <t>Symptom - Often argues with adults/authority Past</t>
  </si>
  <si>
    <t>ksads_15_95_p</t>
  </si>
  <si>
    <t>Symptom - Often disobeys rules/requests Present</t>
  </si>
  <si>
    <t>Symptom - Often disobeys rules/requests Past</t>
  </si>
  <si>
    <t>Duration (at least 6 months) ODD, Past</t>
  </si>
  <si>
    <t>ksads_16_104_p</t>
  </si>
  <si>
    <t>Symptom - Often bullies others Present</t>
  </si>
  <si>
    <t>ksads_16_105_p</t>
  </si>
  <si>
    <t>Symptom - Often bullies others Past</t>
  </si>
  <si>
    <t>ksads_16_448_p</t>
  </si>
  <si>
    <t>Symptom - Vandalism Past</t>
  </si>
  <si>
    <t>ksads_16_461_p</t>
  </si>
  <si>
    <t>Symptom - Has been physically cruel to people Present</t>
  </si>
  <si>
    <t>ksads_16_462_p</t>
  </si>
  <si>
    <t>Symptom - Has been physically cruel to people Past</t>
  </si>
  <si>
    <t>ksads_16_897_p</t>
  </si>
  <si>
    <t>Diagnosis - Conduct Disorder present childhood onset (F91.1)</t>
  </si>
  <si>
    <t>ksads_16_98_p</t>
  </si>
  <si>
    <t>Symptom - Often Lies Present</t>
  </si>
  <si>
    <t>Symptom - Often Lies Past</t>
  </si>
  <si>
    <t>ksads_18_112_p</t>
  </si>
  <si>
    <t>Symptom - Unusual body movements Present</t>
  </si>
  <si>
    <t>ksads_18_113_p</t>
  </si>
  <si>
    <t>Symptom - Unusual body movements Pastξ</t>
  </si>
  <si>
    <t>ksads_18_114_p</t>
  </si>
  <si>
    <t>Symptom - Strict Routines Present</t>
  </si>
  <si>
    <t>ksads_18_115_p</t>
  </si>
  <si>
    <t>Symptom - Strict Routines Past</t>
  </si>
  <si>
    <t>ksads_18_116_p</t>
  </si>
  <si>
    <t>Symptom - Poor Eye Contact Present</t>
  </si>
  <si>
    <t>Symptom - Poor Eye Contact Past</t>
  </si>
  <si>
    <t>ksads_18_903_p</t>
  </si>
  <si>
    <t>Diagnosis - Other Specified Neurodevelopmental Disorder Autism Spectrum Disorder full criteria not assessed (F88.0)</t>
  </si>
  <si>
    <t>Symptom - ExplosiveIrritability PresentNext ξ</t>
  </si>
  <si>
    <t>ksads_2_10_t</t>
  </si>
  <si>
    <t>Symptom - ExplosiveIrritability, PresentNext</t>
  </si>
  <si>
    <t>Symptom - Explosive Irritability Past</t>
  </si>
  <si>
    <t>ksads_2_11_t</t>
  </si>
  <si>
    <t>Symptom - Explosive Irritability, Past</t>
  </si>
  <si>
    <t>ksads_2_12_t</t>
  </si>
  <si>
    <t>Symptom - Decreased Need for Sleep, Present</t>
  </si>
  <si>
    <t>Symptom - Decreased Need for Sleep, Past</t>
  </si>
  <si>
    <t>ksads_2_196_p</t>
  </si>
  <si>
    <t>Symptom - Grandiosity Past</t>
  </si>
  <si>
    <t>ksads_2_196_t</t>
  </si>
  <si>
    <t>Symptom - Grandiosity, Past</t>
  </si>
  <si>
    <t>ksads_2_198_p</t>
  </si>
  <si>
    <t>Symptom - Pressured Speech Past</t>
  </si>
  <si>
    <t>ksads_2_198_t</t>
  </si>
  <si>
    <t>Symptom - Pressured Speech, Past</t>
  </si>
  <si>
    <t>ksads_2_200_p</t>
  </si>
  <si>
    <t>Symptom - Racing Thoughts Past</t>
  </si>
  <si>
    <t>ksads_2_200_t</t>
  </si>
  <si>
    <t>Symptom - Racing Thoughts, Past</t>
  </si>
  <si>
    <t>ksads_2_202_p</t>
  </si>
  <si>
    <t>Symptom - Flight of Ideas Past</t>
  </si>
  <si>
    <t>ksads_2_202_t</t>
  </si>
  <si>
    <t>Symptom - Flight of Ideas, Past</t>
  </si>
  <si>
    <t>ksads_2_204_p</t>
  </si>
  <si>
    <t>Symptom - Increased Goal Directed Activity Past ξ</t>
  </si>
  <si>
    <t>ksads_2_204_t</t>
  </si>
  <si>
    <t>Symptom - Increased Goal Directed Activity, Past</t>
  </si>
  <si>
    <t>ksads_2_206_p</t>
  </si>
  <si>
    <t>Symptom - Increased Energy Past</t>
  </si>
  <si>
    <t>ksads_2_206_t</t>
  </si>
  <si>
    <t>Symptom - Increased Energy, Past</t>
  </si>
  <si>
    <t>ksads_2_207_p</t>
  </si>
  <si>
    <t>Symptom - Psychomotor Agitation in Bipolar Disorder Present</t>
  </si>
  <si>
    <t>ksads_2_207_t</t>
  </si>
  <si>
    <t>Symptom - Psychomotor Agitation in Bipolar Disorder, Present</t>
  </si>
  <si>
    <t>ksads_2_208_p</t>
  </si>
  <si>
    <t>Symptom - Psychomotor Agitation in Bipolar Disorder Past</t>
  </si>
  <si>
    <t>ksads_2_208_t</t>
  </si>
  <si>
    <t>Symptom - Psychomotor Agitation in Bipolar Disorder, Past</t>
  </si>
  <si>
    <t>Symptom - Distractibility Past</t>
  </si>
  <si>
    <t>ksads_2_211_t</t>
  </si>
  <si>
    <t>Symptom - Distractibility, Past</t>
  </si>
  <si>
    <t>ksads_2_212_p</t>
  </si>
  <si>
    <t>Symptom - Increased Distractibility ξPast ξ</t>
  </si>
  <si>
    <t>ksads_2_214_p</t>
  </si>
  <si>
    <t>Symptom - Excessive Involvement in high risk activities Past</t>
  </si>
  <si>
    <t>ksads_2_214_t</t>
  </si>
  <si>
    <t>Symptom - Excessive Involvement in high risk activities, Past</t>
  </si>
  <si>
    <t>ksads_2_215_p</t>
  </si>
  <si>
    <t>Symptom - Impairment in functioning due to bipolar Present</t>
  </si>
  <si>
    <t>ksads_2_215_t</t>
  </si>
  <si>
    <t>Symptom - Impairment in functioning due to bipolar, Present</t>
  </si>
  <si>
    <t>Symptom - Impairment in functioning due to bipolar Past</t>
  </si>
  <si>
    <t>ksads_2_216_t</t>
  </si>
  <si>
    <t>Symptom - Impairment in functioning due to bipolar, Past</t>
  </si>
  <si>
    <t>ksads_2_219_p</t>
  </si>
  <si>
    <t>Symptom - Lasting at least one week Present</t>
  </si>
  <si>
    <t>ksads_2_219_t</t>
  </si>
  <si>
    <t>Symptom - Lasting at least one week, Present</t>
  </si>
  <si>
    <t>Symptom - Lasting at least one week Past</t>
  </si>
  <si>
    <t>ksads_2_220_t</t>
  </si>
  <si>
    <t>Symptom - Lasting at least one week, Past</t>
  </si>
  <si>
    <t>ksads_2_221_p</t>
  </si>
  <si>
    <t>Symptom - Lasting at least 4 days Present</t>
  </si>
  <si>
    <t>ksads_2_221_t</t>
  </si>
  <si>
    <t>Symptom - Lasting at least 4 days, Present</t>
  </si>
  <si>
    <t>Symptom - Lasting at least 4 days Past</t>
  </si>
  <si>
    <t>ksads_2_222_t</t>
  </si>
  <si>
    <t>Symptom - Lasting at least 4 days, Past</t>
  </si>
  <si>
    <t>ksads_2_7_p</t>
  </si>
  <si>
    <t>Symptom - Elevated Mood Present</t>
  </si>
  <si>
    <t>ksads_2_7_t</t>
  </si>
  <si>
    <t>Symptom - Elevated Mood, Present</t>
  </si>
  <si>
    <t>ksads_2_8_p</t>
  </si>
  <si>
    <t>Symptom - Elevated Mood Past</t>
  </si>
  <si>
    <t>ksads_2_8_t</t>
  </si>
  <si>
    <t>Symptom - Elevated Mood, Past</t>
  </si>
  <si>
    <t>ksads_2_839_p</t>
  </si>
  <si>
    <t>Diagnosis - Unspecified Bipolar and Related Disorder PAST (F31.9)</t>
  </si>
  <si>
    <t>ksads_2_839_t</t>
  </si>
  <si>
    <t>Diagnosis - Unspecified Bipolar and Related Disorder, PAST (F31.9)</t>
  </si>
  <si>
    <t>ksads_2_9_p</t>
  </si>
  <si>
    <t>Symptom - Explosive Irritability Present</t>
  </si>
  <si>
    <t>ksads_2_9_t</t>
  </si>
  <si>
    <t>Symptom - Explosive Irritability, Present</t>
  </si>
  <si>
    <t>ksads_20_126_p</t>
  </si>
  <si>
    <t>Symptom - Drugs tried Present</t>
  </si>
  <si>
    <t>Symptom - History of traumatic event Present</t>
  </si>
  <si>
    <t>ksads_21_136_p</t>
  </si>
  <si>
    <t>Symptom - Efforts to avoids thoughts of trauma Past</t>
  </si>
  <si>
    <t>ksads_21_138_p</t>
  </si>
  <si>
    <t>Symptom - Nightmares Past</t>
  </si>
  <si>
    <t>Symptom - Distress at internal reminders of trauma Past</t>
  </si>
  <si>
    <t>ksads_21_350_p</t>
  </si>
  <si>
    <t>Symptom - Intrusive distressing thoughts about the trauma Past</t>
  </si>
  <si>
    <t>ksads_21_352_p</t>
  </si>
  <si>
    <t>Symptom - Dissociative reactions (flashbacks) Past</t>
  </si>
  <si>
    <t>ksads_21_354_p</t>
  </si>
  <si>
    <t>Symptom - Distress at reminders external cues Past</t>
  </si>
  <si>
    <t>ksads_21_360_p</t>
  </si>
  <si>
    <t>Symptom - Persistent negative beliefs or expectations Past</t>
  </si>
  <si>
    <t>ksads_21_362_p</t>
  </si>
  <si>
    <t>Symptom - Distorted cognitions about the causes of the trauma Past</t>
  </si>
  <si>
    <t>ksads_21_366_p</t>
  </si>
  <si>
    <t>Symptom - Persistent negative emotional states Past</t>
  </si>
  <si>
    <t>ksads_21_372_p</t>
  </si>
  <si>
    <t>Symptom - Irritable or aggressive behavior Past</t>
  </si>
  <si>
    <t>ksads_21_378_p</t>
  </si>
  <si>
    <t>Symptom - Exaggerated startle response Past</t>
  </si>
  <si>
    <t>ksads_21_380_p</t>
  </si>
  <si>
    <t>Symptom - Concentration problems Past</t>
  </si>
  <si>
    <t>ksads_21_382_p</t>
  </si>
  <si>
    <t>Symptom - Sleep disturbance Past</t>
  </si>
  <si>
    <t>ksads_21_385_p</t>
  </si>
  <si>
    <t>Symptom - Impairment in functioning due to PTSD Present</t>
  </si>
  <si>
    <t>ksads_21_386_p</t>
  </si>
  <si>
    <t>Symptom - Impairment in functioning due to PTSD Past</t>
  </si>
  <si>
    <t>ksads_21_387_p</t>
  </si>
  <si>
    <t>Symptom - Clinically significant distress due to PTSD Present</t>
  </si>
  <si>
    <t>Symptom - Clinically significant distress due to PTSD Past</t>
  </si>
  <si>
    <t>ksads_21_390_p</t>
  </si>
  <si>
    <t>Symptom - Anhedonia related to PTSD Past</t>
  </si>
  <si>
    <t>ksads_21_391_p</t>
  </si>
  <si>
    <t>Symptom - Duration at least one month Present</t>
  </si>
  <si>
    <t>ksads_21_392_p</t>
  </si>
  <si>
    <t>Symptom - Duration at least one month Past</t>
  </si>
  <si>
    <t>ksads_21_924_p</t>
  </si>
  <si>
    <t>Diagnosis - Other Specified Trauma-and Stressor-Related Disorder PAST PTSD impairment does not meet full criteria (F43.8)</t>
  </si>
  <si>
    <t>ksads_22_141_p</t>
  </si>
  <si>
    <t>Symptom - Insomnia Present</t>
  </si>
  <si>
    <t>ksads_22_141_t</t>
  </si>
  <si>
    <t>Symptom - Insomnia, Present</t>
  </si>
  <si>
    <t>Symptom - Insomnia Past</t>
  </si>
  <si>
    <t>Symptom - Insomnia, Past</t>
  </si>
  <si>
    <t>ksads_22_969_p</t>
  </si>
  <si>
    <t>Diagnosis - SLEEP PROBLEMS Present</t>
  </si>
  <si>
    <t>ksads_22_969_t</t>
  </si>
  <si>
    <t>Diagnosis - SLEEP PROBLEMS, Present</t>
  </si>
  <si>
    <t>Diagnosis - SLEEP PROBLEMS Past</t>
  </si>
  <si>
    <t>Diagnosis - SLEEP PROBLEMS, Past</t>
  </si>
  <si>
    <t>ksads_23_143_t</t>
  </si>
  <si>
    <t>Symptom - Self injurious behavior, Present</t>
  </si>
  <si>
    <t>ksads_23_144_p</t>
  </si>
  <si>
    <t>Symptom - Self injurious behavio Past</t>
  </si>
  <si>
    <t>ksads_23_144_t</t>
  </si>
  <si>
    <t>Symptom - Self injurious behavio, Past</t>
  </si>
  <si>
    <t>ksads_23_146_p</t>
  </si>
  <si>
    <t>Symptom - Wishes/Better off dead Past</t>
  </si>
  <si>
    <t>ksads_23_146_t</t>
  </si>
  <si>
    <t>Symptom - Wishes/Better off dead, Past</t>
  </si>
  <si>
    <t>ksads_23_148_p</t>
  </si>
  <si>
    <t>Symptom - Suicidal Ideation Past</t>
  </si>
  <si>
    <t>ksads_23_148_t</t>
  </si>
  <si>
    <t>Symptom - Suicidal Ideation, Past</t>
  </si>
  <si>
    <t>ksads_23_945_t</t>
  </si>
  <si>
    <t>Diagnosis - SelfInjuriousBehaviorwithoutsuicidalintentPresent</t>
  </si>
  <si>
    <t>ksads_23_956_p</t>
  </si>
  <si>
    <t>Diagnosis - SelfInjuriousBehaviorwithoutsuicidalintentPast</t>
  </si>
  <si>
    <t>ksads_23_956_t</t>
  </si>
  <si>
    <t>Diagnosis - SuicidalideationPassivePast</t>
  </si>
  <si>
    <t>ksads_23_957_t</t>
  </si>
  <si>
    <t>ksads_23_958_p</t>
  </si>
  <si>
    <t>Diagnosis - SuicidalideationActivenonspecificPast</t>
  </si>
  <si>
    <t>ksads_23_958_t</t>
  </si>
  <si>
    <t>ksads_3_226_p</t>
  </si>
  <si>
    <t>Symptom - Temper outbursts occur 3 or more times per week</t>
  </si>
  <si>
    <t>ksads_3_227_p</t>
  </si>
  <si>
    <t>Symptom - Present at least 12 months</t>
  </si>
  <si>
    <t>ksads_3_229_p</t>
  </si>
  <si>
    <t>Symptom - Temper/irritability present in at least 2 settings</t>
  </si>
  <si>
    <t>ksads_4_17_p</t>
  </si>
  <si>
    <t>Symptom - Hallucinations Past</t>
  </si>
  <si>
    <t>ksads_4_233_p</t>
  </si>
  <si>
    <t>Symptom - Other Hallucinations Past</t>
  </si>
  <si>
    <t>ksads_4_234_p</t>
  </si>
  <si>
    <t>Symptom - Location of voices/noises outside of one's head Present</t>
  </si>
  <si>
    <t>ksads_4_242_p</t>
  </si>
  <si>
    <t>Symptom - Hallucinations associated with possible affective Illness Past</t>
  </si>
  <si>
    <t>ksads_4_255_p</t>
  </si>
  <si>
    <t>Symptom - Delusions associated with drug use Past</t>
  </si>
  <si>
    <t>ksads_5_20_p</t>
  </si>
  <si>
    <t>Symptom - Panic Attacks Present</t>
  </si>
  <si>
    <t>ksads_5_21_p</t>
  </si>
  <si>
    <t>Symptom - Panic Attacks Past</t>
  </si>
  <si>
    <t>ksads_5_262_p</t>
  </si>
  <si>
    <t>Symptom - Panic Symptoms Past</t>
  </si>
  <si>
    <t>Symptom - Distress upon separation from home/attachment figures Past</t>
  </si>
  <si>
    <t>Symptom - School Reluctance/Refusal Past</t>
  </si>
  <si>
    <t>ksads_7_282_p</t>
  </si>
  <si>
    <t>Symptom - Fears calamitous event that will cause separation Past</t>
  </si>
  <si>
    <t>ksads_7_284_p</t>
  </si>
  <si>
    <t>Symptom - Worry about harm befalling attachment figure Past</t>
  </si>
  <si>
    <t>ksads_7_286_p</t>
  </si>
  <si>
    <t>Symptom - Fear of being alone without attachment figure Past</t>
  </si>
  <si>
    <t>ksads_7_288_p</t>
  </si>
  <si>
    <t>Symptom - Refusal to sleep without attachment figure near ξPast</t>
  </si>
  <si>
    <t>ksads_7_290_p</t>
  </si>
  <si>
    <t>Symptom - Nightmares about separation themes Past</t>
  </si>
  <si>
    <t>ksads_7_292_p</t>
  </si>
  <si>
    <t>Symptom - Physical symptoms when separated from attachment figure ξPast</t>
  </si>
  <si>
    <t>Symptom - Impairment in functioning due to separation anxiety Past</t>
  </si>
  <si>
    <t>Symptom - Clinically significant distress due to separation anxiety Past</t>
  </si>
  <si>
    <t>Symptom - Separation anxiety duration was at least 4 weeks Past</t>
  </si>
  <si>
    <t>Symptom - Separation anxiety (past) duration was at least 2 weeks</t>
  </si>
  <si>
    <t>ksads_7_862_p</t>
  </si>
  <si>
    <t>Diagnosis - Separation Anxiety Disorder (F93.00) PAST</t>
  </si>
  <si>
    <t>ksads_7_910_p</t>
  </si>
  <si>
    <t>Diagnosis - Other Specified Anxiety Disorder (Separation Anxiety Disorder impairment does not meet full criteria) PAST F41.8</t>
  </si>
  <si>
    <t>Symptom - Social situations invariably provoke ξanxiety Past</t>
  </si>
  <si>
    <t>ksads_8_302_t</t>
  </si>
  <si>
    <t>Symptom - Social situations invariably provoke anxiety, Past</t>
  </si>
  <si>
    <t>ksads_8_304_p</t>
  </si>
  <si>
    <t>Symptom - Social situations avoided or endured with distress Past</t>
  </si>
  <si>
    <t>ksads_8_304_t</t>
  </si>
  <si>
    <t>Symptom - Social situations avoided or endured with distress, Past</t>
  </si>
  <si>
    <t>ksads_8_308_p</t>
  </si>
  <si>
    <t>Symptom - Social fear is excessive given threat or sociocultural context ξPast</t>
  </si>
  <si>
    <t>ksads_8_308_t</t>
  </si>
  <si>
    <t>Symptom - Social fear is excessive given threat or sociocultural context, Past</t>
  </si>
  <si>
    <t>Symptom - Fear of Social Situations Past</t>
  </si>
  <si>
    <t>ksads_8_31_t</t>
  </si>
  <si>
    <t>Symptom - Fear of Social Situations, Past</t>
  </si>
  <si>
    <t>ksads_8_310_p</t>
  </si>
  <si>
    <t>Symptom - Impairment in functioning due to social anxiety Past</t>
  </si>
  <si>
    <t>ksads_8_310_t</t>
  </si>
  <si>
    <t>Symptom - Impairment in functioning due to social anxiety, Past</t>
  </si>
  <si>
    <t>Symptom - Clinically significant distress due to Social Anxiety Past</t>
  </si>
  <si>
    <t>ksads_8_312_t</t>
  </si>
  <si>
    <t>Symptom - Clinically significant distress due to Social Anxiety, Past</t>
  </si>
  <si>
    <t>ksads_8_313_p</t>
  </si>
  <si>
    <t>Symptom - Duration (at least 6 months) Past</t>
  </si>
  <si>
    <t>ksads_8_864_p</t>
  </si>
  <si>
    <t>Diagnosis - Social Anxiety Disorder (F40.10) PAST</t>
  </si>
  <si>
    <t>Symptom - Marked fear of phobic object Present</t>
  </si>
  <si>
    <t>Symptom - Marked fear of phobic object Past</t>
  </si>
  <si>
    <t>Symptom - PhobicObjectSpecialCase Past</t>
  </si>
  <si>
    <t>ksads_9_37_p</t>
  </si>
  <si>
    <t>Symptom - Active avoidance of phobic object Present</t>
  </si>
  <si>
    <t>Symptom - Active avoidance of phobic object Past</t>
  </si>
  <si>
    <t>ksads_9_39_p</t>
  </si>
  <si>
    <t>Symptom - Impairment due to fear or avoidance of phobic object Present</t>
  </si>
  <si>
    <t>Symptom - Impairment due to fear or avoidance of phobic object Past</t>
  </si>
  <si>
    <t>ksads_9_41_p</t>
  </si>
  <si>
    <t>Symptom - Distress due to fear or avoidance of phobic object Present</t>
  </si>
  <si>
    <t>Symptom - Distress due to fear or avoidance of phobic object Past</t>
  </si>
  <si>
    <t>ksads_9_43_p</t>
  </si>
  <si>
    <t>Symptom - Duration of phobia at least 6 months Present</t>
  </si>
  <si>
    <t>Symptom - Duration of past phobia at least 6 months Present</t>
  </si>
  <si>
    <t>ksads_9_867_p</t>
  </si>
  <si>
    <t>Diagnosis - Specific Phobia ξPRESENT (F40.2XX)</t>
  </si>
  <si>
    <t>Diagnosis - Specific Phobia ξPAST (F40.2XX)</t>
  </si>
  <si>
    <t>A car accident in which your child or another person in the car was hurt bad enough to require medical attention</t>
  </si>
  <si>
    <t>Another significant accident for which your child needed specialized and intensive medical treatment</t>
  </si>
  <si>
    <t>Witnessed or caught in a fire that caused significant property damage or personal injury</t>
  </si>
  <si>
    <t>Witnessed or caught in a natural disaster that caused significant property damage or personal injury</t>
  </si>
  <si>
    <t>Witness the grownups in the home push, shove or hit one another</t>
  </si>
  <si>
    <t>Learned about the sudden unexpected death of a loved one</t>
  </si>
  <si>
    <t>Parent General Behavior Inventory SUM: gen_child_behav_1 + gen_child_behav_2 + gen_child_behav_3 + gen_child_behav_4 + gen_child_behav_5 + gen_child_behav_6 + gen_child_behav_7 + gen_child_behav_8 + gen_child_behav_9 + gen_child_behav_10; Validation: All items must be answered</t>
  </si>
  <si>
    <t>pps_1_bother_yn</t>
  </si>
  <si>
    <t>Well known places. Did it bother you?</t>
  </si>
  <si>
    <t>Lose concentration. Did it bother you?</t>
  </si>
  <si>
    <t>Invisible energy. Did it bother you?</t>
  </si>
  <si>
    <t>Mind is trying to trick you. Did it bother you?</t>
  </si>
  <si>
    <t>pps_13_bother_yn</t>
  </si>
  <si>
    <t>World is not real. Did it bother you?</t>
  </si>
  <si>
    <t>pps_14_bother_yn</t>
  </si>
  <si>
    <t>Feel confused. Did it bother you?</t>
  </si>
  <si>
    <t>pps_15_bother_yn</t>
  </si>
  <si>
    <t>Did you honestly believe in things that other people would say are unusual or weird. Did it bother you?</t>
  </si>
  <si>
    <t>pps_16_bother_yn</t>
  </si>
  <si>
    <t>Body changed. Did it bother you?</t>
  </si>
  <si>
    <t>pps_17_bother_yn</t>
  </si>
  <si>
    <t>Hear thoughts. Did it bother you?</t>
  </si>
  <si>
    <t>People want bad things to happen.Did it bother you?</t>
  </si>
  <si>
    <t>Unusual things. Did it bother you?</t>
  </si>
  <si>
    <t>Strange sounds. Did it bother you?</t>
  </si>
  <si>
    <t>pps_20_bother_yn</t>
  </si>
  <si>
    <t>Able to see more than others. Did it bother you?</t>
  </si>
  <si>
    <t>Hard time understanding you. Did it bother you?</t>
  </si>
  <si>
    <t>pps_3_bother_yn</t>
  </si>
  <si>
    <t>Things looked different. Did it bother you?</t>
  </si>
  <si>
    <t>Hard to figure out. Did it bother you?</t>
  </si>
  <si>
    <t>Could not trust. Did it bother you?</t>
  </si>
  <si>
    <t>Strange skin feelings. Did it bother you?</t>
  </si>
  <si>
    <t>Prodromal Psychosis: Mean Endorsed Severity Score PPS severity score/Number of yes response pps_y_ss_severity_score / pps_y_ss_number</t>
  </si>
  <si>
    <t>Prodromal Psychosis Scale, Number of Yes Responses to Did it Bother You? Sum: pps_1_bother_yn, pps_2_bother_yn, pps_3_bother_yn, pps_4_bother_yn, pps_5_bother_yn, pps_6_bother_yn, pps_7_bother_yn, pps_8_bother_yn, pps_9_bother_yn, pps_10_bother_yn, pps_11_bother_yn, pps_12_bother_yn, pps_13_bother_yn, pps_14_bother_yn, pps_15_bother_yn, pps_16_bother_yn, pps_17_bother_yn, pps_18_bother_yn, pps_19_bother_yn, pps_20_bother_yn, pps_21_bother_yn; No minimum number of answers to be valid</t>
  </si>
  <si>
    <t>Prodromal Psychosis Scale: Number of Yes Responses Sum: prodromal_1_y, prodromal_2_y, prodromal_3_y, prodromal_4_y, prodromal_5_y, prodromal_6_y, prodromal_7_y, prodromal_8_y, prodromal_9_y, prodromal_10_y, prodromal_11_y, prodromal_12_y, prodromal_13_y, prodromal_14_y, [prodromal_15_y, prodromal_16_y, prodromal_17_y], prodromal_18_y, prodromal_19_y], prodromal_20_y], prodromal_21_y; No minimum number of answers to be valid</t>
  </si>
  <si>
    <t>Prodromal Psychosis: Severity Score Sum: (prodromal_1b_y, prodromal_2b_y, prodromal_3b_y, prodromal_4b_y, prodromal_5b_y, prodromal_6b_y, prodromal_7b_y, prodromal_8b_y, prodromal_9b_y, prodromal_10b_y, prodromal_11b_y, prodromal_12b_y, prodromal_13b_y, prodromal_14b_y, [prodromal_15b_y, prodromal_16b_y, prodromal_17b_y, prodromal_18b_y, prodromal_19b_y, prodromal_20b_y, prodromal_21b_y) + (pps_y_ss_ bother_n_1), If this score = ", then score = pps_y_ss_number; No minimum number of answers to be valid</t>
  </si>
  <si>
    <t>Did places that you know well, such as your bedroom, or other rooms in your home, your classroom or school yard, suddenly seem weird, strange or confusing to you; like not the real world?</t>
  </si>
  <si>
    <t>Did you lose concentration because you noticed sounds in the distance that you usually don't hear?</t>
  </si>
  <si>
    <t>Lose concentration. Please CHOOSE THE NUMBER below the appropriate picture that shows us how much that bothered you when it happened.</t>
  </si>
  <si>
    <t>Although you could not see anything or anyone, did you suddenly start to feel that an invisible energy, creature, or some person was around you?</t>
  </si>
  <si>
    <t>Invisible energy. Please CHOOSE THE NUMBER below the appropriate picture that shows us how much that bothered you when it happened.</t>
  </si>
  <si>
    <t>Did you start to worry at times that your mind was trying to trick you or was not working right?</t>
  </si>
  <si>
    <t>Mind is trying to trick you. Please CHOOSE THE NUMBER below the appropriate picture that shows us how much that bothered you when it happened.</t>
  </si>
  <si>
    <t>Did you feel that the world is not real, you are not real, or that you are dead?</t>
  </si>
  <si>
    <t>World is not real. Please CHOOSE THE NUMBER below the appropriate picture that shows us how much that bothered you when it happened.</t>
  </si>
  <si>
    <t>Did you feel confused because something you experienced didn't seem real or it seemed imaginary to you?</t>
  </si>
  <si>
    <t>Feel confused. Please CHOOSE THE NUMBER below the appropriate picture that shows us how much that bothered you when it happened.</t>
  </si>
  <si>
    <t>Did you honestly believe in things that other people would say are unusual or weird?</t>
  </si>
  <si>
    <t>Did you honestly believe in things that other people would say are unusual or weird. Please CHOOSE THE NUMBER below the appropriate picture that shows us how much that bothered you when it happened.</t>
  </si>
  <si>
    <t>prodromal_16_y</t>
  </si>
  <si>
    <t>Did you feel that parts of your body had suddenly changed or worked differently than before; like your legs had suddenly turned to something else or your nose could suddenly smell things you'd never actually smelled before?</t>
  </si>
  <si>
    <t>Did you feel that sometimes your thoughts were so strong you could almost hear them, as if another person, NOT you, spoke them?</t>
  </si>
  <si>
    <t>Hear thoughts. Please CHOOSE THE NUMBER below the appropriate picture that shows us how much that bothered you when it happened.</t>
  </si>
  <si>
    <t>Did you feel that other people might want something bad to happen to you or that you could not trust other people?</t>
  </si>
  <si>
    <t>People want bad things to happen.Please CHOOSE THE NUMBER below the appropriate picture that shows us how much that bothered you when it happened.</t>
  </si>
  <si>
    <t>Did you suddenly start to see unusual things that you never saw before like flashes, flames, blinding light, or shapes floating in front of you?</t>
  </si>
  <si>
    <t>Unusual things. Please CHOOSE THE NUMBER below the appropriate picture that shows us how much that bothered you when it happened.</t>
  </si>
  <si>
    <t>Well known places. Please CHOOSE THE NUMBER below the appropriate picture that shows us how much that bothered you when it happened.</t>
  </si>
  <si>
    <t>Did you hear strange sounds that you never noticed before like banging, clicking, hissing, clapping, or ringing in your ears?</t>
  </si>
  <si>
    <t>Have you seen things that other people can't see or don't seem to see?</t>
  </si>
  <si>
    <t>Able to see more than others. Please CHOOSE THE NUMBER below the appropriate picture that shows us how much that bothered you when it happened.</t>
  </si>
  <si>
    <t>Did you suddenly start to notice that people sometimes had a hard time understanding what you were saying, even though they used to understand you well?</t>
  </si>
  <si>
    <t>Hard time understanding you. Please CHOOSE THE NUMBER below the appropriate picture that shows us how much that bothered you when it happened.</t>
  </si>
  <si>
    <t>Strange sounds. Please CHOOSE THE NUMBER below the appropriate picture that shows us how much that bothered you when it happened.</t>
  </si>
  <si>
    <t>Do things that you see appear different from the way they usually do (brighter or duller, larger or smaller, or changed in some other way)?</t>
  </si>
  <si>
    <t>Things looked different.Please CHOOSE THE NUMBER below the appropriate picture that shows us how much that bothered you when it happened.</t>
  </si>
  <si>
    <t>Did you feel like you had special, unusual powers like you could make things happen by magic, or that you could magically know what was inside another person's mind, or magically know what was going to happen in the future when other people could not?</t>
  </si>
  <si>
    <t>Did you feel that someone else, who is not you, has taken control over the private, personal, thoughts or ideas inside your head?</t>
  </si>
  <si>
    <t>Someone else in control. Please CHOOSE THE NUMBER below the appropriate picture that shows us how much that bothered you when it happened.</t>
  </si>
  <si>
    <t>Did you suddenly find it hard to figure out how to say something quickly and easily so that other people would understand what you meant?</t>
  </si>
  <si>
    <t>Hard to figure out. Please CHOOSE THE NUMBER below the appropriate picture that shows us how much that bothered you when it happened.</t>
  </si>
  <si>
    <t>Did you ever feel very certain that you have very special abilities or magical talents that other people do not have?</t>
  </si>
  <si>
    <t>Did you suddenly feel that you could not trust other people because they seemed to be watching you or talking about you in an unfriendly way?</t>
  </si>
  <si>
    <t>Could not trust. Please CHOOSE THE NUMBER below the appropriate picture that shows us how much that bothered you when it happened.</t>
  </si>
  <si>
    <t>Do you sometimes get strange feelings on or just beneath your skin, like bugs crawling?</t>
  </si>
  <si>
    <t>Strange skin feelings. Please CHOOSE THE NUMBER below the appropriate picture that shows us how much that bothered you when it happened.</t>
  </si>
  <si>
    <t>How many friends that are boys do you have?</t>
  </si>
  <si>
    <t>How many CLOSE friends that are boys do you have?</t>
  </si>
  <si>
    <t>How many friends that are girls do you have?</t>
  </si>
  <si>
    <t>How many CLOSE friends that are girls do you have?</t>
  </si>
  <si>
    <t>UPPS-P for Children Short Form (ABCD-version), Lack of Perseverance (GSSF): upps15_y + upps19_y + upps22_y + upps24_y Validation; Minimum of three items answered</t>
  </si>
  <si>
    <t>UPPS-P for Children Short Form (ABCD-version), Lack of Planning: upps6_y + upps16_y + upps23_y + upps28_y; Validation: Minimum of three items answered</t>
  </si>
  <si>
    <t>UPPS-P for Children Short Form (ABCD-version), Negative Urgency: upps7_y + upps11_y + upps17_y + upps20_y; Validation: Minimum of three items answered</t>
  </si>
  <si>
    <t>UPPS-P for Children Short Form (ABCD-version), Positive Urgency: upps35_y + upps36_y + upps37_y + upps39_y; Validation: Minimum of three items answered</t>
  </si>
  <si>
    <t>UPPS-P for Children Short Form (ABCD-version), Sensation Seeking: upps12_y + upps18_y + upps21_y + upps27_y; Validation: Minimum of three items answered</t>
  </si>
  <si>
    <t>Sometimes when I feel bad, I keep doing something even though it is making me feel worse.</t>
  </si>
  <si>
    <t>I enjoy taking risks.</t>
  </si>
  <si>
    <t>I finish what I start.</t>
  </si>
  <si>
    <t>I try to take a careful approach to things.</t>
  </si>
  <si>
    <t>When I am upset I often act without thinking.</t>
  </si>
  <si>
    <t>I like new, thrilling things, even if they are a little scary.</t>
  </si>
  <si>
    <t>I tend to get things done on time.</t>
  </si>
  <si>
    <t>When I feel rejected, I often say things that I later regret.</t>
  </si>
  <si>
    <t>I would like to learn to fly an airplane.</t>
  </si>
  <si>
    <t>I am a person who always gets the job done.</t>
  </si>
  <si>
    <t>I am very careful.</t>
  </si>
  <si>
    <t>I almost always finish projects that I start.</t>
  </si>
  <si>
    <t>I would like to ski very fast down a high mountain slope.</t>
  </si>
  <si>
    <t>I tend to stop and think before doing things.</t>
  </si>
  <si>
    <t>When I am in a great mood, I tend to do things that can cause me problems.</t>
  </si>
  <si>
    <t>I tend to act without thinking when I am very, very happy.</t>
  </si>
  <si>
    <t>When I get really happy about something, I tend to do things that can lead to trouble.</t>
  </si>
  <si>
    <t>I tend to lose control when I am in a great mood.</t>
  </si>
  <si>
    <t>I like to stop and think about things before I do it.</t>
  </si>
  <si>
    <t>When I feel bad, I often do things I later regret in order to make myself feel better now.</t>
  </si>
  <si>
    <t>Recoded demo_prtnr_empl_v2 so that 1= partner full time working; 0=all other responses</t>
  </si>
  <si>
    <t>Derived from: demo_prnt_empl_v2</t>
  </si>
  <si>
    <t>Any child medication use in past 2 weeks. </t>
  </si>
  <si>
    <t>WISC-V Matrix Reasoning Total Scaled Score</t>
  </si>
  <si>
    <t xml:space="preserve">Description </t>
  </si>
  <si>
    <t xml:space="preserve">COGNITION </t>
  </si>
  <si>
    <t>derived from: screentime_4_wkdy_hr &amp; screentime_4_wkdy_min</t>
  </si>
  <si>
    <t>Watch or stream movies, videos, or TV shows</t>
  </si>
  <si>
    <t>Play video games</t>
  </si>
  <si>
    <t>Play music</t>
  </si>
  <si>
    <t>Talk on the phone or text (If you do not own a phone, choose 0 nights)</t>
  </si>
  <si>
    <t>Spend time online on social media (e.g. Facebook)</t>
  </si>
  <si>
    <t>Spend time in chat rooms</t>
  </si>
  <si>
    <t>Browse the Internet, Google-ing (not school related)</t>
  </si>
  <si>
    <t>Use a computer/laptop for studying</t>
  </si>
  <si>
    <t>Reading</t>
  </si>
  <si>
    <t>In the past week, how often have you had phone calls, text messages or emails that wake you after trying to go to sleep?</t>
  </si>
  <si>
    <t>derived from: screentime_5_wkdy_hr &amp; screentime_5_wkdy_min</t>
  </si>
  <si>
    <t>On a typical weekday: Text on a cell phone, tablet, computer, iPod, or other electronic device (e.g., GChat, Whatsapp, Kik etc.)? </t>
  </si>
  <si>
    <t>In the past week, when you woke up during the night, how often have you used your phone or other device to send messages/play games/search or browse the internet/use social media/read or write emails?</t>
  </si>
  <si>
    <t>derived from: screentime_6_wkdy_hr &amp; screentime_6_wkdy_min</t>
  </si>
  <si>
    <t>On a typical weekday: Visit social media apps (e.g., Snapchat, Facebook, Twitter, Instagram, TikTok, etc.? (Do not include time spent editing photos or videos to post on social media.)</t>
  </si>
  <si>
    <t>derived from: screentime_7_wkdy_hr &amp; screentime_7_wkdy_min</t>
  </si>
  <si>
    <t>On a typical weekday: Edit photos or videos to post on social media. </t>
  </si>
  <si>
    <t>screentime_8_wkdy_composit</t>
  </si>
  <si>
    <t>derived from: screentime_8_wkdy_hr &amp; screentime_8_wkdy_min</t>
  </si>
  <si>
    <t>On a typical weekday: Video chat (Skype, FaceTime, VRchat, etc.) </t>
  </si>
  <si>
    <t>derived from: screentime_9_wkdy_hr &amp; screentime_9_wkdy_min</t>
  </si>
  <si>
    <t>On a typical weekday: Searching or browsing the internet (e.g., using Google) that is NOT for school </t>
  </si>
  <si>
    <t>derived from: screentime_wkdy_typical_hr &amp; screentime_wkdy_typical_min</t>
  </si>
  <si>
    <t>On a typical WEEKDAY (during the school year), how much TIME per day do you spend in TOTAL on a computer, phone, tablet, iPod, or other device or video game? Please do NOT include time spent on school related work, but do include watching TV, shows or videos, texting or chatting, playing games, or visiting social networking sites (Facebook, Twitter, Instagram). </t>
  </si>
  <si>
    <t>derived from: screentime_7_wknd_hr &amp; screentime_7_wknd_min</t>
  </si>
  <si>
    <t>On a typical weekend day: Watch or stream TV shows or movies? (such as Hulu, Netflix or Amazon, not including videos on YouTube) </t>
  </si>
  <si>
    <t>derived from: screentime_8_wknd_hr &amp; screentime_8_wknd_min</t>
  </si>
  <si>
    <t>On a typical weekend day: Watch or stream videos or live stream (such as YouTube, Twitch)? </t>
  </si>
  <si>
    <t>derived from: screentime_9_wknd_hr &amp; screentime_9_wknd_min</t>
  </si>
  <si>
    <t>On a typical weekend day: Play single-player video games on a computer, console, phone or other device (Xbox, Play Station, iPad, AppleTV)? </t>
  </si>
  <si>
    <t>derived from: screentime_10_wknd_hr &amp; screentime_10_wknd_min</t>
  </si>
  <si>
    <t>derived from: screentime_1_wkdy_hr &amp; screentime_1_wkdy_min</t>
  </si>
  <si>
    <t>derived from: screentime_11_wknd_hr &amp; screentime_11_wknd_min</t>
  </si>
  <si>
    <t>On a typical weekend day: Text on a cell phone, tablet, computer, iPod, or other electronic device (e.g., GChat, Whatsapp, Kik etc.)? </t>
  </si>
  <si>
    <t>derived from: screentime_12_wknd_hr &amp; screentime_12_wknd_min</t>
  </si>
  <si>
    <t>On a typical weekend day: Visit social media apps (e.g., Snapchat, Facebook, Twitter, Instagram, TikTok, etc.? (Do not include time spent editing photos or videos to post on social media.) </t>
  </si>
  <si>
    <t>derived from: screentime_13_wknd_hr &amp; screentime_13_wknd_min</t>
  </si>
  <si>
    <t>On a typical weekend day: Edit photos or videos to post on social media. </t>
  </si>
  <si>
    <t>derived from: screentime_14_wknd_hr &amp; screentime_14_wknd_min</t>
  </si>
  <si>
    <t>On a typical weekend day: Video chat (Skype, FaceTime, VRchat, etc.) </t>
  </si>
  <si>
    <t>derived from: screentime_15_wknd_hr &amp; screentime_15_wknd_min</t>
  </si>
  <si>
    <t>On a typical weekend day: Searching or browsing the internet (e.g., using Google) that is NOT for school</t>
  </si>
  <si>
    <t>derived from: screentime_wknd_typical_hr &amp; screentime_wknd_typical_min</t>
  </si>
  <si>
    <t>On a typical WEEKEND DAY (or non-school day, like during summer or holiday breaks), how much TIME per day do you spend in TOTAL on a computer, phone, tablet, iPod, or other device or video game? Please do NOT include time spent on school related work, but do include watching TV, shows or videos, texting or chatting, playing games, or visiting social networking sites (Facebook, Twitter, Instagram). </t>
  </si>
  <si>
    <t>I interrupt whatever else I am doing when I am contacted on my phone</t>
  </si>
  <si>
    <t>I often use my phone for no particular reason</t>
  </si>
  <si>
    <t>I feel connected to others when I am using my phone</t>
  </si>
  <si>
    <t>Arguments have arisen with others because of my phone use</t>
  </si>
  <si>
    <t>I lose track of how much I am using my phone.</t>
  </si>
  <si>
    <t>derived from: screentime_2_wkdy_hr &amp; screentime_2_wkdy_min</t>
  </si>
  <si>
    <t>On a typical weekday: Watch or stream videos or live stream (such as YouTube, Twitch)</t>
  </si>
  <si>
    <t>I often think about my phone when I am not using it</t>
  </si>
  <si>
    <t>I have been unable to reduce my phone use</t>
  </si>
  <si>
    <t>The thought of being without my phone makes me feel distressed</t>
  </si>
  <si>
    <t>On a scale of 1-10 (with 1=barely check it/can go days without it, and 10=check at least hourly when awake), how attached are you to your phone?</t>
  </si>
  <si>
    <t>Facebook</t>
  </si>
  <si>
    <t>Instagram</t>
  </si>
  <si>
    <t>Snapchat</t>
  </si>
  <si>
    <t>Twitter</t>
  </si>
  <si>
    <t>YouTube</t>
  </si>
  <si>
    <t>Pinterest</t>
  </si>
  <si>
    <t>Reddit</t>
  </si>
  <si>
    <t>Multiplayer Videogame Online Chatting</t>
  </si>
  <si>
    <t>TikTok</t>
  </si>
  <si>
    <t>Other</t>
  </si>
  <si>
    <t>derived from: screentime_3_wkdy_hr &amp; screentime_3_wkdy_min</t>
  </si>
  <si>
    <t>On a typical weekday: Play single-player video games on a computer, console, phone or other device (Xbox, Play Station, iPad, AppleTV)? </t>
  </si>
  <si>
    <t>On (screentime_smq_use_most), how many followers do you have?</t>
  </si>
  <si>
    <t>On (screentime_smq_use_most), how many people or groups are you following?</t>
  </si>
  <si>
    <t xml:space="preserve">derived from:screentime_smq_soc_med_hr&amp; screentime_smq_soc_med_min </t>
  </si>
  <si>
    <t>How much TIME per day do you spend on social media apps?</t>
  </si>
  <si>
    <t>I spend a lot of time thinking about social media apps or planning my use of social media apps.</t>
  </si>
  <si>
    <t>I feel the need to use social media apps more and more.</t>
  </si>
  <si>
    <t>I use social media apps so I can forget about my problems.</t>
  </si>
  <si>
    <t>I've tried to use my social media apps less but I can't.</t>
  </si>
  <si>
    <t>I've become stressed or upset if I am not allowed to use my social media apps.</t>
  </si>
  <si>
    <t>I use social media apps so much that it has had a bad effect on my schoolwork or job</t>
  </si>
  <si>
    <t>I spend a lot of time thinking about playing video games.</t>
  </si>
  <si>
    <t>I feel the need to play video games more and more.</t>
  </si>
  <si>
    <t>I play video games so I can forget about my problems.</t>
  </si>
  <si>
    <t>I've tried to play video games less but I can't.</t>
  </si>
  <si>
    <t>I've become stressed or upset if I am not allowed to play video games.</t>
  </si>
  <si>
    <t>I play video games so much that it has had a bad effect on my schoolwork or job.</t>
  </si>
  <si>
    <t>screentime_wkdy_school_composit</t>
  </si>
  <si>
    <t>derived from: screentime_wkdy_school_hr &amp; sscreentime_wkdy_school_min</t>
  </si>
  <si>
    <t>On a typical WEEKDAY (during the school year)</t>
  </si>
  <si>
    <t>The amount of time my child wants to use screen media keeps increasingLa cantidad de tiempo que mi hijo/a desea utilizar los medios en pantalla sigue aumentando.</t>
  </si>
  <si>
    <t>Screen media is the only thing that seems to motivate my child.Lo ?nico que parece motivar a mi hijo/a son los medios en pantalla.</t>
  </si>
  <si>
    <t>My child becomes frustrated when he/she cannot use screen mediaMi hijo/a se frustra cuando no puede usar los medios en pantalla.</t>
  </si>
  <si>
    <t>My child's screen media use interferes with family activities.El uso de los medios en pantalla de mi hijo/a interfiere en las actividades familiares.</t>
  </si>
  <si>
    <t>derived from: sscreentime1_p_hours &amp; screentime1_p_minutes</t>
  </si>
  <si>
    <t>On a typical WEEKDAY, how much TIME does your child spend on a computer, cellphone, tablet, or other electronic device?/ En un DÍA DE SEMANA típico , ¿cuánto TIEMPO pasa su niño(a) usando una computadora, un teléfono celular, una tableta u otro dispositivo electrónico? Hours/ Horas </t>
  </si>
  <si>
    <t>derived from: screentime1_p_hours &amp;screentime1_p_minutes</t>
  </si>
  <si>
    <t>On a typical WEEKEND DAY, how much TIME does your child spend on a computer, cellphone, tablet, or other electronic device?/ En un típico DIA DE FIN DE SEMANA, ¿cuánto TIEMPO pasa su niño(a) usando una computadora, un teléfono celular, una tableta u otro dispositivo electrónico? Hours/ Horas </t>
  </si>
  <si>
    <t>How old was your child when he/she got their own cell phone? /Cu?ntos a?os ten?a su hijo/a cuando recibi? su propio tel?fono celular?</t>
  </si>
  <si>
    <t>If your child does not have their own cell phone do you allow them to use yours? Si su hijo/a no tiene su propio tel?fono celular /le permite usar el suyo?</t>
  </si>
  <si>
    <t>I feel like my child spends too much time online. Siento que mi hijo/a pasa demasiado tiempo en l?nea.</t>
  </si>
  <si>
    <t>I worry that my child will view inappropriate (foul language promiscuous content post condoning violence etc.) things online. Me preocupa que mi hijo/a vea cosas inapropiadas (lenguaje vulgar contenido promiscuo condonaci?n de un acto de violencia etc.) en l?nea.</t>
  </si>
  <si>
    <t>I worry that my child will post inappropriate things (foul language promiscuous content post condoning violence etc.) online. Me preocupa que mi hijo/a publique cosas inapropiadas (lenguaje vulgar contenido promiscuo condonaci?n de un acto de violencia etc.) en l?nea.</t>
  </si>
  <si>
    <t>My child sneaks using screen media.Mi hijo/a utiliza medios en pantalla a escondidas.</t>
  </si>
  <si>
    <t>Screen media is all that my child seems to think about.Parece que mi hijo/a s?lo piensa en los medios en pantalla.</t>
  </si>
  <si>
    <t>It is hard for my child to stop using screen media.EA mi ni?o/a se le dificulta dejar de usar los medios en pantalla.</t>
  </si>
  <si>
    <t>When my child has had a bad day, screen media seems to be the only thing that helps him/her feel better.Cuando mi hijo/a ha tenido un mal d?a, los medios en pantalla parecen ser lo ?nico que le ayuda a sentirse mejor.</t>
  </si>
  <si>
    <t>My child's screen media use causes problems for the family.El uso de los medios en pantalla de mi hijo/a causa problemas a la familia.</t>
  </si>
  <si>
    <t>Are you following or friends with your child on any social media sites (e.g. Facebook Instagram Snapchat)? /Est? siguiendo a su hijo/a o es amigo de ?l/ella en alguna red social (por ejemplo Facebook Instagram Snapchat)?</t>
  </si>
  <si>
    <t>Do you suspect that your child has social media accounts that you are unaware of? /Sospecha que su hijo/a tiene cuentas de redes sociales de las que usted no est? enterado/a?</t>
  </si>
  <si>
    <t>What types of SCREEN MEDIA does your child use the most (not including screen media used for school or homework)??Qu? tipos de medios en pantalla usa su ni?o/a m?s (no incluye medios en pantalla utilizados para la escuela o tarea)? 1 = Television;</t>
  </si>
  <si>
    <t>What types of SCREEN MEDIA does your child use the most (not including screen media used for school or homework)??Qu? tipos de medios en pantalla usa su ni?o/a m?s (no incluye medios en pantalla utilizados para la escuela o tarea)? 2 = Video games</t>
  </si>
  <si>
    <t>What types of SCREEN MEDIA does your child use the most (not including screen media used for school or homework)??Qu? tipos de medios en pantalla usa su ni?o/a m?s (no incluye medios en pantalla utilizados para la escuela o tarea)? 3 = Cell phone;</t>
  </si>
  <si>
    <t>What types of SCREEN MEDIA does your child use the most (not including screen media used for school or homework)??Qu? tipos de medios en pantalla usa su ni?o/a m?s (no incluye medios en pantalla utilizados para la escuela o tarea)? 4 = Tablet;</t>
  </si>
  <si>
    <t>What types of SCREEN MEDIA does your child use the most (not including screen media used for school or homework)??Qu? tipos de medios en pantalla usa su ni?o/a m?s (no incluye medios en pantalla utilizados para la escuela o tarea)? 5 = Handheld video game device;</t>
  </si>
  <si>
    <t>What types of SCREEN MEDIA does your child use the most (not including screen media used for school or homework)??Qu? tipos de medios en pantalla usa su ni?o/a m?s (no incluye medios en pantalla utilizados para la escuela o tarea)? 6 = Computer/laptop</t>
  </si>
  <si>
    <t>Does your child have their own device? /Tiene su hijo/a su propio dispositivo? 0 None of the above Ninguno de los anteriores</t>
  </si>
  <si>
    <t>Does your child have their own device? /Tiene su hijo/a su propio dispositivo? 0 None of the above Ninguno de los anteriores 1 Cell phone Tel?fono celular</t>
  </si>
  <si>
    <t>Does your child have their own device? /Tiene su hijo/a su propio dispositivo? 0 None of the above Ninguno de los anteriores 2 Tablet Tableta</t>
  </si>
  <si>
    <t>Does your child have their own device? /Tiene su hijo/a su propio dispositivo? 0 None of the above Ninguno de los anteriores 3 Laptop Computadora port?til</t>
  </si>
  <si>
    <t>Does your child have their own device? /Tiene su hijo/a su propio dispositivo? 0 None of the above Ninguno de los anteriores 4 iPod or similar device iPod o un dispositivo similar</t>
  </si>
  <si>
    <t>Does your child have their own device? /Tiene su hijo/a su propio dispositivo? 0 None of the above Ninguno de los anteriores 6 Smart Watch Reloj inteligente</t>
  </si>
  <si>
    <t>Do they have internet or WiFi capabilities on any of these devices? /Tienen acceso a internet o WiFi en alguno de estos dispositivos?</t>
  </si>
  <si>
    <t>Do you have your own mobile phone, smart watch or ipod?</t>
  </si>
  <si>
    <t>Do you have a at least one social media account?</t>
  </si>
  <si>
    <t>On (screentime_smq_use_most), is your account public or private?</t>
  </si>
  <si>
    <t>Is there a TV set or an Internet connected electronic device (computer, iPad, phone) in your bedroom?</t>
  </si>
  <si>
    <t xml:space="preserve">What do you usually do with your phone when you are ready to go to sleep? Do you Turn the phone off </t>
  </si>
  <si>
    <t xml:space="preserve">What do you usually do with your phone when you are ready to go to sleep? Do you silent or vibrate it </t>
  </si>
  <si>
    <t>What do you usually do with your phone when you are ready to go to sleep? Do you Leave the ringer on</t>
  </si>
  <si>
    <t>What do you usually do with your phone when you are ready to go to sleep? Do you Put it outside of the room where I sleep</t>
  </si>
  <si>
    <t>What grade is the child in? If it is summer, indicate grade starting in the fall. ¿En qué grado está el/la nino(a)? [Si es verano, indique el grado que iniciará en el otono]</t>
  </si>
  <si>
    <t>How much did you earn, before taxes and other deductions, during the past 12 months? ¿Cuál fue su ingreso, antes de impuestos y otras deducciones, en los altimos 12 meses?</t>
  </si>
  <si>
    <t>How much does your partner earn, before taxes and other deductions, during the past 12 months? ¿Cuál fue el ingreso de su pareja, antes de impuestos y otras deducciones, en los altimos 12 meses?</t>
  </si>
  <si>
    <t>Which of these categories best describes your TOTAL COMBINED FAMILY INCOME for the past 12 months? This should include income (before taxes and deductions) from all sources, wages, rent from properties, social security, disability and/or veteran's benefits, unemployment benefits, workman's compensation, help from relative (include child payments and alimony), and so on. ¿Cuál de estas categorías es la que mejor describe su INGRESO FAMILIAR TOTAL COMBINADO de los altimos 12 meses? Este debe incluir los ingresos (antes de impuestos y deducciones) provenientes de todas las fuentes, salarios, renta de propiedades, seguro social, pagos por incapacidad o subsidios para veteranos, subsidios por desempleo, compensacion por accidentes de trabajo, ayuda de familiares (incluya pensiones alimenticias para hijos y conyuges divorciados), etc.</t>
  </si>
  <si>
    <t>INCLUDE everyone who is living or staying at your address for more than 2 months. INCLUDE yourself if you have lived at your address for more than 2 months. INCLUDE anyone else staying at your address who does not have another place to stay, even if they are at your address for 2 months or less. DO NOT INCLUDE anyone who is living somewhere else for more than 2 months, such as a college student living away or someone in the Armed Forces on deployment. INCLUYA a todas las personas que lleven viviendo o quedÃ¡ndose en su domicilio durante mÃ¡s de 2 meses.</t>
  </si>
  <si>
    <t>How often does your child attend religious services? ¿Con qué frecuencia asiste su nin-o(a) a servicios religiosos?</t>
  </si>
  <si>
    <t>In general, how important are your child's religious and spiritual beliefs in his/her daily life? ¿En general, cuán importantes son las creencias religiosas y espirituales en la vida diaria de su nin-o(a)?</t>
  </si>
  <si>
    <t>What is the highest grade or level of school you have completed or the highest degree you have received??Cu?l es su m?ximo nivel de estudios completados o el m?ximo t?tulo que ha recibido?</t>
  </si>
  <si>
    <t>What is the highest grade or level of school your partner completed or highest degree they received??Cu?l es el m?ximo nivel de estudios completados de su (pareja) o el m?ximo t?tulo que ha recibido?</t>
  </si>
  <si>
    <t>Are you working now, looking for work, retired, stay at home parent, a student, or something else? ¿Trabaja actualmente, está buscando trabajo, está retirado, se dedica al hogar, estudia o realiza alguna otra actividad?</t>
  </si>
  <si>
    <t>Is your partner the child's biological parent? ¿Su pareja es el padre o la madre biologico(a) del nin-o o de la nin-a?</t>
  </si>
  <si>
    <t>We would like to know about what your partner does - are they working, looking for work, retired, stay at home parent, a student, or what? Nos gustara saber a qué se dedica su pareja. ¿Trabaja actualmente, está buscando trabajo, está retirado(a), se dedica al hogar, estudia o realiza alguna otra actividad?</t>
  </si>
  <si>
    <t>Is there another household in which the child spends a significant amount of time? ¿Hay otro hogar en donde su nin-o(a) pase una cantidad importante de tiempo?</t>
  </si>
  <si>
    <t>Needed food but couldn't afford to buy it or couldn't afford to go out to get it? ¿Necesitaban comida pero no les alcanzaba el dinero para comprarla o para salir a comprarla?</t>
  </si>
  <si>
    <t>Didn't pay the full amount of the rent or mortgage because you could not afford it? ¿No pagaron el monto total de la renta o hipoteca porque no les alcanzaba el dinero?</t>
  </si>
  <si>
    <t>Had services turned off by the gas or electric company, or the oil company wouldn't deliver oil because payments were not made? ¿Les suspendieron el servicio de gas o electricidad, o la compan-ía de petroleo se nego a abastecerles por falta de pago?</t>
  </si>
  <si>
    <t>Had someone who needed to see a doctor or go to the hospital but didn't go because you could not afford it? ¿Tuvieron a alguien quien necesitaba ir al médico o al hospital, pero no fueron porque no les alcanzaba el dinero?</t>
  </si>
  <si>
    <t>Had someone who needed a dentist but couldn't go because you could not afford it? ¿Tuvieron a alguien quien necesitaba ir al dentista, pero no pudieron ir porque no les alcanzaba el dinero?</t>
  </si>
  <si>
    <t>Does your child's religion have rules forbidding the use of alcohol? ¿La religion de su nin-o(a) tiene reglas que prohíben el uso del alcohol?</t>
  </si>
  <si>
    <t>Does your child's religion have rules forbidding the use of drugs? ¿La religion de su nin-o(a) tiene reglas que prohíben el uso de drogas?</t>
  </si>
  <si>
    <t>a. Insurance through a current or former employer or union (of this person or another family member)a. Seguro a trav?s de un empleador o sindicato actual o anterior (de esta persona u otro miembro de la familia)</t>
  </si>
  <si>
    <t>b. Insurance purchased directly from an insurance company (by this person or another family member)b. Seguro comprado directamente de una compa??a de seguros (por esta persona u otro miembro de la familia)</t>
  </si>
  <si>
    <t>d. Medicaid, Medical Assistance, or any kind of government-assistance plan for those with low incomes or a disabilityd. Medicaid, Asistencia M?dica, o cualquier tipo de plan de asistencia gubernamental para personas con bajos ingresos o una discapacidad</t>
  </si>
  <si>
    <t>e. TRICARE or other military health caree. TRICARE u otra asistencia m?dica militar</t>
  </si>
  <si>
    <t>Cigarettes help with concentration.</t>
  </si>
  <si>
    <t>When someone is sad, smoking helps them feel better.</t>
  </si>
  <si>
    <t>The look and feel of a cigarette in the mouth is good.</t>
  </si>
  <si>
    <t>Parties are more enjoyable when a person is smoking.</t>
  </si>
  <si>
    <t>Smoking will make a person cough.</t>
  </si>
  <si>
    <t>Smoking makes people look ridiculous or silly.</t>
  </si>
  <si>
    <t>Marijuana makes it harder to think and do things (harder to concentrate or understand; slows people down when they move; harder to remember things).</t>
  </si>
  <si>
    <t>Marijuana helps a person relax and feel less tense (helps a person unwind and feel calm).</t>
  </si>
  <si>
    <t>Marijuana helps people get along better with others (talk more; feel more romantic).</t>
  </si>
  <si>
    <t>Marijuana makes people feel more creative and perceive things differently (music sounds different; things seem more interesting).</t>
  </si>
  <si>
    <t>Marijuana generally has bad effects on a person (people become angry or careless; after feeling high a person feels down).</t>
  </si>
  <si>
    <t>Marijuana has bad effects on a person's body and gives people cravings (get the munchies/hungry; have a dry mouth; hard to stop laughing).</t>
  </si>
  <si>
    <t>How do you think your CLOSE FRIENDS feel (or would feel) about YOU doing each of the following things? Trying one or two drinks of an alcoholic beverage (beer, wine, liquor)</t>
  </si>
  <si>
    <t>How do you think your CLOSE FRIENDS feel (or would feel) about YOU doing each of the following things? Taking one or two alcohol drinks nearly every day</t>
  </si>
  <si>
    <t>How do you think your CLOSE FRIENDS feel (or would feel) about YOU doing each of the following things? Having five or more alcoholic drinks once or twice each weekend</t>
  </si>
  <si>
    <t>How do you think your CLOSE FRIENDS feel (or would feel) about YOU doing each of the following things? Trying one or two cigarettes</t>
  </si>
  <si>
    <t>How do you think your CLOSE FRIENDS feel (or would feel) about YOU doing each of the following things? Smoking cigarettes occasionally</t>
  </si>
  <si>
    <t>How do you think your CLOSE FRIENDS feel (or would feel) about YOU doing each of the following things? Smoking one or more packs of cigarettes per day</t>
  </si>
  <si>
    <t>How do you think your CLOSE FRIENDS feel (or would feel) about YOU doing each of the following things? Using e-cigarettes regularly</t>
  </si>
  <si>
    <t>How do you think your CLOSE FRIENDS feel (or would feel) about YOU doing each of the following things? Using smokeless tobacco regularly</t>
  </si>
  <si>
    <t>How do you think your CLOSE FRIENDS feel (or would feel) about YOU doing each of the following things? Trying marijuana (pot, weed) once or twice</t>
  </si>
  <si>
    <t>How do you think your CLOSE FRIENDS feel (or would feel) about YOU doing each of the following things? Smoking marijuana occasionally</t>
  </si>
  <si>
    <t>How do you think your CLOSE FRIENDS feel (or would feel) about YOU doing each of the following things? Smoking marijuana regularly</t>
  </si>
  <si>
    <t>How do you think your CLOSE FRIENDS feel (or would feel) about YOU doing each of the following things? Trying liquid, sprays, and gases that people sniff or inhale to get high (such as gasoline, glue, and nitrous oxide) once or twice</t>
  </si>
  <si>
    <t>How do you think your CLOSE FRIENDS feel (or would feel) about YOU doing each of the following things? Trying prescription pain relievers (such as Vicodin, hydrocodone, Oxycontin; not over the counter drugs like Tylenol) in a way that a doctor did not direct you to use it once or twice</t>
  </si>
  <si>
    <t>How do you think your CLOSE FRIENDS feel (or would feel) about YOU doing each of the following things? Trying prescription use of tranquilizers to relax people (such as Xanax or Ativan) in a way a doctor did not direct you to use it once or twice</t>
  </si>
  <si>
    <t>How do you think your CLOSE FRIENDS feel (or would feel) about YOU doing each of the following things? Trying prescription stimulants (such as Adderall or Ritalin that may be used for attention disorders) in a way a doctor did not direct you to use it once or twice</t>
  </si>
  <si>
    <t>How do you think your CLOSE FRIENDS feel (or would feel) about YOU doing each of the following things? Trying other drugs like cocaine, heroin, or methamphetamine</t>
  </si>
  <si>
    <t>How many of your friends currently: drink alcohol (full beer, wine or liquor)</t>
  </si>
  <si>
    <t>How many of your friends currently: use other tobacco products like e-cigarettes, pipes, or hookah</t>
  </si>
  <si>
    <t>Have you ever been curious about trying marijuana?</t>
  </si>
  <si>
    <t>Do you think you will try marijuana soon?</t>
  </si>
  <si>
    <t>If one of your best friends were to offer you marijuana, would you try it?</t>
  </si>
  <si>
    <t>How much do you think people risk harming themselves (physically or in other ways) if they try one or two drinks of an alcoholic beverage (beer, wine, liquor)?</t>
  </si>
  <si>
    <t>How much do you think people risk harming themselves (physically or in other ways) if they take one or two drinks nearly every day?</t>
  </si>
  <si>
    <t>How much do you think people risk harming themselves (physically or in other ways) if they have five or more drinks of an alcoholic beverage, once or twice each weekend?</t>
  </si>
  <si>
    <t>How much do you think people risk harming themselves (physically or in other ways) if they try one or two cigarettes?</t>
  </si>
  <si>
    <t>How much do you think people risk harming themselves (physically or in other ways) if they smoke cigarettes occasionally?</t>
  </si>
  <si>
    <t>How much do you think people risk harming themselves (physically or in other ways) if they smoking one or more packs of cigarettes per day?</t>
  </si>
  <si>
    <t>How much do you think people risk harming themselves (physically or in other ways) if they use e-cigarettes regularly?</t>
  </si>
  <si>
    <t>How much do you think people risk harming themselves (physically or in other ways) if they use smokeless tobacco regularly?</t>
  </si>
  <si>
    <t>How much do you think people risk harming themselves (physically or in other ways) if they try marijuana once or twice?</t>
  </si>
  <si>
    <t>How much do you think people risk harming themselves (physically or in other ways) if they use marijuana occasionally?</t>
  </si>
  <si>
    <t>How much do you think people risk harming themselves (physically or in other ways) if they use marijuana regularly?</t>
  </si>
  <si>
    <t>How much do you think people risk harming themselves (physically or in other ways) if they try liquid, sprays, and gases that people sniff or inhale to get high (such as gasoline, glue, and nitrous oxide) once or twice?</t>
  </si>
  <si>
    <t>How much do you think people risk harming themselves (physically or in other ways) if they try prescription pain relievers (such as Vicodin, hydrocodone, and Oxycontin; not over the counter drugs like Tylenol) in a way that a doctor did not direct them to use it once or twice?</t>
  </si>
  <si>
    <t>How much do you think people risk harming themselves (physically or in other ways) if they try prescription use of tranquilizers to relax people (such as Xanax or Ativan) in a way a doctor did not direct them to use it once or twice?</t>
  </si>
  <si>
    <t>How much do you think people risk harming themselves (physically or in other ways) if they try prescription stimulants (such as Adderall or Ritalin) in a way a doctor did not direct them to use it once or twice?</t>
  </si>
  <si>
    <t>How much do you think people risk harming themselves (physically or in other ways) if they try other drugs like cocaine, heroin, or methamphetamine?</t>
  </si>
  <si>
    <t>How many total times have you had a sip of alcohol? If either "Have you heard of "alcohol ...?" or "Have you had a sip ...?" is not endorsed ," values for "isip_1_l" are missing. Here, these missing values have been replaced with "0.</t>
  </si>
  <si>
    <t>How many times? When "no" is endorsed for "isip_1b_yn_l" values for "isip_1b_l" are missing. Here, these missing values have been replaced with "0.</t>
  </si>
  <si>
    <t>Sum of caff_intake_1_l, caff_intake_3_l, caff_intake_4_l, caff_intake_6_l, caff_intake_9_l; 0 replaces blank when tlfb_caff = 0; Followup Annual Visits</t>
  </si>
  <si>
    <t>Coffee (instant, brewed) with caffeine, including flavored types If "Have you heard of caffeine ...?" is not endorsed , values for "caff_intake_1_l" will be missing. Here, these missing values have been replaced with "0.</t>
  </si>
  <si>
    <t>Espresso drinks with caffeine (Latte, Mocha, Americano) If "Have you heard of caffeine ...?" is not endorsed , values for "caff_intake_3_l" will be missing. Here, these missing values have been replaced with "0.</t>
  </si>
  <si>
    <t>Soda with caffeine (Mountain Dew, Jolt, Coke, Pepsi, Dr. Pepper, Barq's root beer) If "Have you heard of caffeine ...?" is not endorsed , values for "caff_intake_6_l" will be missing. Here, these missing values have been replaced with "0.</t>
  </si>
  <si>
    <t>Energy drinks (Red Bull, Monster, Rock Star, 5-hr energy*, AMP, Full Throttle) If "Have you heard of caffeine ...?" is not endorsed , values for "caff_intake_9_l" will be missing. Here, these missing values have been replaced with "0.</t>
  </si>
  <si>
    <t>What was the largest amount of a caffeinated beverage you drank in ONE DAY in the past month? [Interviewer: calculate total oz; for example 2 cans of soda=24oz] If "Have you heard of caffeine ...?" is not endorsed , values for "caff_max_calc_l" will be missing. Here, these missing values have been replaced with "0.</t>
  </si>
  <si>
    <t>Alcohol helps a person relax, feel happy, feel less tense, and can keep a person's mind off of mistakes at school or work.</t>
  </si>
  <si>
    <t>Alcohol can help how well a person gets along with others (makes people want to have fun together).</t>
  </si>
  <si>
    <t>Alcohol can hurt how well a person gets along with others (makes people mean to others).</t>
  </si>
  <si>
    <t>Alcohol helps people think better and helps coordination (people understand things better; can do things better).</t>
  </si>
  <si>
    <t>Alcohol hurts how people think and it hurts their coordination (run into things, act silly, have a hangover).</t>
  </si>
  <si>
    <t>Alcohol makes a person feel stronger and more powerful (easier to fight, speak in front of others, stand up to others).</t>
  </si>
  <si>
    <t>Alcohol can make people more careless or do things that could get them into trouble (do things they feel bad about; do things they regret).</t>
  </si>
  <si>
    <t>If you wanted to get some beer, wine, or hard liquor (for example vodka, whiskey, or gin), how easy would it be for you to get some?</t>
  </si>
  <si>
    <t>If you wanted to get some cigarettes, how easy would it be for you to get some?</t>
  </si>
  <si>
    <t>If you wanted to get some electronic nicotine or vaping products, such as e-cigarettes, vape pens, or Juuls, how easy would it be for you to get some?</t>
  </si>
  <si>
    <t>If you wanted to get some marijuana, how easy would it be for you to get some?</t>
  </si>
  <si>
    <t>Is medical marijuana" (marijuana prescribed by a doctor) legal in your state?</t>
  </si>
  <si>
    <t>If you wanted to get medical marijuana from someone with a prescription, how easy would it be?</t>
  </si>
  <si>
    <t>If you wanted to get a prescription for yourself for medical marijuana, how easy would it be?</t>
  </si>
  <si>
    <t>How many of your parents, friends, or other family members have a medical marijuana prescription?</t>
  </si>
  <si>
    <t>If you wanted to get some drug like cocaine, LSD, or amphetamines, how easy would it be for you to get some?</t>
  </si>
  <si>
    <t>If you wanted to get liquid, sprays, and gases that people sniff or inhale to get high (such as gasoline, glue, and nitrous oxide), how easy would it be for you to get some?</t>
  </si>
  <si>
    <t>If you wanted to get prescription pain relievers (such as Vicodin, hydrocodone, or Oxycontin; not over the counter drugs like Tylenol) that were not prescribed to you by a doctor, how easy would it be for you to get some?</t>
  </si>
  <si>
    <t>If you wanted to get prescription anxiolytics or tranquilizers (such as Xanax and Ativan) that were not prescribed to you by a doctor, how easy would it be for you to get some?</t>
  </si>
  <si>
    <t>If you wanted to get prescription stimulants (such as Adderall or Ritalin) that were not prescribed to you by a doctor, how easy would it be for you to get some?</t>
  </si>
  <si>
    <t>Strength of negative expectancies for marijuana. Score prorated if some item responses were missing.</t>
  </si>
  <si>
    <t>Strength of positive expectancies for alcohol. Score prorated if some item responses were missing.</t>
  </si>
  <si>
    <t>Strength of negative expectancies for alcohol. Score prorated if some item responses were missing.</t>
  </si>
  <si>
    <t>Strength of positive expectancies for marijuana. Score prorated if some item responses were missing.</t>
  </si>
  <si>
    <t>tlfb_list_l___1 (recoded to combine baseline and 2-year follow-up)</t>
  </si>
  <si>
    <t>What other drugs have you heard of? 1, Stimulant drugs such as cocaine, crack cocaine</t>
  </si>
  <si>
    <t>tlfb_list_l___12 (recoded to combine baseline and 2-year follow-up)</t>
  </si>
  <si>
    <t>What other drugs have you heard of? 12, Other</t>
  </si>
  <si>
    <t>tlfb_list_l___3 (recoded to combine baseline and 2-year follow-up)</t>
  </si>
  <si>
    <t>What other drugs have you heard of? 3, Methamphetamine, meth or crystal meth</t>
  </si>
  <si>
    <t>tlfb_list_l___7 (recoded to combine baseline and 2-year follow-up)</t>
  </si>
  <si>
    <t>What other drugs have you heard of? 7, Heroin, opium, junk, smack, or dope</t>
  </si>
  <si>
    <t>Did the child use caffeine in the past month?</t>
  </si>
  <si>
    <t>tlfb_mj (recoded to combine baseline and 2-year follow-up)</t>
  </si>
  <si>
    <t>tlfb_mj_synth (recoded to combine baseline and 2-year follow-up)</t>
  </si>
  <si>
    <t>tlfb_bitta (recoded to combine baseline and 2-year follow-up)</t>
  </si>
  <si>
    <t>Have you heard of ____ Bittamugen or byphoditin?</t>
  </si>
  <si>
    <t>tlfb_inhalant (recoded to combine baseline and 2-year follow-up)</t>
  </si>
  <si>
    <t>tlfb_rx_misuse (recoded to combine baseline and 2-year follow-up)</t>
  </si>
  <si>
    <t>tlfb_list_yes_no (recoded to combine baseline and 2-year follow-up)</t>
  </si>
  <si>
    <t xml:space="preserve">Have you heard of people using anything else to make them feel high, dizzy or different?   </t>
  </si>
  <si>
    <t>tlfb_alc_sip_l (recoded to combine baseline and 2-year follow-up)</t>
  </si>
  <si>
    <t>Have you heard of ____ alcohol, such as beer, wine or liquor?</t>
  </si>
  <si>
    <t xml:space="preserve">CULTURE/ ENVIRONMENT </t>
  </si>
  <si>
    <t>How much help did your close friends give you? Pick a number between 1 and 10.</t>
  </si>
  <si>
    <t>How much did your close friends encourage you? Pick a number between 1 and 10.</t>
  </si>
  <si>
    <t>Peer Network Health: Protective Scale Score; sum (pnh_substance, pnh_help, pnh_how_much_help, pnh_encourage, pnh_how_much_encourage); Validation: Items #1,#2, and #3 must be answered</t>
  </si>
  <si>
    <t>Are athletes</t>
  </si>
  <si>
    <t>Have skipped school</t>
  </si>
  <si>
    <t>Go to church once a month or more often</t>
  </si>
  <si>
    <t>Have been suspended from school</t>
  </si>
  <si>
    <t>Are excellent students (GPA 3.5 [B+] or higher)</t>
  </si>
  <si>
    <t>Have shoplifted occasionally</t>
  </si>
  <si>
    <t>Involvement with Prosocial Peers sum(pbp_athletes, pbp_church, pbp_good_student) Validation: Minimum of two items must be answered</t>
  </si>
  <si>
    <t>Involvement with Rule Breaking/Delinquent Peers sum(pbp_skip_school, pbp_suspended, pbp_shop_lifted) Validation: Minimum of two items must be answered</t>
  </si>
  <si>
    <t>How many days did you skip school without an excuse during the past 4 weeks? &lt;u&gt; Do not count days that were excused, like when school is on vacation or you have a note from your parent or doctor.&lt;/u&gt;</t>
  </si>
  <si>
    <t>What grades did you receive in school last year? Please look at the list and pick the line that best describes your grades in school last year.</t>
  </si>
  <si>
    <t>Discrimination Measure mean(dim_matrix_q1,dim_matrix_q2,dim_matrix_q3,dim_matrix_q4,dim_matrix_q5,dim_matrix_q6,dim_matrix_q7); Only add if value 1 - 5; Validation: Minimum of four items must be answered</t>
  </si>
  <si>
    <t>How often do the following people treat you unfairly or negatively because of your ethnic background? Teachers:</t>
  </si>
  <si>
    <t>How often do the following people treat you unfairly or negatively because of your ethnic background? Other adults outside school:</t>
  </si>
  <si>
    <t>How often do the following people treat you unfairly or negatively because of your ethnic background? Other students:</t>
  </si>
  <si>
    <t>I feel that others behave in an unfair or negative way toward my ethnic group:</t>
  </si>
  <si>
    <t>I feel that I am not wanted in American society:</t>
  </si>
  <si>
    <t>I don't feel accepted by other Americans:</t>
  </si>
  <si>
    <t>I feel that other Americans have something against me:</t>
  </si>
  <si>
    <t>CohesIon Sum Score mean(comc_phenx_close_knIt_p, comc_phenx_help_p, comc_phenx_get_along_p, comc_phenx_share_values_p, comc_phenx_trusted_p) 999 (dont know) converted to 3 In summary score calculatIon ValIdatIon: MInImum of 1 Item must be answered</t>
  </si>
  <si>
    <t>Control Sum Score mean(comc_phenx_skIp_p, comc_phenx_graffItI_p, comc_phenx_dIsrespect_p, comc_phenx_fIght_p, comc_phenx_budget_p) 999 (dont know) converted to 3 In summary score calculatIon ValIdatIon: MInImum of 1 Item must be answered</t>
  </si>
  <si>
    <t>CollectIve EffIcacy Sum Score mean of all 10 questIons asked In control and cohesIon mean(comc_phenx_close_knIt_p, comc_phenx_help_p,, comc_phenx_get_along_p, comc_phenx_share_values_p, comc_phenx_trusted_p, comc_phenx_skIp_p, comc_phenx_graffItI_p, comc_phenx_dIsrespect_p, comc_phenx_FIght_p, comc_phenx_budget_p) 999 (dont know) converted to 3 In summary score calculatIon ValIdatIon: MInImum of 1 Item must be answered</t>
  </si>
  <si>
    <t>This is a close-knit neighborhood. / Este es un vecindario muy unido.</t>
  </si>
  <si>
    <t>People around here are willing to help their neighbors. / La gente de por aquÃ­ estÃ¡ dispuesta a ayudar a sus vecinos.</t>
  </si>
  <si>
    <t>People in this neighborhood generally don't get along with each other. / La gente en este vecindario por lo general no se lleva bien.</t>
  </si>
  <si>
    <t>People in this neighborhood do not share the same values. / La gente de este vecindario no comparte los mismos valores.</t>
  </si>
  <si>
    <t>People in this neighborhood can be trusted. / La gente de este vecindario es de confianza.</t>
  </si>
  <si>
    <t>If a group of neighborhood children were skipping school and hanging out on a street corner how likely is that your neighbors would do something about it? / Si un grupo de niÃ±os del vecindario estuviera faltando a la escuela y pasando el rato en una esquina Â¿quÃ© probabilidades hay de que sus vecinos hagan algo al respecto?</t>
  </si>
  <si>
    <t>If some children were spray-painting graffiti on a local building how likely is it that your neighbors would do something about it? / Si algunos niÃ±os estuvieran pintando grafiti con pintura en aerosol en un edificio local Â¿quÃ© probabilidades hay de que sus vecinos hagan algo al respecto?</t>
  </si>
  <si>
    <t>If a child was showing disrespect to an adult how likely is it that people in your neighborhood would scold that child? / Si un niÃ±o le estuviera faltando el respeto a un adulto Â¿quÃ© probabilidades hay de que la gente de su vecindario regaÃ±e a ese niÃ±o?</t>
  </si>
  <si>
    <t>If there was a fight in front of your house and someone was being beaten or threatened how likely is it that your neighbors would break it up? / Si hubiera una pelea enfrente de su casa y a alguien lo estuvieran golpeando o amenazando Â¿quÃ© probabilidades hay de que sus vecinos intervengan?</t>
  </si>
  <si>
    <t>Suppose that because of budget cuts the fire station closest to your home was going to be closed down by the city. How likely is it that neighborhood residents would organize to try to do something to keep the fire station open? / Suponga que debido a los recortes de presupuesto la municipalidad fuese a cerrar la estacion de bomberos mas cercana a su casa. Â¿QuÃ© tan probable es que los residentes de su vecindad se organicen para tratar de hacer algo para mantener la estaciÃ³n de bomberos abierta?</t>
  </si>
  <si>
    <t>How many days did your child miss school with an acceptable excuse during the past 4 weeks? / Â¿CuÃ¡ntos dÃ­as faltÃ³ su hijo/a a la escuela con una excusa aceptable durante las Ãºltimas 4 semanas?</t>
  </si>
  <si>
    <t>How many days did your child miss school without an acceptable excuse during the past 4 weeks? / Â¿CuÃ¡ntos dÃ­as faltÃ³ su hijo/a a la escuela sin una excusa aceptable durante las Ãºltimas 4 semanas?</t>
  </si>
  <si>
    <t>How many excused absences from school did your child have in the last 12 months? / Â¿CuÃ¡ntas ausencias justificadas a la escuela tuvo su hijo/a en los Ãºltimos 12 meses?</t>
  </si>
  <si>
    <t>How many unexcused absences from school did your child have in the last 12 months? / Â¿CuÃ¡ntas ausencias injustificadas a la escuela tuvo su hijo/a en los Ãºltimos 12 meses?</t>
  </si>
  <si>
    <t>What grades did your child receive in school last year? / Â¿QuÃ© calificaciones o notas obtuvo su hijo/a en la escuela el aÃ±o pasado?</t>
  </si>
  <si>
    <t>ExpressIon subscale From the FamIly EnvIronment Scale Sum oF Parent Report Prorated Score (Based on mInImum oF 5 Items answered)</t>
  </si>
  <si>
    <t>Intellectual-Cultural subscale From the FamIly EnvIronment Scale Sum oF Parent Report Prorated Score (Based on mInImum oF 5 Items answered)</t>
  </si>
  <si>
    <t>ActIvIty-RecreatIonal subscale From the FamIly EnvIronment Scale Sum oF Parent Report Prorated Score (Based on mInImum oF 5 Items answered)</t>
  </si>
  <si>
    <t>OrganIzatIon subscale From the FamIly EnvIronment Scale Sum oF Parent Report Prorated Score (Based on mInImum oF 5 Items answered)</t>
  </si>
  <si>
    <t>CohesIon subscale From the FamIly EnvIronment Scale Sum oF Parent Report Prorated Score (Based on mInImum oF 5 Items answered)</t>
  </si>
  <si>
    <t>Total Number of Events : Validation: No Minimum</t>
  </si>
  <si>
    <t>Total Number of Good Events : Validation: No Minimum</t>
  </si>
  <si>
    <t>Total Number of Bad Events : Validation: No Minimum</t>
  </si>
  <si>
    <t>How Much Affected - Sum : Validation: No Minimum</t>
  </si>
  <si>
    <t>How Much Affected Good - Sum : Validation: No Minimum</t>
  </si>
  <si>
    <t>How Much Affected Good - Mean : Validation: No Minimum</t>
  </si>
  <si>
    <t>How Much Affected Bad - Sum : Validation: No Minimum</t>
  </si>
  <si>
    <t>How Much Affected Bad - Mean : Validation: No Minimum</t>
  </si>
  <si>
    <t>How much did the event affect you?</t>
  </si>
  <si>
    <t>How often in the past 12 months?</t>
  </si>
  <si>
    <t>How Much Affected Good: Validation: No Minimum</t>
  </si>
  <si>
    <t>How Much Affected Good Mean : Validation: No Minimum</t>
  </si>
  <si>
    <t>How Much Affected Bad Sum : Validation: No Minimum</t>
  </si>
  <si>
    <t>How Much Affected Bad Mean : Validation: No Minimum</t>
  </si>
  <si>
    <t>How Much Affected Mean : Validation: No Minimum</t>
  </si>
  <si>
    <t>How Much Affected Sum : Validation: No Minimum</t>
  </si>
  <si>
    <t>How much did the event affect your child? ¿Cuánto afectó el evento a su niño(a)?</t>
  </si>
  <si>
    <t>Residential history derived - Uniform Crime Reports: durg abose violations total 1</t>
  </si>
  <si>
    <t>Move in year of current residence 1</t>
  </si>
  <si>
    <t>Move out year of current residence 1</t>
  </si>
  <si>
    <t>Residential history derived - annual average of O3 in 2016 at primary residential address at 1x1km2</t>
  </si>
  <si>
    <t>Average Annual Daily Traffic Counts at current address #1</t>
  </si>
  <si>
    <t>Z-scores, overall COI, nationally-normed: Weighted average of three domain averaged z-scores (z_ED_nat, z_HE_nat, z_SE_nat), nationally normed.</t>
  </si>
  <si>
    <t>Educational Domain Adult educational attainment: Ratio of students enrolled in at least one AP course to the number of 11th and 12th graders, transformed to z-scores.</t>
  </si>
  <si>
    <t>Educational Domain College enrollment in nearby institutions: Percentage adults ages 25 and over with a college degree or higher, transformed to z-scores.</t>
  </si>
  <si>
    <t>Educational Domain Early childhood education enrollment: Percentage 18-24 year-olds enrolled in college within 25-mile radius, transformed to z-scores.</t>
  </si>
  <si>
    <t>Educational Domain High school graduation rate: Percentage 3- and 4-year-olds enrolled in nursery school, preschool or kindergarten, transformed to z-scores.</t>
  </si>
  <si>
    <t>Educational Domain Third grade math proficiency: Percentage ninth graders graduating from high school on time, transformed to z-scores.</t>
  </si>
  <si>
    <t>Educational Domain Third grade reading proficiency: Percentage third graders scoring proficient on standardized math tests, converted to NAEP scale score points, transformed to z-scores.</t>
  </si>
  <si>
    <t>Educational Domain School poverty: Percentage third graders scoring proficient on standardized reading tests, converted to NAEP scale score points, transformed to z-scores.</t>
  </si>
  <si>
    <t>Educational Domain Teacher experience: Percentage students in elementary schools eligible for free or reduced-price lunches, transformed to z-scores and multiplied by -1.</t>
  </si>
  <si>
    <t>Educational Domain Early childhood education centers: Percentage teachers in their first and second year, transformed to z-scores and multiplied by -1.</t>
  </si>
  <si>
    <t>Educational Domain High-quality early childhood education centers: Number of ECE centers within a 5-mile radius, converted to natural log units, transformed to z-scores.</t>
  </si>
  <si>
    <t>Educational Domain Access to healthy food: Number of NAEYC accredited centers within a 5-mile radius, converted to natural log units, transformed to z-scores.</t>
  </si>
  <si>
    <t>Health and Environment Domain Access to green space: Percentage households without a car located further than a half-mile from the nearest supermarket, transformed to z-scores and multiplied by -1.</t>
  </si>
  <si>
    <t>Health and Environment Domain Extreme heat exposure: Percentage impenetrable surface areas such as rooftops, roads or parking lots, transformed to z-scores and multiplied by -1.</t>
  </si>
  <si>
    <t>Health and Environment Domain Health insurance coverage: Summer days with maximum temperature above 90F, transformed to z-scores and multiplied by -1.</t>
  </si>
  <si>
    <t>Health and Environment Domain Ozone concentration: Percentage individuals ages 0-64 with health insurance coverage, transformed to z-scores.</t>
  </si>
  <si>
    <t>Health and Environment Domain Airborne microparticles: Mean estimated 8-hour average ozone concentration, transformed to z-scores and multiplied by -1.</t>
  </si>
  <si>
    <t>Health and Environment Domain Housing vacancy rate: Mean estimated microparticle (PM2.5) concentration, transformed to z-scores and multiplied by -1.</t>
  </si>
  <si>
    <t>Health and Environment Domain Walkability: Percentage housing units that are vacant, transformed to z-scores and multiplied by -1.</t>
  </si>
  <si>
    <t>Health and Environment Domain Hazardous waste dump sites: EPA Walkability Index, transformed to z-scores.</t>
  </si>
  <si>
    <t>Health and Environment Domain Industrial pollutants in air, water or soil: Average number of Superfund sites within a 2-mile radius, converted to natural log units, transformed to z-scores and multiplied by -1.</t>
  </si>
  <si>
    <t>Industrial pollutants in air, water or soil: Index of toxic chemicals released by industrial facilities, converted to natural log units, transformed to z-scores and multiplied by -1.</t>
  </si>
  <si>
    <t>Social and Economic Domain: Poverty rate z-score</t>
  </si>
  <si>
    <t>Social and Economic Domain: Public assistance rate z-score</t>
  </si>
  <si>
    <t>Social and Economic Domain: Homeownership rate z-score</t>
  </si>
  <si>
    <t>Social and Economic Domain: High-skill employment z-score</t>
  </si>
  <si>
    <t>Social and Economic Domain: Median household income z-score</t>
  </si>
  <si>
    <t>Employment rate: Percentage adults ages 25-54 who are employed, transformed to z-scores.</t>
  </si>
  <si>
    <t>Commute duration: Percentage workers commuting more than one hour one way, transformed to z-scores and multiplied by -1.</t>
  </si>
  <si>
    <t>Single-headed households: Percentage family households that are single-parent headed, transformed to z-scores and multiplied by -1.</t>
  </si>
  <si>
    <t>Economic resource index: combines poverty rate, public assistance rate, homeownership rate, high skill employment, and median household income, transformed to z-scores.</t>
  </si>
  <si>
    <t>Residential history derived - Census tract CDC Social Vulnerability Index (SVI) (overall percentile) at primary residential address (ACS 2014-2018 5 yr avg)</t>
  </si>
  <si>
    <t>Residential history derived - Census tract CDC SVI (percentile % below poverty subcomponent) at primary residential address (ACS 2014-2018 5 yr avg)</t>
  </si>
  <si>
    <t>Residential history derived - Census tract CDC SVI (percentile unemployment rate subcomponent) at primary residential address (ACS 2014-2018 5 yr avg)</t>
  </si>
  <si>
    <t>Residential history derived - Census tract CDC SVI (percentile per capita income subcomponent) at primary residential address (ACS 2014-2018 5 yr avg)</t>
  </si>
  <si>
    <t>Residential history derived - Census tract CDC SVI (percentile % no high school diploma subcomponent) at primary residential address (ACS 2014-2018 5 yr avg)</t>
  </si>
  <si>
    <t>Residential history derived - Census tract CDC SVI (percentile % persons 65 and older subcomponent) at primary residential address (ACS 2014-2018 5 yr avg)</t>
  </si>
  <si>
    <t>Residential history derived - Census tract CDC SVI (percentile % persons 17 and younger subcomponent) at primary residential address (ACS 2014-2018 5 yr avg)</t>
  </si>
  <si>
    <t>Residential history derived - Census tract CDC SVI (percentile % population with a disability subcomponent) at primary residential address (ACS 2014-2018 5 yr avg)</t>
  </si>
  <si>
    <t>Residential history derived - Census tract CDC SVI (percentile % single parent households with children under 18 subcomponent) at primary residential address (ACS 2014-2018 5 yr avg)</t>
  </si>
  <si>
    <t>Residential history derived - Census tract CDC SVI (percentile % minority subcomponent) at primary residential address (ACS 2014-2018 5 yr avg)</t>
  </si>
  <si>
    <t>Residential history derived - Census tract CDC SVI (percentile % persons who speak English ''less than well'' subcomponent) at primary residential address (ACS 2014-2018 5 yr avg)</t>
  </si>
  <si>
    <t>Residential history derived - Census tract CDC SVI (percentile % housing structures with 10 or more units subcomponent) at primary residential address (ACS 2014-2018 5 yr avg)</t>
  </si>
  <si>
    <t>Residential history derived - Census tract CDC SVI (percentile % mobile homes subcomponent) at primary residential address (ACS 2014-2018 5 yr avg)</t>
  </si>
  <si>
    <t>Residential history derived - Census tract CDC SVI (percentile % crowding subcomponent) at primary residential address (ACS 2014-2018 5 yr avg)</t>
  </si>
  <si>
    <t>Residential history derived - Census tract CDC SVI (percentile % households with no vehicle) at primary residential address (ACS 2014-2018 5 yr avg)</t>
  </si>
  <si>
    <t>Residential history derived - Census tract CDC SVI (percentile % persons in group quarters) at primary residential address (ACS 2014-2018 5 yr avg)</t>
  </si>
  <si>
    <t>Residential history derived - Census tract CDC SVI (percentile socioeconomic theme) at primary residential address (ACS 2014-2018 5 yr avg)</t>
  </si>
  <si>
    <t>Residential history derived - Census tract CDC SVI (percentile household composition theme) at primary residential address (ACS 2014-2018 5 yr avg)</t>
  </si>
  <si>
    <t>Residential history derived - Census tract CDC SVI (percentile minority/language theme) at primary residential address (ACS 2014-2018 5 yr avg)</t>
  </si>
  <si>
    <t>Residential history derived - Census tract CDC SVI (percentile housing type/transportation theme) at primary residential address (ACS 2014-2018 5 yr avg)</t>
  </si>
  <si>
    <t>Residential history derived - Opportunity Atlas Mean outcome for all children</t>
  </si>
  <si>
    <t>Z-scores, education domain, nationally-normed: Weighted average of education domain component indicator z-scores, nationally normed.</t>
  </si>
  <si>
    <t>Z-scores, health and environment domain, nationally-normed: Weighted average of health and environment domain component indicator z-scores, nationally normed.</t>
  </si>
  <si>
    <t>Z-scores, social and economic domain, nationally-normed: Weighted average of social and economic domain component indicator z-scores, nationally normed.</t>
  </si>
  <si>
    <t>Residential history derived - annual average of NO2 in 2016 at primary residential address at 1x1km2</t>
  </si>
  <si>
    <t>Dummy code created from reshist_state_mj_law. Medical  versus not</t>
  </si>
  <si>
    <t>During the last 6 months, have any of your close friends ever suggested that you &lt;i&gt;not&lt;/i&gt; use drugs or alcohol?</t>
  </si>
  <si>
    <t>During the last 6 months, have any of your close friends given you help with school, with money, with transportation, or help by talking through problems?</t>
  </si>
  <si>
    <t>During the last 6 months, have any of your close friends encouraged you to get or stay involved with sports/exercise, school teams or clubs, volunteering, or religious activities?</t>
  </si>
  <si>
    <t>Did any of those activities include art, music, dance, or theater?</t>
  </si>
  <si>
    <t>In the past 12 months, have you felt discriminated against: because of your race, ethnicity, or color? Definition of ethnicity: groups of people who have the same customs, or origin</t>
  </si>
  <si>
    <t>In the past 12 months, have you felt discriminated against: because someone thought you were gay, lesbian, or bisexual?</t>
  </si>
  <si>
    <t>In the past 12 months, have you felt discriminated against: because of your weight?</t>
  </si>
  <si>
    <t>Does your child currently have an Individualized Education Plan or IEP? / Â¿Su hijo/a tiene actualmente un Plan de EducaciÃ³n Individualizado o IEP (por sus siglas en inglÃ©s)?</t>
  </si>
  <si>
    <t>Has your child ever had an Individualized Education Plan or IEP? / Â¿Alguna vez ha tenido su hijo/a un Plan de EducaciÃ³n Individualizado o IEP (por sus siglas en inglÃ©s)?</t>
  </si>
  <si>
    <t>We often seem to be killing time at home.A menudo parece que estamos matando el tiempo en casa.</t>
  </si>
  <si>
    <t>We say anything we want to around home.Decimos lo que queremos en casa.</t>
  </si>
  <si>
    <t>We rarely go to lectures, plays, or concerts.Rara vez vamos a conferencias, obras de teatro o conciertos.</t>
  </si>
  <si>
    <t>Friends often come over for dinner or to visit.Los amigos a menudo vienen a cenar o a visitarnos.</t>
  </si>
  <si>
    <t>We are generally very neat and orderly.Por lo general, somos muy pulcros y ordenados.</t>
  </si>
  <si>
    <t>We put a lot of energy into what we do at home.Ponemos mucha energ?a en lo que hacemos en casa.</t>
  </si>
  <si>
    <t>It's hard to blow off steam at home without upsetting somebody.Es dif?cil desahogarse en casa sin que alguien se moleste.</t>
  </si>
  <si>
    <t>Learning about new and different things is very important in our family.Aprender cosas nuevas y diferentes es muy importante en nuestra familia.</t>
  </si>
  <si>
    <t>Nobody in our family is active in sports, Little League, bowling, etc.Nadie en nuestra familia practica deportes, ni juega en las peque?as ligas, a los bolos, etc.</t>
  </si>
  <si>
    <t>It's often hard to find things when we need them in our household.A menudo, es dif?cil encontrar cosas cuando las necesitamos en nuestra casa.</t>
  </si>
  <si>
    <t>Family members often keep their feelings to themselves. Los miembros de la familia a menudo guardan sus sentimientos para s? mismos.</t>
  </si>
  <si>
    <t>There is a feeling of togetherness in our family.Hay un sentimiento de uni?n en nuestra familia.</t>
  </si>
  <si>
    <t>We tell each other about our personal problems.Nos contamos nuestros problemas personales.</t>
  </si>
  <si>
    <t>We are not that interested in cultural activities.No nos interesan mucho las actividades culturales.</t>
  </si>
  <si>
    <t>We often go to the movies, sports events, camping, etc.A menudo vamos al cine, a eventos deportivos, a acampar, etc.</t>
  </si>
  <si>
    <t>Being on time is very important in our family.Ser puntuales es muy importante en nuestra familia.</t>
  </si>
  <si>
    <t>We rarely volunteer when something has to be done at home.Rara vez nos ofrecemos como voluntarios cuando hay algo que hacer en casa.</t>
  </si>
  <si>
    <t>If we feel like doing something on the spur of the moment we often just pick up and go.Si nos entran ganas de hacer algo de improviso, a menudo vamos y lo hacemos.</t>
  </si>
  <si>
    <t>We rarely have intellectual discussions.Rara vez tenemos conversaciones intelectuales.</t>
  </si>
  <si>
    <t>Everyone in our family has a hobby or two.Todos en nuestra familia tienen un pasatiempo o dos.</t>
  </si>
  <si>
    <t>People change their minds often in our family.En nuestra familia las personas cambian de opini?n con frecuencia.</t>
  </si>
  <si>
    <t>Family members really back each other up.Los miembros de la familia realmente se apoyan unos a otros.</t>
  </si>
  <si>
    <t>Someone usually gets upset if you complain in our family.Si una persona se queja en nuestra familia, normalmente alguien se molesta.</t>
  </si>
  <si>
    <t>Someone in our family plays a musical instrument.Alguien en nuestra familia toca un instrumento musical.</t>
  </si>
  <si>
    <t>Family members are not very involved in recreational activities outside work or school.Los miembros de la familia no est?n muy involucrados en actividades recreativas fuera del trabajo o de la escuela.</t>
  </si>
  <si>
    <t>Family members make sure their rooms are neat.Los miembros de la familia se aseguran de que sus habitaciones est?n ordenadas.</t>
  </si>
  <si>
    <t>We often talk about political and social problems.A menudo hablamos de problemas pol?ticos y sociales.</t>
  </si>
  <si>
    <t>There is very little group spirit in our family.Hay muy poco ?nimo de mantenernos en equipo en nuestra familia.</t>
  </si>
  <si>
    <t>Money and paying bills is openly talked about in our family.En nuestra familia se habla abiertamente del dinero y del pago de las cuentas.</t>
  </si>
  <si>
    <t>Family members sometimes attend courses or take lessons for some hobby or interest (outside of school).Los miembros de la familia a veces asisten a cursos o toman clases para alg?n pasatiempo o inter?s (fuera de la escuela).</t>
  </si>
  <si>
    <t>Each person's duties are clearly defined in our family.En nuestra familia, las obligaciones de cada persona est?n claramente definidas.</t>
  </si>
  <si>
    <t>We really get along well with each other.Realmente nos llevamos bien entre nosotros.</t>
  </si>
  <si>
    <t>We are usually careful about what we say to each other.Normalmente tenemos cuidado con lo que nos decimos los unos a los otros.</t>
  </si>
  <si>
    <t>Watching TV is more important than reading in our family.En nuestra familia ver la televisi?n es m?s importante que leer.</t>
  </si>
  <si>
    <t>Family members go out a lot.Los miembros de la familia salen mucho.</t>
  </si>
  <si>
    <t>Money is not handled very carefully in our family.En nuestra familia el dinero no se maneja con mucho cuidado.</t>
  </si>
  <si>
    <t>We spend most weekends and evenings at home.Pasamos la mayor?a de los fines de semana y las noches en casa.</t>
  </si>
  <si>
    <t>There is plenty of time and attention for everyone in our family.En nuestra familia todos reciben mucho tiempo y atenci?n.</t>
  </si>
  <si>
    <t>There are a lot of spontaneous discussions in our family.Hay muchas conversaciones espont?neas en nuestra familia.</t>
  </si>
  <si>
    <t>Family members really like music, art and literature.A los miembros de la familia les gusta mucho la m?sica, el arte y la literatura.</t>
  </si>
  <si>
    <t>Our main form of entertainment is watching TV or listening to the radio.Nuestra principal forma de entretenimiento es ver la televisi?n o escuchar la radio.</t>
  </si>
  <si>
    <t>Dishes are usually done immediately after eating.Por lo general, los platos se lavan inmediatamente despu?s de comer.</t>
  </si>
  <si>
    <t>Activities in our family are pretty carefully planned.Las actividades en nuestra familia se planean cuidadosamente.</t>
  </si>
  <si>
    <t>Someone in family died?</t>
  </si>
  <si>
    <t>Did this happen in the past year?</t>
  </si>
  <si>
    <t>Family member was seriously injured?</t>
  </si>
  <si>
    <t>Saw crime or accident?</t>
  </si>
  <si>
    <t>Lost a close friend?</t>
  </si>
  <si>
    <t>Close friend was seriously sick/injured?</t>
  </si>
  <si>
    <t>Negative change in parent's financial situation?</t>
  </si>
  <si>
    <t>Family member had drug and/or alcohol problem?</t>
  </si>
  <si>
    <t>You got seriously sick?</t>
  </si>
  <si>
    <t>You got seriously injured?</t>
  </si>
  <si>
    <t>Parents argued more than previously?</t>
  </si>
  <si>
    <t>Mother/father figure lost job?</t>
  </si>
  <si>
    <t>One parent was away from home more often?</t>
  </si>
  <si>
    <t>Someone in the family was arrested?</t>
  </si>
  <si>
    <t>Close friend died?</t>
  </si>
  <si>
    <t>Family member had mental/emotional problem?</t>
  </si>
  <si>
    <t>Brother or sister left home?</t>
  </si>
  <si>
    <t>Parents separated or divorced?</t>
  </si>
  <si>
    <t>Parents/caregiver got into trouble with the law?</t>
  </si>
  <si>
    <t>Attended a new school?</t>
  </si>
  <si>
    <t>Family moved?</t>
  </si>
  <si>
    <t>One of the parents/caregivers went to jail?</t>
  </si>
  <si>
    <t>Got new stepmother or stepfather?</t>
  </si>
  <si>
    <t>Parent/caregiver got a new job?</t>
  </si>
  <si>
    <t>Got new brother or sister?</t>
  </si>
  <si>
    <t>Was this a good or bad experience?</t>
  </si>
  <si>
    <t>Have you ever been cyberbullied, where someone was trying on purpose to harm you or be mean to you online, in texts, or group texts, or on social media (like Instagram or Snapchat)?</t>
  </si>
  <si>
    <t>Has this happened to you in the past 12 months?</t>
  </si>
  <si>
    <t>Did they have more power, strength, or social influence than you? This could be because they were bigger, had more friends, were more popular, or had more power than you in another way?</t>
  </si>
  <si>
    <t>Someone in family died? ¿Alguien en la familia murió?</t>
  </si>
  <si>
    <t>Did this happen in the past year? ¿Esto ha sucedido en el último año?</t>
  </si>
  <si>
    <t>Was this a good or bad experience for your child? ¿Esto fue una buena o mala experiencia para su niño(a)?</t>
  </si>
  <si>
    <t>Family member was seriously injured? ¿Un miembro de la familia ha sido gravemente herido?</t>
  </si>
  <si>
    <t>Saw crime or accident? ¿Vió un crimen o un accidente?</t>
  </si>
  <si>
    <t>Lost a close friend? ¿Perdió a un amigo cercano?</t>
  </si>
  <si>
    <t>Close friend was seriously sick/injured? ¿Un amigo cercano estaba gravemente enfermo / herido?</t>
  </si>
  <si>
    <t>Negative change in parent's financial situation? ¿Un cambio negativo en la situación financiera de los padres?</t>
  </si>
  <si>
    <t>Family member had drug and/or alcohol problem? ¿Un miembro de la familia a tenido problemas con drogas y / o alcohol?</t>
  </si>
  <si>
    <t>Child was seriously sick? ¿Niño(a) se enfermó gravemente?</t>
  </si>
  <si>
    <t>Child was seriously injured? ¿Niño(a) fue gravemente herido(a)?</t>
  </si>
  <si>
    <t>Parents argued more than previously? ¿Los padres discutieron más que anteriormente?</t>
  </si>
  <si>
    <t>Parent figure lost job?</t>
  </si>
  <si>
    <t>One parent was away from home more often? ¿Uno de los padres estaba fuera de casa con más frecuencia?</t>
  </si>
  <si>
    <t>Someone in the family was arrested? ¿Alguien en la familia fue arrestado?</t>
  </si>
  <si>
    <t>Close friend died? ¿Un amigo cercano murió?</t>
  </si>
  <si>
    <t>Family member had mental/emotional problem? ¿Un miembro de la familia a tenido problemas mentales o emocionales?</t>
  </si>
  <si>
    <t>Sibling left home?</t>
  </si>
  <si>
    <t>Parents separated or divorced? ¿Padres divorciados?</t>
  </si>
  <si>
    <t>Parents/caregiver got into trouble with the law? ¿Padres / cuidadores tuvieron problemas con la ley?</t>
  </si>
  <si>
    <t>Attended a new school? ¿Asistieron a una nueva escuela?</t>
  </si>
  <si>
    <t>Family moved? ¿La familia se mudó?</t>
  </si>
  <si>
    <t>One of the parents/caregivers went to jail? ¿Uno de los padres / cuidadores fueron a la cárcel?</t>
  </si>
  <si>
    <t>Got new step-parent?</t>
  </si>
  <si>
    <t>Parent/caregiver got a new job? ¿Padres / cuidadores tienen un nuevo trabajo?</t>
  </si>
  <si>
    <t>Got new sibling?</t>
  </si>
  <si>
    <t xml:space="preserve">PHYSICAL HEALTH </t>
  </si>
  <si>
    <t>Music. About how many hours per week does your child spend listening to music for pleasure?</t>
  </si>
  <si>
    <t>Reading About how many hours per week does your child spend reading for pleasure?</t>
  </si>
  <si>
    <t>Make sure shoes and unnecessary layers of clothes (jackets or hats) have been removed before taking weight measurement.) 1. Okay, make sure you empty your pockets for this next measurement. Please stand completely still in the center of the scale with your feet close together, your hands at your side, and your head looking straight ahead. Please stay as still as possible while I measure your weight. (OBTAIN &amp; RECORD WEIGHT #1 (in lbs))</t>
  </si>
  <si>
    <t xml:space="preserve">How many times has he/she been to the emergency room in that past year?	</t>
  </si>
  <si>
    <t>Broken Bones How many times?</t>
  </si>
  <si>
    <t>Sprains How many times?</t>
  </si>
  <si>
    <t>Scrapes How many times</t>
  </si>
  <si>
    <t>Falls How many times?</t>
  </si>
  <si>
    <t>High Fever How many times?</t>
  </si>
  <si>
    <t>Other How many times?</t>
  </si>
  <si>
    <t>Has he/she ever had general anesthesia or sedation for any surgery or procedure? How many times?</t>
  </si>
  <si>
    <t>At what age for the most recent time (years)? ¿A qué edad durante el tiempo más reciente?</t>
  </si>
  <si>
    <t>Mean Systolic</t>
  </si>
  <si>
    <t>Mean Diastolic</t>
  </si>
  <si>
    <t>Derived from:  blood_pressure_pulse_1,blood_pressure_pulse_2,blood_pressure_pulse_3</t>
  </si>
  <si>
    <t>Values for pulse, averaged to compute mean pulse and blood pressure across 3 time points</t>
  </si>
  <si>
    <t>I need ________ minutes to fall asleep.</t>
  </si>
  <si>
    <t>After falling asleep, I wake up ____ times during the night.</t>
  </si>
  <si>
    <t>Altogether, these awakenings last ______minutes.</t>
  </si>
  <si>
    <t>After _________ minutes I get up.</t>
  </si>
  <si>
    <t>After falling asleep, I wake up ____ times during the night. &lt;i&gt;(Min=0, Max = 10)&lt;/i&gt;</t>
  </si>
  <si>
    <t>Sleep duration, workday</t>
  </si>
  <si>
    <t>Sleep duration, freeday</t>
  </si>
  <si>
    <t>Total time in bed, workday</t>
  </si>
  <si>
    <t>Total time in bed, freeday</t>
  </si>
  <si>
    <t>Average weekly sleep duration</t>
  </si>
  <si>
    <t>Chronotype</t>
  </si>
  <si>
    <t>Absolute social jetlag</t>
  </si>
  <si>
    <t>Over the past month, how much did it hurt when it was the WORST 0 = not at all, 10 = the worst)?</t>
  </si>
  <si>
    <t>How long do your aches or pains usually last?</t>
  </si>
  <si>
    <t>Over the past month, how much did the pain stop you from doing your normal activities (0 = not at all, 10 = stop me from doing anything)?</t>
  </si>
  <si>
    <t>During the past 7 days, on how many days were you physically active for a total of at least 60 minutes per day? (Add up all the time you spent in any kind of physical activity that increased your heart rate and made you breathe hard some of the time)</t>
  </si>
  <si>
    <t>On how many of the past 7 days did you do exercises to strengthen or tone your muscles, such as push-ups, sit-ups, or weight lifting?</t>
  </si>
  <si>
    <t>In an average week when you are in school, on how many days do you go to physical education (PE) class?</t>
  </si>
  <si>
    <t>How old was your child?</t>
  </si>
  <si>
    <t>dt_kcal</t>
  </si>
  <si>
    <t>dt_prot</t>
  </si>
  <si>
    <t>dt_tfat</t>
  </si>
  <si>
    <t>dt_carb</t>
  </si>
  <si>
    <t>dt_fibe</t>
  </si>
  <si>
    <t>dt_sug_t</t>
  </si>
  <si>
    <t>group_sugarybevg_total_kcal</t>
  </si>
  <si>
    <t>If yes, how old were you when you started to menstruate?</t>
  </si>
  <si>
    <t>How old were they when they started to menstruate?</t>
  </si>
  <si>
    <t>On average, how many days are there between the first day of your/your child's period and the first day of your/her next period? (e.g., 30 days)</t>
  </si>
  <si>
    <t>Do you experience premenstrual symptoms, such as irritability, fatigue, etc., which start before a period and stop within a few days of bleeding?</t>
  </si>
  <si>
    <t>Do your premenstrual symptoms interfere with your/her relationships with family and friends, productivity, and/or social life activities?</t>
  </si>
  <si>
    <t>On average, how many days are there between the first day of their period and the first day of their next period? (e.g., 30 days)</t>
  </si>
  <si>
    <t>Do they experience premenstrual irritability, fatigue, tearfulness, etc., which start before their period and stop within a few days of bleeding?</t>
  </si>
  <si>
    <t>Do their premenstrual symptoms interfere with their relationships with family and friends, productivity, and/or social life activities?</t>
  </si>
  <si>
    <t>Gish Male sum(gish_m1_y:gish_m4_y); Validation: All male items must be answered</t>
  </si>
  <si>
    <t>GISH Female (gish_f_y:gish_f4_y); Validation: All female items must be answered</t>
  </si>
  <si>
    <t>How much do you feel like a boy?</t>
  </si>
  <si>
    <t>How much do you feel like a girl?</t>
  </si>
  <si>
    <t>How much have you had the wish to be a girl?</t>
  </si>
  <si>
    <t>How much have you dressed or acted as a girl during play?</t>
  </si>
  <si>
    <t>How much have you had the wish to be a boy?</t>
  </si>
  <si>
    <t>How much have you dressed or acted as a boy during play?</t>
  </si>
  <si>
    <t>GISH Male Sum V2 Sum all male values = (gish_m1_p plus gish_m2_p plus gish_m3_p plus gish_m4_p plus gish_m5_p plus gish_m6_p plus gish_m7_p plus gish_m8_p plus gish_m10_p plus gish_m12_p plus gish_m13_p plus gish_m14_p)Validation: All items must be answered</t>
  </si>
  <si>
    <t>GISH Female Sum V2 Sum all female values = (gish_f1_p plus gish_f2_p plus gish_f3_p plus gish_f4_p plus gish_f5_p plus gish_f6_p plus gish_f7_p plus gish_f8_p plus gish_f10_p plus gish_f12_p plus gish_f13_p plus gish_f14_p)Validation: All items must be answered</t>
  </si>
  <si>
    <t>His favorite playmates are Sus compañeros favoritos de juego son:</t>
  </si>
  <si>
    <t>He plays with girl-type dolls, such as "Barbie" Juega con muñecas "para niñas", como "Barbie</t>
  </si>
  <si>
    <t>He plays with boy-type dolls such as action figures or "GI-Joe" Juega con muñecos "para niños", como "GI-Joe</t>
  </si>
  <si>
    <t>He experiments with cosmetics (makeup) and jewelry El experimenta con cosmeticos (maquillaje) y joyas</t>
  </si>
  <si>
    <t>He imitates female characters seen on TV or in the movies Imita a personajes del sexo femenino que aparecen en televisión o en las películas</t>
  </si>
  <si>
    <t>He imitates male characters seen on TV or in the movies Imita a personajes del sexo masculino que aparecen en televisión o en las películas</t>
  </si>
  <si>
    <t>He plays sports with boys (but not girls) Practica deportes con niños (pero no con niñas)</t>
  </si>
  <si>
    <t>He plays sports with girls (but not boys) Practica deportes con niñas (pero no con niños)</t>
  </si>
  <si>
    <t>He plays "girl-type" games (as compared to "boy-type" games Juega juegos "para niñas" (en comparación con el tipo de juegos "para niños")</t>
  </si>
  <si>
    <t>He states the wish to be a girl or woman Habla de su deseo de ser una niña o una mujer</t>
  </si>
  <si>
    <t>He states that he is a girl or woman Dice que es una niña o una mujer</t>
  </si>
  <si>
    <t>He talks about not liking his sexual anatomy (private parts) Dice que no le gusta su anatomía sexual (sus partes privadas)</t>
  </si>
  <si>
    <t>Her favorite playmates are Sus compañeros favoritos de juego son:</t>
  </si>
  <si>
    <t>She plays with boy-type dolls such as action figures or "GI-Joe" Ella juega con muñecos para niños, como figuras de acción o "GI-Joe".</t>
  </si>
  <si>
    <t>She experiments with cosmetics (makeup) and jewelry Ella experimenta con cosmeticos (maquillaje) y joyas</t>
  </si>
  <si>
    <t>She imitates female characters seen on TV or in the movies Imita a personajes del sexo femenino que aparecen en televisión o en las películas</t>
  </si>
  <si>
    <t>She imitates male characters seen on TV or in the movies Imita a personajes del sexo masculino que aparecen en televisión o en las películas</t>
  </si>
  <si>
    <t>She plays sports with boys (but not girls) Practica deportes con niños (pero no con niñas)</t>
  </si>
  <si>
    <t>She plays sports with girls (but not boys) Practica deportes con niñas (pero no con niños)</t>
  </si>
  <si>
    <t>She plays "girl-type" games (as compared to "boy-type" games Juega juegos "para niñas" (en comparación con el tipo de juegos "para niños")</t>
  </si>
  <si>
    <t>She states the wish to be a boy or man Habla de su deseo de ser un niño o un hombre</t>
  </si>
  <si>
    <t>She states that she is a boy or man Dice que es un niño o un hombre</t>
  </si>
  <si>
    <t>She talks about not liking her sexual anatomy (private parts) Dice que no le gusta su anatomía sexual (sus partes privadas)</t>
  </si>
  <si>
    <t>Have you begun to menstruate (started to have your period)?</t>
  </si>
  <si>
    <t>Has your child begun to menstruate?</t>
  </si>
  <si>
    <t>Is your menstrual cycle regular?</t>
  </si>
  <si>
    <t>Is your child's menstrual cycle regular?</t>
  </si>
  <si>
    <t>BASO %</t>
  </si>
  <si>
    <t>BASO ABS</t>
  </si>
  <si>
    <t>EOS %</t>
  </si>
  <si>
    <t>EOS ABS</t>
  </si>
  <si>
    <t>Hemoglobin</t>
  </si>
  <si>
    <t>MCV</t>
  </si>
  <si>
    <t>PLT Count</t>
  </si>
  <si>
    <t>WBC Count</t>
  </si>
  <si>
    <t>Ferritin</t>
  </si>
  <si>
    <t>hemoglobin_a1</t>
  </si>
  <si>
    <t>Immature Gran %</t>
  </si>
  <si>
    <t>Immature Gran Abs</t>
  </si>
  <si>
    <t>LYMPH %</t>
  </si>
  <si>
    <t>LYMPH ABS</t>
  </si>
  <si>
    <t>MCH</t>
  </si>
  <si>
    <t>MCHC</t>
  </si>
  <si>
    <t>MONO %</t>
  </si>
  <si>
    <t>MONO ABS</t>
  </si>
  <si>
    <t>MPV</t>
  </si>
  <si>
    <t>NEUT %</t>
  </si>
  <si>
    <t>NEUTABS</t>
  </si>
  <si>
    <t>RDW</t>
  </si>
  <si>
    <t>Cholesterol</t>
  </si>
  <si>
    <t>HDL Cholesterol</t>
  </si>
  <si>
    <t>RBC count</t>
  </si>
  <si>
    <t>Hematocrit</t>
  </si>
  <si>
    <t>Fitbit based number of steps for the day FROM DAILY LEVEL SUMMARY</t>
  </si>
  <si>
    <t>Fitbit based number of minutes spent in sedentary (&lt;1.5 METS) time for the day FROM DAILY LEVEL SUMMARY</t>
  </si>
  <si>
    <t>Fitbit based number of minutes spent in light activity (1.5-2.9 METS) for the day FROM DAILY LEVEL SUMMARY</t>
  </si>
  <si>
    <t>Fitbit based number of minutes spent in moderate activity (3-5.9 METS) for the day FROM DAILY LEVEL SUMMARY</t>
  </si>
  <si>
    <t>Fitbit based number of minutes spent in vigorous (&gt;6 METS) for the day FROM DAILY LEVEL SUMMARY</t>
  </si>
  <si>
    <t>During the past year, has your child been to see a doctor, nurse, nurse practitioner, dentist, or any other health professional like that, OTHER than for regular checkups? En el último año, ¿su niño(a) ha visto a un médico, enfermero(a), dentista o algún otro profesional similar de la salud, por algún motivo DISTINTO a sus chequeos periódicos?</t>
  </si>
  <si>
    <t>Since we last saw you, has she/he been to a doctor for any of these things? Asthma Asma</t>
  </si>
  <si>
    <t>Since we last saw you, has she/he been to a doctor for any of these things? Allergies Alergias</t>
  </si>
  <si>
    <t>Since we last saw you, has she/he been to a doctor for any of these things? Problems with Vision (including the need for glasses) Problemas de la vista (incluyendo la necesidad de lentes/gafas)</t>
  </si>
  <si>
    <t>Since we last saw you, has she/he been to a doctor for any of these things? Very Bad Headaches Dolores de cabeza muy intensos</t>
  </si>
  <si>
    <t>Since we last saw you, has she/he been to a doctor for any of these things? An Operation Cirugías</t>
  </si>
  <si>
    <t>Has your child been to an emergency room since we last saw you?</t>
  </si>
  <si>
    <t>Since we last saw you, has she/he been to a doctor for any of these things? Broken Bones Fracturas</t>
  </si>
  <si>
    <t>Since we last saw you, has she/he been to a doctor for any of these things? Sprains Esguinces</t>
  </si>
  <si>
    <t>Since we last saw you, has she/he been to a doctor for any of these things? Cuts or Scrapes Cortadas o rasguños</t>
  </si>
  <si>
    <t>Since we last saw you, has she/he been to a doctor for any of these things? Falls Caídas</t>
  </si>
  <si>
    <t>Since we last saw you, has she/he been to a doctor for any of these things? High Fever Fiebre alta</t>
  </si>
  <si>
    <t>Since we last saw you, has she/he been to a doctor for any of these things? Other Otro</t>
  </si>
  <si>
    <t>Since we last saw you on [asnt_timestamp_c], has your child had general anesthesia or sedation for any surgery or procedure?</t>
  </si>
  <si>
    <t>Is your child able to see the difference between blue and green?</t>
  </si>
  <si>
    <t>How about the difference between blue and yellow? ¿Qué tal la diferencia entre el azul y el amarillo?</t>
  </si>
  <si>
    <t>On school days, I wake up by using an alarm clock or my parents wake me up</t>
  </si>
  <si>
    <t>I regularly wake up BEFORE the alarm rings:</t>
  </si>
  <si>
    <t>On free days, I wake up by using an alarm clock or my parents wake me up.</t>
  </si>
  <si>
    <t>Over the past month, have you had any aches or pains in your body?</t>
  </si>
  <si>
    <t>Since we last saw you on [asnt_timestamp_c], has your child injured their head or neck in a fall or from being hit by something? (For example, falling from a bike or horse, rollerblading, falling on ice, being hit by a rock). In the past year, has your child injured their head or neck playing sports or on the playground?</t>
  </si>
  <si>
    <t>Did your child take any medications in the past two weeks and if so did you bring them with you? ? /¿Su niño(a) tomó algún medicamento en las últimas dos semanas? Si la respuesta es sí, trajo todos los medicamentos de su niño(a) a esta visita?</t>
  </si>
  <si>
    <t>Vomiting, throwing up</t>
  </si>
  <si>
    <t>I think about killing myself</t>
  </si>
  <si>
    <t>Tobacco (Raw Score)</t>
  </si>
  <si>
    <t>Alcohol (Raw Score)</t>
  </si>
  <si>
    <t>Drugs (Raw Score)</t>
  </si>
  <si>
    <t>Mean Substance Use (Raw Score)</t>
  </si>
  <si>
    <t>Adaptive Scale: Friends (Raw Score)</t>
  </si>
  <si>
    <t>Anxious/Depressed Syndrome Scale (Raw Score)</t>
  </si>
  <si>
    <t>Withdrawn/Depressed Syndrome Scale (Raw Score)</t>
  </si>
  <si>
    <t>Somatic Complaints Syndrome Scale (Raw Score)</t>
  </si>
  <si>
    <t>Thought Problems Syndrome Scale (Raw Score)</t>
  </si>
  <si>
    <t>Attention Problems Syndrome Scale (Raw Score)</t>
  </si>
  <si>
    <t>Aggressive Behavior Syndrome Scale (Raw Score)</t>
  </si>
  <si>
    <t>Rule-Breaking Behavior Syndrome Scale (Raw Score)</t>
  </si>
  <si>
    <t>Intrusive Syndrome Scale (Raw Score)</t>
  </si>
  <si>
    <t>Other Problems (Raw Score)</t>
  </si>
  <si>
    <t>Internalizing (Raw Score)</t>
  </si>
  <si>
    <t>Externalizing (Raw Score)</t>
  </si>
  <si>
    <t>Total Problems (Raw Score)</t>
  </si>
  <si>
    <t>Critical Items (Raw Score)</t>
  </si>
  <si>
    <t xml:space="preserve">CHILD MENTAL HEALTH </t>
  </si>
  <si>
    <t>Raw Score: bpm_1_y plus bpm_3_y plus bpm_4_y plus bpm_5_y plus bpm_10_y plus bpm_14_y; Validation: All items must be answered</t>
  </si>
  <si>
    <t>Raw Score: bpm_9_y plus bpm_11_y plus bpm_12_y plus bpm_13_y plus bpm_18_y plus bpm_19_y Validation: All items must be answered</t>
  </si>
  <si>
    <t>Raw Score: bpm_2_y plus bpm_6_y plus bpm_7_y plus bpm_8_y plus bpm_15_y plus bpm_16_y plus bpm_17_y; Validation: All items must be answered</t>
  </si>
  <si>
    <t>Raw Score: bpm_1_y plus bpm_2_y plus bpm_3_y plus bpm_4_y plus bpm_5_y plus bpm_6_y plus bpm_7_y plus bpm_8_y plus bpm_9_y plus bpm_10_y plus bpm_11_y plus bpm_12_y plus bpm_13_y plus bpm_14_y plus bpm_15_y plus bpm_16_y plus bpm_17_y plus bpm_18_y plus bpm_19_y; Validation: All items must be answered</t>
  </si>
  <si>
    <t>I act too young for my age</t>
  </si>
  <si>
    <t>I argue a lot</t>
  </si>
  <si>
    <t>I fail to finish things I start</t>
  </si>
  <si>
    <t>I have trouble concentrating or paying attention</t>
  </si>
  <si>
    <t>I have trouble sitting still</t>
  </si>
  <si>
    <t>I destroy things belonging to others</t>
  </si>
  <si>
    <t>I disobey my parents</t>
  </si>
  <si>
    <t>I disobey at school. (Interviewer: Please select "Not True" when participant is not in school at the time of the assessment.)</t>
  </si>
  <si>
    <t>I feel worthless or inferior Definition of inferior: less good</t>
  </si>
  <si>
    <t>I act without stopping to think</t>
  </si>
  <si>
    <t>I am too fearful or anxious</t>
  </si>
  <si>
    <t>I feel too guilty</t>
  </si>
  <si>
    <t>I am self-conscious or easily embarrassed</t>
  </si>
  <si>
    <t>I am inattentive or easily distracted</t>
  </si>
  <si>
    <t>I am stubborn</t>
  </si>
  <si>
    <t>I have a hot temper Definition of "hot temper": bad temper, get mad easily</t>
  </si>
  <si>
    <t>I threaten to hurt people</t>
  </si>
  <si>
    <t>I am unhappy, sad, or depressed</t>
  </si>
  <si>
    <t>I worry a lot</t>
  </si>
  <si>
    <t>Peer Experiences: Relational Victimization Summary Score; sum(peq_left_out_vic,peq_invite_vic, peq_exclude_vic); Validation: All items must be answered</t>
  </si>
  <si>
    <t>Peer Experiences: Reputational Aggression Summary Score; sum(peq_rumor_perp, peq_gossip_perp, peq_loser_perp); Validation: All items must be answered</t>
  </si>
  <si>
    <t>Peer Experiences: Reputational Victimization Summary Score; sum(peq_rumor_vic, peq_gossip_vic, peq_loser_vic); Validation: All items must be answered</t>
  </si>
  <si>
    <t>Overt Aggression Summary Score; sum (peq_chase_perp, peq_threat_perp, peq_hit_perp); Validation: All items must be answered</t>
  </si>
  <si>
    <t>Peer Experiences: Overt Victimization Summary Score; sum(peq_chase_vic, peq_threat_vic, peq_hit_vic); Validation: All items must be answered</t>
  </si>
  <si>
    <t>Peer Experiences: Relational Aggression Summary Score; sum(peq_left_out_perp, peq_invite_perp, peq_exclude_perp); Validation: All items must be answered</t>
  </si>
  <si>
    <t>I left another kid out of an activity or conversation that they really wanted to be included in.</t>
  </si>
  <si>
    <t>Some kids left me out of an activity or conversation I really wanted to be included in.</t>
  </si>
  <si>
    <t>I chased a kid like I was really trying to hurt him or her.</t>
  </si>
  <si>
    <t>A kid chased me like he or she was really trying to hurt me.</t>
  </si>
  <si>
    <t>I tried to damage another kid's social reputation by spreading rumors about them.</t>
  </si>
  <si>
    <t>A kid tried to damage my social reputation by spreading rumors about me</t>
  </si>
  <si>
    <t>I did not invite a kid to a party or other social event even though I knew the kid wanted to go.</t>
  </si>
  <si>
    <t>A kid did not invite me to a party or social event though they knew that I wanted to go.</t>
  </si>
  <si>
    <t>I left another kid out of what I was doing.</t>
  </si>
  <si>
    <t>A kid left me out of what they were doing.</t>
  </si>
  <si>
    <t>I gossiped about another kid so others would not like him/her.</t>
  </si>
  <si>
    <t>I threatened to hurt or beat up another kid.</t>
  </si>
  <si>
    <t>A kid threatened to hurt or beat me up.</t>
  </si>
  <si>
    <t>I said mean things about a kid so that people would think s/he was a loser.</t>
  </si>
  <si>
    <t>I hit, kicked, or pushed another kid in a mean way.</t>
  </si>
  <si>
    <t>A kid hit, kicked, or pushed me in a mean way.</t>
  </si>
  <si>
    <t>Has this caused any problems for you with your family or with kids at school?</t>
  </si>
  <si>
    <t>Are you transgender?</t>
  </si>
  <si>
    <t>In general, how do you and your child get along? En general, ¿cómo se llevan usted y su niño(a)?</t>
  </si>
  <si>
    <t>In general, how does your child do in school? En general, ¿cómo le va a su niño(a) en la escuela?</t>
  </si>
  <si>
    <t>What kind of grades does your child get on average? ¿Cuál es el promedio de calificaciones de su niño(a)?</t>
  </si>
  <si>
    <t>How long has your child been friends with this best friend? ¿Hace cuánto tiempo que su niño(a) es amigo(a) de este mejor amigo o amiga?</t>
  </si>
  <si>
    <t>How long has your child hung out with them? ¿Hace cuánto tiempo que su niño(a) comparte con ellos?</t>
  </si>
  <si>
    <t>Do you like your child's friends? ¿A usted le caen bien los amigos de su niño(a)?</t>
  </si>
  <si>
    <t>Is your child gay? ¿Su niño(a) es homosexual?</t>
  </si>
  <si>
    <t>Since we last saw you, has this caused any problems for your child with your family or with kids at school? Desde la última vez que nos vimos, ¿esto le ha causado a su niño(a) algún problema con su familia o con los niños en la escuela?</t>
  </si>
  <si>
    <t>Is your child transgender? ¿Su niño(a) es transgénero</t>
  </si>
  <si>
    <t>Since we last saw you, has your child received mental health or substance abuse services? Desde la última vez que nos vimos, ¿su niño(a) ha recibido servicios de salud mental o para el abuso de sustancias?</t>
  </si>
  <si>
    <t>How old was your child when they first received mental health or substance abuse services? ¿Qué edad tenía su niño(a) cuando recibió por primera vez servicios de salud mental o para el abuso de sustancias? Anótela en el espacio en blanco</t>
  </si>
  <si>
    <t>How much discomfort or distress did your child's fear of being separated from you cause them back then?</t>
  </si>
  <si>
    <t>Took original data (ksads_sa_raw_1837_p) and converted weeks, months, and years into days</t>
  </si>
  <si>
    <t>How long did your child's fear of being separated from you last back then? Please enter weeks, months, or years.</t>
  </si>
  <si>
    <t>In the past two weeks, how often did your child have trouble falling asleep or staying asleep when he or she was tired and wanted to sleep?</t>
  </si>
  <si>
    <t>In the past two weeks, how often did you have trouble falling asleep or staying asleep when you were tired and wanted to sleep?</t>
  </si>
  <si>
    <t>In the past two weeks, how often have you felt super shy and really uncomfortable in different social situations?</t>
  </si>
  <si>
    <t>How much discomfort or distress did your child's fear of these things cause him or her back then?</t>
  </si>
  <si>
    <t>Took original data (ksads_phobia_raw_270_p) and converted weeks, months, and years into days</t>
  </si>
  <si>
    <t>Back then, how long did these fears last? Please enter weeks, months, or years.</t>
  </si>
  <si>
    <t>Over the past two weeks, how often has your child avoided or tried to avoid flying or receiving an injection?</t>
  </si>
  <si>
    <t>Transformed ksads_eatingdis_raw_359_t into BMI</t>
  </si>
  <si>
    <t>What is your current height and weight (please make your best guess)?</t>
  </si>
  <si>
    <t>These next set of questions are about your eating habits and your feelings about your shape and weight. In the past two weeks, how often have you been preoccupied with your weight or worrying a lot about being fat?</t>
  </si>
  <si>
    <t>Transformed ksads_eatingdis_raw_363_p into BMI</t>
  </si>
  <si>
    <t>What was your child's height and weight then (please make your best guess)?</t>
  </si>
  <si>
    <t>Transformed ksads_eatingdis_raw_359_p into BMI</t>
  </si>
  <si>
    <t>What is your child's current height and weight (please make your best guess)?</t>
  </si>
  <si>
    <t>These next questions are about your child's eating habits and feelings about his or her shape and weight. In the past two weeks, how often has your child been preoccupied with gaining weight or worrying a lot about being fat?</t>
  </si>
  <si>
    <t>In the past two weeks, how often have you worried a super lot about a lot of different things?</t>
  </si>
  <si>
    <t>How much discomfort or distress did your child's worrying cause him or her back then?</t>
  </si>
  <si>
    <t>Took original data (ksads_gad_raw_1966_p) and converted weeks, months, and years into days</t>
  </si>
  <si>
    <t>How long did your child's worrying about a lot of things last back then? Please enter weeks, months, or years.</t>
  </si>
  <si>
    <t>In the past two weeks, how often has your child felt like a worrier - really worried about a lot of different things?</t>
  </si>
  <si>
    <t>Over the past two weeks; how often has your child done things on purpose to annoy other people?</t>
  </si>
  <si>
    <t>Took original data (ksads_odd_raw_1030_p) and converted weeks, months, and years into days</t>
  </si>
  <si>
    <t>How long has your child had any of the symptoms we've just talked about? Please enter weeks; months; or years</t>
  </si>
  <si>
    <t>Took original data (ksads_odd_raw_1042_p) and converted weeks, months, and years into days</t>
  </si>
  <si>
    <t>How long did the things we've just talked about last back then? Please enter weeks; months; or years.</t>
  </si>
  <si>
    <t>In the past two weeks; how often has your child felt angry at; or resentful toward other people?</t>
  </si>
  <si>
    <t>In the past two weeks; how often did your child talk back to or argue with parents or teachers?</t>
  </si>
  <si>
    <t>In the past two weeks; how often did your child refuse to do something a grown up asked him or her to do?</t>
  </si>
  <si>
    <t>Took original data (ksads_odd_raw_465_p) and used number of months old to convert it to age of onset (in months)</t>
  </si>
  <si>
    <t>You said that in the past your child argued a lot with parents or teachers; and often refused to do the things grownups asked. When was that? If this was true of your child for a very long time; let me know when it started and when it was the worst</t>
  </si>
  <si>
    <t>Took original data (ksads_odd_raw_465_p) and used number of months old to convert it to age of worsening (in months)</t>
  </si>
  <si>
    <t>In the past two weeks; how often has your child felt annoyed?</t>
  </si>
  <si>
    <t>What was the longest number of days in a row that your child had these problems back then?</t>
  </si>
  <si>
    <t>In the past two weeks, how often has your child needed less sleep than usual, and still felt rested and energized, sleeping at least three hours less than usual?</t>
  </si>
  <si>
    <t>In the past two weeks, how often has your child lost his or her temper and done any of the following things: yelled at someone, thrown or broken something, or hit, pushed or kicked someone?</t>
  </si>
  <si>
    <t>In the past two weeks, how often, without using drugs, did your child feel like they were high or super happy for no particular reason, with the over the top good feeling lasting four or more hours?</t>
  </si>
  <si>
    <t>Took original data (ksads_gad_raw_1966_p) and converted days, weeks, and months into days</t>
  </si>
  <si>
    <t>How long did it last back then? Please enter days, weeks, or months.</t>
  </si>
  <si>
    <t>In the past two weeks, how often have you needed less sleep than usual, and still felt rested and energized, sleeping at least three hours less than usual?</t>
  </si>
  <si>
    <t>In the past two weeks, how often have you lost your temper and done any of the following things: yelled at someone, thrown or broken something, or hit, pushed or kicked someone?</t>
  </si>
  <si>
    <t>In the past two weeks, how often, without using drugs, did you feel like you were high or super happy for no particular reason, with the over the top good feeling lasting four or more hours?</t>
  </si>
  <si>
    <t>In the past two weeks, how often has your child put off or avoided doing things that were hard for him or her because they required a lot of attention?</t>
  </si>
  <si>
    <t>In the past two weeks, how often has your child talked when he or she wasn't supposed to, or had people complain that he or she talked too much?</t>
  </si>
  <si>
    <t>In the past two weeks, how often has your child interrupted someone when they were talking?</t>
  </si>
  <si>
    <t>In the past two weeks, how often has your child had trouble waiting for his or her turn or waiting for other things?</t>
  </si>
  <si>
    <t>In the past two weeks, how often has your child blurt out answers in school without being called on, or blurt out answers when someone wasn't talking to him or her?</t>
  </si>
  <si>
    <t>In the past two weeks, how often has your child had trouble being quiet when he or she was supposed to be quiet?</t>
  </si>
  <si>
    <t>In the past two weeks, how often has your child felt fidgety, like it was hard to sit without bouncing his or her leg or getting up and moving around?</t>
  </si>
  <si>
    <t>In the past two weeks, how often has your child forgotten something somewhere or forgotten to do something he or she was supposed to do?</t>
  </si>
  <si>
    <t>In the past two weeks, how often has your child lost his or her homework, pencils, jacket, cell phone, or anything else big or small?</t>
  </si>
  <si>
    <t>In the past two weeks, how often has your child had trouble organizing his or her homework or other tasks?</t>
  </si>
  <si>
    <t>In the past two weeks, how often has your child not followed instructions that a parent or teacher said to him or her, or instructions on an assignment or test?</t>
  </si>
  <si>
    <t>In the past 2 weeks, how often has your child forgotten or tuned out what you or their teachers said to him or her?</t>
  </si>
  <si>
    <t>In the past two weeks, how often has your child had trouble staying in his or her seat at school or at home when your child was expected to stay seated?</t>
  </si>
  <si>
    <t>In the past two weeks, how often has your child gotten in trouble, or done something he or she could have gotten in trouble for because your child was impulsive and acted before he or she thought?</t>
  </si>
  <si>
    <t>In the past two weeks, how often have little distractions, like someone talking or the telephone ringing, made it hard for your child to keep their mind on what he or she was working on?</t>
  </si>
  <si>
    <t>In the past two weeks, how often has your child had trouble paying attention and keeping focused when he or she is working on their homework or other things that require concentration?</t>
  </si>
  <si>
    <t>In the past two weeks, how often have you told a lie, not just to get out of trouble, but to try to con someone?</t>
  </si>
  <si>
    <t>In the past 2 weeks, how often have you felt bored, or like nothing was fun, for most of the day?</t>
  </si>
  <si>
    <t>In the past two weeks, how often have you felt annoyed, irritable, or cranky, with the cranky feeling lasting most of the day?</t>
  </si>
  <si>
    <t>Now I'd like to ask you some questions about your mood. In the past two weeks, how often have you felt sad, down, or depressed, with the down feeling lasting most of the day? &lt;/br&gt;</t>
  </si>
  <si>
    <t>Took original data (ksads_dp_raw_118_t) and converted weeks and months into days</t>
  </si>
  <si>
    <t>How long did it last back then?</t>
  </si>
  <si>
    <t>In the past 2 weeks, how often has your child felt bored, or like nothing was fun, for most of the day?</t>
  </si>
  <si>
    <t>In the past two weeks, how often has your child felt annoyed, irritable, or cranky, with the cranky feeling lasting most of the day?</t>
  </si>
  <si>
    <t>Now I'd like to ask you some questions about your child's mood. In the past two weeks, how often has your child felt sad, down, or depressed, with the down feeling lasting most of the day?&lt;/br&gt;</t>
  </si>
  <si>
    <t>Took original data (ksads_dp_raw_118_p) and converted weeks and months into days</t>
  </si>
  <si>
    <t>In the past two weeks, how often has your child had trouble maintaining eye contact and looking at you or other people when they are talking with your child?</t>
  </si>
  <si>
    <t>In the past two weeks, how often have you worked real hard to keep routines and activities the same so your child would not get upset?</t>
  </si>
  <si>
    <t>In the past two weeks, how often did your child do unusual body movements like hand flapping, head weaving, body rocking, or body spinning?</t>
  </si>
  <si>
    <t>In the past two weeks, how often has your child told a lie, not just to get out of trouble, but to try to con someone?</t>
  </si>
  <si>
    <t>In the past two weeks, how often did your child get into physical fights with someone?</t>
  </si>
  <si>
    <t>PhenX Early Adolescent Temperament Q - Parent fear mean(eatq_phenx_trouble_p, eatq_phenx_attachment_p, eatq_phenx_ball_scared_p, eatq_phenx_dark_scared_p, eatq_phenx_alone_p, eatq_phenx_worry_p)</t>
  </si>
  <si>
    <t>PhenX Early Adolescent Temperament Q - Parent frustration mean(eatq_phenx_annoyed_p, eatq_phenx_irritated_crit_p, eatq_phenx_irritated_place_p, eatq_phenx_irritated_enjoy_p, eatq_phenx_disagree_p, eatq_phenx_frustrated_p)</t>
  </si>
  <si>
    <t>PhenX Early Adolescent Temperament Q - Parent inhibitory mean(eatq_phenx_turn_taking_p, eatq_phenx_open_present_p, eatq_phenx_impulse_p, eatq_phenx_laugh_control_p, eatq_phenx_stick_to_plan_p)</t>
  </si>
  <si>
    <t>PhenX Early Adolescent Temperament Q - Parent shyness; sum(eatq_phenx_social_p, eatq_phenx_is_shy_p, eatq_phenx_not_shy_p, eatq_phenx_meet_p, eatq_phenx_shy_meet_p); Validation: Maximum of 1 item missing</t>
  </si>
  <si>
    <t>PhenX Early Adolescent Temperament Q - Parent surgency mean(eatq_phenx_africa_p, eatq_phenx_ski_slope_p, eatq_phenx_city_move_p, eatq_phenx_sea_dive_p, eatq_phenx_travel_p, eatq_phenx_race_car_p, eatq_phenx_school_excite_p, eatq_phenx_energized_p, eatq_phenx_rides_scared_p)</t>
  </si>
  <si>
    <t>Super Scale Effortful Control Sum Score mean(eatq_p_ss_attention, eatq_p_ss_inhibitory,eatq_p_ss_activation); Validation: All three scores calculated</t>
  </si>
  <si>
    <t>Super Scale Surgency Sum Score , shyness (reverse scored)) Validation: All three scores calculated</t>
  </si>
  <si>
    <t>Super Scale Negative Affect Validation: All three scores calculated</t>
  </si>
  <si>
    <t>PhenX Early Adolescent Temperament Q - Parent activation; sum(eatq_phenx_finish_p, eatq_phenx_deal_p, eatq_phenx_before_hw_p, eatq_phenx_right_away_p, eatq_phenx_finish_hw_p, eatq_phenx_early_start_p, eatq_phenx_puts_off_p); Validation: Maximum of 1 item missing</t>
  </si>
  <si>
    <t>PhenX Early Adolescent Temperament Q - Parent affiliation; sum(eatq_phenx_care_p, eatq_phenx_share_p, eatq_phenx_spend_time_p, eatq_phenx_hugs_p, eatq_phenx_close_rel_p, eatq_phenx_friendly_p); Validation: Maximum of 1 item missing</t>
  </si>
  <si>
    <t>PhenX Early Adolescent Temperament Q - Parent aggression; sum(eatq_phenx_insult_p, eatq_phenx_angry_hit_p, eatq_phenx_rude_p, eatq_phenx_blame_p, eatq_phenx_doorslam_p, eatq_phenx_makes_fun_p, eatq_phenx_no_criticize_p); Validation: Maximum of 1 item missing</t>
  </si>
  <si>
    <t>PhenX Early Adolescent Temperament Q - Parent attention; sum(eatq_phenx_concentrate_p, eatq_phenx_distracted_p, eatq_phenx_try_focus_p, eatq_phenx_peripheral_p, eatq_phenx_sidetracked_p, eatq_phenx_close_attention_p); Validation: Maximum of 1 item missing</t>
  </si>
  <si>
    <t>PhenX Early Adolescent Temperament Q - Parent depressive_mood; sum(eatq_phenx_enjoy_p, eatq_phenx_cry_p, eatq_phenx_sad_p, eatq_phenx_hardly_sad_p, eatq_phenx_seems_sad_p); Validation: Maximum of 1 item missing</t>
  </si>
  <si>
    <t>Worries about getting into trouble. / Se preocupa acerca de meterse en problemas.</t>
  </si>
  <si>
    <t>When angry at someone says things s/he knows will hurt that person's feelings. / Cuando se enoja con alguiendice cosas que sabe que herir__n los sentimientos de esa persona..</t>
  </si>
  <si>
    <t>Has a hard time finishing things on time. / Se le dificulta terminar las cosas a tiempo.</t>
  </si>
  <si>
    <t>Thinks traveling to Africa or India would be exciting and fun. / Piensa que viajar a __frica o a la India ser__a emocionante y divertido.</t>
  </si>
  <si>
    <t>If having a problem with someone usually tries to deal with it right away. / Si tiene un problema con alguien por lo general trata de resolverlo de inmediato.</t>
  </si>
  <si>
    <t>Has a hard time waiting his/her turn to speak when excited. / Se le dificulta esperar su turno para hablar cuando est__ emocionado/a.</t>
  </si>
  <si>
    <t>Often does not seem to enjoy things as much as his/her friends. / A menudo no parece disfrutar de las cosas tanto como sus amigos/as.</t>
  </si>
  <si>
    <t>Opens presents before s/he is supposed to. / Abre los regalos antes de que se supone que lo haga.</t>
  </si>
  <si>
    <t>Would be frightened by the thought of skiing fast down a steep slope. / Le asustar__a la idea de esquiar r__pido por una bajada empinada.</t>
  </si>
  <si>
    <t>Feels like crying over very little things on some days. / Algunos d__as tiene ganas de llorar por cosas sin importancia.</t>
  </si>
  <si>
    <t>If very angry might hit someone. / Si est__ muy enojado/a podr__a golpear a alguien.</t>
  </si>
  <si>
    <t>Likes taking care of other people. / Le gusta cuidar de otras personas.</t>
  </si>
  <si>
    <t>Likes to be able to share his/her private thoughts with someone else. / Le gusta poder compartir sus pensamientos privados con otros.</t>
  </si>
  <si>
    <t>Usually does something fun for awhile before starting her/his homework even though s/he is not supposed to. / Normalmente pasa un rato haciendo algo divertido antes de empezar su tarea aunque se supone que no debe.</t>
  </si>
  <si>
    <t>Finds it easy to really concentrate on a problem. / Le resulta f__cil realmente concentrarse en un problema.</t>
  </si>
  <si>
    <t>Thinks it would be exciting to move to a new city. / Piensa que ser__a emocionante mudarse a una nueva ciudad.</t>
  </si>
  <si>
    <t>When asked to do something does it right away even if s/he doesn't want to. / Cuando se le pide que haga algo lo hace de inmediato aunque no quiera hacerlo.</t>
  </si>
  <si>
    <t>Would like to be able to spend time with a good friend every day. / Le gustar__a poder pasar tiempo con un buen amigo/a todos los d__as.</t>
  </si>
  <si>
    <t>Tends to be rude to people s/he doesn't like. / Tiende a ser grosero/a con la gente que no le agrada.</t>
  </si>
  <si>
    <t>Is annoyed by little things other kids do. / Se enoja por peque_eces que otros ni_os hacen.</t>
  </si>
  <si>
    <t>Gets very irritated when someone criticizes her/him. / Se irrita mucho cuando alguien lo/a critica.</t>
  </si>
  <si>
    <t>When interrupted or distracted forgets what s/he was about to say. / Cuando lo/a interrumpen o distraen se olvida de lo que estaba a punto de decir.</t>
  </si>
  <si>
    <t>Is more likely to do something s/he shouldn't do the more s/he tries to stop her/himself. / Es m__s probable que haga algo que no deber__a hacer aunque trate mucho de evitarlo.</t>
  </si>
  <si>
    <t>Enjoys exchanging hugs with people s/he likes. / Le gusta abrazar a la gente que le agrada.</t>
  </si>
  <si>
    <t>Tends to try to blame mistakes on someone else. / Tiende a echarle la culpa de errores a otras personas.</t>
  </si>
  <si>
    <t>Is sad more often than other people realize. / Est__ triste m__s a menudo de lo que otras personas creen.</t>
  </si>
  <si>
    <t>Can generally think of something to say even with strangers. / Por lo general se le ocurre algo que decir incluso con desconocidos.</t>
  </si>
  <si>
    <t>Wouldn't be afraid to try a risky sport like deep sea diving. / No le dar__a miedo practicar un deporte peligroso</t>
  </si>
  <si>
    <t>Expresses a desire to travel to exotic places when s/he hears about them. / Expresa el deseo de viajar a lugares ex__ticos cuando escucha de ellos.</t>
  </si>
  <si>
    <t>Worries about our family when s/he is not with us. / Se preocupa por nuestra familia cuando no est__ con nosotros.</t>
  </si>
  <si>
    <t>Gets irritated when I will not take her/him someplace s/he wants to go. / Se irrita cuando no lo quiero llevar a un lugar al que quiere ir.</t>
  </si>
  <si>
    <t>Slams doors when angry. / Cierra de golpe las puertas cuando est__ enojado/a.</t>
  </si>
  <si>
    <t>Is hardly ever sad even when lots of things are going wrong. / Casi nunca est__ triste incluso cuando muchas cosas andan mal.</t>
  </si>
  <si>
    <t>Would like driving a racing car. / Le gustar__a conducir un carro de carreras.</t>
  </si>
  <si>
    <t>Has a difficult time tuning out background noise and concentrating when trying to study. / Tiene dificultades para ignorar el ruido de fondo y concentrarse cuando trata de estudiar.</t>
  </si>
  <si>
    <t>Usually finishes her/his homework before it's due. / 37) Normalmente termina su tarea antes de tener que entregarla.</t>
  </si>
  <si>
    <t>Likes it when something exciting and different happens at school. / Le gusta cuando algo emocionante y diferente sucede en la escuela.</t>
  </si>
  <si>
    <t>Usually gets started right away on difficult assignments. / Normalmente inicia de inmediato las tareas dif__ciles.</t>
  </si>
  <si>
    <t>Is good at keeping track of several different things that are happening around her/him. / Es bueno para mantenerse al tanto de varias cosas diferentes que est__n sucediendo a su alrededor.</t>
  </si>
  <si>
    <t>Is energized by being in large crowds of people. / Se anima al estar entre grandes multitudes de personas.</t>
  </si>
  <si>
    <t>Makes fun of how other people look. / Se burla de la apariencia de los dem__s.</t>
  </si>
  <si>
    <t>Doesn't criticize others. / No critica a los dem__s.</t>
  </si>
  <si>
    <t>Wants to have close relationships with other people. / Quiere tener relaciones cercanas con otras personas.</t>
  </si>
  <si>
    <t>Is shy. / Es t__mido/a.</t>
  </si>
  <si>
    <t>Gets irritated when s/he has to stop doing something s/he is enjoying. / Se irrita cuando tiene que dejar de hacer algo que est__ disfrutando.</t>
  </si>
  <si>
    <t>Usually puts off working on a project until it is due. / Normalmente pospone trabajar en un proyecto hasta que tiene que entregarlo.</t>
  </si>
  <si>
    <t>Is able to stop him/herself from laughing at inappropriate times. / Puede evitar re__rse en momentos inapropiados.</t>
  </si>
  <si>
    <t>Is afraid of the idea of me dying or leaving her/him. / Le asusta la idea de que me muera o lo/a deje.</t>
  </si>
  <si>
    <t>Is often in the middle of doing one thing and then goes off to do something else without finishing it. / A menudo est__ a la mitad de hacer una cosa y la deja sin terminar para ponerse hacer otra cosa.</t>
  </si>
  <si>
    <t>Is not shy. / No es t__mido/a.</t>
  </si>
  <si>
    <t>Is quite a warm and friendly person. / Es una persona muy c__lida y amistosa.</t>
  </si>
  <si>
    <t>Sometimes seems sad even when s/he should be enjoying her/himself like at Christmas or on a trip. / A veces parece triste incluso cuando deber__a estar divirti_ndose como en Navidad o en un viaje.</t>
  </si>
  <si>
    <t>Doesn't enjoy playing softball or baseball because s/he is afraid of the ball. / No le gusta jugar softball o b_isbol porque le tiene miedo a la pelota.</t>
  </si>
  <si>
    <t>Likes meeting new people. / Le gusta conocer gente nueva.</t>
  </si>
  <si>
    <t>Feels scared when entering a darkened room at night. / Le da miedo entrar en una habitaci__n oscura por la noche.</t>
  </si>
  <si>
    <t>Wouldn't want to go on the frightening rides at the fair. / No desear__a subirse a las atracciones que dan miedo en la feria.</t>
  </si>
  <si>
    <t>Hates it when people don't agree with him/her. / Odia cuando la gente no est__ de acuerdo con _l/ella.</t>
  </si>
  <si>
    <t>Gets very frustrated when s/he makes a mistake in her/his school work. / Se frustra mucho cuando comete un error en sus tareas escolares.</t>
  </si>
  <si>
    <t>Is usually able to stick with his/her plans and goals. / Por lo general es capaz de seguir con sus planes y metas.</t>
  </si>
  <si>
    <t>Pays close attention when someone tells her/him how to do something. / Presta mucha atenci__n cuando alguien le explica c__mo hacer algo.</t>
  </si>
  <si>
    <t>Is nervous being home alone. / Lo pone nervioso/a estar solo/a en casa.</t>
  </si>
  <si>
    <t>Feels shy about meeting new people. / Es t__mido/a para conocer gente nueva.</t>
  </si>
  <si>
    <t>Destroys property belonging to others.</t>
  </si>
  <si>
    <t>Have you had periods of extreme happiness and intense energy lasting several days or more when you also felt much more anxious or tense (jittery, nervous. uptight) than usual (other than related to the menstrual cycle)?</t>
  </si>
  <si>
    <t>Have there been times lasting several days or more when you felt you must have lots of excitement, and you actually did a lot of new or different things?</t>
  </si>
  <si>
    <t>Have you had periods of extreme happiness and intense energy (clearly more than your usual self) when, for several days or more, it took you over an hour to get to sleep at night?</t>
  </si>
  <si>
    <t>Have you had periods of extreme happiness and high energy lasting several days or more when what you saw, heard, smelled, tasted, or touched seemed vivid or intense?</t>
  </si>
  <si>
    <t>Have there been periods of several days or more when your thinking was so clear and quick that it was much better than most other people's?</t>
  </si>
  <si>
    <t>Have there been times of a couple days or more when you felt that you were a very important person or that your abilities or talents were better than most other people's?</t>
  </si>
  <si>
    <t>Have you had times when your thoughts and ideas came so fast that you couldn't get them all out, or they came so quickly that others complained that they couldn't keep up with your ideas?</t>
  </si>
  <si>
    <t>7UP sum ([sup_1_y]:[sup_7_y]) ; Validation: All items must be answered</t>
  </si>
  <si>
    <t>Would rather be alone than with others. Prefiere estar solo(a) que con otros.</t>
  </si>
  <si>
    <t>Is able to understand the meaning of other people's tone of voice and facial expressions. Es capaz de entender el significado del tono de voz y las expresiones faciales de otras personas.</t>
  </si>
  <si>
    <t>Avoids eye contact or has unusual eye contact. Evita el contacto con los ojos o tiene contacto visual inusual.</t>
  </si>
  <si>
    <t>Has difficulty making friends, even when trying his or her best. Tiene dificultades para hacer amigos, incluso cuando intenta con su mejor esfuerzo.</t>
  </si>
  <si>
    <t>Has more difficulty than other children with changes in his or her routine. Tiene más dificultad que otros niños/(as) con cambios en su rutina.</t>
  </si>
  <si>
    <t>Is regarded by other children as odd or weird. Es considerado/a por otros niños como extraño/a o raro/a.</t>
  </si>
  <si>
    <t>Has trouble keeping up with the flow of normal conversation. Tiene problemas para mantener el flujo de una conversación normal.</t>
  </si>
  <si>
    <t>Has difficulty relating to peers. Tiene dificultades para relacionarse con sus compañeros.</t>
  </si>
  <si>
    <t>Has an unusually narrow range of interests. Tiene una gama inusualmente estrecha de intereses.</t>
  </si>
  <si>
    <t>Seems overly sensitive to sounds, textures or smells. Parece demasiado/a sensible a los sonidos, las texturas o los olores.</t>
  </si>
  <si>
    <t>Concentrates too much on parts of things rather than seeing the whole picture. For example, if asked to describe what happened in a story, he or she may talk only about the kind of clothes the characters were wearing. Se concentra demasiado en partes de las cosas en vez de ver la imagen completa. Por ejemplo, si se le pide que describa lo que sucedió en una historia, él o ella hablarían sólo sobre la clase/tipo de ropas que los personajes llevaban.</t>
  </si>
  <si>
    <t>SSRS sum[ssrs_15r, ssrs_6, ssrs_16, ssrs_18, ssrs_24, ssrs_29, ssrs_35, ssrs_37, ssrs_39, ssrs_42, ssrs_58] ; Validation: All items must be answered</t>
  </si>
  <si>
    <t>NIH Toolbox Positive Affect; Sum(poa_nihtb_1_y plus poa_nihtb_2_yplus poa_nihtb_3_y plus poa_nihtb_4_y plus poa_nihtb_5_y plus poa_nihtb_6_y plus poa_nihtb_7_y plus poa_nihtb_8_y]plus poa_nihtb_9_y); Validation: All items must be answered</t>
  </si>
  <si>
    <t>I felt attentive (that is, alert or able to pay attention).</t>
  </si>
  <si>
    <t>I felt delighted.</t>
  </si>
  <si>
    <t>I felt calm.</t>
  </si>
  <si>
    <t>I felt at ease Definition of At ease: relaxed, comfortable.</t>
  </si>
  <si>
    <t>I felt enthusiastic Definition of enthusiastic: very excited.</t>
  </si>
  <si>
    <t>I felt interested.</t>
  </si>
  <si>
    <t>I felt confident.</t>
  </si>
  <si>
    <t>I felt energetic.</t>
  </si>
  <si>
    <t>I felt able to concentrate.</t>
  </si>
  <si>
    <t>Took original data (ksads_sleepprob_raw_818_p) and used number of months old to convert it to age of onset/worst (in months)</t>
  </si>
  <si>
    <t>When was that? If this was true of your child more than once, let me know when it was the worst.</t>
  </si>
  <si>
    <t>Took original data (ksads_sleepprob_raw_818_t) and used number of months old to convert it to age of onset/worst (in months)</t>
  </si>
  <si>
    <t>When was that? If this was true of you more than once, let me know when it was the worst.</t>
  </si>
  <si>
    <t>Since we last saw you on [asnt_timestamp_c], has your child lived with you full time? Desde la última vez que nos vimos en [asnt_timestamp_c], ¿su niño(a) ha vivido con usted todo el tiempo?</t>
  </si>
  <si>
    <t>Since we last saw you, who else has your child lived with at least part of the time? Desde la última vez que nos vimos, ¿Con quién más pasa tiempo su niño(a)? (2, Biological Father Padre biológico)</t>
  </si>
  <si>
    <t>Click the things that cause conflict between you and your child: A continuación, seleccione aquello que causa conflicto entre usted y su niño(a): (1, Chores Quehaceres)</t>
  </si>
  <si>
    <t>Click the things that cause conflict between you and your child: A continuación, seleccione aquello que causa conflicto entre usted y su niño(a): (2, Messy Room Habitación desordenada)</t>
  </si>
  <si>
    <t>Click the things that cause conflict between you and your child: A continuación, seleccione aquello que causa conflicto entre usted y su niño(a): (4, Conflict with Siblings Conflicto con hermanos)</t>
  </si>
  <si>
    <t>Click the things that cause conflict between you and your child: A continuación, seleccione aquello que causa conflicto entre usted y su niño(a): (5, Grades Calificaciones)</t>
  </si>
  <si>
    <t>Click the things that cause conflict between you and your child: A continuación, seleccione aquello que causa conflicto entre usted y su niño(a): (6, Trouble in School Problemas en la escuela)</t>
  </si>
  <si>
    <t>Click the things that cause conflict between you and your child: A continuación, seleccione aquello que causa conflicto entre usted y su niño(a): (8, Moods Estados de ánimo)</t>
  </si>
  <si>
    <t>Click the things that cause conflict between you and your child: A continuación, seleccione aquello que causa conflicto entre usted y su niño(a): (9, Other Otra)</t>
  </si>
  <si>
    <t>In the past year or past several months, has there been a drop in your child's grades? ¿Las calificaciones de su niño(a) han bajado en el último año o en los últimos meses?</t>
  </si>
  <si>
    <t>Does your child receive special services at school? Click all that apply: ¿Su niño(a) recibe servicios especiales en la escuela? Seleccione todas las opciones que correspondan o apliquen: (4, Special Education for specific subjects (partially mainstreamed) Educación especial para asignaturas específicas (parcialmente en un salón de educación general))</t>
  </si>
  <si>
    <t>Does your child receive special services at school? Click all that apply: ¿Su niño(a) recibe servicios especiales en la escuela? Seleccione todas las opciones que correspondan o apliquen: (6, Resource Room Salón de clases con recursos especiales)</t>
  </si>
  <si>
    <t>Does your child receive special services at school? Click all that apply: ¿Su niño(a) recibe servicios especiales en la escuela? Seleccione todas las opciones que correspondan o apliquen: (7, Tutoring Support Recibe apoyo con clases particulares)</t>
  </si>
  <si>
    <t>Does your child receive special services at school? Click all that apply: ¿Su niño(a) recibe servicios especiales en la escuela? Seleccione todas las opciones que correspondan o apliquen: (8, Gifted Program Programa para niños dotados)</t>
  </si>
  <si>
    <t>Does your child receive special services at school? Click all that apply: ¿Su niño(a) recibe servicios especiales en la escuela? Seleccione todas las opciones que correspondan o apliquen: (9, Other Otro)</t>
  </si>
  <si>
    <t>Does your child receive special services at school? Click all that apply: ¿Su niño(a) recibe servicios especiales en la escuela? Seleccione todas las opciones que correspondan o apliquen: (10, Child does not receive special services Su niño(a) no recibe servicios especiales)</t>
  </si>
  <si>
    <t>In the past year, has your child had any detentions or suspensions? En el último año, ¿su niño(a) ha tenido alguna detención o suspensión en la escuela?</t>
  </si>
  <si>
    <t>For what? Click all that apply: ¿Por qué motivo? Seleccione todas las opciones que correspondan o apliquen: (8, Other Otra)</t>
  </si>
  <si>
    <t>Does your child have a best friend? ¿Su niño(a) tiene un mejor amigo o amiga?</t>
  </si>
  <si>
    <t>Does your child have a regular group of kids they hangs out with at school or in your neighborhood?</t>
  </si>
  <si>
    <t>Since we last saw you, did your child have any problems with bullying at school or in your neighborhood? Desde la última vez que nos vimos, ¿su niño(a) tiene algún problema de acoso en la escuela o en su vecindario?</t>
  </si>
  <si>
    <t>Click below all types of mental health or substance abuse services your child has received since we last saw you: Seleccione todos los tipos de servicios de salud mental o para el abuso de sustancias que haya recibido su niño(a) desde la última vez que nos vimos: (1, Outpatient mental health Atención ambulatoria para la salud mental)</t>
  </si>
  <si>
    <t>Click below all types of mental health or substance abuse services your child has received since we last saw you: Seleccione todos los tipos de servicios de salud mental o para el abuso de sustancias que haya recibido su niño(a) desde la última vez que nos vimos: (7, Psychotherapy Psicoterapia)</t>
  </si>
  <si>
    <t>Click below all types of mental health or substance abuse services your child has received since we last saw you: Seleccione todos los tipos de servicios de salud mental o para el abuso de sustancias que haya recibido su niño(a) desde la última vez que nos vimos: (8, Medication management Administración de medicamentos)</t>
  </si>
  <si>
    <t>Click below all types of mental health or substance abuse services your child has received since we last saw you: Seleccione todos los tipos de servicios de salud mental o para el abuso de sustancias que haya recibido su niño(a) desde la última vez que nos vimos: (9, Other Otro)</t>
  </si>
  <si>
    <t>Click below all types of mental health or substance abuse services your child has received since we last saw you: Seleccione todos los tipos de servicios de salud mental o para el abuso de sustancias que haya recibido su niño(a) desde la última vez que nos vimos: (10, None Ninguno)</t>
  </si>
  <si>
    <t>Was there ever a time that your child argued a lot with parents or teachers?</t>
  </si>
  <si>
    <t>Was there ever a time that your child often refused to do the things grownups asked?</t>
  </si>
  <si>
    <t>Did your child have trouble concentrating?</t>
  </si>
  <si>
    <t>Did your child sometimes do things to get back at people if they hurt them or made them mad?</t>
  </si>
  <si>
    <t>Did your child often feel angry or resentful toward other people?</t>
  </si>
  <si>
    <t>Did your child sometimes do things on purpose to annoy other people?</t>
  </si>
  <si>
    <t>Did your child blame other people if he or she made a mistake or did something wrong?</t>
  </si>
  <si>
    <t>Did the things we've just been talking about cause problems for your child or other people back then in any of the following areas:With friends</t>
  </si>
  <si>
    <t>Did the things we've just been talking about cause problems for your child or other people back then in any of the following areas:At school</t>
  </si>
  <si>
    <t>Was there ever a time, for a month or longer, that your child worried a super lot about a lot of different things?</t>
  </si>
  <si>
    <t>Mark below the things your child feels deathly afraid of and that always or almost always make your child super anxious:The dark</t>
  </si>
  <si>
    <t>Mark below the things your child feels deathly afraid of and that always or almost always make your child super anxious:Spiders</t>
  </si>
  <si>
    <t>Mark below the things your child feels deathly afraid of and that always or almost always make your child super anxious:Heights</t>
  </si>
  <si>
    <t>Mark below the things your child feels deathly afraid of and that always or almost always make your child super anxious:Receiving an injection</t>
  </si>
  <si>
    <t>Was there ever another time in the past when your child was deathly afraid of any of the things below? Mark all that applyThe dark</t>
  </si>
  <si>
    <t>Was there ever another time in the past when your child was deathly afraid of any of the things below? Mark all that applySpiders</t>
  </si>
  <si>
    <t>Was there ever another time in the past when your child was deathly afraid of any of the things below? Mark all that applyReceiving an injection</t>
  </si>
  <si>
    <t>Did the things we've just been talking about cause problems for your child back then in any of the following areas:With family</t>
  </si>
  <si>
    <t>Was there ever a time that your child got super upset when mom, dad or another caregiver left the house or dropped your child off somewhere?</t>
  </si>
  <si>
    <t>Was there ever a time that your child did not want to go to school because he or she did not want to be away from mom, dad, or another caregiver?</t>
  </si>
  <si>
    <t>Was there ever a time in the past for several days in a row that your child lost his or her temper and yelled at someone, thrown or broken something, or hit, pushed or kicked someone?</t>
  </si>
  <si>
    <t>Was it a problem for more than one school year?</t>
  </si>
  <si>
    <t>Was there ever a time that your child was impulsive and often acted before he or she thought?</t>
  </si>
  <si>
    <t>Back in September 2008, did your child often run or climb when he/she wasn't supposed to?</t>
  </si>
  <si>
    <t>Back in September 2008, did the problems we have just been talking about cause difficulties for your child in any of the following areas:With family</t>
  </si>
  <si>
    <t>Back in September 2008, did the problems we have just been talking about cause difficulties for your child in any of the following areas:With friends</t>
  </si>
  <si>
    <t>Back in September 2008, did your child often talk when he/she wasn't supposed to, or have people complain that he/she talked too much?</t>
  </si>
  <si>
    <t>Back in September 2008, did your child often interrupt others while they were talking?</t>
  </si>
  <si>
    <t>Back in September 2008, did your child often have trouble waiting for his/her turn or waiting for other things?</t>
  </si>
  <si>
    <t>Back in September 2008, did your child often blurt out answers at school without being called on, or blurt out answers when someone wasn't talking to him/her?</t>
  </si>
  <si>
    <t>Back in September 2008, did your child often have trouble being quiet when he/she was supposed to be?</t>
  </si>
  <si>
    <t>Back in September 2008, was your child constantly on the go and moving from one place to another?</t>
  </si>
  <si>
    <t>Back in September 2008, did your child feel fidgety and was it hard for him/her to sit without bouncing his/her leg or getting up and moving around?</t>
  </si>
  <si>
    <t>Back in September 2008, did your child often lose his/her homework, pencils, jacket, cell phone, or anything else big or small?</t>
  </si>
  <si>
    <t>Was there ever a time that your child often had trouble staying seated?</t>
  </si>
  <si>
    <t>Was there ever a time that your child was often easily distracted?</t>
  </si>
  <si>
    <t>Was there ever a time that your child had a lot of trouble keeping focused and paying attention?</t>
  </si>
  <si>
    <t>Was there ever a time that you often told lies?</t>
  </si>
  <si>
    <t>Was there ever a time that your child had trouble maintaining eye contact when talking with others?</t>
  </si>
  <si>
    <t>Was there ever a time that your child often told lies?</t>
  </si>
  <si>
    <t>Please review the symptoms you endorsed in the current and past questions and mark all the grades your child did these things. Stole things worth $20 or more (5th, 5th)</t>
  </si>
  <si>
    <t>Symptom - Often doesnÈt seem to listen when spoken to Present</t>
  </si>
  <si>
    <t>Symptom - Often doesnÈt seem to listen when spoken to Past</t>
  </si>
  <si>
    <t>Symptom - Often Lies, Past</t>
  </si>
  <si>
    <t>screentime_sq2 (dummy coded)</t>
  </si>
  <si>
    <t>In baseline?</t>
  </si>
  <si>
    <t>yes</t>
  </si>
  <si>
    <t>In Follow-Up?</t>
  </si>
  <si>
    <t>no</t>
  </si>
  <si>
    <t>On a typical weekend day: Play multiplayer video games on a computer, console, phone, or other device (Xbox, Play Station, iPad, AppleTV) where you can interact with others in the game?</t>
  </si>
  <si>
    <t>On a typical weekday: Play multiplayer video games on a computer, console, phone, or other device (Xbox, Play Station, iPad, AppleTV) where you can interact with others in the game?</t>
  </si>
  <si>
    <t>isip_1b_yn_l recoded to combine baseline and 2-year follow-up</t>
  </si>
  <si>
    <t>Since we last saw you, has she/he been to a doctor for any of these things? Any Other Illness Cualquier otra enfermedad</t>
  </si>
  <si>
    <t>alcohol_use_disorder01</t>
  </si>
  <si>
    <t>bipolar_disorders01</t>
  </si>
  <si>
    <t>conduct_disorder01</t>
  </si>
  <si>
    <t>disruptive_mood_dysreg01</t>
  </si>
  <si>
    <t>depressive_disorders01</t>
  </si>
  <si>
    <t>drug_use_disorders01</t>
  </si>
  <si>
    <t>eating_disorders01</t>
  </si>
  <si>
    <t>generaled_anx_disorder01</t>
  </si>
  <si>
    <t>sleep_problems01</t>
  </si>
  <si>
    <t>social_anxiety_disorder01</t>
  </si>
  <si>
    <t>suicidality01</t>
  </si>
  <si>
    <t>attn_deficit_hyperactiv_p01</t>
  </si>
  <si>
    <t>agoraphobia_p01</t>
  </si>
  <si>
    <t>alcohol_use_disorder_p01</t>
  </si>
  <si>
    <t>autism_spectrum_dis_p01</t>
  </si>
  <si>
    <t>bipolar_disorders_p01</t>
  </si>
  <si>
    <t>disruptive_mood_dysreg_p01</t>
  </si>
  <si>
    <t>depressive_disorders_p01</t>
  </si>
  <si>
    <t>drug_use_disorders_p01</t>
  </si>
  <si>
    <t>eating_disorders_p01</t>
  </si>
  <si>
    <t>generaled_anx_disorder_p01</t>
  </si>
  <si>
    <t>homicidality_p01</t>
  </si>
  <si>
    <t>opp_defiant_disorder_p01</t>
  </si>
  <si>
    <t>panic_disorder_p01</t>
  </si>
  <si>
    <t>psychosis_p01</t>
  </si>
  <si>
    <t>separation_anxiety_p01</t>
  </si>
  <si>
    <t>sleep_problems_p01</t>
  </si>
  <si>
    <t>social_anxiety_disorder_p01</t>
  </si>
  <si>
    <t>specific_phobia_p01</t>
  </si>
  <si>
    <t>suicidality_p01</t>
  </si>
  <si>
    <t>tic_disorders_p01</t>
  </si>
  <si>
    <t>obs_compulsive_disorder_p01</t>
  </si>
  <si>
    <t>abcd_pksadscd01</t>
  </si>
  <si>
    <t>ABCD Parent Diagnostic Interview for DSM-5 (KSADS) ADHD Individual Questions</t>
  </si>
  <si>
    <t>ABCD Parent Diagnostic Interview for DSM-5 (KSADS) Agoraphobia Individual Questions</t>
  </si>
  <si>
    <t>ABCD Parent Diagnostic Interview for DSM-5 (KSADS) Alcohol Use Disorder Individual Questions</t>
  </si>
  <si>
    <t>ABCD Parent Diagnostic Interview for DSM-5 (KSADS) Autism Spectrum Disorders Individual Questions</t>
  </si>
  <si>
    <t>ABCD Parent Diagnostic Interview for DSM-5 (KSADS) Bipolar Disorders Individual Questions</t>
  </si>
  <si>
    <t xml:space="preserve">	ABCD Parent Diagnostic Interview for DSM-5 (KSADS) DMDD Individual Questions</t>
  </si>
  <si>
    <t>ABCD Parent Diagnostic Interview for DSM-5 (KSADS) Depressive Disorders Individual Questions</t>
  </si>
  <si>
    <t>ABCD Parent Diagnostic Interview for DSM-5 (KSADS) Drug Use Disorder Individual Questions</t>
  </si>
  <si>
    <t>ABCD Parent Diagnostic Interview for DSM-5 (KSADS) Eating Disorders Individual Questions</t>
  </si>
  <si>
    <t>ABCD Parent Diagnostic Interview for DSM-5 (KSADS) Generalized Anxiety Disorder Individual Questions</t>
  </si>
  <si>
    <t>ABCD Parent Diagnostic Interview for DSM-5 (KSADS) Homicidality Individual Questions</t>
  </si>
  <si>
    <t>ABCD Parent Diagnostic Interview for DSM-5 (KSADS) ODD Individual Questions</t>
  </si>
  <si>
    <t>ABCD Parent Diagnostic Interview for DSM-5 (KSADS) Panic Disorder Individual Questions</t>
  </si>
  <si>
    <t>ABCD Parent Diagnostic Interview for DSM-5 (KSADS) Psychotic Disorders Individual Questions</t>
  </si>
  <si>
    <t xml:space="preserve">	ABCD Parent Diagnostic Interview for DSM-5 (KSADS) Separation Anxiety Disorder Individual Questions</t>
  </si>
  <si>
    <t>ABCD Parent Diagnostic Interview for DSM-5 (KSADS) Sleep Problems Individual Questions</t>
  </si>
  <si>
    <t>ABCD Parent Diagnostic Interview for DSM-5 (KSADS) Specific Anxiety Disorder Individual Questions</t>
  </si>
  <si>
    <t>ABCD Parent Diagnostic Interview for DSM-5 (KSADS) Specific Phobia Individual Questions</t>
  </si>
  <si>
    <t xml:space="preserve">	ABCD Parent Diagnostic Interview for DSM-5 (KSADS) Suicidality Individual Questions</t>
  </si>
  <si>
    <t xml:space="preserve">	ABCD Parent Diagnostic Interview for DSM-5 (KSADS) Tic Disorder Individual Questions</t>
  </si>
  <si>
    <t xml:space="preserve">	ABCD Parent Diagnostic Interview for DSM-5(KSADS) Obsessive Compulsive Disorder Individual Questions</t>
  </si>
  <si>
    <t xml:space="preserve">	ABCD Parent KSADS Conduct Disorder</t>
  </si>
  <si>
    <t xml:space="preserve">	ABCD Youth Diagnostic Interview for DSM-5 5 (KSADS-5)</t>
  </si>
  <si>
    <t xml:space="preserve">	ABCD Parent Diagnostic Interview for DSM-5 Full (KSADS-5)</t>
  </si>
  <si>
    <t>ABCD Youth Diagnostic Interview for DSM-5 (KSADS) Alcohol Use Disorder Individual Questions</t>
  </si>
  <si>
    <t>ABCD Youth Diagnostic Interview for DSM-5 (KSADS) Bipolar Disorders Individual Questions</t>
  </si>
  <si>
    <t>ABCD Youth Diagnostic Interview for DSM-5 (KSADS) Conduct Disorder Individual Questions</t>
  </si>
  <si>
    <t>ABCD Youth Diagnostic Interview for DSM-5 (KSADS) DMDD Individual Questions</t>
  </si>
  <si>
    <t>ABCD Youth Diagnostic Interview for DSM-5 (KSADS) Depressive Disorders Individual Questions</t>
  </si>
  <si>
    <t>ABCD Youth Diagnostic Interview for DSM-5 (KSADS) Drug Use Disorder Individual Questions</t>
  </si>
  <si>
    <t xml:space="preserve">	ABCD Youth Diagnostic Interview for DSM-5 (KSADS) Eating Disorders Individual Questions</t>
  </si>
  <si>
    <t>ABCD Youth Diagnostic Interview for DSM-5 (KSADS) Generalized Anxiety Disorder Individual Questions</t>
  </si>
  <si>
    <t xml:space="preserve">	ABCD Youth Diagnostic Interview for DSM-5 (KSADS) Sleep Problems Individual Questions</t>
  </si>
  <si>
    <t xml:space="preserve">	ABCD Youth Diagnostic Interview for DSM-5 (KSADS) Specific Anxiety Disorder Individual Questions</t>
  </si>
  <si>
    <t xml:space="preserve">	ABCD Youth Diagnostic Interview for DSM-5 (KSADS) Suicidality Individual Questions</t>
  </si>
  <si>
    <t>Took original data (ksads_odd_raw_1030_p,ksads_odd_raw_1042_p) and converted weeks, months, and years into days; Took original data (ksads_odd_raw_465_p) and used number of months old to convert it to age of onset (in months) and age of worsening (in months)</t>
  </si>
  <si>
    <t>Values &gt; 365 days discarded</t>
  </si>
  <si>
    <t>Transformed ksads_eatingdis_raw_363_p,ksads_eatingdis_raw_359_p into BMI; Impossible BMI values discarded (61, ≥153)</t>
  </si>
  <si>
    <t>Took original data (ksads_phobia_raw_270_p) and converted weeks, months, and years into days; implausible values discarded (4417, 4745 days)</t>
  </si>
  <si>
    <t>Supplemental Tables Table of Contents</t>
  </si>
  <si>
    <t>Supplemental Table S1</t>
  </si>
  <si>
    <t>Baseline phenotype description table</t>
  </si>
  <si>
    <t>Baseline Non-Imaging Phenotype Description Dictionary </t>
  </si>
  <si>
    <t>Supplemental Table S3</t>
  </si>
  <si>
    <t>Two-year follow-up phenotype description table</t>
  </si>
  <si>
    <t>Supplemental Table S4</t>
  </si>
  <si>
    <t xml:space="preserve">Two-Year Follow-up Non-Imaging Phenotype Description Dictionary </t>
  </si>
  <si>
    <t>Supplemental Table S5</t>
  </si>
  <si>
    <t>Baseline imaging phenotype description table</t>
  </si>
  <si>
    <t>PheWAS results: Baseline Phenotypes</t>
  </si>
  <si>
    <t>Supplemental Table S7</t>
  </si>
  <si>
    <t>PheWAS results: Two-Year Follow-Up Phenotypes</t>
  </si>
  <si>
    <t>Supplemental Table S8</t>
  </si>
  <si>
    <t>Associations between PRS and global imaging metrics</t>
  </si>
  <si>
    <t>Supplemental Table S9</t>
  </si>
  <si>
    <t>Associations between PRS and regional cortical volume metrics (in mm^2 of APARC ROI)</t>
  </si>
  <si>
    <t>Supplemental Table S10</t>
  </si>
  <si>
    <t>Associations between PRS and regional cortical surface area metrics (in mm^2 of APARC ROI)</t>
  </si>
  <si>
    <t>Supplemental Table S11</t>
  </si>
  <si>
    <t>Associations between PRS and regional cortical thickness metrics (in mm of APARC ROI)</t>
  </si>
  <si>
    <t>Supplemental Table S12</t>
  </si>
  <si>
    <t>Associations between PRS and subcortical volume metrics (in mm^2 of ASEG ROI)</t>
  </si>
  <si>
    <t>Supplemental Table S13</t>
  </si>
  <si>
    <t>Associations between PRS and resting state functional connectivity metrics</t>
  </si>
  <si>
    <t>Supplemental Table S14</t>
  </si>
  <si>
    <t>Associations between PRS and fractional anisotropy metrics (average fractional anisotropy within DTI atlast tracts)</t>
  </si>
  <si>
    <t>Supplemental Table S15</t>
  </si>
  <si>
    <t>Associations between PRS and mean diffusivity metrics (mean diffusivity within DTI atlas tract)</t>
  </si>
  <si>
    <t>Supplemental Table S16</t>
  </si>
  <si>
    <t>Associations between baseline imaging metrics and two-year follow-up phenotypes</t>
  </si>
  <si>
    <t>Supplemental Table S17</t>
  </si>
  <si>
    <t>Indirect effects of neural metrics on associations between PRS and two-year follow-up phenotypes</t>
  </si>
  <si>
    <t>Supplemental Table S18</t>
  </si>
  <si>
    <t>CFA Model Comparisons</t>
  </si>
  <si>
    <t>Supplemental Table S19</t>
  </si>
  <si>
    <t>CFA Model Loadings</t>
  </si>
  <si>
    <t>Phenotype</t>
  </si>
  <si>
    <t>Sample Size</t>
  </si>
  <si>
    <t>Effective N</t>
  </si>
  <si>
    <t>Reference</t>
  </si>
  <si>
    <t>55,374 (20,183 cases)</t>
  </si>
  <si>
    <t>Demontis et al. (2019)</t>
  </si>
  <si>
    <t>72,517 (16,992 cases)</t>
  </si>
  <si>
    <t>0.11 – 0.17</t>
  </si>
  <si>
    <t>Watson et al. (2019)</t>
  </si>
  <si>
    <t>46,350 (18,381 cases)</t>
  </si>
  <si>
    <t>Grove et al. (2019)</t>
  </si>
  <si>
    <t>413,466 (41,917 cases)</t>
  </si>
  <si>
    <t>0.156 – 0.186</t>
  </si>
  <si>
    <t>Mullins et al. (2019)</t>
  </si>
  <si>
    <t>Levey et al. (2020)</t>
  </si>
  <si>
    <t>500,199 (170,756 cases)</t>
  </si>
  <si>
    <t>Howard et al. (2018)</t>
  </si>
  <si>
    <t>9,725 (2,688 cases)</t>
  </si>
  <si>
    <t>IOCDF-GC et al. (2018)</t>
  </si>
  <si>
    <t>Zhou et al. (2020)</t>
  </si>
  <si>
    <t>174,659 (23,212 cases)</t>
  </si>
  <si>
    <t>Nievergelt et al. (2019)</t>
  </si>
  <si>
    <t>161,405 (67,390 cases)</t>
  </si>
  <si>
    <t>Ripke et al. (preprint)</t>
  </si>
  <si>
    <t>14,307 (4,819 cases)</t>
  </si>
  <si>
    <t>Yu et al. (2019)</t>
  </si>
  <si>
    <r>
      <t>h</t>
    </r>
    <r>
      <rPr>
        <b/>
        <vertAlign val="superscript"/>
        <sz val="12"/>
        <color theme="1"/>
        <rFont val="Calibri"/>
        <family val="2"/>
        <scheme val="minor"/>
      </rPr>
      <t>2</t>
    </r>
    <r>
      <rPr>
        <b/>
        <vertAlign val="subscript"/>
        <sz val="12"/>
        <color theme="1"/>
        <rFont val="Calibri"/>
        <family val="2"/>
        <scheme val="minor"/>
      </rPr>
      <t>SNP</t>
    </r>
  </si>
  <si>
    <t xml:space="preserve">Note. ADHD = Attention-Deficit/Hyperactivity Disorder; AN = Anorexia Nervosa; ASD = Autism Spectrum Disorder; BiP = Bipolar Disorder; GAD = Generalized Anxiety Disorder; MDD = Major Depressive Disorder; OCD = Obsessive-Compulsive Disorder; PAU = Problematic Alcohol Use; PTSD = Posttraumatic Stress Disorder; SCZ = Schizophrenia; TS = Tourette’s Syndrome. h2SNP = SNP-heritability from original GWAS. Effective Ns for case-control GWAS were computed with the formula 4v(1-v)*n, where v is the sample prevalence.  	</t>
  </si>
  <si>
    <t>Supplemental Table S20</t>
  </si>
  <si>
    <t>Contributing GWAS Summary Statistics</t>
  </si>
  <si>
    <t>Another kid gossiped about me so others would not like me.</t>
  </si>
  <si>
    <t>Another kid said mean things about me so that people would think I was a loser.</t>
  </si>
  <si>
    <t>1:30437268:A:G</t>
  </si>
  <si>
    <t>rs6694545</t>
  </si>
  <si>
    <t>1:41841503:G:T</t>
  </si>
  <si>
    <t>rs61774748</t>
  </si>
  <si>
    <t>1:44100084:A:G</t>
  </si>
  <si>
    <t>rs11210892</t>
  </si>
  <si>
    <t>1:44105789:C:T</t>
  </si>
  <si>
    <t>rs12045413</t>
  </si>
  <si>
    <t>1:44296439:C:G</t>
  </si>
  <si>
    <t>rs3011216</t>
  </si>
  <si>
    <t>1:44369444:A:G</t>
  </si>
  <si>
    <t>rs11210935</t>
  </si>
  <si>
    <t>1:50113591:C:T</t>
  </si>
  <si>
    <t>rs6588355</t>
  </si>
  <si>
    <t>1:53712727:C:T</t>
  </si>
  <si>
    <t>rs5174</t>
  </si>
  <si>
    <t>1:61044050:C:T</t>
  </si>
  <si>
    <t>rs987335</t>
  </si>
  <si>
    <t>1:61077199:C:T</t>
  </si>
  <si>
    <t>rs542815</t>
  </si>
  <si>
    <t>1:73293332:C:T</t>
  </si>
  <si>
    <t>rs2422320</t>
  </si>
  <si>
    <t>1:73643834:A:C</t>
  </si>
  <si>
    <t>rs10789358</t>
  </si>
  <si>
    <t>1:73816564:C:T</t>
  </si>
  <si>
    <t>rs1160682</t>
  </si>
  <si>
    <t>1:73851340:A:G</t>
  </si>
  <si>
    <t>rs12718438</t>
  </si>
  <si>
    <t>1:73888982:C:T</t>
  </si>
  <si>
    <t>rs1338656</t>
  </si>
  <si>
    <t>1:74076528:A:G</t>
  </si>
  <si>
    <t>rs11210306</t>
  </si>
  <si>
    <t>1:115618781:G:T</t>
  </si>
  <si>
    <t>rs57026899</t>
  </si>
  <si>
    <t>1:150022827:A:G</t>
  </si>
  <si>
    <t>rs72692873</t>
  </si>
  <si>
    <t>1:150130096:A:G</t>
  </si>
  <si>
    <t>rs78681982</t>
  </si>
  <si>
    <t>1:150138709:C:T</t>
  </si>
  <si>
    <t>rs55802315</t>
  </si>
  <si>
    <t>1:150454143:A:G</t>
  </si>
  <si>
    <t>rs12729719</t>
  </si>
  <si>
    <t>1:154911798:A:G</t>
  </si>
  <si>
    <t>rs4845695</t>
  </si>
  <si>
    <t>1:155001281:A:G</t>
  </si>
  <si>
    <t>rs150138294</t>
  </si>
  <si>
    <t>1:155087411:A:G</t>
  </si>
  <si>
    <t>rs34455078</t>
  </si>
  <si>
    <t>1:163582980:A:G</t>
  </si>
  <si>
    <t>rs1934233</t>
  </si>
  <si>
    <t>1:163764928:A:G</t>
  </si>
  <si>
    <t>rs2033967</t>
  </si>
  <si>
    <t>1:163790947:C:G</t>
  </si>
  <si>
    <t>rs1441188</t>
  </si>
  <si>
    <t>1:179319868:C:T</t>
  </si>
  <si>
    <t>rs10913734</t>
  </si>
  <si>
    <t>1:179320578:A:G</t>
  </si>
  <si>
    <t>rs13306731</t>
  </si>
  <si>
    <t>1:191090626:C:T</t>
  </si>
  <si>
    <t>rs1377923</t>
  </si>
  <si>
    <t>1:196018808:A:G</t>
  </si>
  <si>
    <t>rs10801509</t>
  </si>
  <si>
    <t>1:200963825:C:T</t>
  </si>
  <si>
    <t>rs12126806</t>
  </si>
  <si>
    <t>1:214423797:A:T</t>
  </si>
  <si>
    <t>rs12116805</t>
  </si>
  <si>
    <t>1:239296644:C:T</t>
  </si>
  <si>
    <t>rs1848752</t>
  </si>
  <si>
    <t>1:243428152:G:T</t>
  </si>
  <si>
    <t>rs12741781</t>
  </si>
  <si>
    <t>2:2334877:A:G</t>
  </si>
  <si>
    <t>rs3749051</t>
  </si>
  <si>
    <t>2:22546852:A:G</t>
  </si>
  <si>
    <t>rs5015511</t>
  </si>
  <si>
    <t>2:22611482:C:T</t>
  </si>
  <si>
    <t>rs1858124</t>
  </si>
  <si>
    <t>2:22623392:A:G</t>
  </si>
  <si>
    <t>rs11887562</t>
  </si>
  <si>
    <t>2:27939071:C:T</t>
  </si>
  <si>
    <t>rs115386260</t>
  </si>
  <si>
    <t>2:28033538:A:C</t>
  </si>
  <si>
    <t>rs12474906</t>
  </si>
  <si>
    <t>2:28182006:C:T</t>
  </si>
  <si>
    <t>rs1506536</t>
  </si>
  <si>
    <t>2:28290347:C:T</t>
  </si>
  <si>
    <t>rs13414801</t>
  </si>
  <si>
    <t>2:37388656:C:T</t>
  </si>
  <si>
    <t>rs13021288</t>
  </si>
  <si>
    <t>2:48554955:A:G</t>
  </si>
  <si>
    <t>rs79247094</t>
  </si>
  <si>
    <t>2:57950104:A:G</t>
  </si>
  <si>
    <t>rs10180540</t>
  </si>
  <si>
    <t>2:57988194:A:T</t>
  </si>
  <si>
    <t>rs11688767</t>
  </si>
  <si>
    <t>2:57995348:A:C</t>
  </si>
  <si>
    <t>rs13016665</t>
  </si>
  <si>
    <t>2:58070482:C:T</t>
  </si>
  <si>
    <t>rs1851140</t>
  </si>
  <si>
    <t>2:58082205:A:G</t>
  </si>
  <si>
    <t>rs68084872</t>
  </si>
  <si>
    <t>2:58155829:A:G</t>
  </si>
  <si>
    <t>rs2312143</t>
  </si>
  <si>
    <t>2:58211509:A:G</t>
  </si>
  <si>
    <t>rs6545677</t>
  </si>
  <si>
    <t>2:58383820:C:T</t>
  </si>
  <si>
    <t>rs7596038</t>
  </si>
  <si>
    <t>2:58388696:A:G</t>
  </si>
  <si>
    <t>rs848291</t>
  </si>
  <si>
    <t>2:58493260:C:T</t>
  </si>
  <si>
    <t>rs7593369</t>
  </si>
  <si>
    <t>2:60718347:C:T</t>
  </si>
  <si>
    <t>rs7599488</t>
  </si>
  <si>
    <t>2:73553397:A:G</t>
  </si>
  <si>
    <t>rs6546820</t>
  </si>
  <si>
    <t>2:73637519:A:G</t>
  </si>
  <si>
    <t>rs10179134</t>
  </si>
  <si>
    <t>2:97428320:A:G</t>
  </si>
  <si>
    <t>rs72809838</t>
  </si>
  <si>
    <t>2:97500775:A:G</t>
  </si>
  <si>
    <t>rs78381888</t>
  </si>
  <si>
    <t>2:98534734:C:T</t>
  </si>
  <si>
    <t>rs77817202</t>
  </si>
  <si>
    <t>2:104984277:A:C</t>
  </si>
  <si>
    <t>rs6732355</t>
  </si>
  <si>
    <t>2:134844407:C:T</t>
  </si>
  <si>
    <t>rs6729836</t>
  </si>
  <si>
    <t>2:145137352:C:G</t>
  </si>
  <si>
    <t>rs78719985</t>
  </si>
  <si>
    <t>2:145141541:A:C</t>
  </si>
  <si>
    <t>rs12991836</t>
  </si>
  <si>
    <t>2:145183851:C:T</t>
  </si>
  <si>
    <t>rs13016542</t>
  </si>
  <si>
    <t>2:156846952:C:T</t>
  </si>
  <si>
    <t>rs2351288</t>
  </si>
  <si>
    <t>2:162836272:A:G</t>
  </si>
  <si>
    <t>rs2909444</t>
  </si>
  <si>
    <t>2:166152389:A:G</t>
  </si>
  <si>
    <t>rs17183814</t>
  </si>
  <si>
    <t>2:169391903:C:T</t>
  </si>
  <si>
    <t>rs13006127</t>
  </si>
  <si>
    <t>2:169406169:A:G</t>
  </si>
  <si>
    <t>rs113753976</t>
  </si>
  <si>
    <t>2:169481837:C:G</t>
  </si>
  <si>
    <t>rs13417268</t>
  </si>
  <si>
    <t>2:172957643:G:T</t>
  </si>
  <si>
    <t>rs13390848</t>
  </si>
  <si>
    <t>2:174951182:C:T</t>
  </si>
  <si>
    <t>rs10173857</t>
  </si>
  <si>
    <t>2:175079733:A:G</t>
  </si>
  <si>
    <t>rs10186796</t>
  </si>
  <si>
    <t>2:180835792:A:T</t>
  </si>
  <si>
    <t>rs3768837</t>
  </si>
  <si>
    <t>2:185414279:A:T</t>
  </si>
  <si>
    <t>rs7566980</t>
  </si>
  <si>
    <t>2:185462041:C:T</t>
  </si>
  <si>
    <t>rs10497655</t>
  </si>
  <si>
    <t>2:185533580:C:T</t>
  </si>
  <si>
    <t>rs7597593</t>
  </si>
  <si>
    <t>2:185609004:C:T</t>
  </si>
  <si>
    <t>rs2170203</t>
  </si>
  <si>
    <t>2:185626426:C:T</t>
  </si>
  <si>
    <t>rs2369595</t>
  </si>
  <si>
    <t>2:185778428:A:C</t>
  </si>
  <si>
    <t>rs1344706</t>
  </si>
  <si>
    <t>2:185783141:C:T</t>
  </si>
  <si>
    <t>rs1583048</t>
  </si>
  <si>
    <t>2:185787586:G:T</t>
  </si>
  <si>
    <t>rs1594166</t>
  </si>
  <si>
    <t>2:185796345:C:T</t>
  </si>
  <si>
    <t>rs6722992</t>
  </si>
  <si>
    <t>2:185822703:C:T</t>
  </si>
  <si>
    <t>rs1429428</t>
  </si>
  <si>
    <t>2:186032938:G:T</t>
  </si>
  <si>
    <t>rs56697973</t>
  </si>
  <si>
    <t>2:186033255:A:T</t>
  </si>
  <si>
    <t>rs62198554</t>
  </si>
  <si>
    <t>2:186050380:C:T</t>
  </si>
  <si>
    <t>rs1483246</t>
  </si>
  <si>
    <t>2:193441245:A:G</t>
  </si>
  <si>
    <t>rs9941538</t>
  </si>
  <si>
    <t>2:193603096:C:T</t>
  </si>
  <si>
    <t>rs6730696</t>
  </si>
  <si>
    <t>2:193710229:A:G</t>
  </si>
  <si>
    <t>rs4850432</t>
  </si>
  <si>
    <t>2:193741525:C:T</t>
  </si>
  <si>
    <t>rs10171624</t>
  </si>
  <si>
    <t>2:193742999:A:G</t>
  </si>
  <si>
    <t>rs13014947</t>
  </si>
  <si>
    <t>2:193848340:A:C</t>
  </si>
  <si>
    <t>rs59979824</t>
  </si>
  <si>
    <t>2:193954458:A:C</t>
  </si>
  <si>
    <t>rs2357537</t>
  </si>
  <si>
    <t>2:193995291:A:G</t>
  </si>
  <si>
    <t>rs2357535</t>
  </si>
  <si>
    <t>2:194296294:A:G</t>
  </si>
  <si>
    <t>rs2245901</t>
  </si>
  <si>
    <t>2:194437889:A:G</t>
  </si>
  <si>
    <t>rs2719164</t>
  </si>
  <si>
    <t>2:198310389:C:G</t>
  </si>
  <si>
    <t>rs2565154</t>
  </si>
  <si>
    <t>2:198478320:A:G</t>
  </si>
  <si>
    <t>rs1455653</t>
  </si>
  <si>
    <t>2:200054222:A:G</t>
  </si>
  <si>
    <t>rs6715416</t>
  </si>
  <si>
    <t>2:200830137:G:T</t>
  </si>
  <si>
    <t>rs4263095</t>
  </si>
  <si>
    <t>2:201076401:A:G</t>
  </si>
  <si>
    <t>rs1653301</t>
  </si>
  <si>
    <t>2:201086663:G:T</t>
  </si>
  <si>
    <t>rs1729413</t>
  </si>
  <si>
    <t>2:201088171:A:G</t>
  </si>
  <si>
    <t>rs1369843</t>
  </si>
  <si>
    <t>2:201095739:A:G</t>
  </si>
  <si>
    <t>rs78988795</t>
  </si>
  <si>
    <t>2:201199831:C:T</t>
  </si>
  <si>
    <t>rs140001745</t>
  </si>
  <si>
    <t>2:201240086:A:G</t>
  </si>
  <si>
    <t>rs994280</t>
  </si>
  <si>
    <t>2:201245550:C:G</t>
  </si>
  <si>
    <t>rs3769454</t>
  </si>
  <si>
    <t>2:201247479:A:G</t>
  </si>
  <si>
    <t>rs7598349</t>
  </si>
  <si>
    <t>2:201282338:C:T</t>
  </si>
  <si>
    <t>rs2278515</t>
  </si>
  <si>
    <t>2:201308117:C:T</t>
  </si>
  <si>
    <t>rs1561296</t>
  </si>
  <si>
    <t>2:201314274:A:G</t>
  </si>
  <si>
    <t>rs17447598</t>
  </si>
  <si>
    <t>2:208426257:A:G</t>
  </si>
  <si>
    <t>rs10932201</t>
  </si>
  <si>
    <t>2:225342597:A:T</t>
  </si>
  <si>
    <t>rs1568750</t>
  </si>
  <si>
    <t>2:225368321:A:G</t>
  </si>
  <si>
    <t>rs3738951</t>
  </si>
  <si>
    <t>2:233551530:C:G</t>
  </si>
  <si>
    <t>rs7588513</t>
  </si>
  <si>
    <t>2:233593499:C:T</t>
  </si>
  <si>
    <t>rs17164</t>
  </si>
  <si>
    <t>2:233741256:C:G</t>
  </si>
  <si>
    <t>rs79707548</t>
  </si>
  <si>
    <t>2:233753340:A:G</t>
  </si>
  <si>
    <t>rs2675956</t>
  </si>
  <si>
    <t>2:233793211:C:T</t>
  </si>
  <si>
    <t>rs73102769</t>
  </si>
  <si>
    <t>2:233802683:A:T</t>
  </si>
  <si>
    <t>rs10193403</t>
  </si>
  <si>
    <t>2:233806771:A:C</t>
  </si>
  <si>
    <t>rs4973576</t>
  </si>
  <si>
    <t>2:233810762:A:G</t>
  </si>
  <si>
    <t>rs12327967</t>
  </si>
  <si>
    <t>3:2561691:C:T</t>
  </si>
  <si>
    <t>rs36067464</t>
  </si>
  <si>
    <t>3:24215611:A:G</t>
  </si>
  <si>
    <t>rs9310733</t>
  </si>
  <si>
    <t>3:29780743:C:G</t>
  </si>
  <si>
    <t>rs6775769</t>
  </si>
  <si>
    <t>3:30076363:C:G</t>
  </si>
  <si>
    <t>rs73051076</t>
  </si>
  <si>
    <t>3:34689301:A:G</t>
  </si>
  <si>
    <t>rs10510660</t>
  </si>
  <si>
    <t>3:36850660:C:T</t>
  </si>
  <si>
    <t>rs78136662</t>
  </si>
  <si>
    <t>3:36856030:C:T</t>
  </si>
  <si>
    <t>rs9834970</t>
  </si>
  <si>
    <t>3:36872193:A:C</t>
  </si>
  <si>
    <t>rs3732385</t>
  </si>
  <si>
    <t>3:36876154:C:T</t>
  </si>
  <si>
    <t>rs3796186</t>
  </si>
  <si>
    <t>3:36900944:C:T</t>
  </si>
  <si>
    <t>rs4642070</t>
  </si>
  <si>
    <t>3:36962388:A:G</t>
  </si>
  <si>
    <t>rs13314421</t>
  </si>
  <si>
    <t>3:37969695:C:G</t>
  </si>
  <si>
    <t>rs9878581</t>
  </si>
  <si>
    <t>3:50109044:C:T</t>
  </si>
  <si>
    <t>rs62263586</t>
  </si>
  <si>
    <t>3:50292324:A:G</t>
  </si>
  <si>
    <t>rs11715758</t>
  </si>
  <si>
    <t>3:50505395:C:T</t>
  </si>
  <si>
    <t>rs2236989</t>
  </si>
  <si>
    <t>3:52261031:A:G</t>
  </si>
  <si>
    <t>rs187084</t>
  </si>
  <si>
    <t>3:52491046:C:T</t>
  </si>
  <si>
    <t>rs2267921</t>
  </si>
  <si>
    <t>3:52532291:C:G</t>
  </si>
  <si>
    <t>rs34736619</t>
  </si>
  <si>
    <t>3:52538300:C:G</t>
  </si>
  <si>
    <t>rs7613444</t>
  </si>
  <si>
    <t>3:52556890:A:G</t>
  </si>
  <si>
    <t>rs4434138</t>
  </si>
  <si>
    <t>3:52624387:G:T</t>
  </si>
  <si>
    <t>rs73078824</t>
  </si>
  <si>
    <t>3:52864135:C:T</t>
  </si>
  <si>
    <t>rs4687554</t>
  </si>
  <si>
    <t>3:52982296:A:G</t>
  </si>
  <si>
    <t>rs2952830</t>
  </si>
  <si>
    <t>3:53060637:C:T</t>
  </si>
  <si>
    <t>rs2255107</t>
  </si>
  <si>
    <t>3:53442466:G:T</t>
  </si>
  <si>
    <t>rs545580</t>
  </si>
  <si>
    <t>3:53443354:C:T</t>
  </si>
  <si>
    <t>rs13080668</t>
  </si>
  <si>
    <t>3:53514416:G:T</t>
  </si>
  <si>
    <t>rs312476</t>
  </si>
  <si>
    <t>3:53516203:C:T</t>
  </si>
  <si>
    <t>rs312478</t>
  </si>
  <si>
    <t>3:63867355:A:G</t>
  </si>
  <si>
    <t>rs704373</t>
  </si>
  <si>
    <t>3:70472800:G:T</t>
  </si>
  <si>
    <t>rs2193553</t>
  </si>
  <si>
    <t>3:70480493:G:T</t>
  </si>
  <si>
    <t>rs9862925</t>
  </si>
  <si>
    <t>3:70559303:C:G</t>
  </si>
  <si>
    <t>rs62256292</t>
  </si>
  <si>
    <t>3:84892686:A:C</t>
  </si>
  <si>
    <t>rs2172845</t>
  </si>
  <si>
    <t>3:107201428:A:C</t>
  </si>
  <si>
    <t>rs836927</t>
  </si>
  <si>
    <t>3:107295392:A:C</t>
  </si>
  <si>
    <t>rs600011</t>
  </si>
  <si>
    <t>3:107296969:A:G</t>
  </si>
  <si>
    <t>rs62261974</t>
  </si>
  <si>
    <t>3:107548934:C:T</t>
  </si>
  <si>
    <t>rs12695172</t>
  </si>
  <si>
    <t>3:107564459:C:T</t>
  </si>
  <si>
    <t>rs7644809</t>
  </si>
  <si>
    <t>3:107785344:A:G</t>
  </si>
  <si>
    <t>rs765090</t>
  </si>
  <si>
    <t>3:107798578:C:G</t>
  </si>
  <si>
    <t>rs2289079</t>
  </si>
  <si>
    <t>3:107869895:C:T</t>
  </si>
  <si>
    <t>rs17232450</t>
  </si>
  <si>
    <t>3:117632263:A:G</t>
  </si>
  <si>
    <t>rs62263123</t>
  </si>
  <si>
    <t>3:136195788:A:T</t>
  </si>
  <si>
    <t>rs1394094</t>
  </si>
  <si>
    <t>3:161709235:C:T</t>
  </si>
  <si>
    <t>rs4241433</t>
  </si>
  <si>
    <t>3:161777035:A:G</t>
  </si>
  <si>
    <t>rs13090130</t>
  </si>
  <si>
    <t>3:180774428:A:G</t>
  </si>
  <si>
    <t>rs1805645</t>
  </si>
  <si>
    <t>3:180826524:C:T</t>
  </si>
  <si>
    <t>rs2006786</t>
  </si>
  <si>
    <t>3:180840488:C:T</t>
  </si>
  <si>
    <t>rs4456860</t>
  </si>
  <si>
    <t>3:181090035:C:T</t>
  </si>
  <si>
    <t>rs35589824</t>
  </si>
  <si>
    <t>3:181188505:A:G</t>
  </si>
  <si>
    <t>rs11711948</t>
  </si>
  <si>
    <t>4:23377121:A:G</t>
  </si>
  <si>
    <t>rs215483</t>
  </si>
  <si>
    <t>4:33649928:A:G</t>
  </si>
  <si>
    <t>rs66948132</t>
  </si>
  <si>
    <t>4:37248811:A:G</t>
  </si>
  <si>
    <t>rs35870167</t>
  </si>
  <si>
    <t>4:80198876:C:T</t>
  </si>
  <si>
    <t>rs13108290</t>
  </si>
  <si>
    <t>4:118545387:C:T</t>
  </si>
  <si>
    <t>rs1948223</t>
  </si>
  <si>
    <t>4:118648360:C:T</t>
  </si>
  <si>
    <t>rs967136</t>
  </si>
  <si>
    <t>4:118782785:A:C</t>
  </si>
  <si>
    <t>rs4377658</t>
  </si>
  <si>
    <t>4:118886489:G:T</t>
  </si>
  <si>
    <t>rs6832316</t>
  </si>
  <si>
    <t>4:123026869:C:T</t>
  </si>
  <si>
    <t>rs6534338</t>
  </si>
  <si>
    <t>4:123122856:A:G</t>
  </si>
  <si>
    <t>rs77087420</t>
  </si>
  <si>
    <t>4:143654534:A:G</t>
  </si>
  <si>
    <t>rs2165819</t>
  </si>
  <si>
    <t>4:143781534:A:G</t>
  </si>
  <si>
    <t>rs13112916</t>
  </si>
  <si>
    <t>4:143873787:C:T</t>
  </si>
  <si>
    <t>rs1441420</t>
  </si>
  <si>
    <t>4:149318212:C:T</t>
  </si>
  <si>
    <t>rs61756942</t>
  </si>
  <si>
    <t>4:167953146:A:G</t>
  </si>
  <si>
    <t>rs1427624</t>
  </si>
  <si>
    <t>4:170309455:C:T</t>
  </si>
  <si>
    <t>rs12500131</t>
  </si>
  <si>
    <t>4:170638466:C:T</t>
  </si>
  <si>
    <t>rs72696657</t>
  </si>
  <si>
    <t>4:176728614:A:C</t>
  </si>
  <si>
    <t>rs13142920</t>
  </si>
  <si>
    <t>4:176739754:C:T</t>
  </si>
  <si>
    <t>rs976706</t>
  </si>
  <si>
    <t>4:176859992:A:G</t>
  </si>
  <si>
    <t>rs2333321</t>
  </si>
  <si>
    <t>5:44914579:A:G</t>
  </si>
  <si>
    <t>rs7703618</t>
  </si>
  <si>
    <t>5:45252500:A:G</t>
  </si>
  <si>
    <t>rs10035564</t>
  </si>
  <si>
    <t>5:45309477:C:T</t>
  </si>
  <si>
    <t>rs7717890</t>
  </si>
  <si>
    <t>5:45770252:A:G</t>
  </si>
  <si>
    <t>rs7447717</t>
  </si>
  <si>
    <t>5:60484660:A:G</t>
  </si>
  <si>
    <t>rs159540</t>
  </si>
  <si>
    <t>5:60525210:C:T</t>
  </si>
  <si>
    <t>rs40506</t>
  </si>
  <si>
    <t>5:60660401:A:G</t>
  </si>
  <si>
    <t>rs13169711</t>
  </si>
  <si>
    <t>5:78849505:G:T</t>
  </si>
  <si>
    <t>rs6865469</t>
  </si>
  <si>
    <t>5:88696876:C:T</t>
  </si>
  <si>
    <t>rs2161203</t>
  </si>
  <si>
    <t>5:92449246:C:G</t>
  </si>
  <si>
    <t>rs35531845</t>
  </si>
  <si>
    <t>5:101637315:A:G</t>
  </si>
  <si>
    <t>rs4343814</t>
  </si>
  <si>
    <t>5:104088117:C:G</t>
  </si>
  <si>
    <t>rs325490</t>
  </si>
  <si>
    <t>5:106625682:A:C</t>
  </si>
  <si>
    <t>rs1363896</t>
  </si>
  <si>
    <t>5:106736417:C:T</t>
  </si>
  <si>
    <t>rs252810</t>
  </si>
  <si>
    <t>5:137745700:C:T</t>
  </si>
  <si>
    <t>rs4835791</t>
  </si>
  <si>
    <t>5:137775581:C:G</t>
  </si>
  <si>
    <t>rs982085</t>
  </si>
  <si>
    <t>5:137798306:A:G</t>
  </si>
  <si>
    <t>rs7735367</t>
  </si>
  <si>
    <t>5:137802404:C:T</t>
  </si>
  <si>
    <t>rs11743810</t>
  </si>
  <si>
    <t>5:137892170:A:G</t>
  </si>
  <si>
    <t>rs10117</t>
  </si>
  <si>
    <t>5:137902339:C:T</t>
  </si>
  <si>
    <t>rs1042665</t>
  </si>
  <si>
    <t>5:139993266:A:T</t>
  </si>
  <si>
    <t>rs4264986</t>
  </si>
  <si>
    <t>5:140142174:A:C</t>
  </si>
  <si>
    <t>rs2531337</t>
  </si>
  <si>
    <t>5:140146894:A:G</t>
  </si>
  <si>
    <t>rs13164503</t>
  </si>
  <si>
    <t>5:140163328:A:T</t>
  </si>
  <si>
    <t>rs10069930</t>
  </si>
  <si>
    <t>5:140317371:C:T</t>
  </si>
  <si>
    <t>rs246073</t>
  </si>
  <si>
    <t>5:140333952:C:T</t>
  </si>
  <si>
    <t>rs246024</t>
  </si>
  <si>
    <t>5:152249082:A:G</t>
  </si>
  <si>
    <t>rs72802887</t>
  </si>
  <si>
    <t>5:152340090:A:T</t>
  </si>
  <si>
    <t>rs72806711</t>
  </si>
  <si>
    <t>5:152540354:C:T</t>
  </si>
  <si>
    <t>rs2910032</t>
  </si>
  <si>
    <t>5:153405414:G:T</t>
  </si>
  <si>
    <t>rs2560047</t>
  </si>
  <si>
    <t>5:153450790:C:T</t>
  </si>
  <si>
    <t>rs1438590</t>
  </si>
  <si>
    <t>5:155775075:C:T</t>
  </si>
  <si>
    <t>rs12652777</t>
  </si>
  <si>
    <t>5:155843556:A:G</t>
  </si>
  <si>
    <t>rs6872627</t>
  </si>
  <si>
    <t>5:174682553:A:G</t>
  </si>
  <si>
    <t>rs10061921</t>
  </si>
  <si>
    <t>6:25170668:A:G</t>
  </si>
  <si>
    <t>rs73388146</t>
  </si>
  <si>
    <t>6:25171526:C:T</t>
  </si>
  <si>
    <t>rs79207397</t>
  </si>
  <si>
    <t>6:25208585:C:T</t>
  </si>
  <si>
    <t>rs115989354</t>
  </si>
  <si>
    <t>6:25384361:C:T</t>
  </si>
  <si>
    <t>rs215011</t>
  </si>
  <si>
    <t>6:25449269:C:T</t>
  </si>
  <si>
    <t>rs4712938</t>
  </si>
  <si>
    <t>6:25514179:A:G</t>
  </si>
  <si>
    <t>rs35789010</t>
  </si>
  <si>
    <t>6:25588815:C:T</t>
  </si>
  <si>
    <t>rs13212936</t>
  </si>
  <si>
    <t>6:25772639:C:G</t>
  </si>
  <si>
    <t>rs1892252</t>
  </si>
  <si>
    <t>6:25818755:A:G</t>
  </si>
  <si>
    <t>rs9461218</t>
  </si>
  <si>
    <t>6:25872579:A:G</t>
  </si>
  <si>
    <t>rs972087</t>
  </si>
  <si>
    <t>6:25873883:C:T</t>
  </si>
  <si>
    <t>rs651578</t>
  </si>
  <si>
    <t>6:26090452:C:T</t>
  </si>
  <si>
    <t>rs13196986</t>
  </si>
  <si>
    <t>6:26111271:C:T</t>
  </si>
  <si>
    <t>rs68149500</t>
  </si>
  <si>
    <t>6:26173478:G:T</t>
  </si>
  <si>
    <t>rs34661691</t>
  </si>
  <si>
    <t>6:26196593:A:G</t>
  </si>
  <si>
    <t>rs67575965</t>
  </si>
  <si>
    <t>6:26226032:C:G</t>
  </si>
  <si>
    <t>rs811041</t>
  </si>
  <si>
    <t>6:26285683:C:T</t>
  </si>
  <si>
    <t>rs2393593</t>
  </si>
  <si>
    <t>6:26295926:A:G</t>
  </si>
  <si>
    <t>rs9393698</t>
  </si>
  <si>
    <t>6:26316982:A:G</t>
  </si>
  <si>
    <t>rs11966360</t>
  </si>
  <si>
    <t>6:26336838:A:C</t>
  </si>
  <si>
    <t>rs9357005</t>
  </si>
  <si>
    <t>6:26343057:C:G</t>
  </si>
  <si>
    <t>rs9379850</t>
  </si>
  <si>
    <t>6:26367218:C:T</t>
  </si>
  <si>
    <t>rs12199613</t>
  </si>
  <si>
    <t>6:26370707:C:T</t>
  </si>
  <si>
    <t>rs9379862</t>
  </si>
  <si>
    <t>6:26374658:A:G</t>
  </si>
  <si>
    <t>rs2073526</t>
  </si>
  <si>
    <t>6:26376868:A:G</t>
  </si>
  <si>
    <t>rs9393716</t>
  </si>
  <si>
    <t>6:26388672:C:T</t>
  </si>
  <si>
    <t>rs1796518</t>
  </si>
  <si>
    <t>6:26404958:A:G</t>
  </si>
  <si>
    <t>rs10456045</t>
  </si>
  <si>
    <t>6:26466035:A:C</t>
  </si>
  <si>
    <t>rs2273558</t>
  </si>
  <si>
    <t>6:26477143:A:T</t>
  </si>
  <si>
    <t>rs16891717</t>
  </si>
  <si>
    <t>6:26498758:G:T</t>
  </si>
  <si>
    <t>rs72843784</t>
  </si>
  <si>
    <t>6:26590578:A:T</t>
  </si>
  <si>
    <t>rs13203358</t>
  </si>
  <si>
    <t>6:27009512:A:T</t>
  </si>
  <si>
    <t>rs7775041</t>
  </si>
  <si>
    <t>6:27032711:G:T</t>
  </si>
  <si>
    <t>rs36048693</t>
  </si>
  <si>
    <t>6:27054497:C:T</t>
  </si>
  <si>
    <t>rs2142685</t>
  </si>
  <si>
    <t>6:27091425:A:C</t>
  </si>
  <si>
    <t>rs6913660</t>
  </si>
  <si>
    <t>6:27114052:G:T</t>
  </si>
  <si>
    <t>rs9393790</t>
  </si>
  <si>
    <t>6:27249202:C:G</t>
  </si>
  <si>
    <t>rs6910659</t>
  </si>
  <si>
    <t>6:27254475:A:G</t>
  </si>
  <si>
    <t>rs35454259</t>
  </si>
  <si>
    <t>6:27254967:C:T</t>
  </si>
  <si>
    <t>rs13217239</t>
  </si>
  <si>
    <t>6:27261324:C:T</t>
  </si>
  <si>
    <t>rs7746199</t>
  </si>
  <si>
    <t>6:27270261:C:T</t>
  </si>
  <si>
    <t>rs2393923</t>
  </si>
  <si>
    <t>6:27307817:G:T</t>
  </si>
  <si>
    <t>rs9368504</t>
  </si>
  <si>
    <t>6:27311658:A:G</t>
  </si>
  <si>
    <t>rs6922815</t>
  </si>
  <si>
    <t>6:27430126:A:G</t>
  </si>
  <si>
    <t>rs113039233</t>
  </si>
  <si>
    <t>6:27455138:A:G</t>
  </si>
  <si>
    <t>rs6456793</t>
  </si>
  <si>
    <t>6:27689939:C:T</t>
  </si>
  <si>
    <t>rs2056923</t>
  </si>
  <si>
    <t>6:27710165:A:C</t>
  </si>
  <si>
    <t>rs17693963</t>
  </si>
  <si>
    <t>6:27731755:A:C</t>
  </si>
  <si>
    <t>rs9468219</t>
  </si>
  <si>
    <t>6:27835930:A:G</t>
  </si>
  <si>
    <t>rs200951</t>
  </si>
  <si>
    <t>6:27839746:C:T</t>
  </si>
  <si>
    <t>rs200956</t>
  </si>
  <si>
    <t>6:27866384:A:G</t>
  </si>
  <si>
    <t>rs200965</t>
  </si>
  <si>
    <t>6:28011516:C:T</t>
  </si>
  <si>
    <t>rs149949</t>
  </si>
  <si>
    <t>6:28039586:A:G</t>
  </si>
  <si>
    <t>rs4713135</t>
  </si>
  <si>
    <t>6:28199937:C:G</t>
  </si>
  <si>
    <t>rs11962305</t>
  </si>
  <si>
    <t>6:28240991:G:T</t>
  </si>
  <si>
    <t>rs1778483</t>
  </si>
  <si>
    <t>6:28279100:A:T</t>
  </si>
  <si>
    <t>rs853694</t>
  </si>
  <si>
    <t>6:28301099:A:G</t>
  </si>
  <si>
    <t>rs7752448</t>
  </si>
  <si>
    <t>6:28330264:A:G</t>
  </si>
  <si>
    <t>rs213230</t>
  </si>
  <si>
    <t>6:28415572:A:G</t>
  </si>
  <si>
    <t>rs13215804</t>
  </si>
  <si>
    <t>6:28418039:C:T</t>
  </si>
  <si>
    <t>rs2859368</t>
  </si>
  <si>
    <t>6:33395199:A:G</t>
  </si>
  <si>
    <t>rs9461856</t>
  </si>
  <si>
    <t>6:33401291:A:C</t>
  </si>
  <si>
    <t>rs116323349</t>
  </si>
  <si>
    <t>6:33518977:A:G</t>
  </si>
  <si>
    <t>rs10807126</t>
  </si>
  <si>
    <t>6:33537546:A:G</t>
  </si>
  <si>
    <t>rs169738</t>
  </si>
  <si>
    <t>6:33545340:A:G</t>
  </si>
  <si>
    <t>rs2227925</t>
  </si>
  <si>
    <t>6:33622436:C:G</t>
  </si>
  <si>
    <t>rs62407648</t>
  </si>
  <si>
    <t>6:33627077:A:G</t>
  </si>
  <si>
    <t>rs2296342</t>
  </si>
  <si>
    <t>6:33650812:A:G</t>
  </si>
  <si>
    <t>rs11759011</t>
  </si>
  <si>
    <t>6:33662265:C:T</t>
  </si>
  <si>
    <t>rs10672</t>
  </si>
  <si>
    <t>6:33734419:C:T</t>
  </si>
  <si>
    <t>rs755497</t>
  </si>
  <si>
    <t>6:33767727:A:G</t>
  </si>
  <si>
    <t>rs3828783</t>
  </si>
  <si>
    <t>6:33796794:C:T</t>
  </si>
  <si>
    <t>rs9461916</t>
  </si>
  <si>
    <t>6:43152573:A:G</t>
  </si>
  <si>
    <t>rs9472022</t>
  </si>
  <si>
    <t>6:43157222:C:T</t>
  </si>
  <si>
    <t>rs112177478</t>
  </si>
  <si>
    <t>6:43160375:C:T</t>
  </si>
  <si>
    <t>rs113113059</t>
  </si>
  <si>
    <t>6:43189375:A:G</t>
  </si>
  <si>
    <t>rs6918623</t>
  </si>
  <si>
    <t>6:43230970:C:G</t>
  </si>
  <si>
    <t>rs3800294</t>
  </si>
  <si>
    <t>6:43234901:C:T</t>
  </si>
  <si>
    <t>rs79306700</t>
  </si>
  <si>
    <t>6:43279144:C:T</t>
  </si>
  <si>
    <t>rs79641366</t>
  </si>
  <si>
    <t>6:50848522:A:T</t>
  </si>
  <si>
    <t>rs2817332</t>
  </si>
  <si>
    <t>6:69677917:A:G</t>
  </si>
  <si>
    <t>rs1953613</t>
  </si>
  <si>
    <t>6:73123371:A:C</t>
  </si>
  <si>
    <t>rs9446645</t>
  </si>
  <si>
    <t>6:73157926:A:C</t>
  </si>
  <si>
    <t>rs1856507</t>
  </si>
  <si>
    <t>6:77937077:C:T</t>
  </si>
  <si>
    <t>rs12333212</t>
  </si>
  <si>
    <t>6:77944652:A:G</t>
  </si>
  <si>
    <t>rs72894652</t>
  </si>
  <si>
    <t>6:84257557:A:G</t>
  </si>
  <si>
    <t>rs217620</t>
  </si>
  <si>
    <t>6:84293271:A:G</t>
  </si>
  <si>
    <t>rs2022265</t>
  </si>
  <si>
    <t>6:90857028:C:T</t>
  </si>
  <si>
    <t>rs1010474</t>
  </si>
  <si>
    <t>6:93067628:A:T</t>
  </si>
  <si>
    <t>rs10944590</t>
  </si>
  <si>
    <t>6:93077500:G:T</t>
  </si>
  <si>
    <t>rs634940</t>
  </si>
  <si>
    <t>6:93148341:A:G</t>
  </si>
  <si>
    <t>rs12190758</t>
  </si>
  <si>
    <t>6:108988184:A:G</t>
  </si>
  <si>
    <t>rs2153960</t>
  </si>
  <si>
    <t>6:111822689:A:G</t>
  </si>
  <si>
    <t>rs9487653</t>
  </si>
  <si>
    <t>6:125027239:A:G</t>
  </si>
  <si>
    <t>rs945946</t>
  </si>
  <si>
    <t>6:146743039:C:T</t>
  </si>
  <si>
    <t>rs2300627</t>
  </si>
  <si>
    <t>6:152833038:A:G</t>
  </si>
  <si>
    <t>rs11155857</t>
  </si>
  <si>
    <t>6:163833535:A:T</t>
  </si>
  <si>
    <t>rs2784865</t>
  </si>
  <si>
    <t>7:1858618:C:T</t>
  </si>
  <si>
    <t>rs6950455</t>
  </si>
  <si>
    <t>7:1873756:C:G</t>
  </si>
  <si>
    <t>rs10268797</t>
  </si>
  <si>
    <t>7:1903100:C:T</t>
  </si>
  <si>
    <t>rs4610628</t>
  </si>
  <si>
    <t>7:1953615:A:G</t>
  </si>
  <si>
    <t>rs4721188</t>
  </si>
  <si>
    <t>7:2020995:A:G</t>
  </si>
  <si>
    <t>rs12668848</t>
  </si>
  <si>
    <t>7:2061111:A:C</t>
  </si>
  <si>
    <t>rs11762636</t>
  </si>
  <si>
    <t>7:2092885:A:G</t>
  </si>
  <si>
    <t>rs4721347</t>
  </si>
  <si>
    <t>7:2112506:A:G</t>
  </si>
  <si>
    <t>rs1860826</t>
  </si>
  <si>
    <t>7:2163800:A:C</t>
  </si>
  <si>
    <t>rs3800915</t>
  </si>
  <si>
    <t>7:2175313:C:G</t>
  </si>
  <si>
    <t>rs3778992</t>
  </si>
  <si>
    <t>7:2212923:G:T</t>
  </si>
  <si>
    <t>rs1637761</t>
  </si>
  <si>
    <t>7:2220053:C:T</t>
  </si>
  <si>
    <t>rs1637759</t>
  </si>
  <si>
    <t>7:2228848:A:G</t>
  </si>
  <si>
    <t>rs1637749</t>
  </si>
  <si>
    <t>7:2262941:A:C</t>
  </si>
  <si>
    <t>rs2159044</t>
  </si>
  <si>
    <t>7:2286487:A:C</t>
  </si>
  <si>
    <t>rs12673108</t>
  </si>
  <si>
    <t>7:11871787:A:G</t>
  </si>
  <si>
    <t>rs113779084</t>
  </si>
  <si>
    <t>7:21474610:C:G</t>
  </si>
  <si>
    <t>rs6461561</t>
  </si>
  <si>
    <t>7:21483605:A:G</t>
  </si>
  <si>
    <t>rs2237303</t>
  </si>
  <si>
    <t>7:21485102:C:T</t>
  </si>
  <si>
    <t>rs2107448</t>
  </si>
  <si>
    <t>7:21520212:G:T</t>
  </si>
  <si>
    <t>rs73060317</t>
  </si>
  <si>
    <t>7:24606157:C:T</t>
  </si>
  <si>
    <t>rs2529044</t>
  </si>
  <si>
    <t>7:24647222:A:G</t>
  </si>
  <si>
    <t>rs12672003</t>
  </si>
  <si>
    <t>7:24719606:A:G</t>
  </si>
  <si>
    <t>rs2529049</t>
  </si>
  <si>
    <t>7:24799227:C:T</t>
  </si>
  <si>
    <t>rs78849264</t>
  </si>
  <si>
    <t>7:24835729:A:G</t>
  </si>
  <si>
    <t>rs76881352</t>
  </si>
  <si>
    <t>7:70771134:C:T</t>
  </si>
  <si>
    <t>rs4719109</t>
  </si>
  <si>
    <t>7:70776918:A:G</t>
  </si>
  <si>
    <t>rs73356099</t>
  </si>
  <si>
    <t>7:71819852:A:G</t>
  </si>
  <si>
    <t>rs2944808</t>
  </si>
  <si>
    <t>7:82514138:C:T</t>
  </si>
  <si>
    <t>rs13237603</t>
  </si>
  <si>
    <t>7:86222651:A:G</t>
  </si>
  <si>
    <t>rs34536358</t>
  </si>
  <si>
    <t>7:86403263:C:T</t>
  </si>
  <si>
    <t>rs6943762</t>
  </si>
  <si>
    <t>7:86422141:A:G</t>
  </si>
  <si>
    <t>rs12704289</t>
  </si>
  <si>
    <t>7:86447945:A:C</t>
  </si>
  <si>
    <t>rs10268818</t>
  </si>
  <si>
    <t>7:86571305:A:G</t>
  </si>
  <si>
    <t>rs76349903</t>
  </si>
  <si>
    <t>7:103812171:A:G</t>
  </si>
  <si>
    <t>rs2299409</t>
  </si>
  <si>
    <t>7:104581510:A:G</t>
  </si>
  <si>
    <t>rs2470939</t>
  </si>
  <si>
    <t>7:104653265:A:G</t>
  </si>
  <si>
    <t>rs2192932</t>
  </si>
  <si>
    <t>7:105043229:A:G</t>
  </si>
  <si>
    <t>rs11764361</t>
  </si>
  <si>
    <t>7:105061779:A:G</t>
  </si>
  <si>
    <t>rs4282505</t>
  </si>
  <si>
    <t>7:108179726:C:G</t>
  </si>
  <si>
    <t>rs40912</t>
  </si>
  <si>
    <t>7:110069015:G:T</t>
  </si>
  <si>
    <t>rs6969410</t>
  </si>
  <si>
    <t>7:110975636:A:G</t>
  </si>
  <si>
    <t>rs12536395</t>
  </si>
  <si>
    <t>7:115031575:A:G</t>
  </si>
  <si>
    <t>rs9641538</t>
  </si>
  <si>
    <t>7:131619847:A:G</t>
  </si>
  <si>
    <t>rs1593304</t>
  </si>
  <si>
    <t>7:137032717:C:T</t>
  </si>
  <si>
    <t>rs321199</t>
  </si>
  <si>
    <t>7:137069055:A:G</t>
  </si>
  <si>
    <t>rs1669025</t>
  </si>
  <si>
    <t>7:137073259:C:T</t>
  </si>
  <si>
    <t>rs13230189</t>
  </si>
  <si>
    <t>7:140499107:C:T</t>
  </si>
  <si>
    <t>rs10487888</t>
  </si>
  <si>
    <t>7:140691762:G:T</t>
  </si>
  <si>
    <t>rs6464217</t>
  </si>
  <si>
    <t>8:4180491:A:G</t>
  </si>
  <si>
    <t>rs2134950</t>
  </si>
  <si>
    <t>8:9655426:C:T</t>
  </si>
  <si>
    <t>rs10113186</t>
  </si>
  <si>
    <t>8:9692541:A:C</t>
  </si>
  <si>
    <t>rs998019</t>
  </si>
  <si>
    <t>8:9732063:A:G</t>
  </si>
  <si>
    <t>rs73207158</t>
  </si>
  <si>
    <t>8:9753573:C:G</t>
  </si>
  <si>
    <t>rs12549629</t>
  </si>
  <si>
    <t>8:9777555:C:T</t>
  </si>
  <si>
    <t>rs28714450</t>
  </si>
  <si>
    <t>8:9782037:A:C</t>
  </si>
  <si>
    <t>rs12544097</t>
  </si>
  <si>
    <t>8:9787808:C:T</t>
  </si>
  <si>
    <t>rs661310</t>
  </si>
  <si>
    <t>8:9828939:G:T</t>
  </si>
  <si>
    <t>rs570903</t>
  </si>
  <si>
    <t>8:9881009:C:T</t>
  </si>
  <si>
    <t>rs17150950</t>
  </si>
  <si>
    <t>8:9887171:C:G</t>
  </si>
  <si>
    <t>rs10100074</t>
  </si>
  <si>
    <t>8:9902198:A:G</t>
  </si>
  <si>
    <t>rs6987910</t>
  </si>
  <si>
    <t>8:10000309:A:G</t>
  </si>
  <si>
    <t>rs17151193</t>
  </si>
  <si>
    <t>8:10032894:A:C</t>
  </si>
  <si>
    <t>rs11993663</t>
  </si>
  <si>
    <t>8:10137891:A:G</t>
  </si>
  <si>
    <t>rs2952245</t>
  </si>
  <si>
    <t>8:10139865:A:G</t>
  </si>
  <si>
    <t>rs2952205</t>
  </si>
  <si>
    <t>8:10180328:A:G</t>
  </si>
  <si>
    <t>rs57737477</t>
  </si>
  <si>
    <t>8:10226355:C:T</t>
  </si>
  <si>
    <t>rs3088186</t>
  </si>
  <si>
    <t>8:10283426:A:G</t>
  </si>
  <si>
    <t>rs3750310</t>
  </si>
  <si>
    <t>8:17028091:A:C</t>
  </si>
  <si>
    <t>rs730243</t>
  </si>
  <si>
    <t>8:18420955:A:G</t>
  </si>
  <si>
    <t>rs4298523</t>
  </si>
  <si>
    <t>8:26264363:G:T</t>
  </si>
  <si>
    <t>rs73217798</t>
  </si>
  <si>
    <t>8:33604120:G:T</t>
  </si>
  <si>
    <t>rs139253412</t>
  </si>
  <si>
    <t>8:33734709:C:T</t>
  </si>
  <si>
    <t>rs138811059</t>
  </si>
  <si>
    <t>8:38029708:C:G</t>
  </si>
  <si>
    <t>rs2843738</t>
  </si>
  <si>
    <t>8:38272582:A:C</t>
  </si>
  <si>
    <t>rs4647903</t>
  </si>
  <si>
    <t>8:64507475:A:G</t>
  </si>
  <si>
    <t>rs2084862</t>
  </si>
  <si>
    <t>8:65463991:C:T</t>
  </si>
  <si>
    <t>rs1451862</t>
  </si>
  <si>
    <t>8:65608361:C:T</t>
  </si>
  <si>
    <t>rs7830315</t>
  </si>
  <si>
    <t>8:103668320:A:G</t>
  </si>
  <si>
    <t>rs7835270</t>
  </si>
  <si>
    <t>8:143305461:C:T</t>
  </si>
  <si>
    <t>rs35414995</t>
  </si>
  <si>
    <t>8:143312933:A:C</t>
  </si>
  <si>
    <t>rs4129585</t>
  </si>
  <si>
    <t>8:143322470:C:T</t>
  </si>
  <si>
    <t>rs4284148</t>
  </si>
  <si>
    <t>8:143333525:A:C</t>
  </si>
  <si>
    <t>rs67756423</t>
  </si>
  <si>
    <t>8:143343398:C:T</t>
  </si>
  <si>
    <t>rs67439964</t>
  </si>
  <si>
    <t>8:143345885:A:G</t>
  </si>
  <si>
    <t>rs12547214</t>
  </si>
  <si>
    <t>8:143354963:C:T</t>
  </si>
  <si>
    <t>rs34667744</t>
  </si>
  <si>
    <t>8:143355875:A:G</t>
  </si>
  <si>
    <t>rs73714107</t>
  </si>
  <si>
    <t>8:143363277:C:T</t>
  </si>
  <si>
    <t>rs34853464</t>
  </si>
  <si>
    <t>8:143368484:A:T</t>
  </si>
  <si>
    <t>rs4610878</t>
  </si>
  <si>
    <t>8:143369368:C:T</t>
  </si>
  <si>
    <t>rs4976992</t>
  </si>
  <si>
    <t>9:84311800:C:T</t>
  </si>
  <si>
    <t>rs9410573</t>
  </si>
  <si>
    <t>9:96237373:G:T</t>
  </si>
  <si>
    <t>rs6479487</t>
  </si>
  <si>
    <t>9:101070487:C:T</t>
  </si>
  <si>
    <t>rs10985811</t>
  </si>
  <si>
    <t>9:131800524:A:G</t>
  </si>
  <si>
    <t>rs6478858</t>
  </si>
  <si>
    <t>10:18547378:C:T</t>
  </si>
  <si>
    <t>rs2489221</t>
  </si>
  <si>
    <t>10:18549016:A:G</t>
  </si>
  <si>
    <t>rs7099380</t>
  </si>
  <si>
    <t>10:18601928:C:T</t>
  </si>
  <si>
    <t>rs2799573</t>
  </si>
  <si>
    <t>10:18742254:A:G</t>
  </si>
  <si>
    <t>rs4748468</t>
  </si>
  <si>
    <t>10:18755664:A:G</t>
  </si>
  <si>
    <t>rs1998822</t>
  </si>
  <si>
    <t>10:18761315:A:G</t>
  </si>
  <si>
    <t>rs143967773</t>
  </si>
  <si>
    <t>10:18802554:A:T</t>
  </si>
  <si>
    <t>rs12777508</t>
  </si>
  <si>
    <t>10:62222107:C:T</t>
  </si>
  <si>
    <t>rs10994359</t>
  </si>
  <si>
    <t>10:62326687:C:T</t>
  </si>
  <si>
    <t>rs2154393</t>
  </si>
  <si>
    <t>10:64387108:C:T</t>
  </si>
  <si>
    <t>rs10995238</t>
  </si>
  <si>
    <t>10:64418656:C:T</t>
  </si>
  <si>
    <t>rs7915131</t>
  </si>
  <si>
    <t>10:92789488:A:T</t>
  </si>
  <si>
    <t>rs61857878</t>
  </si>
  <si>
    <t>10:104222377:C:G</t>
  </si>
  <si>
    <t>rs4919643</t>
  </si>
  <si>
    <t>10:104285086:C:T</t>
  </si>
  <si>
    <t>rs10786674</t>
  </si>
  <si>
    <t>10:104392497:C:T</t>
  </si>
  <si>
    <t>rs11191355</t>
  </si>
  <si>
    <t>10:104500988:G:T</t>
  </si>
  <si>
    <t>rs60459635</t>
  </si>
  <si>
    <t>10:104556054:C:G</t>
  </si>
  <si>
    <t>rs176185</t>
  </si>
  <si>
    <t>10:104574562:G:T</t>
  </si>
  <si>
    <t>rs284854</t>
  </si>
  <si>
    <t>10:104613361:A:G</t>
  </si>
  <si>
    <t>rs12219247</t>
  </si>
  <si>
    <t>10:104635103:A:G</t>
  </si>
  <si>
    <t>rs12764899</t>
  </si>
  <si>
    <t>10:104636655:C:G</t>
  </si>
  <si>
    <t>rs3740393</t>
  </si>
  <si>
    <t>10:104697781:C:T</t>
  </si>
  <si>
    <t>rs12414777</t>
  </si>
  <si>
    <t>10:104793904:C:T</t>
  </si>
  <si>
    <t>rs79668541</t>
  </si>
  <si>
    <t>10:104844872:C:T</t>
  </si>
  <si>
    <t>rs7092200</t>
  </si>
  <si>
    <t>10:106539062:A:G</t>
  </si>
  <si>
    <t>rs2496034</t>
  </si>
  <si>
    <t>10:106600343:C:T</t>
  </si>
  <si>
    <t>rs7900775</t>
  </si>
  <si>
    <t>11:18001915:A:C</t>
  </si>
  <si>
    <t>rs211115</t>
  </si>
  <si>
    <t>11:28642653:A:G</t>
  </si>
  <si>
    <t>rs4636654</t>
  </si>
  <si>
    <t>11:29895929:C:T</t>
  </si>
  <si>
    <t>rs2785719</t>
  </si>
  <si>
    <t>11:45245778:G:T</t>
  </si>
  <si>
    <t>rs35090414</t>
  </si>
  <si>
    <t>11:46446264:A:C</t>
  </si>
  <si>
    <t>rs6485682</t>
  </si>
  <si>
    <t>11:46686260:A:G</t>
  </si>
  <si>
    <t>rs10838610</t>
  </si>
  <si>
    <t>11:46691737:A:G</t>
  </si>
  <si>
    <t>rs4606447</t>
  </si>
  <si>
    <t>11:46692870:C:T</t>
  </si>
  <si>
    <t>rs4752926</t>
  </si>
  <si>
    <t>11:46929954:A:G</t>
  </si>
  <si>
    <t>rs10838634</t>
  </si>
  <si>
    <t>11:47232038:C:T</t>
  </si>
  <si>
    <t>rs11039131</t>
  </si>
  <si>
    <t>11:61448384:A:G</t>
  </si>
  <si>
    <t>rs12805732</t>
  </si>
  <si>
    <t>11:61543499:C:T</t>
  </si>
  <si>
    <t>rs174528</t>
  </si>
  <si>
    <t>11:63648573:C:T</t>
  </si>
  <si>
    <t>rs11231629</t>
  </si>
  <si>
    <t>11:63670387:C:G</t>
  </si>
  <si>
    <t>rs1486936</t>
  </si>
  <si>
    <t>11:63790931:C:T</t>
  </si>
  <si>
    <t>rs484201</t>
  </si>
  <si>
    <t>11:63815822:C:T</t>
  </si>
  <si>
    <t>rs2014328</t>
  </si>
  <si>
    <t>11:64009879:A:G</t>
  </si>
  <si>
    <t>rs4672</t>
  </si>
  <si>
    <t>11:66125461:A:C</t>
  </si>
  <si>
    <t>rs68162171</t>
  </si>
  <si>
    <t>11:66483265:A:G</t>
  </si>
  <si>
    <t>rs12805133</t>
  </si>
  <si>
    <t>11:66549740:C:G</t>
  </si>
  <si>
    <t>rs10791892</t>
  </si>
  <si>
    <t>11:66784715:A:G</t>
  </si>
  <si>
    <t>rs1253439</t>
  </si>
  <si>
    <t>11:70560051:A:G</t>
  </si>
  <si>
    <t>rs11237269</t>
  </si>
  <si>
    <t>11:112917111:C:T</t>
  </si>
  <si>
    <t>rs12574893</t>
  </si>
  <si>
    <t>11:113306893:A:G</t>
  </si>
  <si>
    <t>rs4587762</t>
  </si>
  <si>
    <t>11:113329774:A:C</t>
  </si>
  <si>
    <t>rs7131056</t>
  </si>
  <si>
    <t>11:113374684:C:T</t>
  </si>
  <si>
    <t>rs11214629</t>
  </si>
  <si>
    <t>11:113392994:C:T</t>
  </si>
  <si>
    <t>rs2514218</t>
  </si>
  <si>
    <t>11:113400497:A:G</t>
  </si>
  <si>
    <t>rs2511516</t>
  </si>
  <si>
    <t>11:113410000:A:G</t>
  </si>
  <si>
    <t>rs2514229</t>
  </si>
  <si>
    <t>11:113418371:A:G</t>
  </si>
  <si>
    <t>rs10736470</t>
  </si>
  <si>
    <t>11:113424558:G:T</t>
  </si>
  <si>
    <t>rs7952106</t>
  </si>
  <si>
    <t>11:113430486:G:T</t>
  </si>
  <si>
    <t>rs4373974</t>
  </si>
  <si>
    <t>11:113443753:C:T</t>
  </si>
  <si>
    <t>rs6589386</t>
  </si>
  <si>
    <t>11:124613957:A:G</t>
  </si>
  <si>
    <t>rs55661361</t>
  </si>
  <si>
    <t>11:124623492:C:T</t>
  </si>
  <si>
    <t>rs12541</t>
  </si>
  <si>
    <t>11:124633640:A:G</t>
  </si>
  <si>
    <t>rs1940171</t>
  </si>
  <si>
    <t>11:130803634:A:G</t>
  </si>
  <si>
    <t>rs12790299</t>
  </si>
  <si>
    <t>11:131395813:A:G</t>
  </si>
  <si>
    <t>rs87676</t>
  </si>
  <si>
    <t>11:132573390:C:T</t>
  </si>
  <si>
    <t>rs3016384</t>
  </si>
  <si>
    <t>11:133834104:C:T</t>
  </si>
  <si>
    <t>rs612823</t>
  </si>
  <si>
    <t>11:133852684:A:G</t>
  </si>
  <si>
    <t>rs4936215</t>
  </si>
  <si>
    <t>11:134247315:A:G</t>
  </si>
  <si>
    <t>rs11223774</t>
  </si>
  <si>
    <t>11:134258416:G:T</t>
  </si>
  <si>
    <t>rs893951</t>
  </si>
  <si>
    <t>11:134262338:A:T</t>
  </si>
  <si>
    <t>rs893950</t>
  </si>
  <si>
    <t>11:134278010:G:T</t>
  </si>
  <si>
    <t>rs113328990</t>
  </si>
  <si>
    <t>11:134296384:C:T</t>
  </si>
  <si>
    <t>rs893949</t>
  </si>
  <si>
    <t>11:134501177:A:G</t>
  </si>
  <si>
    <t>rs7115692</t>
  </si>
  <si>
    <t>11:134527421:C:T</t>
  </si>
  <si>
    <t>rs11223928</t>
  </si>
  <si>
    <t>12:2297996:C:G</t>
  </si>
  <si>
    <t>rs11062146</t>
  </si>
  <si>
    <t>12:2307175:A:C</t>
  </si>
  <si>
    <t>rs2238051</t>
  </si>
  <si>
    <t>12:2350401:C:G</t>
  </si>
  <si>
    <t>rs882195</t>
  </si>
  <si>
    <t>12:2408194:A:G</t>
  </si>
  <si>
    <t>rs4298967</t>
  </si>
  <si>
    <t>12:2413803:C:T</t>
  </si>
  <si>
    <t>rs1860002</t>
  </si>
  <si>
    <t>12:2419896:A:T</t>
  </si>
  <si>
    <t>rs4765913</t>
  </si>
  <si>
    <t>12:2423620:C:T</t>
  </si>
  <si>
    <t>rs2283294</t>
  </si>
  <si>
    <t>12:2440464:C:T</t>
  </si>
  <si>
    <t>rs7295089</t>
  </si>
  <si>
    <t>12:2499849:A:C</t>
  </si>
  <si>
    <t>rs740417</t>
  </si>
  <si>
    <t>12:29921443:A:G</t>
  </si>
  <si>
    <t>rs302317</t>
  </si>
  <si>
    <t>12:39518293:C:T</t>
  </si>
  <si>
    <t>rs1463209</t>
  </si>
  <si>
    <t>12:57331741:A:G</t>
  </si>
  <si>
    <t>rs725957</t>
  </si>
  <si>
    <t>12:57487729:G:T</t>
  </si>
  <si>
    <t>rs324018</t>
  </si>
  <si>
    <t>12:57487814:A:C</t>
  </si>
  <si>
    <t>rs324017</t>
  </si>
  <si>
    <t>12:95195293:G:T</t>
  </si>
  <si>
    <t>rs6538539</t>
  </si>
  <si>
    <t>12:97538337:A:G</t>
  </si>
  <si>
    <t>rs10860152</t>
  </si>
  <si>
    <t>12:99462369:A:G</t>
  </si>
  <si>
    <t>rs6419378</t>
  </si>
  <si>
    <t>12:110902563:A:G</t>
  </si>
  <si>
    <t>rs12579800</t>
  </si>
  <si>
    <t>12:121380544:C:T</t>
  </si>
  <si>
    <t>rs2649999</t>
  </si>
  <si>
    <t>12:121639657:C:T</t>
  </si>
  <si>
    <t>rs2686386</t>
  </si>
  <si>
    <t>12:123682081:A:G</t>
  </si>
  <si>
    <t>rs1716180</t>
  </si>
  <si>
    <t>12:123736084:G:T</t>
  </si>
  <si>
    <t>rs10773000</t>
  </si>
  <si>
    <t>12:123883853:C:T</t>
  </si>
  <si>
    <t>rs28587386</t>
  </si>
  <si>
    <t>12:124437215:A:T</t>
  </si>
  <si>
    <t>rs7961449</t>
  </si>
  <si>
    <t>12:124809027:A:G</t>
  </si>
  <si>
    <t>rs8546</t>
  </si>
  <si>
    <t>13:50179454:C:T</t>
  </si>
  <si>
    <t>rs7322886</t>
  </si>
  <si>
    <t>13:54451624:A:G</t>
  </si>
  <si>
    <t>rs1545660</t>
  </si>
  <si>
    <t>13:55951851:A:C</t>
  </si>
  <si>
    <t>rs4885824</t>
  </si>
  <si>
    <t>13:79872968:C:T</t>
  </si>
  <si>
    <t>rs9545054</t>
  </si>
  <si>
    <t>13:80061074:C:T</t>
  </si>
  <si>
    <t>rs7982263</t>
  </si>
  <si>
    <t>13:80190848:A:G</t>
  </si>
  <si>
    <t>rs4141825</t>
  </si>
  <si>
    <t>13:96542080:C:G</t>
  </si>
  <si>
    <t>rs17189895</t>
  </si>
  <si>
    <t>13:96896959:A:T</t>
  </si>
  <si>
    <t>rs2389629</t>
  </si>
  <si>
    <t>13:96966314:A:G</t>
  </si>
  <si>
    <t>rs9554338</t>
  </si>
  <si>
    <t>13:97009954:C:T</t>
  </si>
  <si>
    <t>rs73550679</t>
  </si>
  <si>
    <t>13:97190006:A:T</t>
  </si>
  <si>
    <t>rs3932644</t>
  </si>
  <si>
    <t>14:30208630:G:T</t>
  </si>
  <si>
    <t>rs1959440</t>
  </si>
  <si>
    <t>14:62487438:A:G</t>
  </si>
  <si>
    <t>rs7148536</t>
  </si>
  <si>
    <t>14:72425819:A:G</t>
  </si>
  <si>
    <t>rs2067854</t>
  </si>
  <si>
    <t>14:72434002:A:G</t>
  </si>
  <si>
    <t>rs7143919</t>
  </si>
  <si>
    <t>14:72442612:A:G</t>
  </si>
  <si>
    <t>rs7161596</t>
  </si>
  <si>
    <t>14:72457218:C:G</t>
  </si>
  <si>
    <t>rs1476745</t>
  </si>
  <si>
    <t>14:99670791:A:G</t>
  </si>
  <si>
    <t>rs12885251</t>
  </si>
  <si>
    <t>14:99707933:C:T</t>
  </si>
  <si>
    <t>rs3916222</t>
  </si>
  <si>
    <t>14:99711394:C:T</t>
  </si>
  <si>
    <t>rs1152793</t>
  </si>
  <si>
    <t>14:99719680:C:T</t>
  </si>
  <si>
    <t>rs10150710</t>
  </si>
  <si>
    <t>14:99722290:C:G</t>
  </si>
  <si>
    <t>rs34053174</t>
  </si>
  <si>
    <t>14:99733954:C:T</t>
  </si>
  <si>
    <t>rs1405238</t>
  </si>
  <si>
    <t>14:103811181:A:G</t>
  </si>
  <si>
    <t>rs3548</t>
  </si>
  <si>
    <t>14:104017793:A:G</t>
  </si>
  <si>
    <t>rs12893668</t>
  </si>
  <si>
    <t>14:104270000:A:T</t>
  </si>
  <si>
    <t>rs4906374</t>
  </si>
  <si>
    <t>14:104295414:C:T</t>
  </si>
  <si>
    <t>rs77451807</t>
  </si>
  <si>
    <t>14:104322983:C:T</t>
  </si>
  <si>
    <t>rs8014294</t>
  </si>
  <si>
    <t>14:104324183:A:G</t>
  </si>
  <si>
    <t>rs6576008</t>
  </si>
  <si>
    <t>14:104330432:A:C</t>
  </si>
  <si>
    <t>rs10129899</t>
  </si>
  <si>
    <t>14:104354225:A:G</t>
  </si>
  <si>
    <t>rs881056</t>
  </si>
  <si>
    <t>15:56815840:C:T</t>
  </si>
  <si>
    <t>rs10431786</t>
  </si>
  <si>
    <t>15:58945671:G:T</t>
  </si>
  <si>
    <t>rs28864995</t>
  </si>
  <si>
    <t>15:59141706:A:G</t>
  </si>
  <si>
    <t>rs793571</t>
  </si>
  <si>
    <t>15:59160069:A:T</t>
  </si>
  <si>
    <t>rs12901551</t>
  </si>
  <si>
    <t>15:61862802:A:G</t>
  </si>
  <si>
    <t>rs8042151</t>
  </si>
  <si>
    <t>15:61863856:C:T</t>
  </si>
  <si>
    <t>rs6494286</t>
  </si>
  <si>
    <t>15:67628221:G:T</t>
  </si>
  <si>
    <t>rs72745452</t>
  </si>
  <si>
    <t>15:78796732:C:T</t>
  </si>
  <si>
    <t>rs74925218</t>
  </si>
  <si>
    <t>15:78907736:A:G</t>
  </si>
  <si>
    <t>rs12443170</t>
  </si>
  <si>
    <t>15:78934551:A:G</t>
  </si>
  <si>
    <t>rs3813567</t>
  </si>
  <si>
    <t>15:78987225:A:G</t>
  </si>
  <si>
    <t>rs12593207</t>
  </si>
  <si>
    <t>15:82532274:G:T</t>
  </si>
  <si>
    <t>rs62012050</t>
  </si>
  <si>
    <t>15:83318202:C:T</t>
  </si>
  <si>
    <t>rs11631963</t>
  </si>
  <si>
    <t>15:83371566:A:G</t>
  </si>
  <si>
    <t>rs4779052</t>
  </si>
  <si>
    <t>15:83531774:A:T</t>
  </si>
  <si>
    <t>rs62011709</t>
  </si>
  <si>
    <t>15:84691014:C:T</t>
  </si>
  <si>
    <t>rs12911612</t>
  </si>
  <si>
    <t>15:85137694:A:C</t>
  </si>
  <si>
    <t>rs11638445</t>
  </si>
  <si>
    <t>15:85344268:C:T</t>
  </si>
  <si>
    <t>rs55698868</t>
  </si>
  <si>
    <t>15:85361644:A:G</t>
  </si>
  <si>
    <t>rs8039472</t>
  </si>
  <si>
    <t>15:85389631:A:G</t>
  </si>
  <si>
    <t>rs182517</t>
  </si>
  <si>
    <t>15:91406188:A:G</t>
  </si>
  <si>
    <t>rs7167085</t>
  </si>
  <si>
    <t>15:91424574:C:G</t>
  </si>
  <si>
    <t>rs6226</t>
  </si>
  <si>
    <t>15:91425232:C:T</t>
  </si>
  <si>
    <t>rs6227</t>
  </si>
  <si>
    <t>15:91426560:A:G</t>
  </si>
  <si>
    <t>rs4702</t>
  </si>
  <si>
    <t>15:91431524:C:T</t>
  </si>
  <si>
    <t>rs4533264</t>
  </si>
  <si>
    <t>16:6564548:C:G</t>
  </si>
  <si>
    <t>rs12918180</t>
  </si>
  <si>
    <t>16:7351469:A:G</t>
  </si>
  <si>
    <t>rs9674069</t>
  </si>
  <si>
    <t>16:7374700:A:G</t>
  </si>
  <si>
    <t>rs4238877</t>
  </si>
  <si>
    <t>16:7750859:G:T</t>
  </si>
  <si>
    <t>rs79478621</t>
  </si>
  <si>
    <t>16:9230816:A:G</t>
  </si>
  <si>
    <t>rs28455634</t>
  </si>
  <si>
    <t>16:9876122:C:G</t>
  </si>
  <si>
    <t>rs1362322</t>
  </si>
  <si>
    <t>16:9936852:A:G</t>
  </si>
  <si>
    <t>rs55864908</t>
  </si>
  <si>
    <t>16:9966784:C:T</t>
  </si>
  <si>
    <t>rs67763423</t>
  </si>
  <si>
    <t>16:13733750:C:T</t>
  </si>
  <si>
    <t>rs72775373</t>
  </si>
  <si>
    <t>16:13748916:C:G</t>
  </si>
  <si>
    <t>rs7499362</t>
  </si>
  <si>
    <t>16:29928115:A:G</t>
  </si>
  <si>
    <t>rs11647753</t>
  </si>
  <si>
    <t>16:29934050:A:G</t>
  </si>
  <si>
    <t>rs12932403</t>
  </si>
  <si>
    <t>16:30017895:C:T</t>
  </si>
  <si>
    <t>rs3814880</t>
  </si>
  <si>
    <t>16:30034127:C:G</t>
  </si>
  <si>
    <t>rs11150582</t>
  </si>
  <si>
    <t>16:30059593:G:T</t>
  </si>
  <si>
    <t>rs11642399</t>
  </si>
  <si>
    <t>16:30142021:C:G</t>
  </si>
  <si>
    <t>rs57149692</t>
  </si>
  <si>
    <t>16:30163833:A:G</t>
  </si>
  <si>
    <t>rs2887799</t>
  </si>
  <si>
    <t>16:58659808:A:G</t>
  </si>
  <si>
    <t>rs154433</t>
  </si>
  <si>
    <t>16:69227779:C:G</t>
  </si>
  <si>
    <t>rs1559411</t>
  </si>
  <si>
    <t>16:82648514:A:G</t>
  </si>
  <si>
    <t>rs11647188</t>
  </si>
  <si>
    <t>16:89393562:C:T</t>
  </si>
  <si>
    <t>rs3114896</t>
  </si>
  <si>
    <t>16:89608702:A:G</t>
  </si>
  <si>
    <t>rs11642231</t>
  </si>
  <si>
    <t>16:89656163:A:G</t>
  </si>
  <si>
    <t>rs397564</t>
  </si>
  <si>
    <t>16:89675068:G:T</t>
  </si>
  <si>
    <t>rs8059821</t>
  </si>
  <si>
    <t>16:89866160:A:G</t>
  </si>
  <si>
    <t>rs7186192</t>
  </si>
  <si>
    <t>16:89873413:A:G</t>
  </si>
  <si>
    <t>rs9927395</t>
  </si>
  <si>
    <t>17:19153417:C:T</t>
  </si>
  <si>
    <t>rs4273100</t>
  </si>
  <si>
    <t>17:28867035:A:G</t>
  </si>
  <si>
    <t>rs216478</t>
  </si>
  <si>
    <t>17:34862220:C:T</t>
  </si>
  <si>
    <t>rs1109442</t>
  </si>
  <si>
    <t>17:55728224:A:G</t>
  </si>
  <si>
    <t>rs4793885</t>
  </si>
  <si>
    <t>17:78448640:C:G</t>
  </si>
  <si>
    <t>rs12600720</t>
  </si>
  <si>
    <t>17:78484082:C:T</t>
  </si>
  <si>
    <t>rs9897752</t>
  </si>
  <si>
    <t>17:78518327:C:T</t>
  </si>
  <si>
    <t>rs11658698</t>
  </si>
  <si>
    <t>17:78568447:A:T</t>
  </si>
  <si>
    <t>rs4889865</t>
  </si>
  <si>
    <t>17:78615899:A:G</t>
  </si>
  <si>
    <t>rs8073414</t>
  </si>
  <si>
    <t>17:78619009:A:G</t>
  </si>
  <si>
    <t>rs12936687</t>
  </si>
  <si>
    <t>18:4580413:A:G</t>
  </si>
  <si>
    <t>rs79328521</t>
  </si>
  <si>
    <t>18:27500959:A:C</t>
  </si>
  <si>
    <t>rs9304548</t>
  </si>
  <si>
    <t>18:52586545:A:G</t>
  </si>
  <si>
    <t>rs34751112</t>
  </si>
  <si>
    <t>18:52746706:A:C</t>
  </si>
  <si>
    <t>rs4552092</t>
  </si>
  <si>
    <t>18:52752017:A:G</t>
  </si>
  <si>
    <t>rs12966547</t>
  </si>
  <si>
    <t>18:52765283:A:C</t>
  </si>
  <si>
    <t>rs56403421</t>
  </si>
  <si>
    <t>18:53063719:A:G</t>
  </si>
  <si>
    <t>rs17594665</t>
  </si>
  <si>
    <t>18:53200117:A:G</t>
  </si>
  <si>
    <t>rs9636107</t>
  </si>
  <si>
    <t>18:53454774:C:T</t>
  </si>
  <si>
    <t>rs7235891</t>
  </si>
  <si>
    <t>18:53775254:A:T</t>
  </si>
  <si>
    <t>rs1789595</t>
  </si>
  <si>
    <t>19:2738352:A:G</t>
  </si>
  <si>
    <t>rs4806874</t>
  </si>
  <si>
    <t>19:19358332:A:G</t>
  </si>
  <si>
    <t>rs7253952</t>
  </si>
  <si>
    <t>19:33107938:A:G</t>
  </si>
  <si>
    <t>rs382416</t>
  </si>
  <si>
    <t>19:36568276:A:G</t>
  </si>
  <si>
    <t>rs139494942</t>
  </si>
  <si>
    <t>19:49206603:C:T</t>
  </si>
  <si>
    <t>rs281377</t>
  </si>
  <si>
    <t>19:50098423:A:G</t>
  </si>
  <si>
    <t>rs12462756</t>
  </si>
  <si>
    <t>19:50105239:C:T</t>
  </si>
  <si>
    <t>rs6509439</t>
  </si>
  <si>
    <t>19:50138023:A:T</t>
  </si>
  <si>
    <t>rs6509441</t>
  </si>
  <si>
    <t>19:50138143:A:C</t>
  </si>
  <si>
    <t>rs34647824</t>
  </si>
  <si>
    <t>19:50148052:A:G</t>
  </si>
  <si>
    <t>rs12104272</t>
  </si>
  <si>
    <t>19:51034243:C:G</t>
  </si>
  <si>
    <t>rs2387414</t>
  </si>
  <si>
    <t>20:37277271:C:T</t>
  </si>
  <si>
    <t>rs220526</t>
  </si>
  <si>
    <t>20:37361944:A:G</t>
  </si>
  <si>
    <t>rs2246672</t>
  </si>
  <si>
    <t>20:37364981:C:T</t>
  </si>
  <si>
    <t>rs2247054</t>
  </si>
  <si>
    <t>20:37366078:A:G</t>
  </si>
  <si>
    <t>rs2263747</t>
  </si>
  <si>
    <t>20:37377139:C:T</t>
  </si>
  <si>
    <t>rs2254105</t>
  </si>
  <si>
    <t>20:37399407:C:T</t>
  </si>
  <si>
    <t>rs11699516</t>
  </si>
  <si>
    <t>20:37420050:A:C</t>
  </si>
  <si>
    <t>rs2425371</t>
  </si>
  <si>
    <t>20:37453194:A:G</t>
  </si>
  <si>
    <t>rs6065094</t>
  </si>
  <si>
    <t>20:41866638:A:C</t>
  </si>
  <si>
    <t>rs60038425</t>
  </si>
  <si>
    <t>20:43631436:A:G</t>
  </si>
  <si>
    <t>rs1015519</t>
  </si>
  <si>
    <t>20:43660532:C:T</t>
  </si>
  <si>
    <t>rs6073608</t>
  </si>
  <si>
    <t>20:43682551:G:T</t>
  </si>
  <si>
    <t>rs67712855</t>
  </si>
  <si>
    <t>20:43723627:C:T</t>
  </si>
  <si>
    <t>rs734784</t>
  </si>
  <si>
    <t>20:43766067:G:T</t>
  </si>
  <si>
    <t>rs2143943</t>
  </si>
  <si>
    <t>20:43766927:A:G</t>
  </si>
  <si>
    <t>rs6104036</t>
  </si>
  <si>
    <t>20:43931096:A:G</t>
  </si>
  <si>
    <t>rs2743283</t>
  </si>
  <si>
    <t>20:44742064:A:C</t>
  </si>
  <si>
    <t>rs1569723</t>
  </si>
  <si>
    <t>20:48090779:A:G</t>
  </si>
  <si>
    <t>rs6125656</t>
  </si>
  <si>
    <t>20:48093441:A:G</t>
  </si>
  <si>
    <t>rs650381</t>
  </si>
  <si>
    <t>20:48129169:C:G</t>
  </si>
  <si>
    <t>rs7271624</t>
  </si>
  <si>
    <t>21:39525549:A:C</t>
  </si>
  <si>
    <t>rs1016695</t>
  </si>
  <si>
    <t>22:20134350:A:C</t>
  </si>
  <si>
    <t>rs1974653</t>
  </si>
  <si>
    <t>22:40051166:A:T</t>
  </si>
  <si>
    <t>rs732381</t>
  </si>
  <si>
    <t>22:40067640:A:G</t>
  </si>
  <si>
    <t>rs5750870</t>
  </si>
  <si>
    <t>22:41117441:C:T</t>
  </si>
  <si>
    <t>rs12160628</t>
  </si>
  <si>
    <t>22:41161049:C:G</t>
  </si>
  <si>
    <t>rs5758065</t>
  </si>
  <si>
    <t>22:41404511:A:T</t>
  </si>
  <si>
    <t>rs743001</t>
  </si>
  <si>
    <t>22:41587556:A:T</t>
  </si>
  <si>
    <t>rs9607782</t>
  </si>
  <si>
    <t>22:42475568:A:G</t>
  </si>
  <si>
    <t>rs8135801</t>
  </si>
  <si>
    <t>22:51109735:A:G</t>
  </si>
  <si>
    <t>rs713692</t>
  </si>
  <si>
    <t>1:44062154:C:T</t>
  </si>
  <si>
    <t>rs673253</t>
  </si>
  <si>
    <t>1:44076469:A:G</t>
  </si>
  <si>
    <t>rs549845</t>
  </si>
  <si>
    <t>1:44155383:A:G</t>
  </si>
  <si>
    <t>rs3791036</t>
  </si>
  <si>
    <t>1:44182244:A:G</t>
  </si>
  <si>
    <t>rs17531412</t>
  </si>
  <si>
    <t>1:44308867:A:G</t>
  </si>
  <si>
    <t>rs3011220</t>
  </si>
  <si>
    <t>1:44366250:A:G</t>
  </si>
  <si>
    <t>rs3791101</t>
  </si>
  <si>
    <t>3:20583264:C:T</t>
  </si>
  <si>
    <t>rs4857958</t>
  </si>
  <si>
    <t>3:20669071:G:T</t>
  </si>
  <si>
    <t>rs4858241</t>
  </si>
  <si>
    <t>3:107516847:A:G</t>
  </si>
  <si>
    <t>rs7634587</t>
  </si>
  <si>
    <t>4:46411329:A:G</t>
  </si>
  <si>
    <t>rs4401488</t>
  </si>
  <si>
    <t>4:103625183:C:T</t>
  </si>
  <si>
    <t>rs150900</t>
  </si>
  <si>
    <t>5:87729711:A:C</t>
  </si>
  <si>
    <t>rs6414946</t>
  </si>
  <si>
    <t>5:87854395:A:C</t>
  </si>
  <si>
    <t>rs4916723</t>
  </si>
  <si>
    <t>5:104012303:C:G</t>
  </si>
  <si>
    <t>rs325506</t>
  </si>
  <si>
    <t>5:104075130:C:T</t>
  </si>
  <si>
    <t>rs6421926</t>
  </si>
  <si>
    <t>5:107502872:C:T</t>
  </si>
  <si>
    <t>rs34423</t>
  </si>
  <si>
    <t>10:106745104:G:T</t>
  </si>
  <si>
    <t>rs6584649</t>
  </si>
  <si>
    <t>12:89760744:A:G</t>
  </si>
  <si>
    <t>rs1427829</t>
  </si>
  <si>
    <t>13:78857224:A:G</t>
  </si>
  <si>
    <t>rs7318041</t>
  </si>
  <si>
    <t>15:93957898:C:T</t>
  </si>
  <si>
    <t>rs8042369</t>
  </si>
  <si>
    <t>18:39301598:A:C</t>
  </si>
  <si>
    <t>rs7242858</t>
  </si>
  <si>
    <t>20:41057825:G:T</t>
  </si>
  <si>
    <t>rs1033414</t>
  </si>
  <si>
    <t>1:18122009:C:T</t>
  </si>
  <si>
    <t>rs4141983</t>
  </si>
  <si>
    <t>1:37192741:C:T</t>
  </si>
  <si>
    <t>rs1002656</t>
  </si>
  <si>
    <t>1:49528403:A:C</t>
  </si>
  <si>
    <t>rs17105472</t>
  </si>
  <si>
    <t>1:50559162:A:G</t>
  </si>
  <si>
    <t>rs11579246</t>
  </si>
  <si>
    <t>1:50584682:A:G</t>
  </si>
  <si>
    <t>rs7517535</t>
  </si>
  <si>
    <t>1:52274078:G:T</t>
  </si>
  <si>
    <t>rs7551758</t>
  </si>
  <si>
    <t>1:72714331:C:G</t>
  </si>
  <si>
    <t>rs1194277</t>
  </si>
  <si>
    <t>1:72752073:A:G</t>
  </si>
  <si>
    <t>rs12740789</t>
  </si>
  <si>
    <t>1:72765116:A:G</t>
  </si>
  <si>
    <t>rs2568958</t>
  </si>
  <si>
    <t>1:72934826:A:G</t>
  </si>
  <si>
    <t>rs782236</t>
  </si>
  <si>
    <t>1:73305782:A:G</t>
  </si>
  <si>
    <t>rs662655</t>
  </si>
  <si>
    <t>1:73507701:A:G</t>
  </si>
  <si>
    <t>rs6424508</t>
  </si>
  <si>
    <t>1:73880586:C:T</t>
  </si>
  <si>
    <t>rs10465867</t>
  </si>
  <si>
    <t>1:73891081:G:T</t>
  </si>
  <si>
    <t>rs6678194</t>
  </si>
  <si>
    <t>1:73957815:C:T</t>
  </si>
  <si>
    <t>rs61765555</t>
  </si>
  <si>
    <t>1:74005504:A:T</t>
  </si>
  <si>
    <t>rs2173895</t>
  </si>
  <si>
    <t>1:74070609:C:T</t>
  </si>
  <si>
    <t>rs4540593</t>
  </si>
  <si>
    <t>1:74077588:C:T</t>
  </si>
  <si>
    <t>rs7540134</t>
  </si>
  <si>
    <t>1:74092495:A:G</t>
  </si>
  <si>
    <t>rs1576429</t>
  </si>
  <si>
    <t>1:74106487:G:T</t>
  </si>
  <si>
    <t>rs6683123</t>
  </si>
  <si>
    <t>1:117873022:C:G</t>
  </si>
  <si>
    <t>rs1774858</t>
  </si>
  <si>
    <t>1:176323426:A:T</t>
  </si>
  <si>
    <t>rs12031733</t>
  </si>
  <si>
    <t>1:181739504:A:C</t>
  </si>
  <si>
    <t>rs199926</t>
  </si>
  <si>
    <t>1:190839343:A:G</t>
  </si>
  <si>
    <t>rs72737052</t>
  </si>
  <si>
    <t>1:191332517:A:G</t>
  </si>
  <si>
    <t>rs1246683</t>
  </si>
  <si>
    <t>1:197631141:A:G</t>
  </si>
  <si>
    <t>rs2488389</t>
  </si>
  <si>
    <t>1:214442481:C:T</t>
  </si>
  <si>
    <t>rs12125521</t>
  </si>
  <si>
    <t>2:22495845:C:T</t>
  </si>
  <si>
    <t>rs57974740</t>
  </si>
  <si>
    <t>2:104452335:C:T</t>
  </si>
  <si>
    <t>rs2582954</t>
  </si>
  <si>
    <t>2:124980406:C:T</t>
  </si>
  <si>
    <t>rs2163249</t>
  </si>
  <si>
    <t>2:161356971:C:G</t>
  </si>
  <si>
    <t>rs7564151</t>
  </si>
  <si>
    <t>2:208071813:C:T</t>
  </si>
  <si>
    <t>rs10221711</t>
  </si>
  <si>
    <t>2:212621761:A:T</t>
  </si>
  <si>
    <t>rs61079605</t>
  </si>
  <si>
    <t>2:212666847:A:G</t>
  </si>
  <si>
    <t>rs55888029</t>
  </si>
  <si>
    <t>3:49125063:C:T</t>
  </si>
  <si>
    <t>rs148923907</t>
  </si>
  <si>
    <t>3:49210732:A:C</t>
  </si>
  <si>
    <t>rs7617480</t>
  </si>
  <si>
    <t>3:49642027:C:T</t>
  </si>
  <si>
    <t>rs4241405</t>
  </si>
  <si>
    <t>3:115977242:A:T</t>
  </si>
  <si>
    <t>rs76954012</t>
  </si>
  <si>
    <t>3:117515519:C:T</t>
  </si>
  <si>
    <t>rs66511648</t>
  </si>
  <si>
    <t>3:158111936:C:T</t>
  </si>
  <si>
    <t>rs28820925</t>
  </si>
  <si>
    <t>4:59708660:C:T</t>
  </si>
  <si>
    <t>rs62299217</t>
  </si>
  <si>
    <t>4:59873841:A:G</t>
  </si>
  <si>
    <t>rs2132342</t>
  </si>
  <si>
    <t>4:131237381:C:T</t>
  </si>
  <si>
    <t>rs35553410</t>
  </si>
  <si>
    <t>5:61509655:C:T</t>
  </si>
  <si>
    <t>rs60157091</t>
  </si>
  <si>
    <t>5:92428154:C:G</t>
  </si>
  <si>
    <t>rs4489042</t>
  </si>
  <si>
    <t>5:92437628:A:G</t>
  </si>
  <si>
    <t>rs1496334</t>
  </si>
  <si>
    <t>5:93071630:C:G</t>
  </si>
  <si>
    <t>rs10061069</t>
  </si>
  <si>
    <t>5:103671867:A:G</t>
  </si>
  <si>
    <t>rs349588</t>
  </si>
  <si>
    <t>5:103743732:C:T</t>
  </si>
  <si>
    <t>rs55649128</t>
  </si>
  <si>
    <t>5:103904226:A:G</t>
  </si>
  <si>
    <t>rs12658032</t>
  </si>
  <si>
    <t>5:103917837:C:T</t>
  </si>
  <si>
    <t>rs1363103</t>
  </si>
  <si>
    <t>5:103995368:A:G</t>
  </si>
  <si>
    <t>rs325485</t>
  </si>
  <si>
    <t>5:107073493:A:G</t>
  </si>
  <si>
    <t>rs2411044</t>
  </si>
  <si>
    <t>5:164487132:A:G</t>
  </si>
  <si>
    <t>rs7721129</t>
  </si>
  <si>
    <t>5:164631708:A:G</t>
  </si>
  <si>
    <t>rs11135357</t>
  </si>
  <si>
    <t>5:164644336:C:T</t>
  </si>
  <si>
    <t>rs11744727</t>
  </si>
  <si>
    <t>6:26316295:A:G</t>
  </si>
  <si>
    <t>rs13220522</t>
  </si>
  <si>
    <t>6:26360597:A:G</t>
  </si>
  <si>
    <t>rs9348711</t>
  </si>
  <si>
    <t>6:26365679:G:T</t>
  </si>
  <si>
    <t>rs58825580</t>
  </si>
  <si>
    <t>6:27024687:C:T</t>
  </si>
  <si>
    <t>rs12190473</t>
  </si>
  <si>
    <t>6:27050396:A:G</t>
  </si>
  <si>
    <t>rs34388707</t>
  </si>
  <si>
    <t>6:27182377:A:C</t>
  </si>
  <si>
    <t>rs150186873</t>
  </si>
  <si>
    <t>6:27320744:C:G</t>
  </si>
  <si>
    <t>rs2393926</t>
  </si>
  <si>
    <t>6:27327000:C:T</t>
  </si>
  <si>
    <t>rs72839477</t>
  </si>
  <si>
    <t>6:27380897:C:T</t>
  </si>
  <si>
    <t>rs12525266</t>
  </si>
  <si>
    <t>6:27422066:C:T</t>
  </si>
  <si>
    <t>rs6456788</t>
  </si>
  <si>
    <t>6:27582795:A:C</t>
  </si>
  <si>
    <t>rs9357042</t>
  </si>
  <si>
    <t>6:27726731:C:T</t>
  </si>
  <si>
    <t>rs7776351</t>
  </si>
  <si>
    <t>6:27862127:A:G</t>
  </si>
  <si>
    <t>rs200967</t>
  </si>
  <si>
    <t>6:27866943:C:G</t>
  </si>
  <si>
    <t>rs200964</t>
  </si>
  <si>
    <t>6:28175549:C:G</t>
  </si>
  <si>
    <t>rs1150696</t>
  </si>
  <si>
    <t>6:28209102:A:G</t>
  </si>
  <si>
    <t>rs9295768</t>
  </si>
  <si>
    <t>6:28299687:C:T</t>
  </si>
  <si>
    <t>rs853676</t>
  </si>
  <si>
    <t>6:28366151:A:G</t>
  </si>
  <si>
    <t>rs2232423</t>
  </si>
  <si>
    <t>6:28828010:C:T</t>
  </si>
  <si>
    <t>rs116380322</t>
  </si>
  <si>
    <t>6:67000001:A:G</t>
  </si>
  <si>
    <t>rs2214123</t>
  </si>
  <si>
    <t>6:101387304:A:T</t>
  </si>
  <si>
    <t>rs7758630</t>
  </si>
  <si>
    <t>6:142996618:C:G</t>
  </si>
  <si>
    <t>rs2876520</t>
  </si>
  <si>
    <t>6:152202007:C:T</t>
  </si>
  <si>
    <t>rs3757323</t>
  </si>
  <si>
    <t>7:1801914:C:G</t>
  </si>
  <si>
    <t>rs11769007</t>
  </si>
  <si>
    <t>7:1844156:C:G</t>
  </si>
  <si>
    <t>rs62436961</t>
  </si>
  <si>
    <t>7:1856669:A:G</t>
  </si>
  <si>
    <t>rs6973700</t>
  </si>
  <si>
    <t>7:1889300:A:G</t>
  </si>
  <si>
    <t>rs73046339</t>
  </si>
  <si>
    <t>7:1992582:A:C</t>
  </si>
  <si>
    <t>rs11768212</t>
  </si>
  <si>
    <t>7:2096255:C:T</t>
  </si>
  <si>
    <t>rs55893771</t>
  </si>
  <si>
    <t>7:2107649:A:G</t>
  </si>
  <si>
    <t>rs55789728</t>
  </si>
  <si>
    <t>7:12252659:A:G</t>
  </si>
  <si>
    <t>rs6460896</t>
  </si>
  <si>
    <t>7:12256540:A:G</t>
  </si>
  <si>
    <t>rs11974384</t>
  </si>
  <si>
    <t>7:82416315:A:G</t>
  </si>
  <si>
    <t>rs9655918</t>
  </si>
  <si>
    <t>7:82496254:C:T</t>
  </si>
  <si>
    <t>rs2371362</t>
  </si>
  <si>
    <t>7:109153054:A:T</t>
  </si>
  <si>
    <t>rs10247563</t>
  </si>
  <si>
    <t>7:113981217:A:T</t>
  </si>
  <si>
    <t>rs4117983</t>
  </si>
  <si>
    <t>7:114047542:C:G</t>
  </si>
  <si>
    <t>rs8180817</t>
  </si>
  <si>
    <t>7:114842574:A:G</t>
  </si>
  <si>
    <t>rs6466512</t>
  </si>
  <si>
    <t>7:117520009:A:C</t>
  </si>
  <si>
    <t>rs2193255</t>
  </si>
  <si>
    <t>7:117545475:A:G</t>
  </si>
  <si>
    <t>rs1035205</t>
  </si>
  <si>
    <t>7:117581953:A:G</t>
  </si>
  <si>
    <t>rs10276758</t>
  </si>
  <si>
    <t>7:117628183:A:T</t>
  </si>
  <si>
    <t>rs970185</t>
  </si>
  <si>
    <t>7:117665936:A:G</t>
  </si>
  <si>
    <t>rs757038</t>
  </si>
  <si>
    <t>8:10307328:A:G</t>
  </si>
  <si>
    <t>rs11250015</t>
  </si>
  <si>
    <t>8:31824555:C:T</t>
  </si>
  <si>
    <t>rs1016165</t>
  </si>
  <si>
    <t>9:11130263:C:G</t>
  </si>
  <si>
    <t>rs72694255</t>
  </si>
  <si>
    <t>9:11131371:A:T</t>
  </si>
  <si>
    <t>rs10959554</t>
  </si>
  <si>
    <t>9:11155055:G:T</t>
  </si>
  <si>
    <t>rs72694269</t>
  </si>
  <si>
    <t>9:11208995:A:C</t>
  </si>
  <si>
    <t>rs10809385</t>
  </si>
  <si>
    <t>9:11225906:C:T</t>
  </si>
  <si>
    <t>rs10959640</t>
  </si>
  <si>
    <t>9:11241807:A:G</t>
  </si>
  <si>
    <t>rs67825352</t>
  </si>
  <si>
    <t>9:11269117:C:G</t>
  </si>
  <si>
    <t>rs7852406</t>
  </si>
  <si>
    <t>9:11321937:A:T</t>
  </si>
  <si>
    <t>rs10809421</t>
  </si>
  <si>
    <t>9:11547243:C:T</t>
  </si>
  <si>
    <t>rs17794133</t>
  </si>
  <si>
    <t>9:11695224:A:G</t>
  </si>
  <si>
    <t>rs62553458</t>
  </si>
  <si>
    <t>9:11808502:A:C</t>
  </si>
  <si>
    <t>rs62558662</t>
  </si>
  <si>
    <t>9:17016503:A:T</t>
  </si>
  <si>
    <t>rs263645</t>
  </si>
  <si>
    <t>9:23737627:A:G</t>
  </si>
  <si>
    <t>rs3793577</t>
  </si>
  <si>
    <t>9:36978587:C:T</t>
  </si>
  <si>
    <t>rs10973149</t>
  </si>
  <si>
    <t>9:36994885:A:G</t>
  </si>
  <si>
    <t>rs7867479</t>
  </si>
  <si>
    <t>9:36999369:C:T</t>
  </si>
  <si>
    <t>rs7030813</t>
  </si>
  <si>
    <t>9:37027536:A:T</t>
  </si>
  <si>
    <t>rs1329571</t>
  </si>
  <si>
    <t>9:37182655:A:G</t>
  </si>
  <si>
    <t>rs62535714</t>
  </si>
  <si>
    <t>9:82515992:G:T</t>
  </si>
  <si>
    <t>rs7046881</t>
  </si>
  <si>
    <t>9:127892193:G:T</t>
  </si>
  <si>
    <t>rs10760393</t>
  </si>
  <si>
    <t>10:10910560:C:G</t>
  </si>
  <si>
    <t>rs6602459</t>
  </si>
  <si>
    <t>10:68400027:C:T</t>
  </si>
  <si>
    <t>rs2394259</t>
  </si>
  <si>
    <t>10:104764271:C:T</t>
  </si>
  <si>
    <t>rs11191499</t>
  </si>
  <si>
    <t>10:106454672:C:T</t>
  </si>
  <si>
    <t>rs11599236</t>
  </si>
  <si>
    <t>10:106529451:C:T</t>
  </si>
  <si>
    <t>rs17185757</t>
  </si>
  <si>
    <t>10:106571608:C:T</t>
  </si>
  <si>
    <t>rs1565418</t>
  </si>
  <si>
    <t>10:106610839:A:G</t>
  </si>
  <si>
    <t>rs1021363</t>
  </si>
  <si>
    <t>10:106676091:C:T</t>
  </si>
  <si>
    <t>rs17117923</t>
  </si>
  <si>
    <t>11:20306530:A:G</t>
  </si>
  <si>
    <t>rs11604239</t>
  </si>
  <si>
    <t>11:28644830:A:G</t>
  </si>
  <si>
    <t>rs10835381</t>
  </si>
  <si>
    <t>11:57650796:C:T</t>
  </si>
  <si>
    <t>rs2509805</t>
  </si>
  <si>
    <t>11:61471678:C:T</t>
  </si>
  <si>
    <t>rs198457</t>
  </si>
  <si>
    <t>11:88472482:C:T</t>
  </si>
  <si>
    <t>rs1903845</t>
  </si>
  <si>
    <t>11:88634197:G:T</t>
  </si>
  <si>
    <t>rs504183</t>
  </si>
  <si>
    <t>11:88712383:A:G</t>
  </si>
  <si>
    <t>rs524874</t>
  </si>
  <si>
    <t>11:88779776:C:T</t>
  </si>
  <si>
    <t>rs7931721</t>
  </si>
  <si>
    <t>11:88885187:C:T</t>
  </si>
  <si>
    <t>rs4255542</t>
  </si>
  <si>
    <t>11:88911696:A:C</t>
  </si>
  <si>
    <t>rs1042602</t>
  </si>
  <si>
    <t>11:89959637:A:G</t>
  </si>
  <si>
    <t>rs578174</t>
  </si>
  <si>
    <t>11:112827715:A:G</t>
  </si>
  <si>
    <t>rs4937872</t>
  </si>
  <si>
    <t>11:113242860:A:G</t>
  </si>
  <si>
    <t>rs2186800</t>
  </si>
  <si>
    <t>11:113286829:C:T</t>
  </si>
  <si>
    <t>rs2734837</t>
  </si>
  <si>
    <t>11:113370758:A:G</t>
  </si>
  <si>
    <t>rs61902811</t>
  </si>
  <si>
    <t>11:113424042:C:T</t>
  </si>
  <si>
    <t>rs10750025</t>
  </si>
  <si>
    <t>11:118569414:C:G</t>
  </si>
  <si>
    <t>rs6589675</t>
  </si>
  <si>
    <t>12:52349088:C:T</t>
  </si>
  <si>
    <t>rs11612312</t>
  </si>
  <si>
    <t>12:84131036:C:T</t>
  </si>
  <si>
    <t>rs7972528</t>
  </si>
  <si>
    <t>13:31713542:A:T</t>
  </si>
  <si>
    <t>rs10507396</t>
  </si>
  <si>
    <t>13:31799646:A:G</t>
  </si>
  <si>
    <t>rs9529314</t>
  </si>
  <si>
    <t>13:31852276:A:G</t>
  </si>
  <si>
    <t>rs4943296</t>
  </si>
  <si>
    <t>13:31870394:A:G</t>
  </si>
  <si>
    <t>rs7334532</t>
  </si>
  <si>
    <t>13:31907441:C:T</t>
  </si>
  <si>
    <t>rs9544974</t>
  </si>
  <si>
    <t>13:53643370:A:C</t>
  </si>
  <si>
    <t>rs2806933</t>
  </si>
  <si>
    <t>13:53860655:C:T</t>
  </si>
  <si>
    <t>rs9536381</t>
  </si>
  <si>
    <t>13:80843549:C:T</t>
  </si>
  <si>
    <t>rs4885713</t>
  </si>
  <si>
    <t>13:80858347:C:T</t>
  </si>
  <si>
    <t>rs9545384</t>
  </si>
  <si>
    <t>13:80921519:C:T</t>
  </si>
  <si>
    <t>rs508502</t>
  </si>
  <si>
    <t>13:99115041:C:T</t>
  </si>
  <si>
    <t>rs4772087</t>
  </si>
  <si>
    <t>14:42074726:A:G</t>
  </si>
  <si>
    <t>rs61990288</t>
  </si>
  <si>
    <t>14:42078975:C:G</t>
  </si>
  <si>
    <t>rs56321769</t>
  </si>
  <si>
    <t>14:42117374:A:C</t>
  </si>
  <si>
    <t>rs712407</t>
  </si>
  <si>
    <t>14:42233384:G:T</t>
  </si>
  <si>
    <t>rs7146404</t>
  </si>
  <si>
    <t>14:75125540:C:T</t>
  </si>
  <si>
    <t>rs7152906</t>
  </si>
  <si>
    <t>14:75254073:A:G</t>
  </si>
  <si>
    <t>rs12588874</t>
  </si>
  <si>
    <t>14:103284276:A:G</t>
  </si>
  <si>
    <t>rs12589771</t>
  </si>
  <si>
    <t>14:103850963:C:T</t>
  </si>
  <si>
    <t>rs3759577</t>
  </si>
  <si>
    <t>14:103997525:A:T</t>
  </si>
  <si>
    <t>rs754287</t>
  </si>
  <si>
    <t>14:104011994:A:G</t>
  </si>
  <si>
    <t>rs61996704</t>
  </si>
  <si>
    <t>14:104017953:A:G</t>
  </si>
  <si>
    <t>rs10149470</t>
  </si>
  <si>
    <t>14:104089459:C:T</t>
  </si>
  <si>
    <t>rs4906348</t>
  </si>
  <si>
    <t>16:13785959:A:G</t>
  </si>
  <si>
    <t>rs12926421</t>
  </si>
  <si>
    <t>18:35152563:A:G</t>
  </si>
  <si>
    <t>rs11665070</t>
  </si>
  <si>
    <t>18:35154480:A:G</t>
  </si>
  <si>
    <t>rs12959642</t>
  </si>
  <si>
    <t>18:35215517:C:T</t>
  </si>
  <si>
    <t>rs12957516</t>
  </si>
  <si>
    <t>18:50672763:C:T</t>
  </si>
  <si>
    <t>rs4939722</t>
  </si>
  <si>
    <t>18:50746748:C:T</t>
  </si>
  <si>
    <t>rs4632195</t>
  </si>
  <si>
    <t>18:50776391:C:T</t>
  </si>
  <si>
    <t>rs17410557</t>
  </si>
  <si>
    <t>18:50919600:C:T</t>
  </si>
  <si>
    <t>rs10164055</t>
  </si>
  <si>
    <t>18:52391708:A:G</t>
  </si>
  <si>
    <t>rs8089474</t>
  </si>
  <si>
    <t>18:52474170:A:G</t>
  </si>
  <si>
    <t>rs8093506</t>
  </si>
  <si>
    <t>18:52492668:C:G</t>
  </si>
  <si>
    <t>rs9962851</t>
  </si>
  <si>
    <t>18:52542425:C:T</t>
  </si>
  <si>
    <t>rs68021739</t>
  </si>
  <si>
    <t>18:52547057:A:G</t>
  </si>
  <si>
    <t>rs28687557</t>
  </si>
  <si>
    <t>18:52579200:A:G</t>
  </si>
  <si>
    <t>rs12961598</t>
  </si>
  <si>
    <t>18:52732938:C:T</t>
  </si>
  <si>
    <t>rs139088385</t>
  </si>
  <si>
    <t>18:52747871:C:T</t>
  </si>
  <si>
    <t>rs4131791</t>
  </si>
  <si>
    <t>18:52751455:A:G</t>
  </si>
  <si>
    <t>rs12458228</t>
  </si>
  <si>
    <t>18:52754086:A:G</t>
  </si>
  <si>
    <t>rs55943003</t>
  </si>
  <si>
    <t>18:52757346:C:T</t>
  </si>
  <si>
    <t>rs9953930</t>
  </si>
  <si>
    <t>18:52771334:A:T</t>
  </si>
  <si>
    <t>rs28759279</t>
  </si>
  <si>
    <t>18:52835378:A:G</t>
  </si>
  <si>
    <t>rs1261106</t>
  </si>
  <si>
    <t>18:52858610:C:T</t>
  </si>
  <si>
    <t>rs1787253</t>
  </si>
  <si>
    <t>18:52942827:A:G</t>
  </si>
  <si>
    <t>rs1788027</t>
  </si>
  <si>
    <t>18:53045198:C:T</t>
  </si>
  <si>
    <t>rs1788030</t>
  </si>
  <si>
    <t>18:53057188:A:G</t>
  </si>
  <si>
    <t>rs11152363</t>
  </si>
  <si>
    <t>18:53099012:C:G</t>
  </si>
  <si>
    <t>rs12967143</t>
  </si>
  <si>
    <t>18:53101984:C:T</t>
  </si>
  <si>
    <t>rs4801154</t>
  </si>
  <si>
    <t>18:53123031:G:T</t>
  </si>
  <si>
    <t>rs896686</t>
  </si>
  <si>
    <t>18:53125435:A:G</t>
  </si>
  <si>
    <t>rs2924321</t>
  </si>
  <si>
    <t>18:53134652:C:T</t>
  </si>
  <si>
    <t>rs1377243</t>
  </si>
  <si>
    <t>18:53135894:A:G</t>
  </si>
  <si>
    <t>rs2924329</t>
  </si>
  <si>
    <t>18:53164693:C:T</t>
  </si>
  <si>
    <t>rs4801157</t>
  </si>
  <si>
    <t>18:53168243:C:T</t>
  </si>
  <si>
    <t>rs3017183</t>
  </si>
  <si>
    <t>18:53198836:A:G</t>
  </si>
  <si>
    <t>rs619466</t>
  </si>
  <si>
    <t>18:53207207:A:G</t>
  </si>
  <si>
    <t>rs1452787</t>
  </si>
  <si>
    <t>18:53239916:A:G</t>
  </si>
  <si>
    <t>rs72627232</t>
  </si>
  <si>
    <t>18:53408187:C:T</t>
  </si>
  <si>
    <t>rs28758902</t>
  </si>
  <si>
    <t>20:44700166:C:T</t>
  </si>
  <si>
    <t>rs6074012</t>
  </si>
  <si>
    <t>20:44724305:A:G</t>
  </si>
  <si>
    <t>rs6131010</t>
  </si>
  <si>
    <t>Independent Loci and Independent Significant SNPs Identified for Compulsive Factor (Factor 1)</t>
  </si>
  <si>
    <t>Supplemental Table S21</t>
  </si>
  <si>
    <t>Supplemental Table S22</t>
  </si>
  <si>
    <t>Supplemental Table S23</t>
  </si>
  <si>
    <t>Supplemental Table S24</t>
  </si>
  <si>
    <t>Independent Loci and Independent Significant SNPs Identified for Psychotic Factor (Factor 2)</t>
  </si>
  <si>
    <t>Independent Loci and Independent Significant SNPs Identified for Neurodevelopmental Factor (Factor 3)</t>
  </si>
  <si>
    <t>Independent Loci and Independent Significant SNPs Identified for Internalizing Factor (Factor 4)</t>
  </si>
  <si>
    <t>Supplemental Table S2</t>
  </si>
  <si>
    <t xml:space="preserve">Supplemental Table S6 </t>
  </si>
  <si>
    <t>Supplemental Table S11. PheWAS results: Baseline phenotypes</t>
  </si>
  <si>
    <t>Supplemental Table S12. PheWAS results: two-year follow-up phenotypes</t>
  </si>
  <si>
    <t>Supplemental Table S15. Associations between PRS and regional cortical surface area metrics (in mm^2 of APARC ROI)</t>
  </si>
  <si>
    <t>Supplemental Table S1. Baseline phenotype description table</t>
  </si>
  <si>
    <t>Supplemental Table S2. Baseline Non-Imaging Phenotype Description Dictionary </t>
  </si>
  <si>
    <t>Supplemental Table S3. Two-year follow-up phenotype description table</t>
  </si>
  <si>
    <t xml:space="preserve">Supplemental Table S4. Two-Year Follow-up Non-Imaging Phenotype Description Dictionary </t>
  </si>
  <si>
    <t>Supplemental Table S5. Baseline imaging phenotype description table</t>
  </si>
  <si>
    <t>Supplemental Table S6. Contributing GWAS Summary Statistics</t>
  </si>
  <si>
    <r>
      <t>Supplemental Table S7.</t>
    </r>
    <r>
      <rPr>
        <sz val="12"/>
        <color theme="1"/>
        <rFont val="Calibri"/>
        <family val="2"/>
        <scheme val="minor"/>
      </rPr>
      <t xml:space="preserve"> Independent Loci and Independent Significant SNPs Identified for Compulsive Factor (Factor 1)</t>
    </r>
  </si>
  <si>
    <r>
      <t>Supplemental Table S8.</t>
    </r>
    <r>
      <rPr>
        <sz val="12"/>
        <color theme="1"/>
        <rFont val="Calibri"/>
        <family val="2"/>
        <scheme val="minor"/>
      </rPr>
      <t xml:space="preserve"> Independent Loci and Independent Significant SNPs Identified for Psychotic Factor (Factor 2)</t>
    </r>
  </si>
  <si>
    <r>
      <t>Supplemental Table S9.</t>
    </r>
    <r>
      <rPr>
        <sz val="12"/>
        <color theme="1"/>
        <rFont val="Calibri"/>
        <family val="2"/>
        <scheme val="minor"/>
      </rPr>
      <t xml:space="preserve"> Independent Loci and Independent Significant SNPs Identified for Neurodevelopmental Factor (Factor 3)</t>
    </r>
  </si>
  <si>
    <r>
      <t>Supplemental Table S10.</t>
    </r>
    <r>
      <rPr>
        <sz val="12"/>
        <color theme="1"/>
        <rFont val="Calibri"/>
        <family val="2"/>
        <scheme val="minor"/>
      </rPr>
      <t xml:space="preserve"> Independent Loci and Independent Significant SNPs Identified for Internalizing Factor (Factor 4)</t>
    </r>
  </si>
  <si>
    <t>Values of 6 and 7 (where they denote "don't know" or "refuse to answer") recoded to NA</t>
  </si>
  <si>
    <t>kbi_p_c_school_setting_l_home*</t>
  </si>
  <si>
    <t>kbi_p_c_school_setting_l_private*</t>
  </si>
  <si>
    <t>kbi_p_c_school_setting_l_public*</t>
  </si>
  <si>
    <t>Supplemental Table S25</t>
  </si>
  <si>
    <r>
      <rPr>
        <b/>
        <sz val="12"/>
        <color theme="1"/>
        <rFont val="Calibri"/>
        <family val="2"/>
        <scheme val="minor"/>
      </rPr>
      <t>Supplemental Table S14.</t>
    </r>
    <r>
      <rPr>
        <sz val="12"/>
        <color theme="1"/>
        <rFont val="Calibri"/>
        <family val="2"/>
        <scheme val="minor"/>
      </rPr>
      <t xml:space="preserve"> Associations between PRS and global imaging metrics</t>
    </r>
  </si>
  <si>
    <t>Supplemental Table S15. Associations between PRS and regional cortical volume metrics (in mm^2 of APARC ROI)</t>
  </si>
  <si>
    <t>Supplemental Table S17. Associations between PRS and regional cortical thickness metrics (in mm of APARC ROI)</t>
  </si>
  <si>
    <t>Supplemental Table S18. Associations between PRS and subcortical volume metrics (in mm^2 of ASEG ROI)</t>
  </si>
  <si>
    <r>
      <t xml:space="preserve">Supplemental Table S19. </t>
    </r>
    <r>
      <rPr>
        <sz val="12"/>
        <color theme="1"/>
        <rFont val="Calibri"/>
        <family val="2"/>
        <scheme val="minor"/>
      </rPr>
      <t>Associations between PRS and resting state functional connectivity metrics</t>
    </r>
  </si>
  <si>
    <t>Supplemental Table S20. Associations between PRS and fractional anisotropy metrics (average fractional anisotropy within DTI atlast tracts)</t>
  </si>
  <si>
    <t>Supplemental Table S21. Associations between PRS and mean diffusivity metrics (mean diffusivity within DTI atlas tract)</t>
  </si>
  <si>
    <t>Supplemental Table S22. Associations between baseline imaging metrics and two-year follow-up phenotypes</t>
  </si>
  <si>
    <t>Supplemental Table S23. Indirect effects of neural metrics on associations between PRS and two-year follow-up phenotypes</t>
  </si>
  <si>
    <t>Supplemental Table S24. CFA Model Comparisons</t>
  </si>
  <si>
    <t>Supplemental Table S25. CFA Model Loadings</t>
  </si>
  <si>
    <r>
      <t xml:space="preserve">Supplemental Table S13. </t>
    </r>
    <r>
      <rPr>
        <sz val="12"/>
        <color theme="1"/>
        <rFont val="Calibri"/>
        <family val="2"/>
        <scheme val="minor"/>
      </rPr>
      <t>Comparison of 95% confidence intervals across waves</t>
    </r>
  </si>
  <si>
    <t>Comparison of 95% confidence intervals across waves</t>
  </si>
  <si>
    <t>Baseline Variable Name</t>
  </si>
  <si>
    <t>Two-Year Follow-Up Variable Name</t>
  </si>
  <si>
    <t>CI Lower</t>
  </si>
  <si>
    <r>
      <rPr>
        <i/>
        <sz val="12"/>
        <color theme="1"/>
        <rFont val="Calibri"/>
        <family val="2"/>
        <scheme val="minor"/>
      </rPr>
      <t>Note.</t>
    </r>
    <r>
      <rPr>
        <sz val="12"/>
        <color theme="1"/>
        <rFont val="Calibri"/>
        <family val="2"/>
        <scheme val="minor"/>
      </rPr>
      <t xml:space="preserve"> </t>
    </r>
    <r>
      <rPr>
        <sz val="12"/>
        <color theme="1"/>
        <rFont val="Calibri"/>
        <family val="2"/>
        <scheme val="minor"/>
      </rPr>
      <t>Of the 799 phenotypes assessed at both time points, 23 and 17 showed non-overlapping confidence intervals across time points in association with Neurodevelopmental and Internalizing PRS, respectively. These phenotypes and the associations are depicted here. STE = standard error; CI = confidence interval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</si>
</sst>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2"/>
      <color theme="1"/>
      <name val="Calibri"/>
      <family val="2"/>
      <scheme val="minor"/>
    </font>
    <font>
      <sz val="12"/>
      <color theme="1"/>
      <name val="Calibri"/>
      <family val="2"/>
      <scheme val="minor"/>
    </font>
    <font>
      <b/>
      <sz val="12"/>
      <color theme="1"/>
      <name val="Calibri"/>
      <family val="2"/>
      <scheme val="minor"/>
    </font>
    <font>
      <sz val="12"/>
      <color rgb="FF000000"/>
      <name val="Calibri"/>
      <family val="2"/>
      <scheme val="minor"/>
    </font>
    <font>
      <sz val="12"/>
      <color rgb="FF000000"/>
      <name val="Calibri (Body)"/>
    </font>
    <font>
      <sz val="12"/>
      <color rgb="FF000000"/>
      <name val="Calibri"/>
      <family val="2"/>
      <charset val="1"/>
    </font>
    <font>
      <sz val="12"/>
      <name val="Calibri"/>
      <family val="2"/>
      <scheme val="minor"/>
    </font>
    <font>
      <b/>
      <sz val="12"/>
      <name val="Calibri"/>
      <family val="2"/>
      <scheme val="minor"/>
    </font>
    <font>
      <b/>
      <sz val="12"/>
      <color rgb="FFFF0000"/>
      <name val="Calibri"/>
      <family val="2"/>
      <scheme val="minor"/>
    </font>
    <font>
      <sz val="12"/>
      <color theme="1"/>
      <name val="Calibri"/>
      <family val="2"/>
      <charset val="1"/>
    </font>
    <font>
      <b/>
      <sz val="12"/>
      <color theme="1"/>
      <name val="Calibri (Body)"/>
    </font>
    <font>
      <sz val="12"/>
      <color theme="1"/>
      <name val="Calibri (Body)"/>
    </font>
    <font>
      <b/>
      <sz val="12"/>
      <color rgb="FFFF0000"/>
      <name val="Calibri (Body)"/>
    </font>
    <font>
      <sz val="12"/>
      <name val="Calibri (Body)"/>
    </font>
    <font>
      <b/>
      <sz val="12"/>
      <color rgb="FF000000"/>
      <name val="Calibri"/>
      <family val="2"/>
      <scheme val="minor"/>
    </font>
    <font>
      <sz val="12"/>
      <color rgb="FF000000"/>
      <name val="Monaco"/>
      <family val="3"/>
    </font>
    <font>
      <i/>
      <sz val="12"/>
      <color theme="1"/>
      <name val="Calibri"/>
      <family val="2"/>
      <scheme val="minor"/>
    </font>
    <font>
      <sz val="12"/>
      <color rgb="FFFF0000"/>
      <name val="Calibri"/>
      <family val="2"/>
      <scheme val="minor"/>
    </font>
    <font>
      <sz val="8"/>
      <name val="Calibri"/>
      <family val="2"/>
      <scheme val="minor"/>
    </font>
    <font>
      <i/>
      <sz val="12"/>
      <color rgb="FFFF0000"/>
      <name val="Calibri"/>
      <family val="2"/>
      <scheme val="minor"/>
    </font>
    <font>
      <sz val="10"/>
      <name val="Verdana"/>
      <family val="2"/>
    </font>
    <font>
      <sz val="12"/>
      <color rgb="FFC00000"/>
      <name val="Calibri"/>
      <family val="2"/>
      <scheme val="minor"/>
    </font>
    <font>
      <u/>
      <sz val="12"/>
      <color theme="10"/>
      <name val="Calibri"/>
      <family val="2"/>
      <scheme val="minor"/>
    </font>
    <font>
      <sz val="12"/>
      <color theme="1"/>
      <name val="Helvetica Neue"/>
      <family val="2"/>
    </font>
    <font>
      <sz val="12"/>
      <color theme="1"/>
      <name val="Calibri"/>
      <family val="2"/>
    </font>
    <font>
      <b/>
      <sz val="12"/>
      <color theme="1"/>
      <name val="Calibri"/>
      <family val="2"/>
    </font>
    <font>
      <b/>
      <vertAlign val="superscript"/>
      <sz val="12"/>
      <color theme="1"/>
      <name val="Calibri"/>
      <family val="2"/>
      <scheme val="minor"/>
    </font>
    <font>
      <b/>
      <vertAlign val="subscript"/>
      <sz val="12"/>
      <color theme="1"/>
      <name val="Calibri"/>
      <family val="2"/>
      <scheme val="minor"/>
    </font>
    <font>
      <sz val="9"/>
      <color rgb="FF000000"/>
      <name val="Verdana"/>
      <family val="2"/>
    </font>
  </fonts>
  <fills count="5">
    <fill>
      <patternFill patternType="none"/>
    </fill>
    <fill>
      <patternFill patternType="gray125"/>
    </fill>
    <fill>
      <patternFill patternType="solid">
        <fgColor rgb="FFFFFFFF"/>
        <bgColor rgb="FF000000"/>
      </patternFill>
    </fill>
    <fill>
      <patternFill patternType="solid">
        <fgColor rgb="FFFFFFFF"/>
        <bgColor indexed="64"/>
      </patternFill>
    </fill>
    <fill>
      <patternFill patternType="solid">
        <fgColor theme="0"/>
        <bgColor indexed="64"/>
      </patternFill>
    </fill>
  </fills>
  <borders count="12">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3">
    <xf numFmtId="0" fontId="0" fillId="0" borderId="0"/>
    <xf numFmtId="9" fontId="1" fillId="0" borderId="0" applyFont="0" applyFill="0" applyBorder="0" applyAlignment="0" applyProtection="0"/>
    <xf numFmtId="0" fontId="22" fillId="0" borderId="0" applyNumberFormat="0" applyFill="0" applyBorder="0" applyAlignment="0" applyProtection="0"/>
  </cellStyleXfs>
  <cellXfs count="160">
    <xf numFmtId="0" fontId="0" fillId="0" borderId="0" xfId="0"/>
    <xf numFmtId="0" fontId="4" fillId="0" borderId="0" xfId="0" applyFont="1"/>
    <xf numFmtId="10" fontId="4" fillId="0" borderId="0" xfId="0" applyNumberFormat="1" applyFont="1"/>
    <xf numFmtId="0" fontId="0" fillId="0" borderId="0" xfId="0" applyAlignment="1">
      <alignment wrapText="1"/>
    </xf>
    <xf numFmtId="0" fontId="11" fillId="0" borderId="0" xfId="0" applyFont="1" applyAlignment="1">
      <alignment wrapText="1"/>
    </xf>
    <xf numFmtId="0" fontId="11" fillId="0" borderId="0" xfId="0" applyFont="1"/>
    <xf numFmtId="10" fontId="11" fillId="0" borderId="0" xfId="0" applyNumberFormat="1" applyFont="1"/>
    <xf numFmtId="0" fontId="11" fillId="0" borderId="0" xfId="0" applyFont="1" applyAlignment="1">
      <alignment vertical="top"/>
    </xf>
    <xf numFmtId="0" fontId="12" fillId="0" borderId="0" xfId="0" applyFont="1"/>
    <xf numFmtId="0" fontId="13" fillId="0" borderId="0" xfId="0" applyFont="1" applyAlignment="1">
      <alignment vertical="top"/>
    </xf>
    <xf numFmtId="9" fontId="11" fillId="0" borderId="0" xfId="1" applyFont="1"/>
    <xf numFmtId="2" fontId="11" fillId="0" borderId="0" xfId="0" applyNumberFormat="1" applyFont="1"/>
    <xf numFmtId="10" fontId="4" fillId="2" borderId="0" xfId="0" applyNumberFormat="1" applyFont="1" applyFill="1"/>
    <xf numFmtId="0" fontId="11" fillId="3" borderId="0" xfId="0" applyFont="1" applyFill="1"/>
    <xf numFmtId="10" fontId="11" fillId="3" borderId="0" xfId="0" applyNumberFormat="1" applyFont="1" applyFill="1"/>
    <xf numFmtId="11" fontId="0" fillId="0" borderId="0" xfId="0" applyNumberFormat="1"/>
    <xf numFmtId="11" fontId="3" fillId="0" borderId="0" xfId="0" applyNumberFormat="1" applyFont="1"/>
    <xf numFmtId="0" fontId="0" fillId="0" borderId="1" xfId="0" applyBorder="1"/>
    <xf numFmtId="11" fontId="0" fillId="0" borderId="1" xfId="0" applyNumberFormat="1" applyBorder="1"/>
    <xf numFmtId="0" fontId="3" fillId="0" borderId="2" xfId="0" applyFont="1" applyBorder="1"/>
    <xf numFmtId="0" fontId="3" fillId="0" borderId="3" xfId="0" applyFont="1" applyBorder="1"/>
    <xf numFmtId="0" fontId="0" fillId="0" borderId="3" xfId="0" applyBorder="1"/>
    <xf numFmtId="0" fontId="0" fillId="0" borderId="2" xfId="0" applyBorder="1"/>
    <xf numFmtId="0" fontId="15" fillId="0" borderId="0" xfId="0" applyFont="1"/>
    <xf numFmtId="10" fontId="0" fillId="0" borderId="0" xfId="0" applyNumberFormat="1"/>
    <xf numFmtId="0" fontId="0" fillId="0" borderId="0" xfId="0" applyAlignment="1">
      <alignment vertical="top"/>
    </xf>
    <xf numFmtId="0" fontId="6" fillId="0" borderId="0" xfId="0" applyFont="1"/>
    <xf numFmtId="10" fontId="6" fillId="0" borderId="0" xfId="0" applyNumberFormat="1" applyFont="1"/>
    <xf numFmtId="0" fontId="8" fillId="0" borderId="0" xfId="0" applyFont="1"/>
    <xf numFmtId="0" fontId="5" fillId="0" borderId="0" xfId="0" applyFont="1"/>
    <xf numFmtId="10" fontId="5" fillId="0" borderId="0" xfId="0" applyNumberFormat="1" applyFont="1"/>
    <xf numFmtId="0" fontId="9" fillId="0" borderId="0" xfId="0" applyFont="1"/>
    <xf numFmtId="0" fontId="6" fillId="0" borderId="0" xfId="0" applyFont="1" applyAlignment="1">
      <alignment vertical="top"/>
    </xf>
    <xf numFmtId="0" fontId="3" fillId="0" borderId="0" xfId="0" applyFont="1"/>
    <xf numFmtId="0" fontId="2" fillId="0" borderId="3" xfId="0" applyFont="1" applyBorder="1" applyAlignment="1">
      <alignment wrapText="1"/>
    </xf>
    <xf numFmtId="10" fontId="2" fillId="0" borderId="3" xfId="0" applyNumberFormat="1" applyFont="1" applyBorder="1" applyAlignment="1">
      <alignment wrapText="1"/>
    </xf>
    <xf numFmtId="0" fontId="5" fillId="0" borderId="3" xfId="0" applyFont="1" applyBorder="1"/>
    <xf numFmtId="10" fontId="5" fillId="0" borderId="3" xfId="0" applyNumberFormat="1" applyFont="1" applyBorder="1"/>
    <xf numFmtId="0" fontId="10" fillId="0" borderId="3" xfId="0" applyFont="1" applyBorder="1" applyAlignment="1">
      <alignment wrapText="1"/>
    </xf>
    <xf numFmtId="10" fontId="10" fillId="0" borderId="3" xfId="0" applyNumberFormat="1" applyFont="1" applyBorder="1" applyAlignment="1">
      <alignment wrapText="1"/>
    </xf>
    <xf numFmtId="0" fontId="11" fillId="0" borderId="3" xfId="0" applyFont="1" applyBorder="1"/>
    <xf numFmtId="0" fontId="4" fillId="0" borderId="3" xfId="0" applyFont="1" applyBorder="1"/>
    <xf numFmtId="10" fontId="4" fillId="0" borderId="3" xfId="0" applyNumberFormat="1" applyFont="1" applyBorder="1"/>
    <xf numFmtId="11" fontId="0" fillId="0" borderId="3" xfId="0" applyNumberFormat="1" applyBorder="1"/>
    <xf numFmtId="11" fontId="0" fillId="0" borderId="2" xfId="0" applyNumberFormat="1" applyBorder="1"/>
    <xf numFmtId="0" fontId="2" fillId="0" borderId="3" xfId="0" applyFont="1" applyBorder="1"/>
    <xf numFmtId="0" fontId="0" fillId="0" borderId="0" xfId="0" quotePrefix="1"/>
    <xf numFmtId="0" fontId="16" fillId="0" borderId="0" xfId="0" applyFont="1"/>
    <xf numFmtId="0" fontId="2" fillId="0" borderId="2" xfId="0" applyFont="1" applyBorder="1" applyAlignment="1">
      <alignment horizontal="right"/>
    </xf>
    <xf numFmtId="0" fontId="0" fillId="0" borderId="1" xfId="0" applyBorder="1" applyAlignment="1">
      <alignment horizontal="right"/>
    </xf>
    <xf numFmtId="0" fontId="0" fillId="0" borderId="2" xfId="0" applyBorder="1" applyAlignment="1">
      <alignment horizontal="right"/>
    </xf>
    <xf numFmtId="0" fontId="2" fillId="0" borderId="0" xfId="0" applyFont="1"/>
    <xf numFmtId="0" fontId="2" fillId="0" borderId="2" xfId="0" applyFont="1" applyBorder="1"/>
    <xf numFmtId="0" fontId="10" fillId="0" borderId="0" xfId="0" applyFont="1"/>
    <xf numFmtId="0" fontId="0" fillId="0" borderId="0" xfId="0" applyAlignment="1">
      <alignment horizontal="left" wrapText="1"/>
    </xf>
    <xf numFmtId="0" fontId="2" fillId="0" borderId="3" xfId="0" applyFont="1" applyBorder="1" applyAlignment="1">
      <alignment horizontal="left"/>
    </xf>
    <xf numFmtId="0" fontId="0" fillId="0" borderId="1" xfId="0" applyBorder="1" applyAlignment="1">
      <alignment horizontal="left"/>
    </xf>
    <xf numFmtId="0" fontId="0" fillId="0" borderId="2" xfId="0" applyBorder="1" applyAlignment="1">
      <alignment horizontal="left"/>
    </xf>
    <xf numFmtId="0" fontId="0" fillId="0" borderId="7" xfId="0" applyBorder="1" applyAlignment="1">
      <alignment horizontal="left"/>
    </xf>
    <xf numFmtId="0" fontId="0" fillId="0" borderId="0" xfId="0" applyAlignment="1">
      <alignment horizontal="left"/>
    </xf>
    <xf numFmtId="0" fontId="17" fillId="0" borderId="0" xfId="0" applyFont="1"/>
    <xf numFmtId="0" fontId="17" fillId="0" borderId="0" xfId="0" applyFont="1" applyAlignment="1">
      <alignment vertical="top"/>
    </xf>
    <xf numFmtId="0" fontId="0" fillId="0" borderId="0" xfId="0" applyAlignment="1">
      <alignment vertical="center" wrapText="1"/>
    </xf>
    <xf numFmtId="0" fontId="2" fillId="0" borderId="0" xfId="0" applyFont="1" applyAlignment="1">
      <alignment horizontal="left"/>
    </xf>
    <xf numFmtId="0" fontId="3" fillId="0" borderId="9" xfId="0" applyFont="1" applyBorder="1"/>
    <xf numFmtId="0" fontId="0" fillId="0" borderId="10" xfId="0" applyBorder="1"/>
    <xf numFmtId="0" fontId="0" fillId="0" borderId="9" xfId="0" applyBorder="1"/>
    <xf numFmtId="2" fontId="0" fillId="0" borderId="0" xfId="0" applyNumberFormat="1"/>
    <xf numFmtId="0" fontId="3" fillId="0" borderId="1" xfId="0" applyFont="1" applyBorder="1"/>
    <xf numFmtId="0" fontId="0" fillId="0" borderId="4" xfId="0" applyBorder="1"/>
    <xf numFmtId="0" fontId="2" fillId="0" borderId="4" xfId="0" applyFont="1" applyBorder="1"/>
    <xf numFmtId="0" fontId="0" fillId="0" borderId="6" xfId="0" applyBorder="1"/>
    <xf numFmtId="0" fontId="3" fillId="0" borderId="10" xfId="0" applyFont="1" applyBorder="1"/>
    <xf numFmtId="0" fontId="14" fillId="0" borderId="1" xfId="0" applyFont="1" applyBorder="1"/>
    <xf numFmtId="11" fontId="2" fillId="0" borderId="0" xfId="0" applyNumberFormat="1" applyFont="1"/>
    <xf numFmtId="11" fontId="2" fillId="0" borderId="1" xfId="0" applyNumberFormat="1" applyFont="1" applyBorder="1"/>
    <xf numFmtId="11" fontId="0" fillId="0" borderId="10" xfId="0" applyNumberFormat="1" applyBorder="1"/>
    <xf numFmtId="11" fontId="0" fillId="0" borderId="9" xfId="0" applyNumberFormat="1" applyBorder="1"/>
    <xf numFmtId="0" fontId="0" fillId="0" borderId="10" xfId="0" applyBorder="1" applyAlignment="1">
      <alignment horizontal="left"/>
    </xf>
    <xf numFmtId="11" fontId="0" fillId="0" borderId="0" xfId="0" applyNumberFormat="1" applyAlignment="1">
      <alignment horizontal="left"/>
    </xf>
    <xf numFmtId="11" fontId="0" fillId="0" borderId="1" xfId="0" applyNumberFormat="1" applyBorder="1" applyAlignment="1">
      <alignment horizontal="left"/>
    </xf>
    <xf numFmtId="11" fontId="2" fillId="0" borderId="0" xfId="0" applyNumberFormat="1" applyFont="1" applyAlignment="1">
      <alignment horizontal="left"/>
    </xf>
    <xf numFmtId="11" fontId="2" fillId="0" borderId="1" xfId="0" applyNumberFormat="1" applyFont="1" applyBorder="1" applyAlignment="1">
      <alignment horizontal="left"/>
    </xf>
    <xf numFmtId="0" fontId="2" fillId="0" borderId="1" xfId="0" applyFont="1" applyBorder="1" applyAlignment="1">
      <alignment horizontal="left"/>
    </xf>
    <xf numFmtId="0" fontId="0" fillId="0" borderId="4" xfId="0" applyBorder="1" applyAlignment="1">
      <alignment horizontal="left"/>
    </xf>
    <xf numFmtId="11" fontId="0" fillId="0" borderId="6" xfId="0" applyNumberFormat="1" applyBorder="1" applyAlignment="1">
      <alignment horizontal="left"/>
    </xf>
    <xf numFmtId="11" fontId="0" fillId="0" borderId="3" xfId="0" applyNumberFormat="1" applyBorder="1" applyAlignment="1">
      <alignment horizontal="left"/>
    </xf>
    <xf numFmtId="11" fontId="0" fillId="0" borderId="2" xfId="0" applyNumberFormat="1" applyBorder="1" applyAlignment="1">
      <alignment horizontal="left"/>
    </xf>
    <xf numFmtId="11" fontId="0" fillId="0" borderId="7" xfId="0" applyNumberFormat="1" applyBorder="1" applyAlignment="1">
      <alignment horizontal="left"/>
    </xf>
    <xf numFmtId="11" fontId="0" fillId="0" borderId="11" xfId="0" applyNumberFormat="1" applyBorder="1"/>
    <xf numFmtId="11" fontId="2" fillId="0" borderId="2" xfId="0" applyNumberFormat="1" applyFont="1" applyBorder="1" applyAlignment="1">
      <alignment horizontal="left"/>
    </xf>
    <xf numFmtId="0" fontId="20" fillId="0" borderId="0" xfId="0" applyFont="1"/>
    <xf numFmtId="0" fontId="21" fillId="0" borderId="0" xfId="0" applyFont="1"/>
    <xf numFmtId="0" fontId="13" fillId="0" borderId="0" xfId="0" applyFont="1"/>
    <xf numFmtId="10" fontId="13" fillId="0" borderId="0" xfId="0" applyNumberFormat="1" applyFont="1"/>
    <xf numFmtId="11" fontId="3" fillId="0" borderId="3" xfId="0" applyNumberFormat="1" applyFont="1" applyBorder="1"/>
    <xf numFmtId="0" fontId="2" fillId="0" borderId="0" xfId="0" applyFont="1" applyAlignment="1">
      <alignment vertical="center"/>
    </xf>
    <xf numFmtId="0" fontId="0" fillId="0" borderId="0" xfId="0" applyAlignment="1">
      <alignment vertical="center"/>
    </xf>
    <xf numFmtId="10" fontId="2" fillId="0" borderId="0" xfId="0" applyNumberFormat="1" applyFont="1" applyAlignment="1">
      <alignment vertical="center"/>
    </xf>
    <xf numFmtId="0" fontId="14" fillId="0" borderId="0" xfId="0" applyFont="1"/>
    <xf numFmtId="0" fontId="3" fillId="0" borderId="4" xfId="0" applyFont="1" applyBorder="1"/>
    <xf numFmtId="0" fontId="3" fillId="0" borderId="6" xfId="0" applyFont="1" applyBorder="1"/>
    <xf numFmtId="11" fontId="0" fillId="0" borderId="4" xfId="0" applyNumberFormat="1" applyBorder="1" applyAlignment="1">
      <alignment horizontal="left"/>
    </xf>
    <xf numFmtId="11" fontId="3" fillId="0" borderId="4" xfId="0" applyNumberFormat="1" applyFont="1" applyBorder="1" applyAlignment="1">
      <alignment horizontal="left"/>
    </xf>
    <xf numFmtId="11" fontId="3" fillId="0" borderId="0" xfId="0" applyNumberFormat="1" applyFont="1" applyAlignment="1">
      <alignment horizontal="left"/>
    </xf>
    <xf numFmtId="0" fontId="3" fillId="0" borderId="4" xfId="0" applyFont="1" applyBorder="1" applyAlignment="1">
      <alignment horizontal="left"/>
    </xf>
    <xf numFmtId="0" fontId="0" fillId="0" borderId="6" xfId="0" applyBorder="1" applyAlignment="1">
      <alignment horizontal="left"/>
    </xf>
    <xf numFmtId="11" fontId="2" fillId="0" borderId="4" xfId="0" applyNumberFormat="1" applyFont="1" applyBorder="1" applyAlignment="1">
      <alignment horizontal="left"/>
    </xf>
    <xf numFmtId="10" fontId="3" fillId="0" borderId="0" xfId="0" applyNumberFormat="1" applyFont="1"/>
    <xf numFmtId="0" fontId="23" fillId="0" borderId="0" xfId="0" applyFont="1"/>
    <xf numFmtId="0" fontId="24" fillId="0" borderId="0" xfId="0" applyFont="1"/>
    <xf numFmtId="0" fontId="0" fillId="0" borderId="9" xfId="0" applyBorder="1" applyAlignment="1">
      <alignment shrinkToFit="1"/>
    </xf>
    <xf numFmtId="0" fontId="2" fillId="0" borderId="3" xfId="0" applyFont="1" applyBorder="1" applyAlignment="1">
      <alignment shrinkToFit="1"/>
    </xf>
    <xf numFmtId="0" fontId="2" fillId="0" borderId="6" xfId="0" applyFont="1" applyBorder="1" applyAlignment="1">
      <alignment wrapText="1" shrinkToFit="1"/>
    </xf>
    <xf numFmtId="0" fontId="14" fillId="0" borderId="11" xfId="0" applyFont="1" applyBorder="1"/>
    <xf numFmtId="0" fontId="14" fillId="0" borderId="8" xfId="0" applyFont="1" applyBorder="1"/>
    <xf numFmtId="0" fontId="2" fillId="0" borderId="10" xfId="0" applyFont="1" applyBorder="1"/>
    <xf numFmtId="0" fontId="14" fillId="0" borderId="4" xfId="0" applyFont="1" applyBorder="1"/>
    <xf numFmtId="0" fontId="2" fillId="0" borderId="6" xfId="0" applyFont="1" applyBorder="1" applyAlignment="1">
      <alignment shrinkToFit="1"/>
    </xf>
    <xf numFmtId="0" fontId="25" fillId="0" borderId="0" xfId="0" applyFont="1"/>
    <xf numFmtId="0" fontId="24" fillId="0" borderId="10" xfId="0" applyFont="1" applyBorder="1"/>
    <xf numFmtId="0" fontId="1" fillId="0" borderId="0" xfId="2" applyFont="1"/>
    <xf numFmtId="1" fontId="0" fillId="0" borderId="0" xfId="1" applyNumberFormat="1" applyFont="1"/>
    <xf numFmtId="10" fontId="0" fillId="0" borderId="0" xfId="1" applyNumberFormat="1" applyFont="1"/>
    <xf numFmtId="0" fontId="2" fillId="0" borderId="3" xfId="0" applyFont="1" applyBorder="1" applyAlignment="1">
      <alignment horizontal="left" vertical="center" wrapText="1"/>
    </xf>
    <xf numFmtId="3" fontId="0" fillId="0" borderId="0" xfId="0" applyNumberFormat="1" applyAlignment="1">
      <alignment horizontal="left" vertical="center" wrapText="1"/>
    </xf>
    <xf numFmtId="0" fontId="0" fillId="0" borderId="0" xfId="0" applyAlignment="1">
      <alignment horizontal="left" vertical="center" wrapText="1"/>
    </xf>
    <xf numFmtId="0" fontId="0" fillId="0" borderId="3" xfId="0" applyBorder="1" applyAlignment="1">
      <alignment horizontal="left" vertical="center" wrapText="1"/>
    </xf>
    <xf numFmtId="3" fontId="0" fillId="0" borderId="3" xfId="0" applyNumberFormat="1" applyBorder="1" applyAlignment="1">
      <alignment horizontal="left" vertical="center" wrapText="1"/>
    </xf>
    <xf numFmtId="0" fontId="28" fillId="0" borderId="0" xfId="0" applyFont="1"/>
    <xf numFmtId="11" fontId="3" fillId="0" borderId="1" xfId="0" applyNumberFormat="1" applyFont="1" applyBorder="1" applyAlignment="1">
      <alignment horizontal="left"/>
    </xf>
    <xf numFmtId="0" fontId="3" fillId="0" borderId="3" xfId="0" applyFont="1" applyBorder="1" applyAlignment="1">
      <alignment horizontal="left"/>
    </xf>
    <xf numFmtId="0" fontId="3" fillId="0" borderId="2" xfId="0" applyFont="1" applyBorder="1" applyAlignment="1">
      <alignment horizontal="left"/>
    </xf>
    <xf numFmtId="0" fontId="3" fillId="0" borderId="0" xfId="0" applyFont="1" applyAlignment="1">
      <alignment horizontal="left"/>
    </xf>
    <xf numFmtId="0" fontId="3" fillId="0" borderId="1" xfId="0" applyFont="1" applyBorder="1" applyAlignment="1">
      <alignment horizontal="left"/>
    </xf>
    <xf numFmtId="0" fontId="0" fillId="0" borderId="0" xfId="0" applyAlignment="1">
      <alignment horizontal="left" wrapText="1"/>
    </xf>
    <xf numFmtId="0" fontId="0" fillId="4" borderId="0" xfId="0" applyFill="1" applyAlignment="1">
      <alignment horizontal="center" vertical="center" wrapText="1"/>
    </xf>
    <xf numFmtId="0" fontId="0" fillId="0" borderId="5" xfId="0" applyBorder="1" applyAlignment="1">
      <alignment horizontal="left" wrapText="1"/>
    </xf>
    <xf numFmtId="0" fontId="2" fillId="0" borderId="0" xfId="0" applyFont="1" applyAlignment="1">
      <alignment horizontal="left"/>
    </xf>
    <xf numFmtId="0" fontId="2" fillId="0" borderId="0" xfId="0" applyFont="1" applyAlignment="1">
      <alignment horizontal="center"/>
    </xf>
    <xf numFmtId="0" fontId="14" fillId="0" borderId="0" xfId="0" applyFont="1" applyAlignment="1">
      <alignment horizontal="center"/>
    </xf>
    <xf numFmtId="0" fontId="16" fillId="0" borderId="0" xfId="0" applyFont="1" applyAlignment="1">
      <alignment horizontal="left" wrapText="1"/>
    </xf>
    <xf numFmtId="0" fontId="2" fillId="0" borderId="5" xfId="0" applyFont="1" applyBorder="1" applyAlignment="1">
      <alignment horizontal="center"/>
    </xf>
    <xf numFmtId="0" fontId="0" fillId="0" borderId="5" xfId="0" applyBorder="1" applyAlignment="1">
      <alignment horizontal="center"/>
    </xf>
    <xf numFmtId="0" fontId="0" fillId="0" borderId="0" xfId="0" applyAlignment="1">
      <alignment horizontal="center"/>
    </xf>
    <xf numFmtId="0" fontId="7" fillId="0" borderId="0" xfId="0" applyFont="1" applyAlignment="1">
      <alignment horizontal="center"/>
    </xf>
    <xf numFmtId="0" fontId="0" fillId="0" borderId="5" xfId="0" applyBorder="1" applyAlignment="1">
      <alignment horizontal="left"/>
    </xf>
    <xf numFmtId="11" fontId="0" fillId="0" borderId="5" xfId="0" applyNumberFormat="1" applyBorder="1" applyAlignment="1">
      <alignment horizontal="left" wrapText="1"/>
    </xf>
    <xf numFmtId="11" fontId="0" fillId="0" borderId="0" xfId="0" applyNumberFormat="1" applyAlignment="1">
      <alignment horizontal="left" wrapText="1"/>
    </xf>
    <xf numFmtId="0" fontId="2" fillId="0" borderId="3" xfId="0" applyFont="1" applyBorder="1" applyAlignment="1">
      <alignment horizontal="center"/>
    </xf>
    <xf numFmtId="0" fontId="0" fillId="0" borderId="3" xfId="0" applyBorder="1" applyAlignment="1">
      <alignment horizontal="center"/>
    </xf>
    <xf numFmtId="0" fontId="16" fillId="0" borderId="5" xfId="0" applyFont="1" applyBorder="1" applyAlignment="1">
      <alignment horizontal="left" wrapText="1"/>
    </xf>
    <xf numFmtId="0" fontId="0" fillId="0" borderId="0" xfId="0" applyAlignment="1">
      <alignment horizontal="center" wrapText="1"/>
    </xf>
    <xf numFmtId="0" fontId="11" fillId="0" borderId="0" xfId="0" applyFont="1" applyFill="1" applyAlignment="1">
      <alignment vertical="top"/>
    </xf>
    <xf numFmtId="0" fontId="11" fillId="0" borderId="0" xfId="0" applyFont="1" applyFill="1"/>
    <xf numFmtId="10" fontId="11" fillId="0" borderId="0" xfId="0" applyNumberFormat="1" applyFont="1" applyFill="1"/>
    <xf numFmtId="0" fontId="0" fillId="0" borderId="0" xfId="0" applyFill="1"/>
    <xf numFmtId="0" fontId="0" fillId="0" borderId="0" xfId="0" applyFill="1" applyAlignment="1">
      <alignment vertical="top"/>
    </xf>
    <xf numFmtId="0" fontId="4" fillId="0" borderId="0" xfId="0" applyFont="1" applyFill="1"/>
    <xf numFmtId="10" fontId="4" fillId="0" borderId="0" xfId="0" applyNumberFormat="1" applyFont="1" applyFill="1"/>
  </cellXfs>
  <cellStyles count="3">
    <cellStyle name="Hyperlink" xfId="2" builtinId="8"/>
    <cellStyle name="Normal" xfId="0" builtinId="0"/>
    <cellStyle name="Percent" xfId="1" builtinId="5"/>
  </cellStyles>
  <dxfs count="4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2" Type="http://schemas.openxmlformats.org/officeDocument/2006/relationships/hyperlink" Target="https://nda.nih.gov/data_structure.html?short_name=bipolar_disorders_p01" TargetMode="External"/><Relationship Id="rId1" Type="http://schemas.openxmlformats.org/officeDocument/2006/relationships/hyperlink" Target="https://nda.nih.gov/data_structure.html?short_name=attn_deficit_hyperactiv_p0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4373A-4B56-EC4C-AFA9-9367AB1A8EFE}">
  <dimension ref="A1:C28"/>
  <sheetViews>
    <sheetView showGridLines="0" workbookViewId="0">
      <selection activeCell="C16" sqref="C16"/>
    </sheetView>
  </sheetViews>
  <sheetFormatPr baseColWidth="10" defaultRowHeight="16" x14ac:dyDescent="0.2"/>
  <cols>
    <col min="2" max="2" width="23.6640625" customWidth="1"/>
  </cols>
  <sheetData>
    <row r="1" spans="1:3" x14ac:dyDescent="0.2">
      <c r="A1" s="33"/>
      <c r="B1" s="33"/>
      <c r="C1" s="33"/>
    </row>
    <row r="2" spans="1:3" x14ac:dyDescent="0.2">
      <c r="A2" s="33"/>
      <c r="B2" s="99" t="s">
        <v>6659</v>
      </c>
      <c r="C2" s="99"/>
    </row>
    <row r="3" spans="1:3" x14ac:dyDescent="0.2">
      <c r="A3" s="33"/>
      <c r="B3" s="33"/>
      <c r="C3" s="33"/>
    </row>
    <row r="4" spans="1:3" x14ac:dyDescent="0.2">
      <c r="A4" s="33"/>
      <c r="B4" s="99" t="s">
        <v>6660</v>
      </c>
      <c r="C4" s="33" t="s">
        <v>6661</v>
      </c>
    </row>
    <row r="5" spans="1:3" x14ac:dyDescent="0.2">
      <c r="A5" s="33"/>
      <c r="B5" s="99" t="s">
        <v>8524</v>
      </c>
      <c r="C5" s="33" t="s">
        <v>6662</v>
      </c>
    </row>
    <row r="6" spans="1:3" x14ac:dyDescent="0.2">
      <c r="A6" s="33"/>
      <c r="B6" s="99" t="s">
        <v>6663</v>
      </c>
      <c r="C6" s="33" t="s">
        <v>6664</v>
      </c>
    </row>
    <row r="7" spans="1:3" x14ac:dyDescent="0.2">
      <c r="A7" s="33"/>
      <c r="B7" s="99" t="s">
        <v>6665</v>
      </c>
      <c r="C7" s="33" t="s">
        <v>6666</v>
      </c>
    </row>
    <row r="8" spans="1:3" x14ac:dyDescent="0.2">
      <c r="A8" s="33"/>
      <c r="B8" s="99" t="s">
        <v>6667</v>
      </c>
      <c r="C8" s="33" t="s">
        <v>6668</v>
      </c>
    </row>
    <row r="9" spans="1:3" x14ac:dyDescent="0.2">
      <c r="A9" s="33"/>
      <c r="B9" s="99" t="s">
        <v>8525</v>
      </c>
      <c r="C9" s="33" t="s">
        <v>6725</v>
      </c>
    </row>
    <row r="10" spans="1:3" x14ac:dyDescent="0.2">
      <c r="A10" s="33"/>
      <c r="B10" s="99" t="s">
        <v>6670</v>
      </c>
      <c r="C10" s="33" t="s">
        <v>8516</v>
      </c>
    </row>
    <row r="11" spans="1:3" x14ac:dyDescent="0.2">
      <c r="A11" s="33"/>
      <c r="B11" s="99" t="s">
        <v>6672</v>
      </c>
      <c r="C11" s="33" t="s">
        <v>8521</v>
      </c>
    </row>
    <row r="12" spans="1:3" x14ac:dyDescent="0.2">
      <c r="A12" s="33"/>
      <c r="B12" s="99" t="s">
        <v>6674</v>
      </c>
      <c r="C12" s="33" t="s">
        <v>8522</v>
      </c>
    </row>
    <row r="13" spans="1:3" x14ac:dyDescent="0.2">
      <c r="A13" s="33"/>
      <c r="B13" s="99" t="s">
        <v>6676</v>
      </c>
      <c r="C13" s="33" t="s">
        <v>8523</v>
      </c>
    </row>
    <row r="14" spans="1:3" x14ac:dyDescent="0.2">
      <c r="A14" s="33"/>
      <c r="B14" s="99" t="s">
        <v>6678</v>
      </c>
      <c r="C14" s="33" t="s">
        <v>6669</v>
      </c>
    </row>
    <row r="15" spans="1:3" x14ac:dyDescent="0.2">
      <c r="A15" s="33"/>
      <c r="B15" s="99" t="s">
        <v>6680</v>
      </c>
      <c r="C15" s="33" t="s">
        <v>6671</v>
      </c>
    </row>
    <row r="16" spans="1:3" x14ac:dyDescent="0.2">
      <c r="A16" s="33"/>
      <c r="B16" s="99" t="s">
        <v>6682</v>
      </c>
      <c r="C16" s="33" t="s">
        <v>8556</v>
      </c>
    </row>
    <row r="17" spans="1:3" x14ac:dyDescent="0.2">
      <c r="A17" s="33"/>
      <c r="B17" s="99" t="s">
        <v>6684</v>
      </c>
      <c r="C17" s="33" t="s">
        <v>6673</v>
      </c>
    </row>
    <row r="18" spans="1:3" x14ac:dyDescent="0.2">
      <c r="A18" s="33"/>
      <c r="B18" s="99" t="s">
        <v>6686</v>
      </c>
      <c r="C18" s="33" t="s">
        <v>6675</v>
      </c>
    </row>
    <row r="19" spans="1:3" x14ac:dyDescent="0.2">
      <c r="A19" s="33"/>
      <c r="B19" s="99" t="s">
        <v>6688</v>
      </c>
      <c r="C19" s="33" t="s">
        <v>6677</v>
      </c>
    </row>
    <row r="20" spans="1:3" x14ac:dyDescent="0.2">
      <c r="A20" s="33"/>
      <c r="B20" s="99" t="s">
        <v>6690</v>
      </c>
      <c r="C20" s="33" t="s">
        <v>6679</v>
      </c>
    </row>
    <row r="21" spans="1:3" x14ac:dyDescent="0.2">
      <c r="A21" s="33"/>
      <c r="B21" s="99" t="s">
        <v>6692</v>
      </c>
      <c r="C21" s="33" t="s">
        <v>6681</v>
      </c>
    </row>
    <row r="22" spans="1:3" x14ac:dyDescent="0.2">
      <c r="A22" s="33"/>
      <c r="B22" s="99" t="s">
        <v>6694</v>
      </c>
      <c r="C22" s="33" t="s">
        <v>6683</v>
      </c>
    </row>
    <row r="23" spans="1:3" x14ac:dyDescent="0.2">
      <c r="A23" s="33"/>
      <c r="B23" s="99" t="s">
        <v>6724</v>
      </c>
      <c r="C23" s="33" t="s">
        <v>6685</v>
      </c>
    </row>
    <row r="24" spans="1:3" x14ac:dyDescent="0.2">
      <c r="A24" s="33"/>
      <c r="B24" s="99" t="s">
        <v>8517</v>
      </c>
      <c r="C24" s="33" t="s">
        <v>6687</v>
      </c>
    </row>
    <row r="25" spans="1:3" x14ac:dyDescent="0.2">
      <c r="A25" s="33"/>
      <c r="B25" s="99" t="s">
        <v>8518</v>
      </c>
      <c r="C25" s="33" t="s">
        <v>6689</v>
      </c>
    </row>
    <row r="26" spans="1:3" x14ac:dyDescent="0.2">
      <c r="A26" s="33"/>
      <c r="B26" s="99" t="s">
        <v>8519</v>
      </c>
      <c r="C26" s="33" t="s">
        <v>6691</v>
      </c>
    </row>
    <row r="27" spans="1:3" x14ac:dyDescent="0.2">
      <c r="B27" s="99" t="s">
        <v>8520</v>
      </c>
      <c r="C27" s="33" t="s">
        <v>6693</v>
      </c>
    </row>
    <row r="28" spans="1:3" x14ac:dyDescent="0.2">
      <c r="B28" s="99" t="s">
        <v>8543</v>
      </c>
      <c r="C28" s="33" t="s">
        <v>6695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08667-0F68-E941-9774-34E6143A05A9}">
  <dimension ref="B2:H665"/>
  <sheetViews>
    <sheetView showGridLines="0" workbookViewId="0">
      <selection activeCell="O20" sqref="O20"/>
    </sheetView>
  </sheetViews>
  <sheetFormatPr baseColWidth="10" defaultRowHeight="16" x14ac:dyDescent="0.2"/>
  <cols>
    <col min="3" max="3" width="17.33203125" customWidth="1"/>
    <col min="4" max="4" width="13.1640625" customWidth="1"/>
  </cols>
  <sheetData>
    <row r="2" spans="2:8" x14ac:dyDescent="0.2">
      <c r="B2" s="51" t="s">
        <v>8537</v>
      </c>
    </row>
    <row r="3" spans="2:8" x14ac:dyDescent="0.2">
      <c r="B3" s="51" t="s">
        <v>1894</v>
      </c>
      <c r="C3" s="51" t="s">
        <v>1895</v>
      </c>
      <c r="D3" s="51" t="s">
        <v>1899</v>
      </c>
      <c r="E3" s="51" t="s">
        <v>1896</v>
      </c>
      <c r="F3" s="51" t="s">
        <v>1897</v>
      </c>
      <c r="G3" s="51" t="s">
        <v>1898</v>
      </c>
    </row>
    <row r="4" spans="2:8" x14ac:dyDescent="0.2">
      <c r="B4" s="59">
        <v>1</v>
      </c>
      <c r="C4" s="59" t="s">
        <v>8052</v>
      </c>
      <c r="D4" s="59" t="s">
        <v>8053</v>
      </c>
      <c r="E4" s="59">
        <v>1</v>
      </c>
      <c r="F4" s="59">
        <v>44062154</v>
      </c>
      <c r="G4" s="79">
        <v>3.82683961713E-9</v>
      </c>
      <c r="H4" s="59"/>
    </row>
    <row r="5" spans="2:8" x14ac:dyDescent="0.2">
      <c r="B5" s="59">
        <v>1</v>
      </c>
      <c r="C5" s="59" t="s">
        <v>8054</v>
      </c>
      <c r="D5" s="59" t="s">
        <v>8055</v>
      </c>
      <c r="E5" s="59">
        <v>1</v>
      </c>
      <c r="F5" s="59">
        <v>44076469</v>
      </c>
      <c r="G5" s="79">
        <v>6.4267671209699997E-10</v>
      </c>
      <c r="H5" s="59"/>
    </row>
    <row r="6" spans="2:8" x14ac:dyDescent="0.2">
      <c r="B6" s="59">
        <v>1</v>
      </c>
      <c r="C6" s="59" t="s">
        <v>8056</v>
      </c>
      <c r="D6" s="59" t="s">
        <v>8057</v>
      </c>
      <c r="E6" s="59">
        <v>1</v>
      </c>
      <c r="F6" s="59">
        <v>44155383</v>
      </c>
      <c r="G6" s="79">
        <v>2.13043707651E-10</v>
      </c>
      <c r="H6" s="59"/>
    </row>
    <row r="7" spans="2:8" x14ac:dyDescent="0.2">
      <c r="B7" s="59">
        <v>1</v>
      </c>
      <c r="C7" s="59" t="s">
        <v>8058</v>
      </c>
      <c r="D7" s="59" t="s">
        <v>8059</v>
      </c>
      <c r="E7" s="59">
        <v>1</v>
      </c>
      <c r="F7" s="59">
        <v>44182244</v>
      </c>
      <c r="G7" s="79">
        <v>1.1709629457000001E-10</v>
      </c>
      <c r="H7" s="59"/>
    </row>
    <row r="8" spans="2:8" x14ac:dyDescent="0.2">
      <c r="B8" s="59">
        <v>1</v>
      </c>
      <c r="C8" s="59" t="s">
        <v>8060</v>
      </c>
      <c r="D8" s="59" t="s">
        <v>8061</v>
      </c>
      <c r="E8" s="59">
        <v>1</v>
      </c>
      <c r="F8" s="59">
        <v>44308867</v>
      </c>
      <c r="G8" s="79">
        <v>1.27814408493E-8</v>
      </c>
      <c r="H8" s="59"/>
    </row>
    <row r="9" spans="2:8" x14ac:dyDescent="0.2">
      <c r="B9" s="59">
        <v>1</v>
      </c>
      <c r="C9" s="59" t="s">
        <v>8062</v>
      </c>
      <c r="D9" s="59" t="s">
        <v>8063</v>
      </c>
      <c r="E9" s="59">
        <v>1</v>
      </c>
      <c r="F9" s="59">
        <v>44366250</v>
      </c>
      <c r="G9" s="79">
        <v>1.24796647891E-8</v>
      </c>
      <c r="H9" s="59"/>
    </row>
    <row r="10" spans="2:8" x14ac:dyDescent="0.2">
      <c r="B10" s="59">
        <v>2</v>
      </c>
      <c r="C10" s="59" t="s">
        <v>8064</v>
      </c>
      <c r="D10" s="59" t="s">
        <v>8065</v>
      </c>
      <c r="E10" s="59">
        <v>3</v>
      </c>
      <c r="F10" s="59">
        <v>20583264</v>
      </c>
      <c r="G10" s="79">
        <v>3.3475910136399998E-8</v>
      </c>
      <c r="H10" s="59"/>
    </row>
    <row r="11" spans="2:8" x14ac:dyDescent="0.2">
      <c r="B11" s="59">
        <v>2</v>
      </c>
      <c r="C11" s="59" t="s">
        <v>8066</v>
      </c>
      <c r="D11" s="59" t="s">
        <v>8067</v>
      </c>
      <c r="E11" s="59">
        <v>3</v>
      </c>
      <c r="F11" s="59">
        <v>20669071</v>
      </c>
      <c r="G11" s="79">
        <v>3.0395519182700002E-8</v>
      </c>
      <c r="H11" s="59"/>
    </row>
    <row r="12" spans="2:8" x14ac:dyDescent="0.2">
      <c r="B12" s="59">
        <v>3</v>
      </c>
      <c r="C12" s="59" t="s">
        <v>8068</v>
      </c>
      <c r="D12" s="59" t="s">
        <v>8069</v>
      </c>
      <c r="E12" s="59">
        <v>3</v>
      </c>
      <c r="F12" s="59">
        <v>107516847</v>
      </c>
      <c r="G12" s="79">
        <v>3.9626138768599997E-8</v>
      </c>
      <c r="H12" s="59"/>
    </row>
    <row r="13" spans="2:8" x14ac:dyDescent="0.2">
      <c r="B13" s="59">
        <v>4</v>
      </c>
      <c r="C13" s="59" t="s">
        <v>8070</v>
      </c>
      <c r="D13" s="59" t="s">
        <v>8071</v>
      </c>
      <c r="E13" s="59">
        <v>4</v>
      </c>
      <c r="F13" s="59">
        <v>46411329</v>
      </c>
      <c r="G13" s="79">
        <v>3.1066576909400003E-8</v>
      </c>
      <c r="H13" s="59"/>
    </row>
    <row r="14" spans="2:8" x14ac:dyDescent="0.2">
      <c r="B14" s="59">
        <v>5</v>
      </c>
      <c r="C14" s="59" t="s">
        <v>8072</v>
      </c>
      <c r="D14" s="59" t="s">
        <v>8073</v>
      </c>
      <c r="E14" s="59">
        <v>4</v>
      </c>
      <c r="F14" s="59">
        <v>103625183</v>
      </c>
      <c r="G14" s="79">
        <v>4.9572827111599998E-10</v>
      </c>
      <c r="H14" s="59"/>
    </row>
    <row r="15" spans="2:8" x14ac:dyDescent="0.2">
      <c r="B15" s="59">
        <v>6</v>
      </c>
      <c r="C15" s="59" t="s">
        <v>8074</v>
      </c>
      <c r="D15" s="59" t="s">
        <v>8075</v>
      </c>
      <c r="E15" s="59">
        <v>5</v>
      </c>
      <c r="F15" s="59">
        <v>87729711</v>
      </c>
      <c r="G15" s="79">
        <v>2.2492883703399999E-8</v>
      </c>
      <c r="H15" s="59"/>
    </row>
    <row r="16" spans="2:8" x14ac:dyDescent="0.2">
      <c r="B16" s="59">
        <v>6</v>
      </c>
      <c r="C16" s="59" t="s">
        <v>8076</v>
      </c>
      <c r="D16" s="59" t="s">
        <v>8077</v>
      </c>
      <c r="E16" s="59">
        <v>5</v>
      </c>
      <c r="F16" s="59">
        <v>87854395</v>
      </c>
      <c r="G16" s="79">
        <v>1.8499443358599999E-9</v>
      </c>
      <c r="H16" s="59"/>
    </row>
    <row r="17" spans="2:8" x14ac:dyDescent="0.2">
      <c r="B17" s="59">
        <v>7</v>
      </c>
      <c r="C17" s="59" t="s">
        <v>8078</v>
      </c>
      <c r="D17" s="59" t="s">
        <v>8079</v>
      </c>
      <c r="E17" s="59">
        <v>5</v>
      </c>
      <c r="F17" s="59">
        <v>104012303</v>
      </c>
      <c r="G17" s="79">
        <v>1.76132437787E-12</v>
      </c>
      <c r="H17" s="59"/>
    </row>
    <row r="18" spans="2:8" x14ac:dyDescent="0.2">
      <c r="B18" s="59">
        <v>7</v>
      </c>
      <c r="C18" s="59" t="s">
        <v>8080</v>
      </c>
      <c r="D18" s="59" t="s">
        <v>8081</v>
      </c>
      <c r="E18" s="59">
        <v>5</v>
      </c>
      <c r="F18" s="59">
        <v>104075130</v>
      </c>
      <c r="G18" s="79">
        <v>2.07732051724E-8</v>
      </c>
      <c r="H18" s="59"/>
    </row>
    <row r="19" spans="2:8" x14ac:dyDescent="0.2">
      <c r="B19" s="59">
        <v>8</v>
      </c>
      <c r="C19" s="59" t="s">
        <v>8082</v>
      </c>
      <c r="D19" s="59" t="s">
        <v>8083</v>
      </c>
      <c r="E19" s="59">
        <v>5</v>
      </c>
      <c r="F19" s="59">
        <v>107502872</v>
      </c>
      <c r="G19" s="79">
        <v>2.2339977638699999E-8</v>
      </c>
      <c r="H19" s="59"/>
    </row>
    <row r="20" spans="2:8" x14ac:dyDescent="0.2">
      <c r="B20" s="59">
        <v>9</v>
      </c>
      <c r="C20" s="59" t="s">
        <v>8084</v>
      </c>
      <c r="D20" s="59" t="s">
        <v>8085</v>
      </c>
      <c r="E20" s="59">
        <v>10</v>
      </c>
      <c r="F20" s="59">
        <v>106745104</v>
      </c>
      <c r="G20" s="79">
        <v>5.4142814278200004E-10</v>
      </c>
      <c r="H20" s="59"/>
    </row>
    <row r="21" spans="2:8" x14ac:dyDescent="0.2">
      <c r="B21" s="59">
        <v>10</v>
      </c>
      <c r="C21" s="59" t="s">
        <v>8086</v>
      </c>
      <c r="D21" s="59" t="s">
        <v>8087</v>
      </c>
      <c r="E21" s="59">
        <v>12</v>
      </c>
      <c r="F21" s="59">
        <v>89760744</v>
      </c>
      <c r="G21" s="79">
        <v>1.0701847817E-10</v>
      </c>
      <c r="H21" s="59"/>
    </row>
    <row r="22" spans="2:8" x14ac:dyDescent="0.2">
      <c r="B22" s="59">
        <v>11</v>
      </c>
      <c r="C22" s="59" t="s">
        <v>8088</v>
      </c>
      <c r="D22" s="59" t="s">
        <v>8089</v>
      </c>
      <c r="E22" s="59">
        <v>13</v>
      </c>
      <c r="F22" s="59">
        <v>78857224</v>
      </c>
      <c r="G22" s="79">
        <v>1.0096103175999999E-9</v>
      </c>
      <c r="H22" s="59"/>
    </row>
    <row r="23" spans="2:8" x14ac:dyDescent="0.2">
      <c r="B23" s="59">
        <v>12</v>
      </c>
      <c r="C23" s="59" t="s">
        <v>8090</v>
      </c>
      <c r="D23" s="59" t="s">
        <v>8091</v>
      </c>
      <c r="E23" s="59">
        <v>15</v>
      </c>
      <c r="F23" s="59">
        <v>93957898</v>
      </c>
      <c r="G23" s="79">
        <v>2.47563315975E-9</v>
      </c>
      <c r="H23" s="59"/>
    </row>
    <row r="24" spans="2:8" x14ac:dyDescent="0.2">
      <c r="B24" s="59">
        <v>13</v>
      </c>
      <c r="C24" s="59" t="s">
        <v>8092</v>
      </c>
      <c r="D24" s="59" t="s">
        <v>8093</v>
      </c>
      <c r="E24" s="59">
        <v>18</v>
      </c>
      <c r="F24" s="59">
        <v>39301598</v>
      </c>
      <c r="G24" s="79">
        <v>2.55474615853E-8</v>
      </c>
      <c r="H24" s="59"/>
    </row>
    <row r="25" spans="2:8" x14ac:dyDescent="0.2">
      <c r="B25" s="59">
        <v>14</v>
      </c>
      <c r="C25" s="59" t="s">
        <v>8094</v>
      </c>
      <c r="D25" s="59" t="s">
        <v>8095</v>
      </c>
      <c r="E25" s="59">
        <v>20</v>
      </c>
      <c r="F25" s="59">
        <v>41057825</v>
      </c>
      <c r="G25" s="79">
        <v>4.1681148909300002E-8</v>
      </c>
      <c r="H25" s="59"/>
    </row>
    <row r="26" spans="2:8" x14ac:dyDescent="0.2">
      <c r="B26" s="59"/>
      <c r="C26" s="59"/>
      <c r="D26" s="59"/>
      <c r="E26" s="59"/>
      <c r="F26" s="59"/>
      <c r="G26" s="79"/>
      <c r="H26" s="59"/>
    </row>
    <row r="27" spans="2:8" x14ac:dyDescent="0.2">
      <c r="B27" s="59"/>
      <c r="C27" s="59"/>
      <c r="D27" s="59"/>
      <c r="E27" s="59"/>
      <c r="F27" s="59"/>
      <c r="G27" s="79"/>
      <c r="H27" s="59"/>
    </row>
    <row r="28" spans="2:8" x14ac:dyDescent="0.2">
      <c r="B28" s="59"/>
      <c r="C28" s="59"/>
      <c r="D28" s="59"/>
      <c r="E28" s="59"/>
      <c r="F28" s="59"/>
      <c r="G28" s="79"/>
      <c r="H28" s="59"/>
    </row>
    <row r="29" spans="2:8" x14ac:dyDescent="0.2">
      <c r="B29" s="59"/>
      <c r="C29" s="59"/>
      <c r="D29" s="59"/>
      <c r="E29" s="59"/>
      <c r="F29" s="59"/>
      <c r="G29" s="79"/>
      <c r="H29" s="59"/>
    </row>
    <row r="30" spans="2:8" x14ac:dyDescent="0.2">
      <c r="B30" s="59"/>
      <c r="C30" s="59"/>
      <c r="D30" s="59"/>
      <c r="E30" s="59"/>
      <c r="F30" s="59"/>
      <c r="G30" s="79"/>
      <c r="H30" s="59"/>
    </row>
    <row r="31" spans="2:8" x14ac:dyDescent="0.2">
      <c r="B31" s="59"/>
      <c r="C31" s="59"/>
      <c r="D31" s="59"/>
      <c r="E31" s="59"/>
      <c r="F31" s="59"/>
      <c r="G31" s="79"/>
      <c r="H31" s="59"/>
    </row>
    <row r="32" spans="2:8" x14ac:dyDescent="0.2">
      <c r="B32" s="59"/>
      <c r="C32" s="59"/>
      <c r="D32" s="59"/>
      <c r="E32" s="59"/>
      <c r="F32" s="59"/>
      <c r="G32" s="79"/>
      <c r="H32" s="59"/>
    </row>
    <row r="33" spans="2:8" x14ac:dyDescent="0.2">
      <c r="B33" s="59"/>
      <c r="C33" s="59"/>
      <c r="D33" s="59"/>
      <c r="E33" s="59"/>
      <c r="F33" s="59"/>
      <c r="G33" s="79"/>
      <c r="H33" s="59"/>
    </row>
    <row r="34" spans="2:8" x14ac:dyDescent="0.2">
      <c r="B34" s="59"/>
      <c r="C34" s="59"/>
      <c r="D34" s="59"/>
      <c r="E34" s="59"/>
      <c r="F34" s="59"/>
      <c r="G34" s="79"/>
      <c r="H34" s="59"/>
    </row>
    <row r="35" spans="2:8" x14ac:dyDescent="0.2">
      <c r="B35" s="59"/>
      <c r="C35" s="59"/>
      <c r="D35" s="59"/>
      <c r="E35" s="59"/>
      <c r="F35" s="59"/>
      <c r="G35" s="79"/>
      <c r="H35" s="59"/>
    </row>
    <row r="36" spans="2:8" x14ac:dyDescent="0.2">
      <c r="B36" s="59"/>
      <c r="C36" s="59"/>
      <c r="D36" s="59"/>
      <c r="E36" s="59"/>
      <c r="F36" s="59"/>
      <c r="G36" s="79"/>
      <c r="H36" s="59"/>
    </row>
    <row r="37" spans="2:8" x14ac:dyDescent="0.2">
      <c r="B37" s="59"/>
      <c r="C37" s="59"/>
      <c r="D37" s="59"/>
      <c r="E37" s="59"/>
      <c r="F37" s="59"/>
      <c r="G37" s="79"/>
      <c r="H37" s="59"/>
    </row>
    <row r="38" spans="2:8" x14ac:dyDescent="0.2">
      <c r="B38" s="59"/>
      <c r="C38" s="59"/>
      <c r="D38" s="59"/>
      <c r="E38" s="59"/>
      <c r="F38" s="59"/>
      <c r="G38" s="79"/>
      <c r="H38" s="59"/>
    </row>
    <row r="39" spans="2:8" x14ac:dyDescent="0.2">
      <c r="B39" s="59"/>
      <c r="C39" s="59"/>
      <c r="D39" s="59"/>
      <c r="E39" s="59"/>
      <c r="F39" s="59"/>
      <c r="G39" s="79"/>
      <c r="H39" s="59"/>
    </row>
    <row r="40" spans="2:8" x14ac:dyDescent="0.2">
      <c r="B40" s="59"/>
      <c r="C40" s="59"/>
      <c r="D40" s="59"/>
      <c r="E40" s="59"/>
      <c r="F40" s="59"/>
      <c r="G40" s="79"/>
      <c r="H40" s="59"/>
    </row>
    <row r="41" spans="2:8" x14ac:dyDescent="0.2">
      <c r="B41" s="59"/>
      <c r="C41" s="59"/>
      <c r="D41" s="59"/>
      <c r="E41" s="59"/>
      <c r="F41" s="59"/>
      <c r="G41" s="79"/>
      <c r="H41" s="59"/>
    </row>
    <row r="42" spans="2:8" x14ac:dyDescent="0.2">
      <c r="B42" s="59"/>
      <c r="C42" s="59"/>
      <c r="D42" s="59"/>
      <c r="E42" s="59"/>
      <c r="F42" s="59"/>
      <c r="G42" s="79"/>
      <c r="H42" s="59"/>
    </row>
    <row r="43" spans="2:8" x14ac:dyDescent="0.2">
      <c r="B43" s="59"/>
      <c r="C43" s="59"/>
      <c r="D43" s="59"/>
      <c r="E43" s="59"/>
      <c r="F43" s="59"/>
      <c r="G43" s="79"/>
      <c r="H43" s="59"/>
    </row>
    <row r="44" spans="2:8" x14ac:dyDescent="0.2">
      <c r="B44" s="59"/>
      <c r="C44" s="59"/>
      <c r="D44" s="59"/>
      <c r="E44" s="59"/>
      <c r="F44" s="59"/>
      <c r="G44" s="79"/>
      <c r="H44" s="59"/>
    </row>
    <row r="45" spans="2:8" x14ac:dyDescent="0.2">
      <c r="B45" s="59"/>
      <c r="C45" s="59"/>
      <c r="D45" s="59"/>
      <c r="E45" s="59"/>
      <c r="F45" s="59"/>
      <c r="G45" s="79"/>
      <c r="H45" s="59"/>
    </row>
    <row r="46" spans="2:8" x14ac:dyDescent="0.2">
      <c r="B46" s="59"/>
      <c r="C46" s="59"/>
      <c r="D46" s="59"/>
      <c r="E46" s="59"/>
      <c r="F46" s="59"/>
      <c r="G46" s="79"/>
      <c r="H46" s="59"/>
    </row>
    <row r="47" spans="2:8" x14ac:dyDescent="0.2">
      <c r="B47" s="59"/>
      <c r="C47" s="59"/>
      <c r="D47" s="59"/>
      <c r="E47" s="59"/>
      <c r="F47" s="59"/>
      <c r="G47" s="79"/>
      <c r="H47" s="59"/>
    </row>
    <row r="48" spans="2:8" x14ac:dyDescent="0.2">
      <c r="B48" s="59"/>
      <c r="C48" s="59"/>
      <c r="D48" s="59"/>
      <c r="E48" s="59"/>
      <c r="F48" s="59"/>
      <c r="G48" s="79"/>
      <c r="H48" s="59"/>
    </row>
    <row r="49" spans="2:8" x14ac:dyDescent="0.2">
      <c r="B49" s="59"/>
      <c r="C49" s="59"/>
      <c r="D49" s="59"/>
      <c r="E49" s="59"/>
      <c r="F49" s="59"/>
      <c r="G49" s="79"/>
      <c r="H49" s="59"/>
    </row>
    <row r="50" spans="2:8" x14ac:dyDescent="0.2">
      <c r="B50" s="59"/>
      <c r="C50" s="59"/>
      <c r="D50" s="59"/>
      <c r="E50" s="59"/>
      <c r="F50" s="59"/>
      <c r="G50" s="79"/>
      <c r="H50" s="59"/>
    </row>
    <row r="51" spans="2:8" x14ac:dyDescent="0.2">
      <c r="B51" s="59"/>
      <c r="C51" s="59"/>
      <c r="D51" s="59"/>
      <c r="E51" s="59"/>
      <c r="F51" s="59"/>
      <c r="G51" s="79"/>
      <c r="H51" s="59"/>
    </row>
    <row r="52" spans="2:8" x14ac:dyDescent="0.2">
      <c r="B52" s="59"/>
      <c r="C52" s="59"/>
      <c r="D52" s="59"/>
      <c r="E52" s="59"/>
      <c r="F52" s="59"/>
      <c r="G52" s="79"/>
      <c r="H52" s="59"/>
    </row>
    <row r="53" spans="2:8" x14ac:dyDescent="0.2">
      <c r="B53" s="59"/>
      <c r="C53" s="59"/>
      <c r="D53" s="59"/>
      <c r="E53" s="59"/>
      <c r="F53" s="59"/>
      <c r="G53" s="79"/>
      <c r="H53" s="59"/>
    </row>
    <row r="54" spans="2:8" x14ac:dyDescent="0.2">
      <c r="B54" s="59"/>
      <c r="C54" s="59"/>
      <c r="D54" s="59"/>
      <c r="E54" s="59"/>
      <c r="F54" s="59"/>
      <c r="G54" s="79"/>
      <c r="H54" s="59"/>
    </row>
    <row r="55" spans="2:8" x14ac:dyDescent="0.2">
      <c r="B55" s="59"/>
      <c r="C55" s="59"/>
      <c r="D55" s="59"/>
      <c r="E55" s="59"/>
      <c r="F55" s="59"/>
      <c r="G55" s="79"/>
      <c r="H55" s="59"/>
    </row>
    <row r="56" spans="2:8" x14ac:dyDescent="0.2">
      <c r="B56" s="59"/>
      <c r="C56" s="59"/>
      <c r="D56" s="59"/>
      <c r="E56" s="59"/>
      <c r="F56" s="59"/>
      <c r="G56" s="79"/>
      <c r="H56" s="59"/>
    </row>
    <row r="57" spans="2:8" x14ac:dyDescent="0.2">
      <c r="B57" s="59"/>
      <c r="C57" s="59"/>
      <c r="D57" s="59"/>
      <c r="E57" s="59"/>
      <c r="F57" s="59"/>
      <c r="G57" s="79"/>
      <c r="H57" s="59"/>
    </row>
    <row r="58" spans="2:8" x14ac:dyDescent="0.2">
      <c r="B58" s="59"/>
      <c r="C58" s="59"/>
      <c r="D58" s="59"/>
      <c r="E58" s="59"/>
      <c r="F58" s="59"/>
      <c r="G58" s="79"/>
      <c r="H58" s="59"/>
    </row>
    <row r="59" spans="2:8" x14ac:dyDescent="0.2">
      <c r="B59" s="59"/>
      <c r="C59" s="59"/>
      <c r="D59" s="59"/>
      <c r="E59" s="59"/>
      <c r="F59" s="59"/>
      <c r="G59" s="79"/>
      <c r="H59" s="59"/>
    </row>
    <row r="60" spans="2:8" x14ac:dyDescent="0.2">
      <c r="B60" s="59"/>
      <c r="C60" s="59"/>
      <c r="D60" s="59"/>
      <c r="E60" s="59"/>
      <c r="F60" s="59"/>
      <c r="G60" s="79"/>
      <c r="H60" s="59"/>
    </row>
    <row r="61" spans="2:8" x14ac:dyDescent="0.2">
      <c r="B61" s="59"/>
      <c r="C61" s="59"/>
      <c r="D61" s="59"/>
      <c r="E61" s="59"/>
      <c r="F61" s="59"/>
      <c r="G61" s="79"/>
      <c r="H61" s="59"/>
    </row>
    <row r="62" spans="2:8" x14ac:dyDescent="0.2">
      <c r="B62" s="59"/>
      <c r="C62" s="59"/>
      <c r="D62" s="59"/>
      <c r="E62" s="59"/>
      <c r="F62" s="59"/>
      <c r="G62" s="79"/>
      <c r="H62" s="59"/>
    </row>
    <row r="63" spans="2:8" x14ac:dyDescent="0.2">
      <c r="B63" s="59"/>
      <c r="C63" s="59"/>
      <c r="D63" s="59"/>
      <c r="E63" s="59"/>
      <c r="F63" s="59"/>
      <c r="G63" s="79"/>
      <c r="H63" s="59"/>
    </row>
    <row r="64" spans="2:8" x14ac:dyDescent="0.2">
      <c r="B64" s="59"/>
      <c r="C64" s="59"/>
      <c r="D64" s="59"/>
      <c r="E64" s="59"/>
      <c r="F64" s="59"/>
      <c r="G64" s="79"/>
      <c r="H64" s="59"/>
    </row>
    <row r="65" spans="2:8" x14ac:dyDescent="0.2">
      <c r="B65" s="59"/>
      <c r="C65" s="59"/>
      <c r="D65" s="59"/>
      <c r="E65" s="59"/>
      <c r="F65" s="59"/>
      <c r="G65" s="79"/>
      <c r="H65" s="59"/>
    </row>
    <row r="66" spans="2:8" x14ac:dyDescent="0.2">
      <c r="B66" s="59"/>
      <c r="C66" s="59"/>
      <c r="D66" s="59"/>
      <c r="E66" s="59"/>
      <c r="F66" s="59"/>
      <c r="G66" s="79"/>
      <c r="H66" s="59"/>
    </row>
    <row r="67" spans="2:8" x14ac:dyDescent="0.2">
      <c r="B67" s="59"/>
      <c r="C67" s="59"/>
      <c r="D67" s="59"/>
      <c r="E67" s="59"/>
      <c r="F67" s="59"/>
      <c r="G67" s="79"/>
      <c r="H67" s="59"/>
    </row>
    <row r="68" spans="2:8" x14ac:dyDescent="0.2">
      <c r="B68" s="59"/>
      <c r="C68" s="59"/>
      <c r="D68" s="59"/>
      <c r="E68" s="59"/>
      <c r="F68" s="59"/>
      <c r="G68" s="79"/>
      <c r="H68" s="59"/>
    </row>
    <row r="69" spans="2:8" x14ac:dyDescent="0.2">
      <c r="B69" s="59"/>
      <c r="C69" s="59"/>
      <c r="D69" s="59"/>
      <c r="E69" s="59"/>
      <c r="F69" s="59"/>
      <c r="G69" s="79"/>
      <c r="H69" s="59"/>
    </row>
    <row r="70" spans="2:8" x14ac:dyDescent="0.2">
      <c r="B70" s="59"/>
      <c r="C70" s="59"/>
      <c r="D70" s="59"/>
      <c r="E70" s="59"/>
      <c r="F70" s="59"/>
      <c r="G70" s="79"/>
      <c r="H70" s="59"/>
    </row>
    <row r="71" spans="2:8" x14ac:dyDescent="0.2">
      <c r="B71" s="59"/>
      <c r="C71" s="59"/>
      <c r="D71" s="59"/>
      <c r="E71" s="59"/>
      <c r="F71" s="59"/>
      <c r="G71" s="79"/>
      <c r="H71" s="59"/>
    </row>
    <row r="72" spans="2:8" x14ac:dyDescent="0.2">
      <c r="B72" s="59"/>
      <c r="C72" s="59"/>
      <c r="D72" s="59"/>
      <c r="E72" s="59"/>
      <c r="F72" s="59"/>
      <c r="G72" s="79"/>
      <c r="H72" s="59"/>
    </row>
    <row r="73" spans="2:8" x14ac:dyDescent="0.2">
      <c r="B73" s="59"/>
      <c r="C73" s="59"/>
      <c r="D73" s="59"/>
      <c r="E73" s="59"/>
      <c r="F73" s="59"/>
      <c r="G73" s="79"/>
      <c r="H73" s="59"/>
    </row>
    <row r="74" spans="2:8" x14ac:dyDescent="0.2">
      <c r="B74" s="59"/>
      <c r="C74" s="59"/>
      <c r="D74" s="59"/>
      <c r="E74" s="59"/>
      <c r="F74" s="59"/>
      <c r="G74" s="79"/>
      <c r="H74" s="59"/>
    </row>
    <row r="75" spans="2:8" x14ac:dyDescent="0.2">
      <c r="B75" s="59"/>
      <c r="C75" s="59"/>
      <c r="D75" s="59"/>
      <c r="E75" s="59"/>
      <c r="F75" s="59"/>
      <c r="G75" s="79"/>
      <c r="H75" s="59"/>
    </row>
    <row r="76" spans="2:8" x14ac:dyDescent="0.2">
      <c r="B76" s="59"/>
      <c r="C76" s="59"/>
      <c r="D76" s="59"/>
      <c r="E76" s="59"/>
      <c r="F76" s="59"/>
      <c r="G76" s="79"/>
      <c r="H76" s="59"/>
    </row>
    <row r="77" spans="2:8" x14ac:dyDescent="0.2">
      <c r="B77" s="59"/>
      <c r="C77" s="59"/>
      <c r="D77" s="59"/>
      <c r="E77" s="59"/>
      <c r="F77" s="59"/>
      <c r="G77" s="79"/>
      <c r="H77" s="59"/>
    </row>
    <row r="78" spans="2:8" x14ac:dyDescent="0.2">
      <c r="B78" s="59"/>
      <c r="C78" s="59"/>
      <c r="D78" s="59"/>
      <c r="E78" s="59"/>
      <c r="F78" s="59"/>
      <c r="G78" s="79"/>
      <c r="H78" s="59"/>
    </row>
    <row r="79" spans="2:8" x14ac:dyDescent="0.2">
      <c r="B79" s="59"/>
      <c r="C79" s="59"/>
      <c r="D79" s="59"/>
      <c r="E79" s="59"/>
      <c r="F79" s="59"/>
      <c r="G79" s="79"/>
      <c r="H79" s="59"/>
    </row>
    <row r="80" spans="2:8" x14ac:dyDescent="0.2">
      <c r="B80" s="59"/>
      <c r="C80" s="59"/>
      <c r="D80" s="59"/>
      <c r="E80" s="59"/>
      <c r="F80" s="59"/>
      <c r="G80" s="79"/>
      <c r="H80" s="59"/>
    </row>
    <row r="81" spans="2:8" x14ac:dyDescent="0.2">
      <c r="B81" s="59"/>
      <c r="C81" s="59"/>
      <c r="D81" s="59"/>
      <c r="E81" s="59"/>
      <c r="F81" s="59"/>
      <c r="G81" s="79"/>
      <c r="H81" s="59"/>
    </row>
    <row r="82" spans="2:8" x14ac:dyDescent="0.2">
      <c r="B82" s="59"/>
      <c r="C82" s="59"/>
      <c r="D82" s="59"/>
      <c r="E82" s="59"/>
      <c r="F82" s="59"/>
      <c r="G82" s="79"/>
      <c r="H82" s="59"/>
    </row>
    <row r="83" spans="2:8" x14ac:dyDescent="0.2">
      <c r="B83" s="59"/>
      <c r="C83" s="59"/>
      <c r="D83" s="59"/>
      <c r="E83" s="59"/>
      <c r="F83" s="59"/>
      <c r="G83" s="79"/>
      <c r="H83" s="59"/>
    </row>
    <row r="84" spans="2:8" x14ac:dyDescent="0.2">
      <c r="B84" s="59"/>
      <c r="C84" s="59"/>
      <c r="D84" s="59"/>
      <c r="E84" s="59"/>
      <c r="F84" s="59"/>
      <c r="G84" s="79"/>
      <c r="H84" s="59"/>
    </row>
    <row r="85" spans="2:8" x14ac:dyDescent="0.2">
      <c r="B85" s="59"/>
      <c r="C85" s="59"/>
      <c r="D85" s="59"/>
      <c r="E85" s="59"/>
      <c r="F85" s="59"/>
      <c r="G85" s="79"/>
      <c r="H85" s="59"/>
    </row>
    <row r="86" spans="2:8" x14ac:dyDescent="0.2">
      <c r="B86" s="59"/>
      <c r="C86" s="59"/>
      <c r="D86" s="59"/>
      <c r="E86" s="59"/>
      <c r="F86" s="59"/>
      <c r="G86" s="79"/>
      <c r="H86" s="59"/>
    </row>
    <row r="87" spans="2:8" x14ac:dyDescent="0.2">
      <c r="B87" s="59"/>
      <c r="C87" s="59"/>
      <c r="D87" s="59"/>
      <c r="E87" s="59"/>
      <c r="F87" s="59"/>
      <c r="G87" s="79"/>
      <c r="H87" s="59"/>
    </row>
    <row r="88" spans="2:8" x14ac:dyDescent="0.2">
      <c r="B88" s="59"/>
      <c r="C88" s="59"/>
      <c r="D88" s="59"/>
      <c r="E88" s="59"/>
      <c r="F88" s="59"/>
      <c r="G88" s="79"/>
      <c r="H88" s="59"/>
    </row>
    <row r="89" spans="2:8" x14ac:dyDescent="0.2">
      <c r="B89" s="59"/>
      <c r="C89" s="59"/>
      <c r="D89" s="59"/>
      <c r="E89" s="59"/>
      <c r="F89" s="59"/>
      <c r="G89" s="79"/>
      <c r="H89" s="59"/>
    </row>
    <row r="90" spans="2:8" x14ac:dyDescent="0.2">
      <c r="B90" s="59"/>
      <c r="C90" s="59"/>
      <c r="D90" s="59"/>
      <c r="E90" s="59"/>
      <c r="F90" s="59"/>
      <c r="G90" s="79"/>
      <c r="H90" s="59"/>
    </row>
    <row r="91" spans="2:8" x14ac:dyDescent="0.2">
      <c r="B91" s="59"/>
      <c r="C91" s="59"/>
      <c r="D91" s="59"/>
      <c r="E91" s="59"/>
      <c r="F91" s="59"/>
      <c r="G91" s="79"/>
      <c r="H91" s="59"/>
    </row>
    <row r="92" spans="2:8" x14ac:dyDescent="0.2">
      <c r="B92" s="59"/>
      <c r="C92" s="59"/>
      <c r="D92" s="59"/>
      <c r="E92" s="59"/>
      <c r="F92" s="59"/>
      <c r="G92" s="79"/>
      <c r="H92" s="59"/>
    </row>
    <row r="93" spans="2:8" x14ac:dyDescent="0.2">
      <c r="B93" s="59"/>
      <c r="C93" s="59"/>
      <c r="D93" s="59"/>
      <c r="E93" s="59"/>
      <c r="F93" s="59"/>
      <c r="G93" s="79"/>
      <c r="H93" s="59"/>
    </row>
    <row r="94" spans="2:8" x14ac:dyDescent="0.2">
      <c r="B94" s="59"/>
      <c r="C94" s="59"/>
      <c r="D94" s="59"/>
      <c r="E94" s="59"/>
      <c r="F94" s="59"/>
      <c r="G94" s="79"/>
      <c r="H94" s="59"/>
    </row>
    <row r="95" spans="2:8" x14ac:dyDescent="0.2">
      <c r="B95" s="59"/>
      <c r="C95" s="59"/>
      <c r="D95" s="59"/>
      <c r="E95" s="59"/>
      <c r="F95" s="59"/>
      <c r="G95" s="79"/>
      <c r="H95" s="59"/>
    </row>
    <row r="96" spans="2:8" x14ac:dyDescent="0.2">
      <c r="B96" s="59"/>
      <c r="C96" s="59"/>
      <c r="D96" s="59"/>
      <c r="E96" s="59"/>
      <c r="F96" s="59"/>
      <c r="G96" s="79"/>
      <c r="H96" s="59"/>
    </row>
    <row r="97" spans="2:8" x14ac:dyDescent="0.2">
      <c r="B97" s="59"/>
      <c r="C97" s="59"/>
      <c r="D97" s="59"/>
      <c r="E97" s="59"/>
      <c r="F97" s="59"/>
      <c r="G97" s="79"/>
      <c r="H97" s="59"/>
    </row>
    <row r="98" spans="2:8" x14ac:dyDescent="0.2">
      <c r="B98" s="59"/>
      <c r="C98" s="59"/>
      <c r="D98" s="59"/>
      <c r="E98" s="59"/>
      <c r="F98" s="59"/>
      <c r="G98" s="79"/>
      <c r="H98" s="59"/>
    </row>
    <row r="99" spans="2:8" x14ac:dyDescent="0.2">
      <c r="B99" s="59"/>
      <c r="C99" s="59"/>
      <c r="D99" s="59"/>
      <c r="E99" s="59"/>
      <c r="F99" s="59"/>
      <c r="G99" s="79"/>
      <c r="H99" s="59"/>
    </row>
    <row r="100" spans="2:8" x14ac:dyDescent="0.2">
      <c r="B100" s="59"/>
      <c r="C100" s="59"/>
      <c r="D100" s="59"/>
      <c r="E100" s="59"/>
      <c r="F100" s="59"/>
      <c r="G100" s="79"/>
      <c r="H100" s="59"/>
    </row>
    <row r="101" spans="2:8" x14ac:dyDescent="0.2">
      <c r="B101" s="59"/>
      <c r="C101" s="59"/>
      <c r="D101" s="59"/>
      <c r="E101" s="59"/>
      <c r="F101" s="59"/>
      <c r="G101" s="79"/>
      <c r="H101" s="59"/>
    </row>
    <row r="102" spans="2:8" x14ac:dyDescent="0.2">
      <c r="B102" s="59"/>
      <c r="C102" s="59"/>
      <c r="D102" s="59"/>
      <c r="E102" s="59"/>
      <c r="F102" s="59"/>
      <c r="G102" s="79"/>
      <c r="H102" s="59"/>
    </row>
    <row r="103" spans="2:8" x14ac:dyDescent="0.2">
      <c r="B103" s="59"/>
      <c r="C103" s="59"/>
      <c r="D103" s="59"/>
      <c r="E103" s="59"/>
      <c r="F103" s="59"/>
      <c r="G103" s="79"/>
      <c r="H103" s="59"/>
    </row>
    <row r="104" spans="2:8" x14ac:dyDescent="0.2">
      <c r="B104" s="59"/>
      <c r="C104" s="59"/>
      <c r="D104" s="59"/>
      <c r="E104" s="59"/>
      <c r="F104" s="59"/>
      <c r="G104" s="79"/>
      <c r="H104" s="59"/>
    </row>
    <row r="105" spans="2:8" x14ac:dyDescent="0.2">
      <c r="B105" s="59"/>
      <c r="C105" s="59"/>
      <c r="D105" s="59"/>
      <c r="E105" s="59"/>
      <c r="F105" s="59"/>
      <c r="G105" s="79"/>
      <c r="H105" s="59"/>
    </row>
    <row r="106" spans="2:8" x14ac:dyDescent="0.2">
      <c r="B106" s="59"/>
      <c r="C106" s="59"/>
      <c r="D106" s="59"/>
      <c r="E106" s="59"/>
      <c r="F106" s="59"/>
      <c r="G106" s="79"/>
      <c r="H106" s="59"/>
    </row>
    <row r="107" spans="2:8" x14ac:dyDescent="0.2">
      <c r="B107" s="59"/>
      <c r="C107" s="59"/>
      <c r="D107" s="59"/>
      <c r="E107" s="59"/>
      <c r="F107" s="59"/>
      <c r="G107" s="79"/>
      <c r="H107" s="59"/>
    </row>
    <row r="108" spans="2:8" x14ac:dyDescent="0.2">
      <c r="B108" s="59"/>
      <c r="C108" s="59"/>
      <c r="D108" s="59"/>
      <c r="E108" s="59"/>
      <c r="F108" s="59"/>
      <c r="G108" s="79"/>
      <c r="H108" s="59"/>
    </row>
    <row r="109" spans="2:8" x14ac:dyDescent="0.2">
      <c r="B109" s="59"/>
      <c r="C109" s="59"/>
      <c r="D109" s="59"/>
      <c r="E109" s="59"/>
      <c r="F109" s="59"/>
      <c r="G109" s="79"/>
      <c r="H109" s="59"/>
    </row>
    <row r="110" spans="2:8" x14ac:dyDescent="0.2">
      <c r="B110" s="59"/>
      <c r="C110" s="59"/>
      <c r="D110" s="59"/>
      <c r="E110" s="59"/>
      <c r="F110" s="59"/>
      <c r="G110" s="79"/>
      <c r="H110" s="59"/>
    </row>
    <row r="111" spans="2:8" x14ac:dyDescent="0.2">
      <c r="B111" s="59"/>
      <c r="C111" s="59"/>
      <c r="D111" s="59"/>
      <c r="E111" s="59"/>
      <c r="F111" s="59"/>
      <c r="G111" s="79"/>
      <c r="H111" s="59"/>
    </row>
    <row r="112" spans="2:8" x14ac:dyDescent="0.2">
      <c r="B112" s="59"/>
      <c r="C112" s="59"/>
      <c r="D112" s="59"/>
      <c r="E112" s="59"/>
      <c r="F112" s="59"/>
      <c r="G112" s="79"/>
      <c r="H112" s="59"/>
    </row>
    <row r="113" spans="2:8" x14ac:dyDescent="0.2">
      <c r="B113" s="59"/>
      <c r="C113" s="59"/>
      <c r="D113" s="59"/>
      <c r="E113" s="59"/>
      <c r="F113" s="59"/>
      <c r="G113" s="79"/>
      <c r="H113" s="59"/>
    </row>
    <row r="114" spans="2:8" x14ac:dyDescent="0.2">
      <c r="B114" s="59"/>
      <c r="C114" s="59"/>
      <c r="D114" s="59"/>
      <c r="E114" s="59"/>
      <c r="F114" s="59"/>
      <c r="G114" s="79"/>
      <c r="H114" s="59"/>
    </row>
    <row r="115" spans="2:8" x14ac:dyDescent="0.2">
      <c r="B115" s="59"/>
      <c r="C115" s="59"/>
      <c r="D115" s="59"/>
      <c r="E115" s="59"/>
      <c r="F115" s="59"/>
      <c r="G115" s="79"/>
      <c r="H115" s="59"/>
    </row>
    <row r="116" spans="2:8" x14ac:dyDescent="0.2">
      <c r="B116" s="59"/>
      <c r="C116" s="59"/>
      <c r="D116" s="59"/>
      <c r="E116" s="59"/>
      <c r="F116" s="59"/>
      <c r="G116" s="79"/>
      <c r="H116" s="59"/>
    </row>
    <row r="117" spans="2:8" x14ac:dyDescent="0.2">
      <c r="B117" s="59"/>
      <c r="C117" s="59"/>
      <c r="D117" s="59"/>
      <c r="E117" s="59"/>
      <c r="F117" s="59"/>
      <c r="G117" s="79"/>
      <c r="H117" s="59"/>
    </row>
    <row r="118" spans="2:8" x14ac:dyDescent="0.2">
      <c r="B118" s="59"/>
      <c r="C118" s="59"/>
      <c r="D118" s="59"/>
      <c r="E118" s="59"/>
      <c r="F118" s="59"/>
      <c r="G118" s="79"/>
      <c r="H118" s="59"/>
    </row>
    <row r="119" spans="2:8" x14ac:dyDescent="0.2">
      <c r="B119" s="59"/>
      <c r="C119" s="59"/>
      <c r="D119" s="59"/>
      <c r="E119" s="59"/>
      <c r="F119" s="59"/>
      <c r="G119" s="79"/>
      <c r="H119" s="59"/>
    </row>
    <row r="120" spans="2:8" x14ac:dyDescent="0.2">
      <c r="B120" s="59"/>
      <c r="C120" s="59"/>
      <c r="D120" s="59"/>
      <c r="E120" s="59"/>
      <c r="F120" s="59"/>
      <c r="G120" s="79"/>
      <c r="H120" s="59"/>
    </row>
    <row r="121" spans="2:8" x14ac:dyDescent="0.2">
      <c r="B121" s="59"/>
      <c r="C121" s="59"/>
      <c r="D121" s="59"/>
      <c r="E121" s="59"/>
      <c r="F121" s="59"/>
      <c r="G121" s="79"/>
      <c r="H121" s="59"/>
    </row>
    <row r="122" spans="2:8" x14ac:dyDescent="0.2">
      <c r="B122" s="59"/>
      <c r="C122" s="59"/>
      <c r="D122" s="59"/>
      <c r="E122" s="59"/>
      <c r="F122" s="59"/>
      <c r="G122" s="79"/>
      <c r="H122" s="59"/>
    </row>
    <row r="123" spans="2:8" x14ac:dyDescent="0.2">
      <c r="B123" s="59"/>
      <c r="C123" s="59"/>
      <c r="D123" s="59"/>
      <c r="E123" s="59"/>
      <c r="F123" s="59"/>
      <c r="G123" s="79"/>
      <c r="H123" s="59"/>
    </row>
    <row r="124" spans="2:8" x14ac:dyDescent="0.2">
      <c r="B124" s="59"/>
      <c r="C124" s="59"/>
      <c r="D124" s="59"/>
      <c r="E124" s="59"/>
      <c r="F124" s="59"/>
      <c r="G124" s="79"/>
      <c r="H124" s="59"/>
    </row>
    <row r="125" spans="2:8" x14ac:dyDescent="0.2">
      <c r="B125" s="59"/>
      <c r="C125" s="59"/>
      <c r="D125" s="59"/>
      <c r="E125" s="59"/>
      <c r="F125" s="59"/>
      <c r="G125" s="79"/>
      <c r="H125" s="59"/>
    </row>
    <row r="126" spans="2:8" x14ac:dyDescent="0.2">
      <c r="B126" s="59"/>
      <c r="C126" s="59"/>
      <c r="D126" s="59"/>
      <c r="E126" s="59"/>
      <c r="F126" s="59"/>
      <c r="G126" s="79"/>
      <c r="H126" s="59"/>
    </row>
    <row r="127" spans="2:8" x14ac:dyDescent="0.2">
      <c r="B127" s="59"/>
      <c r="C127" s="59"/>
      <c r="D127" s="59"/>
      <c r="E127" s="59"/>
      <c r="F127" s="59"/>
      <c r="G127" s="79"/>
      <c r="H127" s="59"/>
    </row>
    <row r="128" spans="2:8" x14ac:dyDescent="0.2">
      <c r="B128" s="59"/>
      <c r="C128" s="59"/>
      <c r="D128" s="59"/>
      <c r="E128" s="59"/>
      <c r="F128" s="59"/>
      <c r="G128" s="79"/>
      <c r="H128" s="59"/>
    </row>
    <row r="129" spans="2:8" x14ac:dyDescent="0.2">
      <c r="B129" s="59"/>
      <c r="C129" s="59"/>
      <c r="D129" s="59"/>
      <c r="E129" s="59"/>
      <c r="F129" s="59"/>
      <c r="G129" s="79"/>
      <c r="H129" s="59"/>
    </row>
    <row r="130" spans="2:8" x14ac:dyDescent="0.2">
      <c r="B130" s="59"/>
      <c r="C130" s="59"/>
      <c r="D130" s="59"/>
      <c r="E130" s="59"/>
      <c r="F130" s="59"/>
      <c r="G130" s="79"/>
      <c r="H130" s="59"/>
    </row>
    <row r="131" spans="2:8" x14ac:dyDescent="0.2">
      <c r="B131" s="59"/>
      <c r="C131" s="59"/>
      <c r="D131" s="59"/>
      <c r="E131" s="59"/>
      <c r="F131" s="59"/>
      <c r="G131" s="79"/>
      <c r="H131" s="59"/>
    </row>
    <row r="132" spans="2:8" x14ac:dyDescent="0.2">
      <c r="B132" s="59"/>
      <c r="C132" s="59"/>
      <c r="D132" s="59"/>
      <c r="E132" s="59"/>
      <c r="F132" s="59"/>
      <c r="G132" s="79"/>
      <c r="H132" s="59"/>
    </row>
    <row r="133" spans="2:8" x14ac:dyDescent="0.2">
      <c r="B133" s="59"/>
      <c r="C133" s="59"/>
      <c r="D133" s="59"/>
      <c r="E133" s="59"/>
      <c r="F133" s="59"/>
      <c r="G133" s="79"/>
      <c r="H133" s="59"/>
    </row>
    <row r="134" spans="2:8" x14ac:dyDescent="0.2">
      <c r="B134" s="59"/>
      <c r="C134" s="59"/>
      <c r="D134" s="59"/>
      <c r="E134" s="59"/>
      <c r="F134" s="59"/>
      <c r="G134" s="79"/>
      <c r="H134" s="59"/>
    </row>
    <row r="135" spans="2:8" x14ac:dyDescent="0.2">
      <c r="B135" s="59"/>
      <c r="C135" s="59"/>
      <c r="D135" s="59"/>
      <c r="E135" s="59"/>
      <c r="F135" s="59"/>
      <c r="G135" s="79"/>
      <c r="H135" s="59"/>
    </row>
    <row r="136" spans="2:8" x14ac:dyDescent="0.2">
      <c r="B136" s="59"/>
      <c r="C136" s="59"/>
      <c r="D136" s="59"/>
      <c r="E136" s="59"/>
      <c r="F136" s="59"/>
      <c r="G136" s="79"/>
      <c r="H136" s="59"/>
    </row>
    <row r="137" spans="2:8" x14ac:dyDescent="0.2">
      <c r="B137" s="59"/>
      <c r="C137" s="59"/>
      <c r="D137" s="59"/>
      <c r="E137" s="59"/>
      <c r="F137" s="59"/>
      <c r="G137" s="79"/>
      <c r="H137" s="59"/>
    </row>
    <row r="138" spans="2:8" x14ac:dyDescent="0.2">
      <c r="B138" s="59"/>
      <c r="C138" s="59"/>
      <c r="D138" s="59"/>
      <c r="E138" s="59"/>
      <c r="F138" s="59"/>
      <c r="G138" s="79"/>
      <c r="H138" s="59"/>
    </row>
    <row r="139" spans="2:8" x14ac:dyDescent="0.2">
      <c r="B139" s="59"/>
      <c r="C139" s="59"/>
      <c r="D139" s="59"/>
      <c r="E139" s="59"/>
      <c r="F139" s="59"/>
      <c r="G139" s="79"/>
      <c r="H139" s="59"/>
    </row>
    <row r="140" spans="2:8" x14ac:dyDescent="0.2">
      <c r="B140" s="59"/>
      <c r="C140" s="59"/>
      <c r="D140" s="59"/>
      <c r="E140" s="59"/>
      <c r="F140" s="59"/>
      <c r="G140" s="79"/>
      <c r="H140" s="59"/>
    </row>
    <row r="141" spans="2:8" x14ac:dyDescent="0.2">
      <c r="B141" s="59"/>
      <c r="C141" s="59"/>
      <c r="D141" s="59"/>
      <c r="E141" s="59"/>
      <c r="F141" s="59"/>
      <c r="G141" s="79"/>
      <c r="H141" s="59"/>
    </row>
    <row r="142" spans="2:8" x14ac:dyDescent="0.2">
      <c r="B142" s="59"/>
      <c r="C142" s="59"/>
      <c r="D142" s="59"/>
      <c r="E142" s="59"/>
      <c r="F142" s="59"/>
      <c r="G142" s="79"/>
      <c r="H142" s="59"/>
    </row>
    <row r="143" spans="2:8" x14ac:dyDescent="0.2">
      <c r="B143" s="59"/>
      <c r="C143" s="59"/>
      <c r="D143" s="59"/>
      <c r="E143" s="59"/>
      <c r="F143" s="59"/>
      <c r="G143" s="79"/>
      <c r="H143" s="59"/>
    </row>
    <row r="144" spans="2:8" x14ac:dyDescent="0.2">
      <c r="B144" s="59"/>
      <c r="C144" s="59"/>
      <c r="D144" s="59"/>
      <c r="E144" s="59"/>
      <c r="F144" s="59"/>
      <c r="G144" s="79"/>
      <c r="H144" s="59"/>
    </row>
    <row r="145" spans="2:8" x14ac:dyDescent="0.2">
      <c r="B145" s="59"/>
      <c r="C145" s="59"/>
      <c r="D145" s="59"/>
      <c r="E145" s="59"/>
      <c r="F145" s="59"/>
      <c r="G145" s="79"/>
      <c r="H145" s="59"/>
    </row>
    <row r="146" spans="2:8" x14ac:dyDescent="0.2">
      <c r="B146" s="59"/>
      <c r="C146" s="59"/>
      <c r="D146" s="59"/>
      <c r="E146" s="59"/>
      <c r="F146" s="59"/>
      <c r="G146" s="79"/>
      <c r="H146" s="59"/>
    </row>
    <row r="147" spans="2:8" x14ac:dyDescent="0.2">
      <c r="B147" s="59"/>
      <c r="C147" s="59"/>
      <c r="D147" s="59"/>
      <c r="E147" s="59"/>
      <c r="F147" s="59"/>
      <c r="G147" s="79"/>
      <c r="H147" s="59"/>
    </row>
    <row r="148" spans="2:8" x14ac:dyDescent="0.2">
      <c r="B148" s="59"/>
      <c r="C148" s="59"/>
      <c r="D148" s="59"/>
      <c r="E148" s="59"/>
      <c r="F148" s="59"/>
      <c r="G148" s="79"/>
      <c r="H148" s="59"/>
    </row>
    <row r="149" spans="2:8" x14ac:dyDescent="0.2">
      <c r="B149" s="59"/>
      <c r="C149" s="59"/>
      <c r="D149" s="59"/>
      <c r="E149" s="59"/>
      <c r="F149" s="59"/>
      <c r="G149" s="79"/>
      <c r="H149" s="59"/>
    </row>
    <row r="150" spans="2:8" x14ac:dyDescent="0.2">
      <c r="B150" s="59"/>
      <c r="C150" s="59"/>
      <c r="D150" s="59"/>
      <c r="E150" s="59"/>
      <c r="F150" s="59"/>
      <c r="G150" s="79"/>
      <c r="H150" s="59"/>
    </row>
    <row r="151" spans="2:8" x14ac:dyDescent="0.2">
      <c r="B151" s="59"/>
      <c r="C151" s="59"/>
      <c r="D151" s="59"/>
      <c r="E151" s="59"/>
      <c r="F151" s="59"/>
      <c r="G151" s="79"/>
      <c r="H151" s="59"/>
    </row>
    <row r="152" spans="2:8" x14ac:dyDescent="0.2">
      <c r="B152" s="59"/>
      <c r="C152" s="59"/>
      <c r="D152" s="59"/>
      <c r="E152" s="59"/>
      <c r="F152" s="59"/>
      <c r="G152" s="79"/>
      <c r="H152" s="59"/>
    </row>
    <row r="153" spans="2:8" x14ac:dyDescent="0.2">
      <c r="B153" s="59"/>
      <c r="C153" s="59"/>
      <c r="D153" s="59"/>
      <c r="E153" s="59"/>
      <c r="F153" s="59"/>
      <c r="G153" s="79"/>
      <c r="H153" s="59"/>
    </row>
    <row r="154" spans="2:8" x14ac:dyDescent="0.2">
      <c r="B154" s="59"/>
      <c r="C154" s="59"/>
      <c r="D154" s="59"/>
      <c r="E154" s="59"/>
      <c r="F154" s="59"/>
      <c r="G154" s="79"/>
      <c r="H154" s="59"/>
    </row>
    <row r="155" spans="2:8" x14ac:dyDescent="0.2">
      <c r="B155" s="59"/>
      <c r="C155" s="59"/>
      <c r="D155" s="59"/>
      <c r="E155" s="59"/>
      <c r="F155" s="59"/>
      <c r="G155" s="79"/>
      <c r="H155" s="59"/>
    </row>
    <row r="156" spans="2:8" x14ac:dyDescent="0.2">
      <c r="B156" s="59"/>
      <c r="C156" s="59"/>
      <c r="D156" s="59"/>
      <c r="E156" s="59"/>
      <c r="F156" s="59"/>
      <c r="G156" s="79"/>
      <c r="H156" s="59"/>
    </row>
    <row r="157" spans="2:8" x14ac:dyDescent="0.2">
      <c r="B157" s="59"/>
      <c r="C157" s="59"/>
      <c r="D157" s="59"/>
      <c r="E157" s="59"/>
      <c r="F157" s="59"/>
      <c r="G157" s="79"/>
      <c r="H157" s="59"/>
    </row>
    <row r="158" spans="2:8" x14ac:dyDescent="0.2">
      <c r="B158" s="59"/>
      <c r="C158" s="59"/>
      <c r="D158" s="59"/>
      <c r="E158" s="59"/>
      <c r="F158" s="59"/>
      <c r="G158" s="79"/>
      <c r="H158" s="59"/>
    </row>
    <row r="159" spans="2:8" x14ac:dyDescent="0.2">
      <c r="B159" s="59"/>
      <c r="C159" s="59"/>
      <c r="D159" s="59"/>
      <c r="E159" s="59"/>
      <c r="F159" s="59"/>
      <c r="G159" s="79"/>
      <c r="H159" s="59"/>
    </row>
    <row r="160" spans="2:8" x14ac:dyDescent="0.2">
      <c r="B160" s="59"/>
      <c r="C160" s="59"/>
      <c r="D160" s="59"/>
      <c r="E160" s="59"/>
      <c r="F160" s="59"/>
      <c r="G160" s="79"/>
      <c r="H160" s="59"/>
    </row>
    <row r="161" spans="2:8" x14ac:dyDescent="0.2">
      <c r="B161" s="59"/>
      <c r="C161" s="59"/>
      <c r="D161" s="59"/>
      <c r="E161" s="59"/>
      <c r="F161" s="59"/>
      <c r="G161" s="79"/>
      <c r="H161" s="59"/>
    </row>
    <row r="162" spans="2:8" x14ac:dyDescent="0.2">
      <c r="B162" s="59"/>
      <c r="C162" s="59"/>
      <c r="D162" s="59"/>
      <c r="E162" s="59"/>
      <c r="F162" s="59"/>
      <c r="G162" s="79"/>
      <c r="H162" s="59"/>
    </row>
    <row r="163" spans="2:8" x14ac:dyDescent="0.2">
      <c r="B163" s="59"/>
      <c r="C163" s="59"/>
      <c r="D163" s="59"/>
      <c r="E163" s="59"/>
      <c r="F163" s="59"/>
      <c r="G163" s="79"/>
      <c r="H163" s="59"/>
    </row>
    <row r="164" spans="2:8" x14ac:dyDescent="0.2">
      <c r="B164" s="59"/>
      <c r="C164" s="59"/>
      <c r="D164" s="59"/>
      <c r="E164" s="59"/>
      <c r="F164" s="59"/>
      <c r="G164" s="79"/>
      <c r="H164" s="59"/>
    </row>
    <row r="165" spans="2:8" x14ac:dyDescent="0.2">
      <c r="B165" s="59"/>
      <c r="C165" s="59"/>
      <c r="D165" s="59"/>
      <c r="E165" s="59"/>
      <c r="F165" s="59"/>
      <c r="G165" s="79"/>
      <c r="H165" s="59"/>
    </row>
    <row r="166" spans="2:8" x14ac:dyDescent="0.2">
      <c r="B166" s="59"/>
      <c r="C166" s="59"/>
      <c r="D166" s="59"/>
      <c r="E166" s="59"/>
      <c r="F166" s="59"/>
      <c r="G166" s="79"/>
      <c r="H166" s="59"/>
    </row>
    <row r="167" spans="2:8" x14ac:dyDescent="0.2">
      <c r="B167" s="59"/>
      <c r="C167" s="59"/>
      <c r="D167" s="59"/>
      <c r="E167" s="59"/>
      <c r="F167" s="59"/>
      <c r="G167" s="79"/>
      <c r="H167" s="59"/>
    </row>
    <row r="168" spans="2:8" x14ac:dyDescent="0.2">
      <c r="B168" s="59"/>
      <c r="C168" s="59"/>
      <c r="D168" s="59"/>
      <c r="E168" s="59"/>
      <c r="F168" s="59"/>
      <c r="G168" s="79"/>
      <c r="H168" s="59"/>
    </row>
    <row r="169" spans="2:8" x14ac:dyDescent="0.2">
      <c r="B169" s="59"/>
      <c r="C169" s="59"/>
      <c r="D169" s="59"/>
      <c r="E169" s="59"/>
      <c r="F169" s="59"/>
      <c r="G169" s="79"/>
      <c r="H169" s="59"/>
    </row>
    <row r="170" spans="2:8" x14ac:dyDescent="0.2">
      <c r="B170" s="59"/>
      <c r="C170" s="59"/>
      <c r="D170" s="59"/>
      <c r="E170" s="59"/>
      <c r="F170" s="59"/>
      <c r="G170" s="79"/>
      <c r="H170" s="59"/>
    </row>
    <row r="171" spans="2:8" x14ac:dyDescent="0.2">
      <c r="B171" s="59"/>
      <c r="C171" s="59"/>
      <c r="D171" s="59"/>
      <c r="E171" s="59"/>
      <c r="F171" s="59"/>
      <c r="G171" s="79"/>
      <c r="H171" s="59"/>
    </row>
    <row r="172" spans="2:8" x14ac:dyDescent="0.2">
      <c r="B172" s="59"/>
      <c r="C172" s="59"/>
      <c r="D172" s="59"/>
      <c r="E172" s="59"/>
      <c r="F172" s="59"/>
      <c r="G172" s="79"/>
      <c r="H172" s="59"/>
    </row>
    <row r="173" spans="2:8" x14ac:dyDescent="0.2">
      <c r="B173" s="59"/>
      <c r="C173" s="59"/>
      <c r="D173" s="59"/>
      <c r="E173" s="59"/>
      <c r="F173" s="59"/>
      <c r="G173" s="79"/>
      <c r="H173" s="59"/>
    </row>
    <row r="174" spans="2:8" x14ac:dyDescent="0.2">
      <c r="B174" s="59"/>
      <c r="C174" s="59"/>
      <c r="D174" s="59"/>
      <c r="E174" s="59"/>
      <c r="F174" s="59"/>
      <c r="G174" s="79"/>
      <c r="H174" s="59"/>
    </row>
    <row r="175" spans="2:8" x14ac:dyDescent="0.2">
      <c r="B175" s="59"/>
      <c r="C175" s="59"/>
      <c r="D175" s="59"/>
      <c r="E175" s="59"/>
      <c r="F175" s="59"/>
      <c r="G175" s="79"/>
      <c r="H175" s="59"/>
    </row>
    <row r="176" spans="2:8" x14ac:dyDescent="0.2">
      <c r="B176" s="59"/>
      <c r="C176" s="59"/>
      <c r="D176" s="59"/>
      <c r="E176" s="59"/>
      <c r="F176" s="59"/>
      <c r="G176" s="79"/>
      <c r="H176" s="59"/>
    </row>
    <row r="177" spans="2:8" x14ac:dyDescent="0.2">
      <c r="B177" s="59"/>
      <c r="C177" s="59"/>
      <c r="D177" s="59"/>
      <c r="E177" s="59"/>
      <c r="F177" s="59"/>
      <c r="G177" s="79"/>
      <c r="H177" s="59"/>
    </row>
    <row r="178" spans="2:8" x14ac:dyDescent="0.2">
      <c r="B178" s="59"/>
      <c r="C178" s="59"/>
      <c r="D178" s="59"/>
      <c r="E178" s="59"/>
      <c r="F178" s="59"/>
      <c r="G178" s="79"/>
      <c r="H178" s="59"/>
    </row>
    <row r="179" spans="2:8" x14ac:dyDescent="0.2">
      <c r="B179" s="59"/>
      <c r="C179" s="59"/>
      <c r="D179" s="59"/>
      <c r="E179" s="59"/>
      <c r="F179" s="59"/>
      <c r="G179" s="79"/>
      <c r="H179" s="59"/>
    </row>
    <row r="180" spans="2:8" x14ac:dyDescent="0.2">
      <c r="B180" s="59"/>
      <c r="C180" s="59"/>
      <c r="D180" s="59"/>
      <c r="E180" s="59"/>
      <c r="F180" s="59"/>
      <c r="G180" s="79"/>
      <c r="H180" s="59"/>
    </row>
    <row r="181" spans="2:8" x14ac:dyDescent="0.2">
      <c r="B181" s="59"/>
      <c r="C181" s="59"/>
      <c r="D181" s="59"/>
      <c r="E181" s="59"/>
      <c r="F181" s="59"/>
      <c r="G181" s="79"/>
      <c r="H181" s="59"/>
    </row>
    <row r="182" spans="2:8" x14ac:dyDescent="0.2">
      <c r="B182" s="59"/>
      <c r="C182" s="59"/>
      <c r="D182" s="59"/>
      <c r="E182" s="59"/>
      <c r="F182" s="59"/>
      <c r="G182" s="79"/>
      <c r="H182" s="59"/>
    </row>
    <row r="183" spans="2:8" x14ac:dyDescent="0.2">
      <c r="B183" s="59"/>
      <c r="C183" s="59"/>
      <c r="D183" s="59"/>
      <c r="E183" s="59"/>
      <c r="F183" s="59"/>
      <c r="G183" s="79"/>
      <c r="H183" s="59"/>
    </row>
    <row r="184" spans="2:8" x14ac:dyDescent="0.2">
      <c r="B184" s="59"/>
      <c r="C184" s="59"/>
      <c r="D184" s="59"/>
      <c r="E184" s="59"/>
      <c r="F184" s="59"/>
      <c r="G184" s="79"/>
      <c r="H184" s="59"/>
    </row>
    <row r="185" spans="2:8" x14ac:dyDescent="0.2">
      <c r="B185" s="59"/>
      <c r="C185" s="59"/>
      <c r="D185" s="59"/>
      <c r="E185" s="59"/>
      <c r="F185" s="59"/>
      <c r="G185" s="79"/>
      <c r="H185" s="59"/>
    </row>
    <row r="186" spans="2:8" x14ac:dyDescent="0.2">
      <c r="B186" s="59"/>
      <c r="C186" s="59"/>
      <c r="D186" s="59"/>
      <c r="E186" s="59"/>
      <c r="F186" s="59"/>
      <c r="G186" s="79"/>
      <c r="H186" s="59"/>
    </row>
    <row r="187" spans="2:8" x14ac:dyDescent="0.2">
      <c r="B187" s="59"/>
      <c r="C187" s="59"/>
      <c r="D187" s="59"/>
      <c r="E187" s="59"/>
      <c r="F187" s="59"/>
      <c r="G187" s="79"/>
      <c r="H187" s="59"/>
    </row>
    <row r="188" spans="2:8" x14ac:dyDescent="0.2">
      <c r="B188" s="59"/>
      <c r="C188" s="59"/>
      <c r="D188" s="59"/>
      <c r="E188" s="59"/>
      <c r="F188" s="59"/>
      <c r="G188" s="79"/>
      <c r="H188" s="59"/>
    </row>
    <row r="189" spans="2:8" x14ac:dyDescent="0.2">
      <c r="B189" s="59"/>
      <c r="C189" s="59"/>
      <c r="D189" s="59"/>
      <c r="E189" s="59"/>
      <c r="F189" s="59"/>
      <c r="G189" s="79"/>
      <c r="H189" s="59"/>
    </row>
    <row r="190" spans="2:8" x14ac:dyDescent="0.2">
      <c r="B190" s="59"/>
      <c r="C190" s="59"/>
      <c r="D190" s="59"/>
      <c r="E190" s="59"/>
      <c r="F190" s="59"/>
      <c r="G190" s="79"/>
      <c r="H190" s="59"/>
    </row>
    <row r="191" spans="2:8" x14ac:dyDescent="0.2">
      <c r="B191" s="59"/>
      <c r="C191" s="59"/>
      <c r="D191" s="59"/>
      <c r="E191" s="59"/>
      <c r="F191" s="59"/>
      <c r="G191" s="79"/>
      <c r="H191" s="59"/>
    </row>
    <row r="192" spans="2:8" x14ac:dyDescent="0.2">
      <c r="B192" s="59"/>
      <c r="C192" s="59"/>
      <c r="D192" s="59"/>
      <c r="E192" s="59"/>
      <c r="F192" s="59"/>
      <c r="G192" s="79"/>
      <c r="H192" s="59"/>
    </row>
    <row r="193" spans="2:8" x14ac:dyDescent="0.2">
      <c r="B193" s="59"/>
      <c r="C193" s="59"/>
      <c r="D193" s="59"/>
      <c r="E193" s="59"/>
      <c r="F193" s="59"/>
      <c r="G193" s="79"/>
      <c r="H193" s="59"/>
    </row>
    <row r="194" spans="2:8" x14ac:dyDescent="0.2">
      <c r="B194" s="59"/>
      <c r="C194" s="59"/>
      <c r="D194" s="59"/>
      <c r="E194" s="59"/>
      <c r="F194" s="59"/>
      <c r="G194" s="79"/>
      <c r="H194" s="59"/>
    </row>
    <row r="195" spans="2:8" x14ac:dyDescent="0.2">
      <c r="B195" s="59"/>
      <c r="C195" s="59"/>
      <c r="D195" s="59"/>
      <c r="E195" s="59"/>
      <c r="F195" s="59"/>
      <c r="G195" s="79"/>
      <c r="H195" s="59"/>
    </row>
    <row r="196" spans="2:8" x14ac:dyDescent="0.2">
      <c r="B196" s="59"/>
      <c r="C196" s="59"/>
      <c r="D196" s="59"/>
      <c r="E196" s="59"/>
      <c r="F196" s="59"/>
      <c r="G196" s="79"/>
      <c r="H196" s="59"/>
    </row>
    <row r="197" spans="2:8" x14ac:dyDescent="0.2">
      <c r="B197" s="59"/>
      <c r="C197" s="59"/>
      <c r="D197" s="59"/>
      <c r="E197" s="59"/>
      <c r="F197" s="59"/>
      <c r="G197" s="79"/>
      <c r="H197" s="59"/>
    </row>
    <row r="198" spans="2:8" x14ac:dyDescent="0.2">
      <c r="B198" s="59"/>
      <c r="C198" s="59"/>
      <c r="D198" s="59"/>
      <c r="E198" s="59"/>
      <c r="F198" s="59"/>
      <c r="G198" s="79"/>
      <c r="H198" s="59"/>
    </row>
    <row r="199" spans="2:8" x14ac:dyDescent="0.2">
      <c r="B199" s="59"/>
      <c r="C199" s="59"/>
      <c r="D199" s="59"/>
      <c r="E199" s="59"/>
      <c r="F199" s="59"/>
      <c r="G199" s="79"/>
      <c r="H199" s="59"/>
    </row>
    <row r="200" spans="2:8" x14ac:dyDescent="0.2">
      <c r="B200" s="59"/>
      <c r="C200" s="59"/>
      <c r="D200" s="59"/>
      <c r="E200" s="59"/>
      <c r="F200" s="59"/>
      <c r="G200" s="79"/>
      <c r="H200" s="59"/>
    </row>
    <row r="201" spans="2:8" x14ac:dyDescent="0.2">
      <c r="B201" s="59"/>
      <c r="C201" s="59"/>
      <c r="D201" s="59"/>
      <c r="E201" s="59"/>
      <c r="F201" s="59"/>
      <c r="G201" s="79"/>
      <c r="H201" s="59"/>
    </row>
    <row r="202" spans="2:8" x14ac:dyDescent="0.2">
      <c r="B202" s="59"/>
      <c r="C202" s="59"/>
      <c r="D202" s="59"/>
      <c r="E202" s="59"/>
      <c r="F202" s="59"/>
      <c r="G202" s="79"/>
      <c r="H202" s="59"/>
    </row>
    <row r="203" spans="2:8" x14ac:dyDescent="0.2">
      <c r="B203" s="59"/>
      <c r="C203" s="59"/>
      <c r="D203" s="59"/>
      <c r="E203" s="59"/>
      <c r="F203" s="59"/>
      <c r="G203" s="79"/>
      <c r="H203" s="59"/>
    </row>
    <row r="204" spans="2:8" x14ac:dyDescent="0.2">
      <c r="B204" s="59"/>
      <c r="C204" s="59"/>
      <c r="D204" s="59"/>
      <c r="E204" s="59"/>
      <c r="F204" s="59"/>
      <c r="G204" s="79"/>
      <c r="H204" s="59"/>
    </row>
    <row r="205" spans="2:8" x14ac:dyDescent="0.2">
      <c r="B205" s="59"/>
      <c r="C205" s="59"/>
      <c r="D205" s="59"/>
      <c r="E205" s="59"/>
      <c r="F205" s="59"/>
      <c r="G205" s="79"/>
      <c r="H205" s="59"/>
    </row>
    <row r="206" spans="2:8" x14ac:dyDescent="0.2">
      <c r="B206" s="59"/>
      <c r="C206" s="59"/>
      <c r="D206" s="59"/>
      <c r="E206" s="59"/>
      <c r="F206" s="59"/>
      <c r="G206" s="79"/>
      <c r="H206" s="59"/>
    </row>
    <row r="207" spans="2:8" x14ac:dyDescent="0.2">
      <c r="B207" s="59"/>
      <c r="C207" s="59"/>
      <c r="D207" s="59"/>
      <c r="E207" s="59"/>
      <c r="F207" s="59"/>
      <c r="G207" s="79"/>
      <c r="H207" s="59"/>
    </row>
    <row r="208" spans="2:8" x14ac:dyDescent="0.2">
      <c r="B208" s="59"/>
      <c r="C208" s="59"/>
      <c r="D208" s="59"/>
      <c r="E208" s="59"/>
      <c r="F208" s="59"/>
      <c r="G208" s="79"/>
      <c r="H208" s="59"/>
    </row>
    <row r="209" spans="2:8" x14ac:dyDescent="0.2">
      <c r="B209" s="59"/>
      <c r="C209" s="59"/>
      <c r="D209" s="59"/>
      <c r="E209" s="59"/>
      <c r="F209" s="59"/>
      <c r="G209" s="79"/>
      <c r="H209" s="59"/>
    </row>
    <row r="210" spans="2:8" x14ac:dyDescent="0.2">
      <c r="B210" s="59"/>
      <c r="C210" s="59"/>
      <c r="D210" s="59"/>
      <c r="E210" s="59"/>
      <c r="F210" s="59"/>
      <c r="G210" s="79"/>
      <c r="H210" s="59"/>
    </row>
    <row r="211" spans="2:8" x14ac:dyDescent="0.2">
      <c r="B211" s="59"/>
      <c r="C211" s="59"/>
      <c r="D211" s="59"/>
      <c r="E211" s="59"/>
      <c r="F211" s="59"/>
      <c r="G211" s="79"/>
      <c r="H211" s="59"/>
    </row>
    <row r="212" spans="2:8" x14ac:dyDescent="0.2">
      <c r="B212" s="59"/>
      <c r="C212" s="59"/>
      <c r="D212" s="59"/>
      <c r="E212" s="59"/>
      <c r="F212" s="59"/>
      <c r="G212" s="79"/>
      <c r="H212" s="59"/>
    </row>
    <row r="213" spans="2:8" x14ac:dyDescent="0.2">
      <c r="B213" s="59"/>
      <c r="C213" s="59"/>
      <c r="D213" s="59"/>
      <c r="E213" s="59"/>
      <c r="F213" s="59"/>
      <c r="G213" s="79"/>
      <c r="H213" s="59"/>
    </row>
    <row r="214" spans="2:8" x14ac:dyDescent="0.2">
      <c r="B214" s="59"/>
      <c r="C214" s="59"/>
      <c r="D214" s="59"/>
      <c r="E214" s="59"/>
      <c r="F214" s="59"/>
      <c r="G214" s="79"/>
      <c r="H214" s="59"/>
    </row>
    <row r="215" spans="2:8" x14ac:dyDescent="0.2">
      <c r="B215" s="59"/>
      <c r="C215" s="59"/>
      <c r="D215" s="59"/>
      <c r="E215" s="59"/>
      <c r="F215" s="59"/>
      <c r="G215" s="79"/>
      <c r="H215" s="59"/>
    </row>
    <row r="216" spans="2:8" x14ac:dyDescent="0.2">
      <c r="B216" s="59"/>
      <c r="C216" s="59"/>
      <c r="D216" s="59"/>
      <c r="E216" s="59"/>
      <c r="F216" s="59"/>
      <c r="G216" s="79"/>
      <c r="H216" s="59"/>
    </row>
    <row r="217" spans="2:8" x14ac:dyDescent="0.2">
      <c r="B217" s="59"/>
      <c r="C217" s="59"/>
      <c r="D217" s="59"/>
      <c r="E217" s="59"/>
      <c r="F217" s="59"/>
      <c r="G217" s="79"/>
      <c r="H217" s="59"/>
    </row>
    <row r="218" spans="2:8" x14ac:dyDescent="0.2">
      <c r="B218" s="59"/>
      <c r="C218" s="59"/>
      <c r="D218" s="59"/>
      <c r="E218" s="59"/>
      <c r="F218" s="59"/>
      <c r="G218" s="79"/>
      <c r="H218" s="59"/>
    </row>
    <row r="219" spans="2:8" x14ac:dyDescent="0.2">
      <c r="B219" s="59"/>
      <c r="C219" s="59"/>
      <c r="D219" s="59"/>
      <c r="E219" s="59"/>
      <c r="F219" s="59"/>
      <c r="G219" s="79"/>
      <c r="H219" s="59"/>
    </row>
    <row r="220" spans="2:8" x14ac:dyDescent="0.2">
      <c r="B220" s="59"/>
      <c r="C220" s="59"/>
      <c r="D220" s="59"/>
      <c r="E220" s="59"/>
      <c r="F220" s="59"/>
      <c r="G220" s="79"/>
      <c r="H220" s="59"/>
    </row>
    <row r="221" spans="2:8" x14ac:dyDescent="0.2">
      <c r="B221" s="59"/>
      <c r="C221" s="59"/>
      <c r="D221" s="59"/>
      <c r="E221" s="59"/>
      <c r="F221" s="59"/>
      <c r="G221" s="79"/>
      <c r="H221" s="59"/>
    </row>
    <row r="222" spans="2:8" x14ac:dyDescent="0.2">
      <c r="B222" s="59"/>
      <c r="C222" s="59"/>
      <c r="D222" s="59"/>
      <c r="E222" s="59"/>
      <c r="F222" s="59"/>
      <c r="G222" s="79"/>
      <c r="H222" s="59"/>
    </row>
    <row r="223" spans="2:8" x14ac:dyDescent="0.2">
      <c r="B223" s="59"/>
      <c r="C223" s="59"/>
      <c r="D223" s="59"/>
      <c r="E223" s="59"/>
      <c r="F223" s="59"/>
      <c r="G223" s="79"/>
      <c r="H223" s="59"/>
    </row>
    <row r="224" spans="2:8" x14ac:dyDescent="0.2">
      <c r="B224" s="59"/>
      <c r="C224" s="59"/>
      <c r="D224" s="59"/>
      <c r="E224" s="59"/>
      <c r="F224" s="59"/>
      <c r="G224" s="79"/>
      <c r="H224" s="59"/>
    </row>
    <row r="225" spans="2:8" x14ac:dyDescent="0.2">
      <c r="B225" s="59"/>
      <c r="C225" s="59"/>
      <c r="D225" s="59"/>
      <c r="E225" s="59"/>
      <c r="F225" s="59"/>
      <c r="G225" s="79"/>
      <c r="H225" s="59"/>
    </row>
    <row r="226" spans="2:8" x14ac:dyDescent="0.2">
      <c r="B226" s="59"/>
      <c r="C226" s="59"/>
      <c r="D226" s="59"/>
      <c r="E226" s="59"/>
      <c r="F226" s="59"/>
      <c r="G226" s="79"/>
      <c r="H226" s="59"/>
    </row>
    <row r="227" spans="2:8" x14ac:dyDescent="0.2">
      <c r="B227" s="59"/>
      <c r="C227" s="59"/>
      <c r="D227" s="59"/>
      <c r="E227" s="59"/>
      <c r="F227" s="59"/>
      <c r="G227" s="79"/>
      <c r="H227" s="59"/>
    </row>
    <row r="228" spans="2:8" x14ac:dyDescent="0.2">
      <c r="B228" s="59"/>
      <c r="C228" s="59"/>
      <c r="D228" s="59"/>
      <c r="E228" s="59"/>
      <c r="F228" s="59"/>
      <c r="G228" s="79"/>
      <c r="H228" s="59"/>
    </row>
    <row r="229" spans="2:8" x14ac:dyDescent="0.2">
      <c r="B229" s="59"/>
      <c r="C229" s="59"/>
      <c r="D229" s="59"/>
      <c r="E229" s="59"/>
      <c r="F229" s="59"/>
      <c r="G229" s="79"/>
      <c r="H229" s="59"/>
    </row>
    <row r="230" spans="2:8" x14ac:dyDescent="0.2">
      <c r="B230" s="59"/>
      <c r="C230" s="59"/>
      <c r="D230" s="59"/>
      <c r="E230" s="59"/>
      <c r="F230" s="59"/>
      <c r="G230" s="79"/>
      <c r="H230" s="59"/>
    </row>
    <row r="231" spans="2:8" x14ac:dyDescent="0.2">
      <c r="B231" s="59"/>
      <c r="C231" s="59"/>
      <c r="D231" s="59"/>
      <c r="E231" s="59"/>
      <c r="F231" s="59"/>
      <c r="G231" s="79"/>
      <c r="H231" s="59"/>
    </row>
    <row r="232" spans="2:8" x14ac:dyDescent="0.2">
      <c r="B232" s="59"/>
      <c r="C232" s="59"/>
      <c r="D232" s="59"/>
      <c r="E232" s="59"/>
      <c r="F232" s="59"/>
      <c r="G232" s="79"/>
      <c r="H232" s="59"/>
    </row>
    <row r="233" spans="2:8" x14ac:dyDescent="0.2">
      <c r="B233" s="59"/>
      <c r="C233" s="59"/>
      <c r="D233" s="59"/>
      <c r="E233" s="59"/>
      <c r="F233" s="59"/>
      <c r="G233" s="79"/>
      <c r="H233" s="59"/>
    </row>
    <row r="234" spans="2:8" x14ac:dyDescent="0.2">
      <c r="B234" s="59"/>
      <c r="C234" s="59"/>
      <c r="D234" s="59"/>
      <c r="E234" s="59"/>
      <c r="F234" s="59"/>
      <c r="G234" s="79"/>
      <c r="H234" s="59"/>
    </row>
    <row r="235" spans="2:8" x14ac:dyDescent="0.2">
      <c r="B235" s="59"/>
      <c r="C235" s="59"/>
      <c r="D235" s="59"/>
      <c r="E235" s="59"/>
      <c r="F235" s="59"/>
      <c r="G235" s="79"/>
      <c r="H235" s="59"/>
    </row>
    <row r="236" spans="2:8" x14ac:dyDescent="0.2">
      <c r="B236" s="59"/>
      <c r="C236" s="59"/>
      <c r="D236" s="59"/>
      <c r="E236" s="59"/>
      <c r="F236" s="59"/>
      <c r="G236" s="79"/>
      <c r="H236" s="59"/>
    </row>
    <row r="237" spans="2:8" x14ac:dyDescent="0.2">
      <c r="B237" s="59"/>
      <c r="C237" s="59"/>
      <c r="D237" s="59"/>
      <c r="E237" s="59"/>
      <c r="F237" s="59"/>
      <c r="G237" s="79"/>
      <c r="H237" s="59"/>
    </row>
    <row r="238" spans="2:8" x14ac:dyDescent="0.2">
      <c r="B238" s="59"/>
      <c r="C238" s="59"/>
      <c r="D238" s="59"/>
      <c r="E238" s="59"/>
      <c r="F238" s="59"/>
      <c r="G238" s="79"/>
      <c r="H238" s="59"/>
    </row>
    <row r="239" spans="2:8" x14ac:dyDescent="0.2">
      <c r="B239" s="59"/>
      <c r="C239" s="59"/>
      <c r="D239" s="59"/>
      <c r="E239" s="59"/>
      <c r="F239" s="59"/>
      <c r="G239" s="79"/>
      <c r="H239" s="59"/>
    </row>
    <row r="240" spans="2:8" x14ac:dyDescent="0.2">
      <c r="B240" s="59"/>
      <c r="C240" s="59"/>
      <c r="D240" s="59"/>
      <c r="E240" s="59"/>
      <c r="F240" s="59"/>
      <c r="G240" s="79"/>
      <c r="H240" s="59"/>
    </row>
    <row r="241" spans="2:8" x14ac:dyDescent="0.2">
      <c r="B241" s="59"/>
      <c r="C241" s="59"/>
      <c r="D241" s="59"/>
      <c r="E241" s="59"/>
      <c r="F241" s="59"/>
      <c r="G241" s="79"/>
      <c r="H241" s="59"/>
    </row>
    <row r="242" spans="2:8" x14ac:dyDescent="0.2">
      <c r="B242" s="59"/>
      <c r="C242" s="59"/>
      <c r="D242" s="59"/>
      <c r="E242" s="59"/>
      <c r="F242" s="59"/>
      <c r="G242" s="79"/>
      <c r="H242" s="59"/>
    </row>
    <row r="243" spans="2:8" x14ac:dyDescent="0.2">
      <c r="B243" s="59"/>
      <c r="C243" s="59"/>
      <c r="D243" s="59"/>
      <c r="E243" s="59"/>
      <c r="F243" s="59"/>
      <c r="G243" s="79"/>
      <c r="H243" s="59"/>
    </row>
    <row r="244" spans="2:8" x14ac:dyDescent="0.2">
      <c r="B244" s="59"/>
      <c r="C244" s="59"/>
      <c r="D244" s="59"/>
      <c r="E244" s="59"/>
      <c r="F244" s="59"/>
      <c r="G244" s="79"/>
      <c r="H244" s="59"/>
    </row>
    <row r="245" spans="2:8" x14ac:dyDescent="0.2">
      <c r="B245" s="59"/>
      <c r="C245" s="59"/>
      <c r="D245" s="59"/>
      <c r="E245" s="59"/>
      <c r="F245" s="59"/>
      <c r="G245" s="79"/>
      <c r="H245" s="59"/>
    </row>
    <row r="246" spans="2:8" x14ac:dyDescent="0.2">
      <c r="B246" s="59"/>
      <c r="C246" s="59"/>
      <c r="D246" s="59"/>
      <c r="E246" s="59"/>
      <c r="F246" s="59"/>
      <c r="G246" s="79"/>
      <c r="H246" s="59"/>
    </row>
    <row r="247" spans="2:8" x14ac:dyDescent="0.2">
      <c r="B247" s="59"/>
      <c r="C247" s="59"/>
      <c r="D247" s="59"/>
      <c r="E247" s="59"/>
      <c r="F247" s="59"/>
      <c r="G247" s="79"/>
      <c r="H247" s="59"/>
    </row>
    <row r="248" spans="2:8" x14ac:dyDescent="0.2">
      <c r="B248" s="59"/>
      <c r="C248" s="59"/>
      <c r="D248" s="59"/>
      <c r="E248" s="59"/>
      <c r="F248" s="59"/>
      <c r="G248" s="79"/>
      <c r="H248" s="59"/>
    </row>
    <row r="249" spans="2:8" x14ac:dyDescent="0.2">
      <c r="B249" s="59"/>
      <c r="C249" s="59"/>
      <c r="D249" s="59"/>
      <c r="E249" s="59"/>
      <c r="F249" s="59"/>
      <c r="G249" s="79"/>
      <c r="H249" s="59"/>
    </row>
    <row r="250" spans="2:8" x14ac:dyDescent="0.2">
      <c r="B250" s="59"/>
      <c r="C250" s="59"/>
      <c r="D250" s="59"/>
      <c r="E250" s="59"/>
      <c r="F250" s="59"/>
      <c r="G250" s="79"/>
      <c r="H250" s="59"/>
    </row>
    <row r="251" spans="2:8" x14ac:dyDescent="0.2">
      <c r="B251" s="59"/>
      <c r="C251" s="59"/>
      <c r="D251" s="59"/>
      <c r="E251" s="59"/>
      <c r="F251" s="59"/>
      <c r="G251" s="79"/>
      <c r="H251" s="59"/>
    </row>
    <row r="252" spans="2:8" x14ac:dyDescent="0.2">
      <c r="B252" s="59"/>
      <c r="C252" s="59"/>
      <c r="D252" s="59"/>
      <c r="E252" s="59"/>
      <c r="F252" s="59"/>
      <c r="G252" s="79"/>
      <c r="H252" s="59"/>
    </row>
    <row r="253" spans="2:8" x14ac:dyDescent="0.2">
      <c r="B253" s="59"/>
      <c r="C253" s="59"/>
      <c r="D253" s="59"/>
      <c r="E253" s="59"/>
      <c r="F253" s="59"/>
      <c r="G253" s="79"/>
      <c r="H253" s="59"/>
    </row>
    <row r="254" spans="2:8" x14ac:dyDescent="0.2">
      <c r="B254" s="59"/>
      <c r="C254" s="59"/>
      <c r="D254" s="59"/>
      <c r="E254" s="59"/>
      <c r="F254" s="59"/>
      <c r="G254" s="79"/>
      <c r="H254" s="59"/>
    </row>
    <row r="255" spans="2:8" x14ac:dyDescent="0.2">
      <c r="B255" s="59"/>
      <c r="C255" s="59"/>
      <c r="D255" s="59"/>
      <c r="E255" s="59"/>
      <c r="F255" s="59"/>
      <c r="G255" s="79"/>
      <c r="H255" s="59"/>
    </row>
    <row r="256" spans="2:8" x14ac:dyDescent="0.2">
      <c r="B256" s="59"/>
      <c r="C256" s="59"/>
      <c r="D256" s="59"/>
      <c r="E256" s="59"/>
      <c r="F256" s="59"/>
      <c r="G256" s="79"/>
      <c r="H256" s="59"/>
    </row>
    <row r="257" spans="2:8" x14ac:dyDescent="0.2">
      <c r="B257" s="59"/>
      <c r="C257" s="59"/>
      <c r="D257" s="59"/>
      <c r="E257" s="59"/>
      <c r="F257" s="59"/>
      <c r="G257" s="79"/>
      <c r="H257" s="59"/>
    </row>
    <row r="258" spans="2:8" x14ac:dyDescent="0.2">
      <c r="B258" s="59"/>
      <c r="C258" s="59"/>
      <c r="D258" s="59"/>
      <c r="E258" s="59"/>
      <c r="F258" s="59"/>
      <c r="G258" s="79"/>
      <c r="H258" s="59"/>
    </row>
    <row r="259" spans="2:8" x14ac:dyDescent="0.2">
      <c r="B259" s="59"/>
      <c r="C259" s="59"/>
      <c r="D259" s="59"/>
      <c r="E259" s="59"/>
      <c r="F259" s="59"/>
      <c r="G259" s="79"/>
      <c r="H259" s="59"/>
    </row>
    <row r="260" spans="2:8" x14ac:dyDescent="0.2">
      <c r="B260" s="59"/>
      <c r="C260" s="59"/>
      <c r="D260" s="59"/>
      <c r="E260" s="59"/>
      <c r="F260" s="59"/>
      <c r="G260" s="79"/>
      <c r="H260" s="59"/>
    </row>
    <row r="261" spans="2:8" x14ac:dyDescent="0.2">
      <c r="B261" s="59"/>
      <c r="C261" s="59"/>
      <c r="D261" s="59"/>
      <c r="E261" s="59"/>
      <c r="F261" s="59"/>
      <c r="G261" s="79"/>
      <c r="H261" s="59"/>
    </row>
    <row r="262" spans="2:8" x14ac:dyDescent="0.2">
      <c r="B262" s="59"/>
      <c r="C262" s="59"/>
      <c r="D262" s="59"/>
      <c r="E262" s="59"/>
      <c r="F262" s="59"/>
      <c r="G262" s="79"/>
      <c r="H262" s="59"/>
    </row>
    <row r="263" spans="2:8" x14ac:dyDescent="0.2">
      <c r="B263" s="59"/>
      <c r="C263" s="59"/>
      <c r="D263" s="59"/>
      <c r="E263" s="59"/>
      <c r="F263" s="59"/>
      <c r="G263" s="79"/>
      <c r="H263" s="59"/>
    </row>
    <row r="264" spans="2:8" x14ac:dyDescent="0.2">
      <c r="B264" s="59"/>
      <c r="C264" s="59"/>
      <c r="D264" s="59"/>
      <c r="E264" s="59"/>
      <c r="F264" s="59"/>
      <c r="G264" s="79"/>
      <c r="H264" s="59"/>
    </row>
    <row r="265" spans="2:8" x14ac:dyDescent="0.2">
      <c r="B265" s="59"/>
      <c r="C265" s="59"/>
      <c r="D265" s="59"/>
      <c r="E265" s="59"/>
      <c r="F265" s="59"/>
      <c r="G265" s="79"/>
      <c r="H265" s="59"/>
    </row>
    <row r="266" spans="2:8" x14ac:dyDescent="0.2">
      <c r="B266" s="59"/>
      <c r="C266" s="59"/>
      <c r="D266" s="59"/>
      <c r="E266" s="59"/>
      <c r="F266" s="59"/>
      <c r="G266" s="79"/>
      <c r="H266" s="59"/>
    </row>
    <row r="267" spans="2:8" x14ac:dyDescent="0.2">
      <c r="B267" s="59"/>
      <c r="C267" s="59"/>
      <c r="D267" s="59"/>
      <c r="E267" s="59"/>
      <c r="F267" s="59"/>
      <c r="G267" s="79"/>
      <c r="H267" s="59"/>
    </row>
    <row r="268" spans="2:8" x14ac:dyDescent="0.2">
      <c r="B268" s="59"/>
      <c r="C268" s="59"/>
      <c r="D268" s="59"/>
      <c r="E268" s="59"/>
      <c r="F268" s="59"/>
      <c r="G268" s="79"/>
      <c r="H268" s="59"/>
    </row>
    <row r="269" spans="2:8" x14ac:dyDescent="0.2">
      <c r="B269" s="59"/>
      <c r="C269" s="59"/>
      <c r="D269" s="59"/>
      <c r="E269" s="59"/>
      <c r="F269" s="59"/>
      <c r="G269" s="79"/>
      <c r="H269" s="59"/>
    </row>
    <row r="270" spans="2:8" x14ac:dyDescent="0.2">
      <c r="B270" s="59"/>
      <c r="C270" s="59"/>
      <c r="D270" s="59"/>
      <c r="E270" s="59"/>
      <c r="F270" s="59"/>
      <c r="G270" s="79"/>
      <c r="H270" s="59"/>
    </row>
    <row r="271" spans="2:8" x14ac:dyDescent="0.2">
      <c r="B271" s="59"/>
      <c r="C271" s="59"/>
      <c r="D271" s="59"/>
      <c r="E271" s="59"/>
      <c r="F271" s="59"/>
      <c r="G271" s="79"/>
      <c r="H271" s="59"/>
    </row>
    <row r="272" spans="2:8" x14ac:dyDescent="0.2">
      <c r="B272" s="59"/>
      <c r="C272" s="59"/>
      <c r="D272" s="59"/>
      <c r="E272" s="59"/>
      <c r="F272" s="59"/>
      <c r="G272" s="79"/>
      <c r="H272" s="59"/>
    </row>
    <row r="273" spans="2:8" x14ac:dyDescent="0.2">
      <c r="B273" s="59"/>
      <c r="C273" s="59"/>
      <c r="D273" s="59"/>
      <c r="E273" s="59"/>
      <c r="F273" s="59"/>
      <c r="G273" s="79"/>
      <c r="H273" s="59"/>
    </row>
    <row r="274" spans="2:8" x14ac:dyDescent="0.2">
      <c r="B274" s="59"/>
      <c r="C274" s="59"/>
      <c r="D274" s="59"/>
      <c r="E274" s="59"/>
      <c r="F274" s="59"/>
      <c r="G274" s="79"/>
      <c r="H274" s="59"/>
    </row>
    <row r="275" spans="2:8" x14ac:dyDescent="0.2">
      <c r="B275" s="59"/>
      <c r="C275" s="59"/>
      <c r="D275" s="59"/>
      <c r="E275" s="59"/>
      <c r="F275" s="59"/>
      <c r="G275" s="79"/>
      <c r="H275" s="59"/>
    </row>
    <row r="276" spans="2:8" x14ac:dyDescent="0.2">
      <c r="B276" s="59"/>
      <c r="C276" s="59"/>
      <c r="D276" s="59"/>
      <c r="E276" s="59"/>
      <c r="F276" s="59"/>
      <c r="G276" s="79"/>
      <c r="H276" s="59"/>
    </row>
    <row r="277" spans="2:8" x14ac:dyDescent="0.2">
      <c r="B277" s="59"/>
      <c r="C277" s="59"/>
      <c r="D277" s="59"/>
      <c r="E277" s="59"/>
      <c r="F277" s="59"/>
      <c r="G277" s="79"/>
      <c r="H277" s="59"/>
    </row>
    <row r="278" spans="2:8" x14ac:dyDescent="0.2">
      <c r="B278" s="59"/>
      <c r="C278" s="59"/>
      <c r="D278" s="59"/>
      <c r="E278" s="59"/>
      <c r="F278" s="59"/>
      <c r="G278" s="79"/>
      <c r="H278" s="59"/>
    </row>
    <row r="279" spans="2:8" x14ac:dyDescent="0.2">
      <c r="B279" s="59"/>
      <c r="C279" s="59"/>
      <c r="D279" s="59"/>
      <c r="E279" s="59"/>
      <c r="F279" s="59"/>
      <c r="G279" s="79"/>
      <c r="H279" s="59"/>
    </row>
    <row r="280" spans="2:8" x14ac:dyDescent="0.2">
      <c r="B280" s="59"/>
      <c r="C280" s="59"/>
      <c r="D280" s="59"/>
      <c r="E280" s="59"/>
      <c r="F280" s="59"/>
      <c r="G280" s="79"/>
      <c r="H280" s="59"/>
    </row>
    <row r="281" spans="2:8" x14ac:dyDescent="0.2">
      <c r="B281" s="59"/>
      <c r="C281" s="59"/>
      <c r="D281" s="59"/>
      <c r="E281" s="59"/>
      <c r="F281" s="59"/>
      <c r="G281" s="79"/>
      <c r="H281" s="59"/>
    </row>
    <row r="282" spans="2:8" x14ac:dyDescent="0.2">
      <c r="B282" s="59"/>
      <c r="C282" s="59"/>
      <c r="D282" s="59"/>
      <c r="E282" s="59"/>
      <c r="F282" s="59"/>
      <c r="G282" s="79"/>
      <c r="H282" s="59"/>
    </row>
    <row r="283" spans="2:8" x14ac:dyDescent="0.2">
      <c r="B283" s="59"/>
      <c r="C283" s="59"/>
      <c r="D283" s="59"/>
      <c r="E283" s="59"/>
      <c r="F283" s="59"/>
      <c r="G283" s="79"/>
      <c r="H283" s="59"/>
    </row>
    <row r="284" spans="2:8" x14ac:dyDescent="0.2">
      <c r="B284" s="59"/>
      <c r="C284" s="59"/>
      <c r="D284" s="59"/>
      <c r="E284" s="59"/>
      <c r="F284" s="59"/>
      <c r="G284" s="79"/>
      <c r="H284" s="59"/>
    </row>
    <row r="285" spans="2:8" x14ac:dyDescent="0.2">
      <c r="B285" s="59"/>
      <c r="C285" s="59"/>
      <c r="D285" s="59"/>
      <c r="E285" s="59"/>
      <c r="F285" s="59"/>
      <c r="G285" s="79"/>
      <c r="H285" s="59"/>
    </row>
    <row r="286" spans="2:8" x14ac:dyDescent="0.2">
      <c r="B286" s="59"/>
      <c r="C286" s="59"/>
      <c r="D286" s="59"/>
      <c r="E286" s="59"/>
      <c r="F286" s="59"/>
      <c r="G286" s="79"/>
      <c r="H286" s="59"/>
    </row>
    <row r="287" spans="2:8" x14ac:dyDescent="0.2">
      <c r="B287" s="59"/>
      <c r="C287" s="59"/>
      <c r="D287" s="59"/>
      <c r="E287" s="59"/>
      <c r="F287" s="59"/>
      <c r="G287" s="79"/>
      <c r="H287" s="59"/>
    </row>
    <row r="288" spans="2:8" x14ac:dyDescent="0.2">
      <c r="B288" s="59"/>
      <c r="C288" s="59"/>
      <c r="D288" s="59"/>
      <c r="E288" s="59"/>
      <c r="F288" s="59"/>
      <c r="G288" s="79"/>
      <c r="H288" s="59"/>
    </row>
    <row r="289" spans="2:8" x14ac:dyDescent="0.2">
      <c r="B289" s="59"/>
      <c r="C289" s="59"/>
      <c r="D289" s="59"/>
      <c r="E289" s="59"/>
      <c r="F289" s="59"/>
      <c r="G289" s="79"/>
      <c r="H289" s="59"/>
    </row>
    <row r="290" spans="2:8" x14ac:dyDescent="0.2">
      <c r="B290" s="59"/>
      <c r="C290" s="59"/>
      <c r="D290" s="59"/>
      <c r="E290" s="59"/>
      <c r="F290" s="59"/>
      <c r="G290" s="79"/>
      <c r="H290" s="59"/>
    </row>
    <row r="291" spans="2:8" x14ac:dyDescent="0.2">
      <c r="B291" s="59"/>
      <c r="C291" s="59"/>
      <c r="D291" s="59"/>
      <c r="E291" s="59"/>
      <c r="F291" s="59"/>
      <c r="G291" s="79"/>
      <c r="H291" s="59"/>
    </row>
    <row r="292" spans="2:8" x14ac:dyDescent="0.2">
      <c r="B292" s="59"/>
      <c r="C292" s="59"/>
      <c r="D292" s="59"/>
      <c r="E292" s="59"/>
      <c r="F292" s="59"/>
      <c r="G292" s="79"/>
      <c r="H292" s="59"/>
    </row>
    <row r="293" spans="2:8" x14ac:dyDescent="0.2">
      <c r="B293" s="59"/>
      <c r="C293" s="59"/>
      <c r="D293" s="59"/>
      <c r="E293" s="59"/>
      <c r="F293" s="59"/>
      <c r="G293" s="79"/>
      <c r="H293" s="59"/>
    </row>
    <row r="294" spans="2:8" x14ac:dyDescent="0.2">
      <c r="B294" s="59"/>
      <c r="C294" s="59"/>
      <c r="D294" s="59"/>
      <c r="E294" s="59"/>
      <c r="F294" s="59"/>
      <c r="G294" s="79"/>
      <c r="H294" s="59"/>
    </row>
    <row r="295" spans="2:8" x14ac:dyDescent="0.2">
      <c r="B295" s="59"/>
      <c r="C295" s="59"/>
      <c r="D295" s="59"/>
      <c r="E295" s="59"/>
      <c r="F295" s="59"/>
      <c r="G295" s="79"/>
      <c r="H295" s="59"/>
    </row>
    <row r="296" spans="2:8" x14ac:dyDescent="0.2">
      <c r="B296" s="59"/>
      <c r="C296" s="59"/>
      <c r="D296" s="59"/>
      <c r="E296" s="59"/>
      <c r="F296" s="59"/>
      <c r="G296" s="79"/>
      <c r="H296" s="59"/>
    </row>
    <row r="297" spans="2:8" x14ac:dyDescent="0.2">
      <c r="B297" s="59"/>
      <c r="C297" s="59"/>
      <c r="D297" s="59"/>
      <c r="E297" s="59"/>
      <c r="F297" s="59"/>
      <c r="G297" s="79"/>
      <c r="H297" s="59"/>
    </row>
    <row r="298" spans="2:8" x14ac:dyDescent="0.2">
      <c r="B298" s="59"/>
      <c r="C298" s="59"/>
      <c r="D298" s="59"/>
      <c r="E298" s="59"/>
      <c r="F298" s="59"/>
      <c r="G298" s="79"/>
      <c r="H298" s="59"/>
    </row>
    <row r="299" spans="2:8" x14ac:dyDescent="0.2">
      <c r="B299" s="59"/>
      <c r="C299" s="59"/>
      <c r="D299" s="59"/>
      <c r="E299" s="59"/>
      <c r="F299" s="59"/>
      <c r="G299" s="79"/>
      <c r="H299" s="59"/>
    </row>
    <row r="300" spans="2:8" x14ac:dyDescent="0.2">
      <c r="B300" s="59"/>
      <c r="C300" s="59"/>
      <c r="D300" s="59"/>
      <c r="E300" s="59"/>
      <c r="F300" s="59"/>
      <c r="G300" s="79"/>
      <c r="H300" s="59"/>
    </row>
    <row r="301" spans="2:8" x14ac:dyDescent="0.2">
      <c r="B301" s="59"/>
      <c r="C301" s="59"/>
      <c r="D301" s="59"/>
      <c r="E301" s="59"/>
      <c r="F301" s="59"/>
      <c r="G301" s="79"/>
      <c r="H301" s="59"/>
    </row>
    <row r="302" spans="2:8" x14ac:dyDescent="0.2">
      <c r="B302" s="59"/>
      <c r="C302" s="59"/>
      <c r="D302" s="59"/>
      <c r="E302" s="59"/>
      <c r="F302" s="59"/>
      <c r="G302" s="79"/>
      <c r="H302" s="59"/>
    </row>
    <row r="303" spans="2:8" x14ac:dyDescent="0.2">
      <c r="B303" s="59"/>
      <c r="C303" s="59"/>
      <c r="D303" s="59"/>
      <c r="E303" s="59"/>
      <c r="F303" s="59"/>
      <c r="G303" s="79"/>
      <c r="H303" s="59"/>
    </row>
    <row r="304" spans="2:8" x14ac:dyDescent="0.2">
      <c r="B304" s="59"/>
      <c r="C304" s="59"/>
      <c r="D304" s="59"/>
      <c r="E304" s="59"/>
      <c r="F304" s="59"/>
      <c r="G304" s="79"/>
      <c r="H304" s="59"/>
    </row>
    <row r="305" spans="2:8" x14ac:dyDescent="0.2">
      <c r="B305" s="59"/>
      <c r="C305" s="59"/>
      <c r="D305" s="59"/>
      <c r="E305" s="59"/>
      <c r="F305" s="59"/>
      <c r="G305" s="79"/>
      <c r="H305" s="59"/>
    </row>
    <row r="306" spans="2:8" x14ac:dyDescent="0.2">
      <c r="B306" s="59"/>
      <c r="C306" s="59"/>
      <c r="D306" s="59"/>
      <c r="E306" s="59"/>
      <c r="F306" s="59"/>
      <c r="G306" s="79"/>
      <c r="H306" s="59"/>
    </row>
    <row r="307" spans="2:8" x14ac:dyDescent="0.2">
      <c r="B307" s="59"/>
      <c r="C307" s="59"/>
      <c r="D307" s="59"/>
      <c r="E307" s="59"/>
      <c r="F307" s="59"/>
      <c r="G307" s="79"/>
      <c r="H307" s="59"/>
    </row>
    <row r="308" spans="2:8" x14ac:dyDescent="0.2">
      <c r="B308" s="59"/>
      <c r="C308" s="59"/>
      <c r="D308" s="59"/>
      <c r="E308" s="59"/>
      <c r="F308" s="59"/>
      <c r="G308" s="79"/>
      <c r="H308" s="59"/>
    </row>
    <row r="309" spans="2:8" x14ac:dyDescent="0.2">
      <c r="B309" s="59"/>
      <c r="C309" s="59"/>
      <c r="D309" s="59"/>
      <c r="E309" s="59"/>
      <c r="F309" s="59"/>
      <c r="G309" s="79"/>
      <c r="H309" s="59"/>
    </row>
    <row r="310" spans="2:8" x14ac:dyDescent="0.2">
      <c r="B310" s="59"/>
      <c r="C310" s="59"/>
      <c r="D310" s="59"/>
      <c r="E310" s="59"/>
      <c r="F310" s="59"/>
      <c r="G310" s="79"/>
      <c r="H310" s="59"/>
    </row>
    <row r="311" spans="2:8" x14ac:dyDescent="0.2">
      <c r="B311" s="59"/>
      <c r="C311" s="59"/>
      <c r="D311" s="59"/>
      <c r="E311" s="59"/>
      <c r="F311" s="59"/>
      <c r="G311" s="79"/>
      <c r="H311" s="59"/>
    </row>
    <row r="312" spans="2:8" x14ac:dyDescent="0.2">
      <c r="B312" s="59"/>
      <c r="C312" s="59"/>
      <c r="D312" s="59"/>
      <c r="E312" s="59"/>
      <c r="F312" s="59"/>
      <c r="G312" s="79"/>
      <c r="H312" s="59"/>
    </row>
    <row r="313" spans="2:8" x14ac:dyDescent="0.2">
      <c r="B313" s="59"/>
      <c r="C313" s="59"/>
      <c r="D313" s="59"/>
      <c r="E313" s="59"/>
      <c r="F313" s="59"/>
      <c r="G313" s="79"/>
      <c r="H313" s="59"/>
    </row>
    <row r="314" spans="2:8" x14ac:dyDescent="0.2">
      <c r="B314" s="59"/>
      <c r="C314" s="59"/>
      <c r="D314" s="59"/>
      <c r="E314" s="59"/>
      <c r="F314" s="59"/>
      <c r="G314" s="79"/>
      <c r="H314" s="59"/>
    </row>
    <row r="315" spans="2:8" x14ac:dyDescent="0.2">
      <c r="B315" s="59"/>
      <c r="C315" s="59"/>
      <c r="D315" s="59"/>
      <c r="E315" s="59"/>
      <c r="F315" s="59"/>
      <c r="G315" s="79"/>
      <c r="H315" s="59"/>
    </row>
    <row r="316" spans="2:8" x14ac:dyDescent="0.2">
      <c r="B316" s="59"/>
      <c r="C316" s="59"/>
      <c r="D316" s="59"/>
      <c r="E316" s="59"/>
      <c r="F316" s="59"/>
      <c r="G316" s="79"/>
      <c r="H316" s="59"/>
    </row>
    <row r="317" spans="2:8" x14ac:dyDescent="0.2">
      <c r="B317" s="59"/>
      <c r="C317" s="59"/>
      <c r="D317" s="59"/>
      <c r="E317" s="59"/>
      <c r="F317" s="59"/>
      <c r="G317" s="79"/>
      <c r="H317" s="59"/>
    </row>
    <row r="318" spans="2:8" x14ac:dyDescent="0.2">
      <c r="B318" s="59"/>
      <c r="C318" s="59"/>
      <c r="D318" s="59"/>
      <c r="E318" s="59"/>
      <c r="F318" s="59"/>
      <c r="G318" s="79"/>
      <c r="H318" s="59"/>
    </row>
    <row r="319" spans="2:8" x14ac:dyDescent="0.2">
      <c r="B319" s="59"/>
      <c r="C319" s="59"/>
      <c r="D319" s="59"/>
      <c r="E319" s="59"/>
      <c r="F319" s="59"/>
      <c r="G319" s="79"/>
      <c r="H319" s="59"/>
    </row>
    <row r="320" spans="2:8" x14ac:dyDescent="0.2">
      <c r="B320" s="59"/>
      <c r="C320" s="59"/>
      <c r="D320" s="59"/>
      <c r="E320" s="59"/>
      <c r="F320" s="59"/>
      <c r="G320" s="79"/>
      <c r="H320" s="59"/>
    </row>
    <row r="321" spans="2:8" x14ac:dyDescent="0.2">
      <c r="B321" s="59"/>
      <c r="C321" s="59"/>
      <c r="D321" s="59"/>
      <c r="E321" s="59"/>
      <c r="F321" s="59"/>
      <c r="G321" s="79"/>
      <c r="H321" s="59"/>
    </row>
    <row r="322" spans="2:8" x14ac:dyDescent="0.2">
      <c r="B322" s="59"/>
      <c r="C322" s="59"/>
      <c r="D322" s="59"/>
      <c r="E322" s="59"/>
      <c r="F322" s="59"/>
      <c r="G322" s="79"/>
      <c r="H322" s="59"/>
    </row>
    <row r="323" spans="2:8" x14ac:dyDescent="0.2">
      <c r="B323" s="59"/>
      <c r="C323" s="59"/>
      <c r="D323" s="59"/>
      <c r="E323" s="59"/>
      <c r="F323" s="59"/>
      <c r="G323" s="79"/>
      <c r="H323" s="59"/>
    </row>
    <row r="324" spans="2:8" x14ac:dyDescent="0.2">
      <c r="B324" s="59"/>
      <c r="C324" s="59"/>
      <c r="D324" s="59"/>
      <c r="E324" s="59"/>
      <c r="F324" s="59"/>
      <c r="G324" s="79"/>
      <c r="H324" s="59"/>
    </row>
    <row r="325" spans="2:8" x14ac:dyDescent="0.2">
      <c r="B325" s="59"/>
      <c r="C325" s="59"/>
      <c r="D325" s="59"/>
      <c r="E325" s="59"/>
      <c r="F325" s="59"/>
      <c r="G325" s="79"/>
      <c r="H325" s="59"/>
    </row>
    <row r="326" spans="2:8" x14ac:dyDescent="0.2">
      <c r="B326" s="59"/>
      <c r="C326" s="59"/>
      <c r="D326" s="59"/>
      <c r="E326" s="59"/>
      <c r="F326" s="59"/>
      <c r="G326" s="79"/>
      <c r="H326" s="59"/>
    </row>
    <row r="327" spans="2:8" x14ac:dyDescent="0.2">
      <c r="B327" s="59"/>
      <c r="C327" s="59"/>
      <c r="D327" s="59"/>
      <c r="E327" s="59"/>
      <c r="F327" s="59"/>
      <c r="G327" s="79"/>
      <c r="H327" s="59"/>
    </row>
    <row r="328" spans="2:8" x14ac:dyDescent="0.2">
      <c r="B328" s="59"/>
      <c r="C328" s="59"/>
      <c r="D328" s="59"/>
      <c r="E328" s="59"/>
      <c r="F328" s="59"/>
      <c r="G328" s="79"/>
      <c r="H328" s="59"/>
    </row>
    <row r="329" spans="2:8" x14ac:dyDescent="0.2">
      <c r="B329" s="59"/>
      <c r="C329" s="59"/>
      <c r="D329" s="59"/>
      <c r="E329" s="59"/>
      <c r="F329" s="59"/>
      <c r="G329" s="79"/>
      <c r="H329" s="59"/>
    </row>
    <row r="330" spans="2:8" x14ac:dyDescent="0.2">
      <c r="B330" s="59"/>
      <c r="C330" s="59"/>
      <c r="D330" s="59"/>
      <c r="E330" s="59"/>
      <c r="F330" s="59"/>
      <c r="G330" s="79"/>
      <c r="H330" s="59"/>
    </row>
    <row r="331" spans="2:8" x14ac:dyDescent="0.2">
      <c r="B331" s="59"/>
      <c r="C331" s="59"/>
      <c r="D331" s="59"/>
      <c r="E331" s="59"/>
      <c r="F331" s="59"/>
      <c r="G331" s="79"/>
      <c r="H331" s="59"/>
    </row>
    <row r="332" spans="2:8" x14ac:dyDescent="0.2">
      <c r="B332" s="59"/>
      <c r="C332" s="59"/>
      <c r="D332" s="59"/>
      <c r="E332" s="59"/>
      <c r="F332" s="59"/>
      <c r="G332" s="79"/>
      <c r="H332" s="59"/>
    </row>
    <row r="333" spans="2:8" x14ac:dyDescent="0.2">
      <c r="B333" s="59"/>
      <c r="C333" s="59"/>
      <c r="D333" s="59"/>
      <c r="E333" s="59"/>
      <c r="F333" s="59"/>
      <c r="G333" s="79"/>
      <c r="H333" s="59"/>
    </row>
    <row r="334" spans="2:8" x14ac:dyDescent="0.2">
      <c r="B334" s="59"/>
      <c r="C334" s="59"/>
      <c r="D334" s="59"/>
      <c r="E334" s="59"/>
      <c r="F334" s="59"/>
      <c r="G334" s="79"/>
      <c r="H334" s="59"/>
    </row>
    <row r="335" spans="2:8" x14ac:dyDescent="0.2">
      <c r="B335" s="59"/>
      <c r="C335" s="59"/>
      <c r="D335" s="59"/>
      <c r="E335" s="59"/>
      <c r="F335" s="59"/>
      <c r="G335" s="79"/>
      <c r="H335" s="59"/>
    </row>
    <row r="336" spans="2:8" x14ac:dyDescent="0.2">
      <c r="B336" s="59"/>
      <c r="C336" s="59"/>
      <c r="D336" s="59"/>
      <c r="E336" s="59"/>
      <c r="F336" s="59"/>
      <c r="G336" s="79"/>
      <c r="H336" s="59"/>
    </row>
    <row r="337" spans="2:8" x14ac:dyDescent="0.2">
      <c r="B337" s="59"/>
      <c r="C337" s="59"/>
      <c r="D337" s="59"/>
      <c r="E337" s="59"/>
      <c r="F337" s="59"/>
      <c r="G337" s="79"/>
      <c r="H337" s="59"/>
    </row>
    <row r="338" spans="2:8" x14ac:dyDescent="0.2">
      <c r="B338" s="59"/>
      <c r="C338" s="59"/>
      <c r="D338" s="59"/>
      <c r="E338" s="59"/>
      <c r="F338" s="59"/>
      <c r="G338" s="79"/>
      <c r="H338" s="59"/>
    </row>
    <row r="339" spans="2:8" x14ac:dyDescent="0.2">
      <c r="B339" s="59"/>
      <c r="C339" s="59"/>
      <c r="D339" s="59"/>
      <c r="E339" s="59"/>
      <c r="F339" s="59"/>
      <c r="G339" s="79"/>
      <c r="H339" s="59"/>
    </row>
    <row r="340" spans="2:8" x14ac:dyDescent="0.2">
      <c r="B340" s="59"/>
      <c r="C340" s="59"/>
      <c r="D340" s="59"/>
      <c r="E340" s="59"/>
      <c r="F340" s="59"/>
      <c r="G340" s="79"/>
      <c r="H340" s="59"/>
    </row>
    <row r="341" spans="2:8" x14ac:dyDescent="0.2">
      <c r="B341" s="59"/>
      <c r="C341" s="59"/>
      <c r="D341" s="59"/>
      <c r="E341" s="59"/>
      <c r="F341" s="59"/>
      <c r="G341" s="79"/>
      <c r="H341" s="59"/>
    </row>
    <row r="342" spans="2:8" x14ac:dyDescent="0.2">
      <c r="B342" s="59"/>
      <c r="C342" s="59"/>
      <c r="D342" s="59"/>
      <c r="E342" s="59"/>
      <c r="F342" s="59"/>
      <c r="G342" s="79"/>
      <c r="H342" s="59"/>
    </row>
    <row r="343" spans="2:8" x14ac:dyDescent="0.2">
      <c r="B343" s="59"/>
      <c r="C343" s="59"/>
      <c r="D343" s="59"/>
      <c r="E343" s="59"/>
      <c r="F343" s="59"/>
      <c r="G343" s="79"/>
      <c r="H343" s="59"/>
    </row>
    <row r="344" spans="2:8" x14ac:dyDescent="0.2">
      <c r="B344" s="59"/>
      <c r="C344" s="59"/>
      <c r="D344" s="59"/>
      <c r="E344" s="59"/>
      <c r="F344" s="59"/>
      <c r="G344" s="79"/>
      <c r="H344" s="59"/>
    </row>
    <row r="345" spans="2:8" x14ac:dyDescent="0.2">
      <c r="B345" s="59"/>
      <c r="C345" s="59"/>
      <c r="D345" s="59"/>
      <c r="E345" s="59"/>
      <c r="F345" s="59"/>
      <c r="G345" s="79"/>
      <c r="H345" s="59"/>
    </row>
    <row r="346" spans="2:8" x14ac:dyDescent="0.2">
      <c r="B346" s="59"/>
      <c r="C346" s="59"/>
      <c r="D346" s="59"/>
      <c r="E346" s="59"/>
      <c r="F346" s="59"/>
      <c r="G346" s="79"/>
      <c r="H346" s="59"/>
    </row>
    <row r="347" spans="2:8" x14ac:dyDescent="0.2">
      <c r="B347" s="59"/>
      <c r="C347" s="59"/>
      <c r="D347" s="59"/>
      <c r="E347" s="59"/>
      <c r="F347" s="59"/>
      <c r="G347" s="79"/>
      <c r="H347" s="59"/>
    </row>
    <row r="348" spans="2:8" x14ac:dyDescent="0.2">
      <c r="B348" s="59"/>
      <c r="C348" s="59"/>
      <c r="D348" s="59"/>
      <c r="E348" s="59"/>
      <c r="F348" s="59"/>
      <c r="G348" s="79"/>
      <c r="H348" s="59"/>
    </row>
    <row r="349" spans="2:8" x14ac:dyDescent="0.2">
      <c r="B349" s="59"/>
      <c r="C349" s="59"/>
      <c r="D349" s="59"/>
      <c r="E349" s="59"/>
      <c r="F349" s="59"/>
      <c r="G349" s="79"/>
      <c r="H349" s="59"/>
    </row>
    <row r="350" spans="2:8" x14ac:dyDescent="0.2">
      <c r="B350" s="59"/>
      <c r="C350" s="59"/>
      <c r="D350" s="59"/>
      <c r="E350" s="59"/>
      <c r="F350" s="59"/>
      <c r="G350" s="79"/>
      <c r="H350" s="59"/>
    </row>
    <row r="351" spans="2:8" x14ac:dyDescent="0.2">
      <c r="B351" s="59"/>
      <c r="C351" s="59"/>
      <c r="D351" s="59"/>
      <c r="E351" s="59"/>
      <c r="F351" s="59"/>
      <c r="G351" s="79"/>
      <c r="H351" s="59"/>
    </row>
    <row r="352" spans="2:8" x14ac:dyDescent="0.2">
      <c r="B352" s="59"/>
      <c r="C352" s="59"/>
      <c r="D352" s="59"/>
      <c r="E352" s="59"/>
      <c r="F352" s="59"/>
      <c r="G352" s="79"/>
      <c r="H352" s="59"/>
    </row>
    <row r="353" spans="2:8" x14ac:dyDescent="0.2">
      <c r="B353" s="59"/>
      <c r="C353" s="59"/>
      <c r="D353" s="59"/>
      <c r="E353" s="59"/>
      <c r="F353" s="59"/>
      <c r="G353" s="79"/>
      <c r="H353" s="59"/>
    </row>
    <row r="354" spans="2:8" x14ac:dyDescent="0.2">
      <c r="B354" s="59"/>
      <c r="C354" s="59"/>
      <c r="D354" s="59"/>
      <c r="E354" s="59"/>
      <c r="F354" s="59"/>
      <c r="G354" s="79"/>
      <c r="H354" s="59"/>
    </row>
    <row r="355" spans="2:8" x14ac:dyDescent="0.2">
      <c r="B355" s="59"/>
      <c r="C355" s="59"/>
      <c r="D355" s="59"/>
      <c r="E355" s="59"/>
      <c r="F355" s="59"/>
      <c r="G355" s="79"/>
      <c r="H355" s="59"/>
    </row>
    <row r="356" spans="2:8" x14ac:dyDescent="0.2">
      <c r="B356" s="59"/>
      <c r="C356" s="59"/>
      <c r="D356" s="59"/>
      <c r="E356" s="59"/>
      <c r="F356" s="59"/>
      <c r="G356" s="79"/>
      <c r="H356" s="59"/>
    </row>
    <row r="357" spans="2:8" x14ac:dyDescent="0.2">
      <c r="B357" s="59"/>
      <c r="C357" s="59"/>
      <c r="D357" s="59"/>
      <c r="E357" s="59"/>
      <c r="F357" s="59"/>
      <c r="G357" s="79"/>
      <c r="H357" s="59"/>
    </row>
    <row r="358" spans="2:8" x14ac:dyDescent="0.2">
      <c r="B358" s="59"/>
      <c r="C358" s="59"/>
      <c r="D358" s="59"/>
      <c r="E358" s="59"/>
      <c r="F358" s="59"/>
      <c r="G358" s="79"/>
      <c r="H358" s="59"/>
    </row>
    <row r="359" spans="2:8" x14ac:dyDescent="0.2">
      <c r="B359" s="59"/>
      <c r="C359" s="59"/>
      <c r="D359" s="59"/>
      <c r="E359" s="59"/>
      <c r="F359" s="59"/>
      <c r="G359" s="79"/>
      <c r="H359" s="59"/>
    </row>
    <row r="360" spans="2:8" x14ac:dyDescent="0.2">
      <c r="B360" s="59"/>
      <c r="C360" s="59"/>
      <c r="D360" s="59"/>
      <c r="E360" s="59"/>
      <c r="F360" s="59"/>
      <c r="G360" s="79"/>
      <c r="H360" s="59"/>
    </row>
    <row r="361" spans="2:8" x14ac:dyDescent="0.2">
      <c r="B361" s="59"/>
      <c r="C361" s="59"/>
      <c r="D361" s="59"/>
      <c r="E361" s="59"/>
      <c r="F361" s="59"/>
      <c r="G361" s="79"/>
      <c r="H361" s="59"/>
    </row>
    <row r="362" spans="2:8" x14ac:dyDescent="0.2">
      <c r="B362" s="59"/>
      <c r="C362" s="59"/>
      <c r="D362" s="59"/>
      <c r="E362" s="59"/>
      <c r="F362" s="59"/>
      <c r="G362" s="79"/>
      <c r="H362" s="59"/>
    </row>
    <row r="363" spans="2:8" x14ac:dyDescent="0.2">
      <c r="B363" s="59"/>
      <c r="C363" s="59"/>
      <c r="D363" s="59"/>
      <c r="E363" s="59"/>
      <c r="F363" s="59"/>
      <c r="G363" s="79"/>
      <c r="H363" s="59"/>
    </row>
    <row r="364" spans="2:8" x14ac:dyDescent="0.2">
      <c r="B364" s="59"/>
      <c r="C364" s="59"/>
      <c r="D364" s="59"/>
      <c r="E364" s="59"/>
      <c r="F364" s="59"/>
      <c r="G364" s="79"/>
      <c r="H364" s="59"/>
    </row>
    <row r="365" spans="2:8" x14ac:dyDescent="0.2">
      <c r="B365" s="59"/>
      <c r="C365" s="59"/>
      <c r="D365" s="59"/>
      <c r="E365" s="59"/>
      <c r="F365" s="59"/>
      <c r="G365" s="79"/>
      <c r="H365" s="59"/>
    </row>
    <row r="366" spans="2:8" x14ac:dyDescent="0.2">
      <c r="B366" s="59"/>
      <c r="C366" s="59"/>
      <c r="D366" s="59"/>
      <c r="E366" s="59"/>
      <c r="F366" s="59"/>
      <c r="G366" s="79"/>
      <c r="H366" s="59"/>
    </row>
    <row r="367" spans="2:8" x14ac:dyDescent="0.2">
      <c r="B367" s="59"/>
      <c r="C367" s="59"/>
      <c r="D367" s="59"/>
      <c r="E367" s="59"/>
      <c r="F367" s="59"/>
      <c r="G367" s="79"/>
      <c r="H367" s="59"/>
    </row>
    <row r="368" spans="2:8" x14ac:dyDescent="0.2">
      <c r="B368" s="59"/>
      <c r="C368" s="59"/>
      <c r="D368" s="59"/>
      <c r="E368" s="59"/>
      <c r="F368" s="59"/>
      <c r="G368" s="79"/>
      <c r="H368" s="59"/>
    </row>
    <row r="369" spans="2:8" x14ac:dyDescent="0.2">
      <c r="B369" s="59"/>
      <c r="C369" s="59"/>
      <c r="D369" s="59"/>
      <c r="E369" s="59"/>
      <c r="F369" s="59"/>
      <c r="G369" s="79"/>
      <c r="H369" s="59"/>
    </row>
    <row r="370" spans="2:8" x14ac:dyDescent="0.2">
      <c r="B370" s="59"/>
      <c r="C370" s="59"/>
      <c r="D370" s="59"/>
      <c r="E370" s="59"/>
      <c r="F370" s="59"/>
      <c r="G370" s="79"/>
      <c r="H370" s="59"/>
    </row>
    <row r="371" spans="2:8" x14ac:dyDescent="0.2">
      <c r="B371" s="59"/>
      <c r="C371" s="59"/>
      <c r="D371" s="59"/>
      <c r="E371" s="59"/>
      <c r="F371" s="59"/>
      <c r="G371" s="79"/>
      <c r="H371" s="59"/>
    </row>
    <row r="372" spans="2:8" x14ac:dyDescent="0.2">
      <c r="B372" s="59"/>
      <c r="C372" s="59"/>
      <c r="D372" s="59"/>
      <c r="E372" s="59"/>
      <c r="F372" s="59"/>
      <c r="G372" s="79"/>
      <c r="H372" s="59"/>
    </row>
    <row r="373" spans="2:8" x14ac:dyDescent="0.2">
      <c r="B373" s="59"/>
      <c r="C373" s="59"/>
      <c r="D373" s="59"/>
      <c r="E373" s="59"/>
      <c r="F373" s="59"/>
      <c r="G373" s="79"/>
      <c r="H373" s="59"/>
    </row>
    <row r="374" spans="2:8" x14ac:dyDescent="0.2">
      <c r="B374" s="59"/>
      <c r="C374" s="59"/>
      <c r="D374" s="59"/>
      <c r="E374" s="59"/>
      <c r="F374" s="59"/>
      <c r="G374" s="79"/>
      <c r="H374" s="59"/>
    </row>
    <row r="375" spans="2:8" x14ac:dyDescent="0.2">
      <c r="B375" s="59"/>
      <c r="C375" s="59"/>
      <c r="D375" s="59"/>
      <c r="E375" s="59"/>
      <c r="F375" s="59"/>
      <c r="G375" s="79"/>
      <c r="H375" s="59"/>
    </row>
    <row r="376" spans="2:8" x14ac:dyDescent="0.2">
      <c r="B376" s="59"/>
      <c r="C376" s="59"/>
      <c r="D376" s="59"/>
      <c r="E376" s="59"/>
      <c r="F376" s="59"/>
      <c r="G376" s="79"/>
      <c r="H376" s="59"/>
    </row>
    <row r="377" spans="2:8" x14ac:dyDescent="0.2">
      <c r="B377" s="59"/>
      <c r="C377" s="59"/>
      <c r="D377" s="59"/>
      <c r="E377" s="59"/>
      <c r="F377" s="59"/>
      <c r="G377" s="79"/>
      <c r="H377" s="59"/>
    </row>
    <row r="378" spans="2:8" x14ac:dyDescent="0.2">
      <c r="B378" s="59"/>
      <c r="C378" s="59"/>
      <c r="D378" s="59"/>
      <c r="E378" s="59"/>
      <c r="F378" s="59"/>
      <c r="G378" s="79"/>
      <c r="H378" s="59"/>
    </row>
    <row r="379" spans="2:8" x14ac:dyDescent="0.2">
      <c r="B379" s="59"/>
      <c r="C379" s="59"/>
      <c r="D379" s="59"/>
      <c r="E379" s="59"/>
      <c r="F379" s="59"/>
      <c r="G379" s="79"/>
      <c r="H379" s="59"/>
    </row>
    <row r="380" spans="2:8" x14ac:dyDescent="0.2">
      <c r="B380" s="59"/>
      <c r="C380" s="59"/>
      <c r="D380" s="59"/>
      <c r="E380" s="59"/>
      <c r="F380" s="59"/>
      <c r="G380" s="79"/>
      <c r="H380" s="59"/>
    </row>
    <row r="381" spans="2:8" x14ac:dyDescent="0.2">
      <c r="B381" s="59"/>
      <c r="C381" s="59"/>
      <c r="D381" s="59"/>
      <c r="E381" s="59"/>
      <c r="F381" s="59"/>
      <c r="G381" s="79"/>
      <c r="H381" s="59"/>
    </row>
    <row r="382" spans="2:8" x14ac:dyDescent="0.2">
      <c r="B382" s="59"/>
      <c r="C382" s="59"/>
      <c r="D382" s="59"/>
      <c r="E382" s="59"/>
      <c r="F382" s="59"/>
      <c r="G382" s="79"/>
      <c r="H382" s="59"/>
    </row>
    <row r="383" spans="2:8" x14ac:dyDescent="0.2">
      <c r="B383" s="59"/>
      <c r="C383" s="59"/>
      <c r="D383" s="59"/>
      <c r="E383" s="59"/>
      <c r="F383" s="59"/>
      <c r="G383" s="79"/>
      <c r="H383" s="59"/>
    </row>
    <row r="384" spans="2:8" x14ac:dyDescent="0.2">
      <c r="B384" s="59"/>
      <c r="C384" s="59"/>
      <c r="D384" s="59"/>
      <c r="E384" s="59"/>
      <c r="F384" s="59"/>
      <c r="G384" s="79"/>
      <c r="H384" s="59"/>
    </row>
    <row r="385" spans="2:8" x14ac:dyDescent="0.2">
      <c r="B385" s="59"/>
      <c r="C385" s="59"/>
      <c r="D385" s="59"/>
      <c r="E385" s="59"/>
      <c r="F385" s="59"/>
      <c r="G385" s="79"/>
      <c r="H385" s="59"/>
    </row>
    <row r="386" spans="2:8" x14ac:dyDescent="0.2">
      <c r="B386" s="59"/>
      <c r="C386" s="59"/>
      <c r="D386" s="59"/>
      <c r="E386" s="59"/>
      <c r="F386" s="59"/>
      <c r="G386" s="79"/>
      <c r="H386" s="59"/>
    </row>
    <row r="387" spans="2:8" x14ac:dyDescent="0.2">
      <c r="B387" s="59"/>
      <c r="C387" s="59"/>
      <c r="D387" s="59"/>
      <c r="E387" s="59"/>
      <c r="F387" s="59"/>
      <c r="G387" s="79"/>
      <c r="H387" s="59"/>
    </row>
    <row r="388" spans="2:8" x14ac:dyDescent="0.2">
      <c r="B388" s="59"/>
      <c r="C388" s="59"/>
      <c r="D388" s="59"/>
      <c r="E388" s="59"/>
      <c r="F388" s="59"/>
      <c r="G388" s="79"/>
      <c r="H388" s="59"/>
    </row>
    <row r="389" spans="2:8" x14ac:dyDescent="0.2">
      <c r="B389" s="59"/>
      <c r="C389" s="59"/>
      <c r="D389" s="59"/>
      <c r="E389" s="59"/>
      <c r="F389" s="59"/>
      <c r="G389" s="79"/>
      <c r="H389" s="59"/>
    </row>
    <row r="390" spans="2:8" x14ac:dyDescent="0.2">
      <c r="B390" s="59"/>
      <c r="C390" s="59"/>
      <c r="D390" s="59"/>
      <c r="E390" s="59"/>
      <c r="F390" s="59"/>
      <c r="G390" s="79"/>
      <c r="H390" s="59"/>
    </row>
    <row r="391" spans="2:8" x14ac:dyDescent="0.2">
      <c r="B391" s="59"/>
      <c r="C391" s="59"/>
      <c r="D391" s="59"/>
      <c r="E391" s="59"/>
      <c r="F391" s="59"/>
      <c r="G391" s="79"/>
      <c r="H391" s="59"/>
    </row>
    <row r="392" spans="2:8" x14ac:dyDescent="0.2">
      <c r="B392" s="59"/>
      <c r="C392" s="59"/>
      <c r="D392" s="59"/>
      <c r="E392" s="59"/>
      <c r="F392" s="59"/>
      <c r="G392" s="79"/>
      <c r="H392" s="59"/>
    </row>
    <row r="393" spans="2:8" x14ac:dyDescent="0.2">
      <c r="B393" s="59"/>
      <c r="C393" s="59"/>
      <c r="D393" s="59"/>
      <c r="E393" s="59"/>
      <c r="F393" s="59"/>
      <c r="G393" s="79"/>
      <c r="H393" s="59"/>
    </row>
    <row r="394" spans="2:8" x14ac:dyDescent="0.2">
      <c r="B394" s="59"/>
      <c r="C394" s="59"/>
      <c r="D394" s="59"/>
      <c r="E394" s="59"/>
      <c r="F394" s="59"/>
      <c r="G394" s="79"/>
      <c r="H394" s="59"/>
    </row>
    <row r="395" spans="2:8" x14ac:dyDescent="0.2">
      <c r="B395" s="59"/>
      <c r="C395" s="59"/>
      <c r="D395" s="59"/>
      <c r="E395" s="59"/>
      <c r="F395" s="59"/>
      <c r="G395" s="79"/>
      <c r="H395" s="59"/>
    </row>
    <row r="396" spans="2:8" x14ac:dyDescent="0.2">
      <c r="B396" s="59"/>
      <c r="C396" s="59"/>
      <c r="D396" s="59"/>
      <c r="E396" s="59"/>
      <c r="F396" s="59"/>
      <c r="G396" s="79"/>
      <c r="H396" s="59"/>
    </row>
    <row r="397" spans="2:8" x14ac:dyDescent="0.2">
      <c r="B397" s="59"/>
      <c r="C397" s="59"/>
      <c r="D397" s="59"/>
      <c r="E397" s="59"/>
      <c r="F397" s="59"/>
      <c r="G397" s="79"/>
      <c r="H397" s="59"/>
    </row>
    <row r="398" spans="2:8" x14ac:dyDescent="0.2">
      <c r="B398" s="59"/>
      <c r="C398" s="59"/>
      <c r="D398" s="59"/>
      <c r="E398" s="59"/>
      <c r="F398" s="59"/>
      <c r="G398" s="79"/>
      <c r="H398" s="59"/>
    </row>
    <row r="399" spans="2:8" x14ac:dyDescent="0.2">
      <c r="B399" s="59"/>
      <c r="C399" s="59"/>
      <c r="D399" s="59"/>
      <c r="E399" s="59"/>
      <c r="F399" s="59"/>
      <c r="G399" s="79"/>
      <c r="H399" s="59"/>
    </row>
    <row r="400" spans="2:8" x14ac:dyDescent="0.2">
      <c r="B400" s="59"/>
      <c r="C400" s="59"/>
      <c r="D400" s="59"/>
      <c r="E400" s="59"/>
      <c r="F400" s="59"/>
      <c r="G400" s="79"/>
      <c r="H400" s="59"/>
    </row>
    <row r="401" spans="2:8" x14ac:dyDescent="0.2">
      <c r="B401" s="59"/>
      <c r="C401" s="59"/>
      <c r="D401" s="59"/>
      <c r="E401" s="59"/>
      <c r="F401" s="59"/>
      <c r="G401" s="79"/>
      <c r="H401" s="59"/>
    </row>
    <row r="402" spans="2:8" x14ac:dyDescent="0.2">
      <c r="B402" s="59"/>
      <c r="C402" s="59"/>
      <c r="D402" s="59"/>
      <c r="E402" s="59"/>
      <c r="F402" s="59"/>
      <c r="G402" s="79"/>
      <c r="H402" s="59"/>
    </row>
    <row r="403" spans="2:8" x14ac:dyDescent="0.2">
      <c r="B403" s="59"/>
      <c r="C403" s="59"/>
      <c r="D403" s="59"/>
      <c r="E403" s="59"/>
      <c r="F403" s="59"/>
      <c r="G403" s="79"/>
      <c r="H403" s="59"/>
    </row>
    <row r="404" spans="2:8" x14ac:dyDescent="0.2">
      <c r="B404" s="59"/>
      <c r="C404" s="59"/>
      <c r="D404" s="59"/>
      <c r="E404" s="59"/>
      <c r="F404" s="59"/>
      <c r="G404" s="79"/>
      <c r="H404" s="59"/>
    </row>
    <row r="405" spans="2:8" x14ac:dyDescent="0.2">
      <c r="B405" s="59"/>
      <c r="C405" s="59"/>
      <c r="D405" s="59"/>
      <c r="E405" s="59"/>
      <c r="F405" s="59"/>
      <c r="G405" s="79"/>
      <c r="H405" s="59"/>
    </row>
    <row r="406" spans="2:8" x14ac:dyDescent="0.2">
      <c r="B406" s="59"/>
      <c r="C406" s="59"/>
      <c r="D406" s="59"/>
      <c r="E406" s="59"/>
      <c r="F406" s="59"/>
      <c r="G406" s="79"/>
      <c r="H406" s="59"/>
    </row>
    <row r="407" spans="2:8" x14ac:dyDescent="0.2">
      <c r="B407" s="59"/>
      <c r="C407" s="59"/>
      <c r="D407" s="59"/>
      <c r="E407" s="59"/>
      <c r="F407" s="59"/>
      <c r="G407" s="79"/>
      <c r="H407" s="59"/>
    </row>
    <row r="408" spans="2:8" x14ac:dyDescent="0.2">
      <c r="B408" s="59"/>
      <c r="C408" s="59"/>
      <c r="D408" s="59"/>
      <c r="E408" s="59"/>
      <c r="F408" s="59"/>
      <c r="G408" s="79"/>
      <c r="H408" s="59"/>
    </row>
    <row r="409" spans="2:8" x14ac:dyDescent="0.2">
      <c r="B409" s="59"/>
      <c r="C409" s="59"/>
      <c r="D409" s="59"/>
      <c r="E409" s="59"/>
      <c r="F409" s="59"/>
      <c r="G409" s="79"/>
      <c r="H409" s="59"/>
    </row>
    <row r="410" spans="2:8" x14ac:dyDescent="0.2">
      <c r="B410" s="59"/>
      <c r="C410" s="59"/>
      <c r="D410" s="59"/>
      <c r="E410" s="59"/>
      <c r="F410" s="59"/>
      <c r="G410" s="79"/>
      <c r="H410" s="59"/>
    </row>
    <row r="411" spans="2:8" x14ac:dyDescent="0.2">
      <c r="B411" s="59"/>
      <c r="C411" s="59"/>
      <c r="D411" s="59"/>
      <c r="E411" s="59"/>
      <c r="F411" s="59"/>
      <c r="G411" s="79"/>
      <c r="H411" s="59"/>
    </row>
    <row r="412" spans="2:8" x14ac:dyDescent="0.2">
      <c r="B412" s="59"/>
      <c r="C412" s="59"/>
      <c r="D412" s="59"/>
      <c r="E412" s="59"/>
      <c r="F412" s="59"/>
      <c r="G412" s="79"/>
      <c r="H412" s="59"/>
    </row>
    <row r="413" spans="2:8" x14ac:dyDescent="0.2">
      <c r="B413" s="59"/>
      <c r="C413" s="59"/>
      <c r="D413" s="59"/>
      <c r="E413" s="59"/>
      <c r="F413" s="59"/>
      <c r="G413" s="79"/>
      <c r="H413" s="59"/>
    </row>
    <row r="414" spans="2:8" x14ac:dyDescent="0.2">
      <c r="B414" s="59"/>
      <c r="C414" s="59"/>
      <c r="D414" s="59"/>
      <c r="E414" s="59"/>
      <c r="F414" s="59"/>
      <c r="G414" s="79"/>
      <c r="H414" s="59"/>
    </row>
    <row r="415" spans="2:8" x14ac:dyDescent="0.2">
      <c r="B415" s="59"/>
      <c r="C415" s="59"/>
      <c r="D415" s="59"/>
      <c r="E415" s="59"/>
      <c r="F415" s="59"/>
      <c r="G415" s="79"/>
      <c r="H415" s="59"/>
    </row>
    <row r="416" spans="2:8" x14ac:dyDescent="0.2">
      <c r="B416" s="59"/>
      <c r="C416" s="59"/>
      <c r="D416" s="59"/>
      <c r="E416" s="59"/>
      <c r="F416" s="59"/>
      <c r="G416" s="79"/>
      <c r="H416" s="59"/>
    </row>
    <row r="417" spans="2:8" x14ac:dyDescent="0.2">
      <c r="B417" s="59"/>
      <c r="C417" s="59"/>
      <c r="D417" s="59"/>
      <c r="E417" s="59"/>
      <c r="F417" s="59"/>
      <c r="G417" s="79"/>
      <c r="H417" s="59"/>
    </row>
    <row r="418" spans="2:8" x14ac:dyDescent="0.2">
      <c r="B418" s="59"/>
      <c r="C418" s="59"/>
      <c r="D418" s="59"/>
      <c r="E418" s="59"/>
      <c r="F418" s="59"/>
      <c r="G418" s="79"/>
      <c r="H418" s="59"/>
    </row>
    <row r="419" spans="2:8" x14ac:dyDescent="0.2">
      <c r="B419" s="59"/>
      <c r="C419" s="59"/>
      <c r="D419" s="59"/>
      <c r="E419" s="59"/>
      <c r="F419" s="59"/>
      <c r="G419" s="79"/>
      <c r="H419" s="59"/>
    </row>
    <row r="420" spans="2:8" x14ac:dyDescent="0.2">
      <c r="B420" s="59"/>
      <c r="C420" s="59"/>
      <c r="D420" s="59"/>
      <c r="E420" s="59"/>
      <c r="F420" s="59"/>
      <c r="G420" s="79"/>
      <c r="H420" s="59"/>
    </row>
    <row r="421" spans="2:8" x14ac:dyDescent="0.2">
      <c r="B421" s="59"/>
      <c r="C421" s="59"/>
      <c r="D421" s="59"/>
      <c r="E421" s="59"/>
      <c r="F421" s="59"/>
      <c r="G421" s="79"/>
      <c r="H421" s="59"/>
    </row>
    <row r="422" spans="2:8" x14ac:dyDescent="0.2">
      <c r="B422" s="59"/>
      <c r="C422" s="59"/>
      <c r="D422" s="59"/>
      <c r="E422" s="59"/>
      <c r="F422" s="59"/>
      <c r="G422" s="79"/>
      <c r="H422" s="59"/>
    </row>
    <row r="423" spans="2:8" x14ac:dyDescent="0.2">
      <c r="B423" s="59"/>
      <c r="C423" s="59"/>
      <c r="D423" s="59"/>
      <c r="E423" s="59"/>
      <c r="F423" s="59"/>
      <c r="G423" s="79"/>
      <c r="H423" s="59"/>
    </row>
    <row r="424" spans="2:8" x14ac:dyDescent="0.2">
      <c r="B424" s="59"/>
      <c r="C424" s="59"/>
      <c r="D424" s="59"/>
      <c r="E424" s="59"/>
      <c r="F424" s="59"/>
      <c r="G424" s="79"/>
      <c r="H424" s="59"/>
    </row>
    <row r="425" spans="2:8" x14ac:dyDescent="0.2">
      <c r="B425" s="59"/>
      <c r="C425" s="59"/>
      <c r="D425" s="59"/>
      <c r="E425" s="59"/>
      <c r="F425" s="59"/>
      <c r="G425" s="79"/>
      <c r="H425" s="59"/>
    </row>
    <row r="426" spans="2:8" x14ac:dyDescent="0.2">
      <c r="B426" s="59"/>
      <c r="C426" s="59"/>
      <c r="D426" s="59"/>
      <c r="E426" s="59"/>
      <c r="F426" s="59"/>
      <c r="G426" s="79"/>
      <c r="H426" s="59"/>
    </row>
    <row r="427" spans="2:8" x14ac:dyDescent="0.2">
      <c r="B427" s="59"/>
      <c r="C427" s="59"/>
      <c r="D427" s="59"/>
      <c r="E427" s="59"/>
      <c r="F427" s="59"/>
      <c r="G427" s="79"/>
      <c r="H427" s="59"/>
    </row>
    <row r="428" spans="2:8" x14ac:dyDescent="0.2">
      <c r="B428" s="59"/>
      <c r="C428" s="59"/>
      <c r="D428" s="59"/>
      <c r="E428" s="59"/>
      <c r="F428" s="59"/>
      <c r="G428" s="79"/>
      <c r="H428" s="59"/>
    </row>
    <row r="429" spans="2:8" x14ac:dyDescent="0.2">
      <c r="B429" s="59"/>
      <c r="C429" s="59"/>
      <c r="D429" s="59"/>
      <c r="E429" s="59"/>
      <c r="F429" s="59"/>
      <c r="G429" s="79"/>
      <c r="H429" s="59"/>
    </row>
    <row r="430" spans="2:8" x14ac:dyDescent="0.2">
      <c r="B430" s="59"/>
      <c r="C430" s="59"/>
      <c r="D430" s="59"/>
      <c r="E430" s="59"/>
      <c r="F430" s="59"/>
      <c r="G430" s="79"/>
      <c r="H430" s="59"/>
    </row>
    <row r="431" spans="2:8" x14ac:dyDescent="0.2">
      <c r="B431" s="59"/>
      <c r="C431" s="59"/>
      <c r="D431" s="59"/>
      <c r="E431" s="59"/>
      <c r="F431" s="59"/>
      <c r="G431" s="79"/>
      <c r="H431" s="59"/>
    </row>
    <row r="432" spans="2:8" x14ac:dyDescent="0.2">
      <c r="B432" s="59"/>
      <c r="C432" s="59"/>
      <c r="D432" s="59"/>
      <c r="E432" s="59"/>
      <c r="F432" s="59"/>
      <c r="G432" s="79"/>
      <c r="H432" s="59"/>
    </row>
    <row r="433" spans="2:8" x14ac:dyDescent="0.2">
      <c r="B433" s="59"/>
      <c r="C433" s="59"/>
      <c r="D433" s="59"/>
      <c r="E433" s="59"/>
      <c r="F433" s="59"/>
      <c r="G433" s="79"/>
      <c r="H433" s="59"/>
    </row>
    <row r="434" spans="2:8" x14ac:dyDescent="0.2">
      <c r="B434" s="59"/>
      <c r="C434" s="59"/>
      <c r="D434" s="59"/>
      <c r="E434" s="59"/>
      <c r="F434" s="59"/>
      <c r="G434" s="79"/>
      <c r="H434" s="59"/>
    </row>
    <row r="435" spans="2:8" x14ac:dyDescent="0.2">
      <c r="B435" s="59"/>
      <c r="C435" s="59"/>
      <c r="D435" s="59"/>
      <c r="E435" s="59"/>
      <c r="F435" s="59"/>
      <c r="G435" s="79"/>
      <c r="H435" s="59"/>
    </row>
    <row r="436" spans="2:8" x14ac:dyDescent="0.2">
      <c r="B436" s="59"/>
      <c r="C436" s="59"/>
      <c r="D436" s="59"/>
      <c r="E436" s="59"/>
      <c r="F436" s="59"/>
      <c r="G436" s="79"/>
      <c r="H436" s="59"/>
    </row>
    <row r="437" spans="2:8" x14ac:dyDescent="0.2">
      <c r="B437" s="59"/>
      <c r="C437" s="59"/>
      <c r="D437" s="59"/>
      <c r="E437" s="59"/>
      <c r="F437" s="59"/>
      <c r="G437" s="79"/>
      <c r="H437" s="59"/>
    </row>
    <row r="438" spans="2:8" x14ac:dyDescent="0.2">
      <c r="B438" s="59"/>
      <c r="C438" s="59"/>
      <c r="D438" s="59"/>
      <c r="E438" s="59"/>
      <c r="F438" s="59"/>
      <c r="G438" s="79"/>
      <c r="H438" s="59"/>
    </row>
    <row r="439" spans="2:8" x14ac:dyDescent="0.2">
      <c r="B439" s="59"/>
      <c r="C439" s="59"/>
      <c r="D439" s="59"/>
      <c r="E439" s="59"/>
      <c r="F439" s="59"/>
      <c r="G439" s="79"/>
      <c r="H439" s="59"/>
    </row>
    <row r="440" spans="2:8" x14ac:dyDescent="0.2">
      <c r="B440" s="59"/>
      <c r="C440" s="59"/>
      <c r="D440" s="59"/>
      <c r="E440" s="59"/>
      <c r="F440" s="59"/>
      <c r="G440" s="79"/>
      <c r="H440" s="59"/>
    </row>
    <row r="441" spans="2:8" x14ac:dyDescent="0.2">
      <c r="B441" s="59"/>
      <c r="C441" s="59"/>
      <c r="D441" s="59"/>
      <c r="E441" s="59"/>
      <c r="F441" s="59"/>
      <c r="G441" s="79"/>
      <c r="H441" s="59"/>
    </row>
    <row r="442" spans="2:8" x14ac:dyDescent="0.2">
      <c r="B442" s="59"/>
      <c r="C442" s="59"/>
      <c r="D442" s="59"/>
      <c r="E442" s="59"/>
      <c r="F442" s="59"/>
      <c r="G442" s="79"/>
      <c r="H442" s="59"/>
    </row>
    <row r="443" spans="2:8" x14ac:dyDescent="0.2">
      <c r="B443" s="59"/>
      <c r="C443" s="59"/>
      <c r="D443" s="59"/>
      <c r="E443" s="59"/>
      <c r="F443" s="59"/>
      <c r="G443" s="79"/>
      <c r="H443" s="59"/>
    </row>
    <row r="444" spans="2:8" x14ac:dyDescent="0.2">
      <c r="B444" s="59"/>
      <c r="C444" s="59"/>
      <c r="D444" s="59"/>
      <c r="E444" s="59"/>
      <c r="F444" s="59"/>
      <c r="G444" s="79"/>
      <c r="H444" s="59"/>
    </row>
    <row r="445" spans="2:8" x14ac:dyDescent="0.2">
      <c r="B445" s="59"/>
      <c r="C445" s="59"/>
      <c r="D445" s="59"/>
      <c r="E445" s="59"/>
      <c r="F445" s="59"/>
      <c r="G445" s="79"/>
      <c r="H445" s="59"/>
    </row>
    <row r="446" spans="2:8" x14ac:dyDescent="0.2">
      <c r="B446" s="59"/>
      <c r="C446" s="59"/>
      <c r="D446" s="59"/>
      <c r="E446" s="59"/>
      <c r="F446" s="59"/>
      <c r="G446" s="79"/>
      <c r="H446" s="59"/>
    </row>
    <row r="447" spans="2:8" x14ac:dyDescent="0.2">
      <c r="B447" s="59"/>
      <c r="C447" s="59"/>
      <c r="D447" s="59"/>
      <c r="E447" s="59"/>
      <c r="F447" s="59"/>
      <c r="G447" s="79"/>
      <c r="H447" s="59"/>
    </row>
    <row r="448" spans="2:8" x14ac:dyDescent="0.2">
      <c r="B448" s="59"/>
      <c r="C448" s="59"/>
      <c r="D448" s="59"/>
      <c r="E448" s="59"/>
      <c r="F448" s="59"/>
      <c r="G448" s="79"/>
      <c r="H448" s="59"/>
    </row>
    <row r="449" spans="2:8" x14ac:dyDescent="0.2">
      <c r="B449" s="59"/>
      <c r="C449" s="59"/>
      <c r="D449" s="59"/>
      <c r="E449" s="59"/>
      <c r="F449" s="59"/>
      <c r="G449" s="79"/>
      <c r="H449" s="59"/>
    </row>
    <row r="450" spans="2:8" x14ac:dyDescent="0.2">
      <c r="B450" s="59"/>
      <c r="C450" s="59"/>
      <c r="D450" s="59"/>
      <c r="E450" s="59"/>
      <c r="F450" s="59"/>
      <c r="G450" s="79"/>
      <c r="H450" s="59"/>
    </row>
    <row r="451" spans="2:8" x14ac:dyDescent="0.2">
      <c r="B451" s="59"/>
      <c r="C451" s="59"/>
      <c r="D451" s="59"/>
      <c r="E451" s="59"/>
      <c r="F451" s="59"/>
      <c r="G451" s="79"/>
      <c r="H451" s="59"/>
    </row>
    <row r="452" spans="2:8" x14ac:dyDescent="0.2">
      <c r="B452" s="59"/>
      <c r="C452" s="59"/>
      <c r="D452" s="59"/>
      <c r="E452" s="59"/>
      <c r="F452" s="59"/>
      <c r="G452" s="79"/>
      <c r="H452" s="59"/>
    </row>
    <row r="453" spans="2:8" x14ac:dyDescent="0.2">
      <c r="B453" s="59"/>
      <c r="C453" s="59"/>
      <c r="D453" s="59"/>
      <c r="E453" s="59"/>
      <c r="F453" s="59"/>
      <c r="G453" s="79"/>
      <c r="H453" s="59"/>
    </row>
    <row r="454" spans="2:8" x14ac:dyDescent="0.2">
      <c r="B454" s="59"/>
      <c r="C454" s="59"/>
      <c r="D454" s="59"/>
      <c r="E454" s="59"/>
      <c r="F454" s="59"/>
      <c r="G454" s="79"/>
      <c r="H454" s="59"/>
    </row>
    <row r="455" spans="2:8" x14ac:dyDescent="0.2">
      <c r="B455" s="59"/>
      <c r="C455" s="59"/>
      <c r="D455" s="59"/>
      <c r="E455" s="59"/>
      <c r="F455" s="59"/>
      <c r="G455" s="79"/>
      <c r="H455" s="59"/>
    </row>
    <row r="456" spans="2:8" x14ac:dyDescent="0.2">
      <c r="B456" s="59"/>
      <c r="C456" s="59"/>
      <c r="D456" s="59"/>
      <c r="E456" s="59"/>
      <c r="F456" s="59"/>
      <c r="G456" s="79"/>
      <c r="H456" s="59"/>
    </row>
    <row r="457" spans="2:8" x14ac:dyDescent="0.2">
      <c r="B457" s="59"/>
      <c r="C457" s="59"/>
      <c r="D457" s="59"/>
      <c r="E457" s="59"/>
      <c r="F457" s="59"/>
      <c r="G457" s="79"/>
      <c r="H457" s="59"/>
    </row>
    <row r="458" spans="2:8" x14ac:dyDescent="0.2">
      <c r="B458" s="59"/>
      <c r="C458" s="59"/>
      <c r="D458" s="59"/>
      <c r="E458" s="59"/>
      <c r="F458" s="59"/>
      <c r="G458" s="79"/>
      <c r="H458" s="59"/>
    </row>
    <row r="459" spans="2:8" x14ac:dyDescent="0.2">
      <c r="B459" s="59"/>
      <c r="C459" s="59"/>
      <c r="D459" s="59"/>
      <c r="E459" s="59"/>
      <c r="F459" s="59"/>
      <c r="G459" s="79"/>
      <c r="H459" s="59"/>
    </row>
    <row r="460" spans="2:8" x14ac:dyDescent="0.2">
      <c r="B460" s="59"/>
      <c r="C460" s="59"/>
      <c r="D460" s="59"/>
      <c r="E460" s="59"/>
      <c r="F460" s="59"/>
      <c r="G460" s="79"/>
      <c r="H460" s="59"/>
    </row>
    <row r="461" spans="2:8" x14ac:dyDescent="0.2">
      <c r="B461" s="59"/>
      <c r="C461" s="59"/>
      <c r="D461" s="59"/>
      <c r="E461" s="59"/>
      <c r="F461" s="59"/>
      <c r="G461" s="79"/>
      <c r="H461" s="59"/>
    </row>
    <row r="462" spans="2:8" x14ac:dyDescent="0.2">
      <c r="B462" s="59"/>
      <c r="C462" s="59"/>
      <c r="D462" s="59"/>
      <c r="E462" s="59"/>
      <c r="F462" s="59"/>
      <c r="G462" s="79"/>
      <c r="H462" s="59"/>
    </row>
    <row r="463" spans="2:8" x14ac:dyDescent="0.2">
      <c r="B463" s="59"/>
      <c r="C463" s="59"/>
      <c r="D463" s="59"/>
      <c r="E463" s="59"/>
      <c r="F463" s="59"/>
      <c r="G463" s="79"/>
      <c r="H463" s="59"/>
    </row>
    <row r="464" spans="2:8" x14ac:dyDescent="0.2">
      <c r="B464" s="59"/>
      <c r="C464" s="59"/>
      <c r="D464" s="59"/>
      <c r="E464" s="59"/>
      <c r="F464" s="59"/>
      <c r="G464" s="79"/>
      <c r="H464" s="59"/>
    </row>
    <row r="465" spans="2:8" x14ac:dyDescent="0.2">
      <c r="B465" s="59"/>
      <c r="C465" s="59"/>
      <c r="D465" s="59"/>
      <c r="E465" s="59"/>
      <c r="F465" s="59"/>
      <c r="G465" s="79"/>
      <c r="H465" s="59"/>
    </row>
    <row r="466" spans="2:8" x14ac:dyDescent="0.2">
      <c r="B466" s="59"/>
      <c r="C466" s="59"/>
      <c r="D466" s="59"/>
      <c r="E466" s="59"/>
      <c r="F466" s="59"/>
      <c r="G466" s="79"/>
      <c r="H466" s="59"/>
    </row>
    <row r="467" spans="2:8" x14ac:dyDescent="0.2">
      <c r="B467" s="59"/>
      <c r="C467" s="59"/>
      <c r="D467" s="59"/>
      <c r="E467" s="59"/>
      <c r="F467" s="59"/>
      <c r="G467" s="79"/>
      <c r="H467" s="59"/>
    </row>
    <row r="468" spans="2:8" x14ac:dyDescent="0.2">
      <c r="B468" s="59"/>
      <c r="C468" s="59"/>
      <c r="D468" s="59"/>
      <c r="E468" s="59"/>
      <c r="F468" s="59"/>
      <c r="G468" s="79"/>
      <c r="H468" s="59"/>
    </row>
    <row r="469" spans="2:8" x14ac:dyDescent="0.2">
      <c r="B469" s="59"/>
      <c r="C469" s="59"/>
      <c r="D469" s="59"/>
      <c r="E469" s="59"/>
      <c r="F469" s="59"/>
      <c r="G469" s="79"/>
      <c r="H469" s="59"/>
    </row>
    <row r="470" spans="2:8" x14ac:dyDescent="0.2">
      <c r="B470" s="59"/>
      <c r="C470" s="59"/>
      <c r="D470" s="59"/>
      <c r="E470" s="59"/>
      <c r="F470" s="59"/>
      <c r="G470" s="79"/>
      <c r="H470" s="59"/>
    </row>
    <row r="471" spans="2:8" x14ac:dyDescent="0.2">
      <c r="B471" s="59"/>
      <c r="C471" s="59"/>
      <c r="D471" s="59"/>
      <c r="E471" s="59"/>
      <c r="F471" s="59"/>
      <c r="G471" s="79"/>
      <c r="H471" s="59"/>
    </row>
    <row r="472" spans="2:8" x14ac:dyDescent="0.2">
      <c r="B472" s="59"/>
      <c r="C472" s="59"/>
      <c r="D472" s="59"/>
      <c r="E472" s="59"/>
      <c r="F472" s="59"/>
      <c r="G472" s="79"/>
      <c r="H472" s="59"/>
    </row>
    <row r="473" spans="2:8" x14ac:dyDescent="0.2">
      <c r="B473" s="59"/>
      <c r="C473" s="59"/>
      <c r="D473" s="59"/>
      <c r="E473" s="59"/>
      <c r="F473" s="59"/>
      <c r="G473" s="79"/>
      <c r="H473" s="59"/>
    </row>
    <row r="474" spans="2:8" x14ac:dyDescent="0.2">
      <c r="B474" s="59"/>
      <c r="C474" s="59"/>
      <c r="D474" s="59"/>
      <c r="E474" s="59"/>
      <c r="F474" s="59"/>
      <c r="G474" s="79"/>
      <c r="H474" s="59"/>
    </row>
    <row r="475" spans="2:8" x14ac:dyDescent="0.2">
      <c r="B475" s="59"/>
      <c r="C475" s="59"/>
      <c r="D475" s="59"/>
      <c r="E475" s="59"/>
      <c r="F475" s="59"/>
      <c r="G475" s="79"/>
      <c r="H475" s="59"/>
    </row>
    <row r="476" spans="2:8" x14ac:dyDescent="0.2">
      <c r="B476" s="59"/>
      <c r="C476" s="59"/>
      <c r="D476" s="59"/>
      <c r="E476" s="59"/>
      <c r="F476" s="59"/>
      <c r="G476" s="79"/>
      <c r="H476" s="59"/>
    </row>
    <row r="477" spans="2:8" x14ac:dyDescent="0.2">
      <c r="B477" s="59"/>
      <c r="C477" s="59"/>
      <c r="D477" s="59"/>
      <c r="E477" s="59"/>
      <c r="F477" s="59"/>
      <c r="G477" s="79"/>
      <c r="H477" s="59"/>
    </row>
    <row r="478" spans="2:8" x14ac:dyDescent="0.2">
      <c r="B478" s="59"/>
      <c r="C478" s="59"/>
      <c r="D478" s="59"/>
      <c r="E478" s="59"/>
      <c r="F478" s="59"/>
      <c r="G478" s="79"/>
      <c r="H478" s="59"/>
    </row>
    <row r="479" spans="2:8" x14ac:dyDescent="0.2">
      <c r="B479" s="59"/>
      <c r="C479" s="59"/>
      <c r="D479" s="59"/>
      <c r="E479" s="59"/>
      <c r="F479" s="59"/>
      <c r="G479" s="79"/>
      <c r="H479" s="59"/>
    </row>
    <row r="480" spans="2:8" x14ac:dyDescent="0.2">
      <c r="B480" s="59"/>
      <c r="C480" s="59"/>
      <c r="D480" s="59"/>
      <c r="E480" s="59"/>
      <c r="F480" s="59"/>
      <c r="G480" s="79"/>
      <c r="H480" s="59"/>
    </row>
    <row r="481" spans="2:8" x14ac:dyDescent="0.2">
      <c r="B481" s="59"/>
      <c r="C481" s="59"/>
      <c r="D481" s="59"/>
      <c r="E481" s="59"/>
      <c r="F481" s="59"/>
      <c r="G481" s="79"/>
      <c r="H481" s="59"/>
    </row>
    <row r="482" spans="2:8" x14ac:dyDescent="0.2">
      <c r="B482" s="59"/>
      <c r="C482" s="59"/>
      <c r="D482" s="59"/>
      <c r="E482" s="59"/>
      <c r="F482" s="59"/>
      <c r="G482" s="79"/>
      <c r="H482" s="59"/>
    </row>
    <row r="483" spans="2:8" x14ac:dyDescent="0.2">
      <c r="B483" s="59"/>
      <c r="C483" s="59"/>
      <c r="D483" s="59"/>
      <c r="E483" s="59"/>
      <c r="F483" s="59"/>
      <c r="G483" s="79"/>
      <c r="H483" s="59"/>
    </row>
    <row r="484" spans="2:8" x14ac:dyDescent="0.2">
      <c r="B484" s="59"/>
      <c r="C484" s="59"/>
      <c r="D484" s="59"/>
      <c r="E484" s="59"/>
      <c r="F484" s="59"/>
      <c r="G484" s="79"/>
      <c r="H484" s="59"/>
    </row>
    <row r="485" spans="2:8" x14ac:dyDescent="0.2">
      <c r="B485" s="59"/>
      <c r="C485" s="59"/>
      <c r="D485" s="59"/>
      <c r="E485" s="59"/>
      <c r="F485" s="59"/>
      <c r="G485" s="79"/>
      <c r="H485" s="59"/>
    </row>
    <row r="486" spans="2:8" x14ac:dyDescent="0.2">
      <c r="B486" s="59"/>
      <c r="C486" s="59"/>
      <c r="D486" s="59"/>
      <c r="E486" s="59"/>
      <c r="F486" s="59"/>
      <c r="G486" s="79"/>
      <c r="H486" s="59"/>
    </row>
    <row r="487" spans="2:8" x14ac:dyDescent="0.2">
      <c r="B487" s="59"/>
      <c r="C487" s="59"/>
      <c r="D487" s="59"/>
      <c r="E487" s="59"/>
      <c r="F487" s="59"/>
      <c r="G487" s="79"/>
      <c r="H487" s="59"/>
    </row>
    <row r="488" spans="2:8" x14ac:dyDescent="0.2">
      <c r="B488" s="59"/>
      <c r="C488" s="59"/>
      <c r="D488" s="59"/>
      <c r="E488" s="59"/>
      <c r="F488" s="59"/>
      <c r="G488" s="79"/>
      <c r="H488" s="59"/>
    </row>
    <row r="489" spans="2:8" x14ac:dyDescent="0.2">
      <c r="B489" s="59"/>
      <c r="C489" s="59"/>
      <c r="D489" s="59"/>
      <c r="E489" s="59"/>
      <c r="F489" s="59"/>
      <c r="G489" s="79"/>
      <c r="H489" s="59"/>
    </row>
    <row r="490" spans="2:8" x14ac:dyDescent="0.2">
      <c r="B490" s="59"/>
      <c r="C490" s="59"/>
      <c r="D490" s="59"/>
      <c r="E490" s="59"/>
      <c r="F490" s="59"/>
      <c r="G490" s="79"/>
      <c r="H490" s="59"/>
    </row>
    <row r="491" spans="2:8" x14ac:dyDescent="0.2">
      <c r="B491" s="59"/>
      <c r="C491" s="59"/>
      <c r="D491" s="59"/>
      <c r="E491" s="59"/>
      <c r="F491" s="59"/>
      <c r="G491" s="79"/>
      <c r="H491" s="59"/>
    </row>
    <row r="492" spans="2:8" x14ac:dyDescent="0.2">
      <c r="B492" s="59"/>
      <c r="C492" s="59"/>
      <c r="D492" s="59"/>
      <c r="E492" s="59"/>
      <c r="F492" s="59"/>
      <c r="G492" s="79"/>
      <c r="H492" s="59"/>
    </row>
    <row r="493" spans="2:8" x14ac:dyDescent="0.2">
      <c r="B493" s="59"/>
      <c r="C493" s="59"/>
      <c r="D493" s="59"/>
      <c r="E493" s="59"/>
      <c r="F493" s="59"/>
      <c r="G493" s="79"/>
      <c r="H493" s="59"/>
    </row>
    <row r="494" spans="2:8" x14ac:dyDescent="0.2">
      <c r="B494" s="59"/>
      <c r="C494" s="59"/>
      <c r="D494" s="59"/>
      <c r="E494" s="59"/>
      <c r="F494" s="59"/>
      <c r="G494" s="79"/>
      <c r="H494" s="59"/>
    </row>
    <row r="495" spans="2:8" x14ac:dyDescent="0.2">
      <c r="B495" s="59"/>
      <c r="C495" s="59"/>
      <c r="D495" s="59"/>
      <c r="E495" s="59"/>
      <c r="F495" s="59"/>
      <c r="G495" s="79"/>
      <c r="H495" s="59"/>
    </row>
    <row r="496" spans="2:8" x14ac:dyDescent="0.2">
      <c r="B496" s="59"/>
      <c r="C496" s="59"/>
      <c r="D496" s="59"/>
      <c r="E496" s="59"/>
      <c r="F496" s="59"/>
      <c r="G496" s="79"/>
      <c r="H496" s="59"/>
    </row>
    <row r="497" spans="2:8" x14ac:dyDescent="0.2">
      <c r="B497" s="59"/>
      <c r="C497" s="59"/>
      <c r="D497" s="59"/>
      <c r="E497" s="59"/>
      <c r="F497" s="59"/>
      <c r="G497" s="79"/>
      <c r="H497" s="59"/>
    </row>
    <row r="498" spans="2:8" x14ac:dyDescent="0.2">
      <c r="B498" s="59"/>
      <c r="C498" s="59"/>
      <c r="D498" s="59"/>
      <c r="E498" s="59"/>
      <c r="F498" s="59"/>
      <c r="G498" s="79"/>
      <c r="H498" s="59"/>
    </row>
    <row r="499" spans="2:8" x14ac:dyDescent="0.2">
      <c r="B499" s="59"/>
      <c r="C499" s="59"/>
      <c r="D499" s="59"/>
      <c r="E499" s="59"/>
      <c r="F499" s="59"/>
      <c r="G499" s="79"/>
      <c r="H499" s="59"/>
    </row>
    <row r="500" spans="2:8" x14ac:dyDescent="0.2">
      <c r="B500" s="59"/>
      <c r="C500" s="59"/>
      <c r="D500" s="59"/>
      <c r="E500" s="59"/>
      <c r="F500" s="59"/>
      <c r="G500" s="79"/>
      <c r="H500" s="59"/>
    </row>
    <row r="501" spans="2:8" x14ac:dyDescent="0.2">
      <c r="B501" s="59"/>
      <c r="C501" s="59"/>
      <c r="D501" s="59"/>
      <c r="E501" s="59"/>
      <c r="F501" s="59"/>
      <c r="G501" s="79"/>
      <c r="H501" s="59"/>
    </row>
    <row r="502" spans="2:8" x14ac:dyDescent="0.2">
      <c r="B502" s="59"/>
      <c r="C502" s="59"/>
      <c r="D502" s="59"/>
      <c r="E502" s="59"/>
      <c r="F502" s="59"/>
      <c r="G502" s="79"/>
      <c r="H502" s="59"/>
    </row>
    <row r="503" spans="2:8" x14ac:dyDescent="0.2">
      <c r="B503" s="59"/>
      <c r="C503" s="59"/>
      <c r="D503" s="59"/>
      <c r="E503" s="59"/>
      <c r="F503" s="59"/>
      <c r="G503" s="79"/>
      <c r="H503" s="59"/>
    </row>
    <row r="504" spans="2:8" x14ac:dyDescent="0.2">
      <c r="B504" s="59"/>
      <c r="C504" s="59"/>
      <c r="D504" s="59"/>
      <c r="E504" s="59"/>
      <c r="F504" s="59"/>
      <c r="G504" s="79"/>
      <c r="H504" s="59"/>
    </row>
    <row r="505" spans="2:8" x14ac:dyDescent="0.2">
      <c r="B505" s="59"/>
      <c r="C505" s="59"/>
      <c r="D505" s="59"/>
      <c r="E505" s="59"/>
      <c r="F505" s="59"/>
      <c r="G505" s="79"/>
      <c r="H505" s="59"/>
    </row>
    <row r="506" spans="2:8" x14ac:dyDescent="0.2">
      <c r="B506" s="59"/>
      <c r="C506" s="59"/>
      <c r="D506" s="59"/>
      <c r="E506" s="59"/>
      <c r="F506" s="59"/>
      <c r="G506" s="79"/>
      <c r="H506" s="59"/>
    </row>
    <row r="507" spans="2:8" x14ac:dyDescent="0.2">
      <c r="B507" s="59"/>
      <c r="C507" s="59"/>
      <c r="D507" s="59"/>
      <c r="E507" s="59"/>
      <c r="F507" s="59"/>
      <c r="G507" s="79"/>
      <c r="H507" s="59"/>
    </row>
    <row r="508" spans="2:8" x14ac:dyDescent="0.2">
      <c r="B508" s="59"/>
      <c r="C508" s="59"/>
      <c r="D508" s="59"/>
      <c r="E508" s="59"/>
      <c r="F508" s="59"/>
      <c r="G508" s="79"/>
      <c r="H508" s="59"/>
    </row>
    <row r="509" spans="2:8" x14ac:dyDescent="0.2">
      <c r="B509" s="59"/>
      <c r="C509" s="59"/>
      <c r="D509" s="59"/>
      <c r="E509" s="59"/>
      <c r="F509" s="59"/>
      <c r="G509" s="79"/>
      <c r="H509" s="59"/>
    </row>
    <row r="510" spans="2:8" x14ac:dyDescent="0.2">
      <c r="B510" s="59"/>
      <c r="C510" s="59"/>
      <c r="D510" s="59"/>
      <c r="E510" s="59"/>
      <c r="F510" s="59"/>
      <c r="G510" s="79"/>
      <c r="H510" s="59"/>
    </row>
    <row r="511" spans="2:8" x14ac:dyDescent="0.2">
      <c r="B511" s="59"/>
      <c r="C511" s="59"/>
      <c r="D511" s="59"/>
      <c r="E511" s="59"/>
      <c r="F511" s="59"/>
      <c r="G511" s="79"/>
      <c r="H511" s="59"/>
    </row>
    <row r="512" spans="2:8" x14ac:dyDescent="0.2">
      <c r="B512" s="59"/>
      <c r="C512" s="59"/>
      <c r="D512" s="59"/>
      <c r="E512" s="59"/>
      <c r="F512" s="59"/>
      <c r="G512" s="79"/>
      <c r="H512" s="59"/>
    </row>
    <row r="513" spans="2:8" x14ac:dyDescent="0.2">
      <c r="B513" s="59"/>
      <c r="C513" s="59"/>
      <c r="D513" s="59"/>
      <c r="E513" s="59"/>
      <c r="F513" s="59"/>
      <c r="G513" s="79"/>
      <c r="H513" s="59"/>
    </row>
    <row r="514" spans="2:8" x14ac:dyDescent="0.2">
      <c r="B514" s="59"/>
      <c r="C514" s="59"/>
      <c r="D514" s="59"/>
      <c r="E514" s="59"/>
      <c r="F514" s="59"/>
      <c r="G514" s="79"/>
      <c r="H514" s="59"/>
    </row>
    <row r="515" spans="2:8" x14ac:dyDescent="0.2">
      <c r="B515" s="59"/>
      <c r="C515" s="59"/>
      <c r="D515" s="59"/>
      <c r="E515" s="59"/>
      <c r="F515" s="59"/>
      <c r="G515" s="79"/>
      <c r="H515" s="59"/>
    </row>
    <row r="516" spans="2:8" x14ac:dyDescent="0.2">
      <c r="B516" s="59"/>
      <c r="C516" s="59"/>
      <c r="D516" s="59"/>
      <c r="E516" s="59"/>
      <c r="F516" s="59"/>
      <c r="G516" s="79"/>
      <c r="H516" s="59"/>
    </row>
    <row r="517" spans="2:8" x14ac:dyDescent="0.2">
      <c r="B517" s="59"/>
      <c r="C517" s="59"/>
      <c r="D517" s="59"/>
      <c r="E517" s="59"/>
      <c r="F517" s="59"/>
      <c r="G517" s="79"/>
      <c r="H517" s="59"/>
    </row>
    <row r="518" spans="2:8" x14ac:dyDescent="0.2">
      <c r="B518" s="59"/>
      <c r="C518" s="59"/>
      <c r="D518" s="59"/>
      <c r="E518" s="59"/>
      <c r="F518" s="59"/>
      <c r="G518" s="79"/>
      <c r="H518" s="59"/>
    </row>
    <row r="519" spans="2:8" x14ac:dyDescent="0.2">
      <c r="B519" s="59"/>
      <c r="C519" s="59"/>
      <c r="D519" s="59"/>
      <c r="E519" s="59"/>
      <c r="F519" s="59"/>
      <c r="G519" s="79"/>
      <c r="H519" s="59"/>
    </row>
    <row r="520" spans="2:8" x14ac:dyDescent="0.2">
      <c r="B520" s="59"/>
      <c r="C520" s="59"/>
      <c r="D520" s="59"/>
      <c r="E520" s="59"/>
      <c r="F520" s="59"/>
      <c r="G520" s="79"/>
      <c r="H520" s="59"/>
    </row>
    <row r="521" spans="2:8" x14ac:dyDescent="0.2">
      <c r="B521" s="59"/>
      <c r="C521" s="59"/>
      <c r="D521" s="59"/>
      <c r="E521" s="59"/>
      <c r="F521" s="59"/>
      <c r="G521" s="79"/>
      <c r="H521" s="59"/>
    </row>
    <row r="522" spans="2:8" x14ac:dyDescent="0.2">
      <c r="B522" s="59"/>
      <c r="C522" s="59"/>
      <c r="D522" s="59"/>
      <c r="E522" s="59"/>
      <c r="F522" s="59"/>
      <c r="G522" s="79"/>
      <c r="H522" s="59"/>
    </row>
    <row r="523" spans="2:8" x14ac:dyDescent="0.2">
      <c r="B523" s="59"/>
      <c r="C523" s="59"/>
      <c r="D523" s="59"/>
      <c r="E523" s="59"/>
      <c r="F523" s="59"/>
      <c r="G523" s="79"/>
      <c r="H523" s="59"/>
    </row>
    <row r="524" spans="2:8" x14ac:dyDescent="0.2">
      <c r="B524" s="59"/>
      <c r="C524" s="59"/>
      <c r="D524" s="59"/>
      <c r="E524" s="59"/>
      <c r="F524" s="59"/>
      <c r="G524" s="79"/>
      <c r="H524" s="59"/>
    </row>
    <row r="525" spans="2:8" x14ac:dyDescent="0.2">
      <c r="B525" s="59"/>
      <c r="C525" s="59"/>
      <c r="D525" s="59"/>
      <c r="E525" s="59"/>
      <c r="F525" s="59"/>
      <c r="G525" s="79"/>
      <c r="H525" s="59"/>
    </row>
    <row r="526" spans="2:8" x14ac:dyDescent="0.2">
      <c r="B526" s="59"/>
      <c r="C526" s="59"/>
      <c r="D526" s="59"/>
      <c r="E526" s="59"/>
      <c r="F526" s="59"/>
      <c r="G526" s="79"/>
      <c r="H526" s="59"/>
    </row>
    <row r="527" spans="2:8" x14ac:dyDescent="0.2">
      <c r="B527" s="59"/>
      <c r="C527" s="59"/>
      <c r="D527" s="59"/>
      <c r="E527" s="59"/>
      <c r="F527" s="59"/>
      <c r="G527" s="79"/>
      <c r="H527" s="59"/>
    </row>
    <row r="528" spans="2:8" x14ac:dyDescent="0.2">
      <c r="B528" s="59"/>
      <c r="C528" s="59"/>
      <c r="D528" s="59"/>
      <c r="E528" s="59"/>
      <c r="F528" s="59"/>
      <c r="G528" s="79"/>
      <c r="H528" s="59"/>
    </row>
    <row r="529" spans="2:8" x14ac:dyDescent="0.2">
      <c r="B529" s="59"/>
      <c r="C529" s="59"/>
      <c r="D529" s="59"/>
      <c r="E529" s="59"/>
      <c r="F529" s="59"/>
      <c r="G529" s="79"/>
      <c r="H529" s="59"/>
    </row>
    <row r="530" spans="2:8" x14ac:dyDescent="0.2">
      <c r="B530" s="59"/>
      <c r="C530" s="59"/>
      <c r="D530" s="59"/>
      <c r="E530" s="59"/>
      <c r="F530" s="59"/>
      <c r="G530" s="79"/>
      <c r="H530" s="59"/>
    </row>
    <row r="531" spans="2:8" x14ac:dyDescent="0.2">
      <c r="B531" s="59"/>
      <c r="C531" s="59"/>
      <c r="D531" s="59"/>
      <c r="E531" s="59"/>
      <c r="F531" s="59"/>
      <c r="G531" s="79"/>
      <c r="H531" s="59"/>
    </row>
    <row r="532" spans="2:8" x14ac:dyDescent="0.2">
      <c r="B532" s="59"/>
      <c r="C532" s="59"/>
      <c r="D532" s="59"/>
      <c r="E532" s="59"/>
      <c r="F532" s="59"/>
      <c r="G532" s="79"/>
      <c r="H532" s="59"/>
    </row>
    <row r="533" spans="2:8" x14ac:dyDescent="0.2">
      <c r="B533" s="59"/>
      <c r="C533" s="59"/>
      <c r="D533" s="59"/>
      <c r="E533" s="59"/>
      <c r="F533" s="59"/>
      <c r="G533" s="79"/>
      <c r="H533" s="59"/>
    </row>
    <row r="534" spans="2:8" x14ac:dyDescent="0.2">
      <c r="B534" s="59"/>
      <c r="C534" s="59"/>
      <c r="D534" s="59"/>
      <c r="E534" s="59"/>
      <c r="F534" s="59"/>
      <c r="G534" s="79"/>
      <c r="H534" s="59"/>
    </row>
    <row r="535" spans="2:8" x14ac:dyDescent="0.2">
      <c r="B535" s="59"/>
      <c r="C535" s="59"/>
      <c r="D535" s="59"/>
      <c r="E535" s="59"/>
      <c r="F535" s="59"/>
      <c r="G535" s="79"/>
      <c r="H535" s="59"/>
    </row>
    <row r="536" spans="2:8" x14ac:dyDescent="0.2">
      <c r="B536" s="59"/>
      <c r="C536" s="59"/>
      <c r="D536" s="59"/>
      <c r="E536" s="59"/>
      <c r="F536" s="59"/>
      <c r="G536" s="79"/>
      <c r="H536" s="59"/>
    </row>
    <row r="537" spans="2:8" x14ac:dyDescent="0.2">
      <c r="B537" s="59"/>
      <c r="C537" s="59"/>
      <c r="D537" s="59"/>
      <c r="E537" s="59"/>
      <c r="F537" s="59"/>
      <c r="G537" s="79"/>
      <c r="H537" s="59"/>
    </row>
    <row r="538" spans="2:8" x14ac:dyDescent="0.2">
      <c r="B538" s="59"/>
      <c r="C538" s="59"/>
      <c r="D538" s="59"/>
      <c r="E538" s="59"/>
      <c r="F538" s="59"/>
      <c r="G538" s="79"/>
      <c r="H538" s="59"/>
    </row>
    <row r="539" spans="2:8" x14ac:dyDescent="0.2">
      <c r="B539" s="59"/>
      <c r="C539" s="59"/>
      <c r="D539" s="59"/>
      <c r="E539" s="59"/>
      <c r="F539" s="59"/>
      <c r="G539" s="79"/>
      <c r="H539" s="59"/>
    </row>
    <row r="540" spans="2:8" x14ac:dyDescent="0.2">
      <c r="B540" s="59"/>
      <c r="C540" s="59"/>
      <c r="D540" s="59"/>
      <c r="E540" s="59"/>
      <c r="F540" s="59"/>
      <c r="G540" s="79"/>
      <c r="H540" s="59"/>
    </row>
    <row r="541" spans="2:8" x14ac:dyDescent="0.2">
      <c r="B541" s="59"/>
      <c r="C541" s="59"/>
      <c r="D541" s="59"/>
      <c r="E541" s="59"/>
      <c r="F541" s="59"/>
      <c r="G541" s="79"/>
      <c r="H541" s="59"/>
    </row>
    <row r="542" spans="2:8" x14ac:dyDescent="0.2">
      <c r="B542" s="59"/>
      <c r="C542" s="59"/>
      <c r="D542" s="59"/>
      <c r="E542" s="59"/>
      <c r="F542" s="59"/>
      <c r="G542" s="79"/>
      <c r="H542" s="59"/>
    </row>
    <row r="543" spans="2:8" x14ac:dyDescent="0.2">
      <c r="B543" s="59"/>
      <c r="C543" s="59"/>
      <c r="D543" s="59"/>
      <c r="E543" s="59"/>
      <c r="F543" s="59"/>
      <c r="G543" s="79"/>
      <c r="H543" s="59"/>
    </row>
    <row r="544" spans="2:8" x14ac:dyDescent="0.2">
      <c r="B544" s="59"/>
      <c r="C544" s="59"/>
      <c r="D544" s="59"/>
      <c r="E544" s="59"/>
      <c r="F544" s="59"/>
      <c r="G544" s="79"/>
      <c r="H544" s="59"/>
    </row>
    <row r="545" spans="2:8" x14ac:dyDescent="0.2">
      <c r="B545" s="59"/>
      <c r="C545" s="59"/>
      <c r="D545" s="59"/>
      <c r="E545" s="59"/>
      <c r="F545" s="59"/>
      <c r="G545" s="79"/>
      <c r="H545" s="59"/>
    </row>
    <row r="546" spans="2:8" x14ac:dyDescent="0.2">
      <c r="B546" s="59"/>
      <c r="C546" s="59"/>
      <c r="D546" s="59"/>
      <c r="E546" s="59"/>
      <c r="F546" s="59"/>
      <c r="G546" s="79"/>
      <c r="H546" s="59"/>
    </row>
    <row r="547" spans="2:8" x14ac:dyDescent="0.2">
      <c r="B547" s="59"/>
      <c r="C547" s="59"/>
      <c r="D547" s="59"/>
      <c r="E547" s="59"/>
      <c r="F547" s="59"/>
      <c r="G547" s="79"/>
      <c r="H547" s="59"/>
    </row>
    <row r="548" spans="2:8" x14ac:dyDescent="0.2">
      <c r="B548" s="59"/>
      <c r="C548" s="59"/>
      <c r="D548" s="59"/>
      <c r="E548" s="59"/>
      <c r="F548" s="59"/>
      <c r="G548" s="79"/>
      <c r="H548" s="59"/>
    </row>
    <row r="549" spans="2:8" x14ac:dyDescent="0.2">
      <c r="B549" s="59"/>
      <c r="C549" s="59"/>
      <c r="D549" s="59"/>
      <c r="E549" s="59"/>
      <c r="F549" s="59"/>
      <c r="G549" s="79"/>
      <c r="H549" s="59"/>
    </row>
    <row r="550" spans="2:8" x14ac:dyDescent="0.2">
      <c r="B550" s="59"/>
      <c r="C550" s="59"/>
      <c r="D550" s="59"/>
      <c r="E550" s="59"/>
      <c r="F550" s="59"/>
      <c r="G550" s="79"/>
      <c r="H550" s="59"/>
    </row>
    <row r="551" spans="2:8" x14ac:dyDescent="0.2">
      <c r="B551" s="59"/>
      <c r="C551" s="59"/>
      <c r="D551" s="59"/>
      <c r="E551" s="59"/>
      <c r="F551" s="59"/>
      <c r="G551" s="79"/>
      <c r="H551" s="59"/>
    </row>
    <row r="552" spans="2:8" x14ac:dyDescent="0.2">
      <c r="B552" s="59"/>
      <c r="C552" s="59"/>
      <c r="D552" s="59"/>
      <c r="E552" s="59"/>
      <c r="F552" s="59"/>
      <c r="G552" s="79"/>
      <c r="H552" s="59"/>
    </row>
    <row r="553" spans="2:8" x14ac:dyDescent="0.2">
      <c r="B553" s="59"/>
      <c r="C553" s="59"/>
      <c r="D553" s="59"/>
      <c r="E553" s="59"/>
      <c r="F553" s="59"/>
      <c r="G553" s="79"/>
      <c r="H553" s="59"/>
    </row>
    <row r="554" spans="2:8" x14ac:dyDescent="0.2">
      <c r="B554" s="59"/>
      <c r="C554" s="59"/>
      <c r="D554" s="59"/>
      <c r="E554" s="59"/>
      <c r="F554" s="59"/>
      <c r="G554" s="79"/>
      <c r="H554" s="59"/>
    </row>
    <row r="555" spans="2:8" x14ac:dyDescent="0.2">
      <c r="B555" s="59"/>
      <c r="C555" s="59"/>
      <c r="D555" s="59"/>
      <c r="E555" s="59"/>
      <c r="F555" s="59"/>
      <c r="G555" s="79"/>
      <c r="H555" s="59"/>
    </row>
    <row r="556" spans="2:8" x14ac:dyDescent="0.2">
      <c r="B556" s="59"/>
      <c r="C556" s="59"/>
      <c r="D556" s="59"/>
      <c r="E556" s="59"/>
      <c r="F556" s="59"/>
      <c r="G556" s="79"/>
      <c r="H556" s="59"/>
    </row>
    <row r="557" spans="2:8" x14ac:dyDescent="0.2">
      <c r="B557" s="59"/>
      <c r="C557" s="59"/>
      <c r="D557" s="59"/>
      <c r="E557" s="59"/>
      <c r="F557" s="59"/>
      <c r="G557" s="79"/>
      <c r="H557" s="59"/>
    </row>
    <row r="558" spans="2:8" x14ac:dyDescent="0.2">
      <c r="B558" s="59"/>
      <c r="C558" s="59"/>
      <c r="D558" s="59"/>
      <c r="E558" s="59"/>
      <c r="F558" s="59"/>
      <c r="G558" s="79"/>
      <c r="H558" s="59"/>
    </row>
    <row r="559" spans="2:8" x14ac:dyDescent="0.2">
      <c r="B559" s="59"/>
      <c r="C559" s="59"/>
      <c r="D559" s="59"/>
      <c r="E559" s="59"/>
      <c r="F559" s="59"/>
      <c r="G559" s="79"/>
      <c r="H559" s="59"/>
    </row>
    <row r="560" spans="2:8" x14ac:dyDescent="0.2">
      <c r="B560" s="59"/>
      <c r="C560" s="59"/>
      <c r="D560" s="59"/>
      <c r="E560" s="59"/>
      <c r="F560" s="59"/>
      <c r="G560" s="79"/>
      <c r="H560" s="59"/>
    </row>
    <row r="561" spans="2:8" x14ac:dyDescent="0.2">
      <c r="B561" s="59"/>
      <c r="C561" s="59"/>
      <c r="D561" s="59"/>
      <c r="E561" s="59"/>
      <c r="F561" s="59"/>
      <c r="G561" s="79"/>
      <c r="H561" s="59"/>
    </row>
    <row r="562" spans="2:8" x14ac:dyDescent="0.2">
      <c r="B562" s="59"/>
      <c r="C562" s="59"/>
      <c r="D562" s="59"/>
      <c r="E562" s="59"/>
      <c r="F562" s="59"/>
      <c r="G562" s="79"/>
      <c r="H562" s="59"/>
    </row>
    <row r="563" spans="2:8" x14ac:dyDescent="0.2">
      <c r="B563" s="59"/>
      <c r="C563" s="59"/>
      <c r="D563" s="59"/>
      <c r="E563" s="59"/>
      <c r="F563" s="59"/>
      <c r="G563" s="79"/>
      <c r="H563" s="59"/>
    </row>
    <row r="564" spans="2:8" x14ac:dyDescent="0.2">
      <c r="B564" s="59"/>
      <c r="C564" s="59"/>
      <c r="D564" s="59"/>
      <c r="E564" s="59"/>
      <c r="F564" s="59"/>
      <c r="G564" s="79"/>
      <c r="H564" s="59"/>
    </row>
    <row r="565" spans="2:8" x14ac:dyDescent="0.2">
      <c r="B565" s="59"/>
      <c r="C565" s="59"/>
      <c r="D565" s="59"/>
      <c r="E565" s="59"/>
      <c r="F565" s="59"/>
      <c r="G565" s="79"/>
      <c r="H565" s="59"/>
    </row>
    <row r="566" spans="2:8" x14ac:dyDescent="0.2">
      <c r="B566" s="59"/>
      <c r="C566" s="59"/>
      <c r="D566" s="59"/>
      <c r="E566" s="59"/>
      <c r="F566" s="59"/>
      <c r="G566" s="79"/>
      <c r="H566" s="59"/>
    </row>
    <row r="567" spans="2:8" x14ac:dyDescent="0.2">
      <c r="B567" s="59"/>
      <c r="C567" s="59"/>
      <c r="D567" s="59"/>
      <c r="E567" s="59"/>
      <c r="F567" s="59"/>
      <c r="G567" s="79"/>
      <c r="H567" s="59"/>
    </row>
    <row r="568" spans="2:8" x14ac:dyDescent="0.2">
      <c r="B568" s="59"/>
      <c r="C568" s="59"/>
      <c r="D568" s="59"/>
      <c r="E568" s="59"/>
      <c r="F568" s="59"/>
      <c r="G568" s="79"/>
      <c r="H568" s="59"/>
    </row>
    <row r="569" spans="2:8" x14ac:dyDescent="0.2">
      <c r="B569" s="59"/>
      <c r="C569" s="59"/>
      <c r="D569" s="59"/>
      <c r="E569" s="59"/>
      <c r="F569" s="59"/>
      <c r="G569" s="79"/>
      <c r="H569" s="59"/>
    </row>
    <row r="570" spans="2:8" x14ac:dyDescent="0.2">
      <c r="B570" s="59"/>
      <c r="C570" s="59"/>
      <c r="D570" s="59"/>
      <c r="E570" s="59"/>
      <c r="F570" s="59"/>
      <c r="G570" s="79"/>
      <c r="H570" s="59"/>
    </row>
    <row r="571" spans="2:8" x14ac:dyDescent="0.2">
      <c r="B571" s="59"/>
      <c r="C571" s="59"/>
      <c r="D571" s="59"/>
      <c r="E571" s="59"/>
      <c r="F571" s="59"/>
      <c r="G571" s="79"/>
      <c r="H571" s="59"/>
    </row>
    <row r="572" spans="2:8" x14ac:dyDescent="0.2">
      <c r="B572" s="59"/>
      <c r="C572" s="59"/>
      <c r="D572" s="59"/>
      <c r="E572" s="59"/>
      <c r="F572" s="59"/>
      <c r="G572" s="79"/>
      <c r="H572" s="59"/>
    </row>
    <row r="573" spans="2:8" x14ac:dyDescent="0.2">
      <c r="B573" s="59"/>
      <c r="C573" s="59"/>
      <c r="D573" s="59"/>
      <c r="E573" s="59"/>
      <c r="F573" s="59"/>
      <c r="G573" s="79"/>
      <c r="H573" s="59"/>
    </row>
    <row r="574" spans="2:8" x14ac:dyDescent="0.2">
      <c r="B574" s="59"/>
      <c r="C574" s="59"/>
      <c r="D574" s="59"/>
      <c r="E574" s="59"/>
      <c r="F574" s="59"/>
      <c r="G574" s="79"/>
      <c r="H574" s="59"/>
    </row>
    <row r="575" spans="2:8" x14ac:dyDescent="0.2">
      <c r="B575" s="59"/>
      <c r="C575" s="59"/>
      <c r="D575" s="59"/>
      <c r="E575" s="59"/>
      <c r="F575" s="59"/>
      <c r="G575" s="79"/>
      <c r="H575" s="59"/>
    </row>
    <row r="576" spans="2:8" x14ac:dyDescent="0.2">
      <c r="B576" s="59"/>
      <c r="C576" s="59"/>
      <c r="D576" s="59"/>
      <c r="E576" s="59"/>
      <c r="F576" s="59"/>
      <c r="G576" s="79"/>
      <c r="H576" s="59"/>
    </row>
    <row r="577" spans="2:8" x14ac:dyDescent="0.2">
      <c r="B577" s="59"/>
      <c r="C577" s="59"/>
      <c r="D577" s="59"/>
      <c r="E577" s="59"/>
      <c r="F577" s="59"/>
      <c r="G577" s="79"/>
      <c r="H577" s="59"/>
    </row>
    <row r="578" spans="2:8" x14ac:dyDescent="0.2">
      <c r="B578" s="59"/>
      <c r="C578" s="59"/>
      <c r="D578" s="59"/>
      <c r="E578" s="59"/>
      <c r="F578" s="59"/>
      <c r="G578" s="79"/>
      <c r="H578" s="59"/>
    </row>
    <row r="579" spans="2:8" x14ac:dyDescent="0.2">
      <c r="B579" s="59"/>
      <c r="C579" s="59"/>
      <c r="D579" s="59"/>
      <c r="E579" s="59"/>
      <c r="F579" s="59"/>
      <c r="G579" s="79"/>
      <c r="H579" s="59"/>
    </row>
    <row r="580" spans="2:8" x14ac:dyDescent="0.2">
      <c r="B580" s="59"/>
      <c r="C580" s="59"/>
      <c r="D580" s="59"/>
      <c r="E580" s="59"/>
      <c r="F580" s="59"/>
      <c r="G580" s="79"/>
      <c r="H580" s="59"/>
    </row>
    <row r="581" spans="2:8" x14ac:dyDescent="0.2">
      <c r="B581" s="59"/>
      <c r="C581" s="59"/>
      <c r="D581" s="59"/>
      <c r="E581" s="59"/>
      <c r="F581" s="59"/>
      <c r="G581" s="79"/>
      <c r="H581" s="59"/>
    </row>
    <row r="582" spans="2:8" x14ac:dyDescent="0.2">
      <c r="B582" s="59"/>
      <c r="C582" s="59"/>
      <c r="D582" s="59"/>
      <c r="E582" s="59"/>
      <c r="F582" s="59"/>
      <c r="G582" s="79"/>
      <c r="H582" s="59"/>
    </row>
    <row r="583" spans="2:8" x14ac:dyDescent="0.2">
      <c r="B583" s="59"/>
      <c r="C583" s="59"/>
      <c r="D583" s="59"/>
      <c r="E583" s="59"/>
      <c r="F583" s="59"/>
      <c r="G583" s="79"/>
      <c r="H583" s="59"/>
    </row>
    <row r="584" spans="2:8" x14ac:dyDescent="0.2">
      <c r="B584" s="59"/>
      <c r="C584" s="59"/>
      <c r="D584" s="59"/>
      <c r="E584" s="59"/>
      <c r="F584" s="59"/>
      <c r="G584" s="79"/>
      <c r="H584" s="59"/>
    </row>
    <row r="585" spans="2:8" x14ac:dyDescent="0.2">
      <c r="B585" s="59"/>
      <c r="C585" s="59"/>
      <c r="D585" s="59"/>
      <c r="E585" s="59"/>
      <c r="F585" s="59"/>
      <c r="G585" s="79"/>
      <c r="H585" s="59"/>
    </row>
    <row r="586" spans="2:8" x14ac:dyDescent="0.2">
      <c r="B586" s="59"/>
      <c r="C586" s="59"/>
      <c r="D586" s="59"/>
      <c r="E586" s="59"/>
      <c r="F586" s="59"/>
      <c r="G586" s="79"/>
      <c r="H586" s="59"/>
    </row>
    <row r="587" spans="2:8" x14ac:dyDescent="0.2">
      <c r="B587" s="59"/>
      <c r="C587" s="59"/>
      <c r="D587" s="59"/>
      <c r="E587" s="59"/>
      <c r="F587" s="59"/>
      <c r="G587" s="79"/>
      <c r="H587" s="59"/>
    </row>
    <row r="588" spans="2:8" x14ac:dyDescent="0.2">
      <c r="B588" s="59"/>
      <c r="C588" s="59"/>
      <c r="D588" s="59"/>
      <c r="E588" s="59"/>
      <c r="F588" s="59"/>
      <c r="G588" s="79"/>
      <c r="H588" s="59"/>
    </row>
    <row r="589" spans="2:8" x14ac:dyDescent="0.2">
      <c r="B589" s="59"/>
      <c r="C589" s="59"/>
      <c r="D589" s="59"/>
      <c r="E589" s="59"/>
      <c r="F589" s="59"/>
      <c r="G589" s="79"/>
      <c r="H589" s="59"/>
    </row>
    <row r="590" spans="2:8" x14ac:dyDescent="0.2">
      <c r="B590" s="59"/>
      <c r="C590" s="59"/>
      <c r="D590" s="59"/>
      <c r="E590" s="59"/>
      <c r="F590" s="59"/>
      <c r="G590" s="79"/>
      <c r="H590" s="59"/>
    </row>
    <row r="591" spans="2:8" x14ac:dyDescent="0.2">
      <c r="B591" s="59"/>
      <c r="C591" s="59"/>
      <c r="D591" s="59"/>
      <c r="E591" s="59"/>
      <c r="F591" s="59"/>
      <c r="G591" s="79"/>
      <c r="H591" s="59"/>
    </row>
    <row r="592" spans="2:8" x14ac:dyDescent="0.2">
      <c r="B592" s="59"/>
      <c r="C592" s="59"/>
      <c r="D592" s="59"/>
      <c r="E592" s="59"/>
      <c r="F592" s="59"/>
      <c r="G592" s="79"/>
      <c r="H592" s="59"/>
    </row>
    <row r="593" spans="2:8" x14ac:dyDescent="0.2">
      <c r="B593" s="59"/>
      <c r="C593" s="59"/>
      <c r="D593" s="59"/>
      <c r="E593" s="59"/>
      <c r="F593" s="59"/>
      <c r="G593" s="79"/>
      <c r="H593" s="59"/>
    </row>
    <row r="594" spans="2:8" x14ac:dyDescent="0.2">
      <c r="B594" s="59"/>
      <c r="C594" s="59"/>
      <c r="D594" s="59"/>
      <c r="E594" s="59"/>
      <c r="F594" s="59"/>
      <c r="G594" s="79"/>
      <c r="H594" s="59"/>
    </row>
    <row r="595" spans="2:8" x14ac:dyDescent="0.2">
      <c r="B595" s="59"/>
      <c r="C595" s="59"/>
      <c r="D595" s="59"/>
      <c r="E595" s="59"/>
      <c r="F595" s="59"/>
      <c r="G595" s="79"/>
      <c r="H595" s="59"/>
    </row>
    <row r="596" spans="2:8" x14ac:dyDescent="0.2">
      <c r="B596" s="59"/>
      <c r="C596" s="59"/>
      <c r="D596" s="59"/>
      <c r="E596" s="59"/>
      <c r="F596" s="59"/>
      <c r="G596" s="79"/>
      <c r="H596" s="59"/>
    </row>
    <row r="597" spans="2:8" x14ac:dyDescent="0.2">
      <c r="B597" s="59"/>
      <c r="C597" s="59"/>
      <c r="D597" s="59"/>
      <c r="E597" s="59"/>
      <c r="F597" s="59"/>
      <c r="G597" s="79"/>
      <c r="H597" s="59"/>
    </row>
    <row r="598" spans="2:8" x14ac:dyDescent="0.2">
      <c r="B598" s="59"/>
      <c r="C598" s="59"/>
      <c r="D598" s="59"/>
      <c r="E598" s="59"/>
      <c r="F598" s="59"/>
      <c r="G598" s="79"/>
      <c r="H598" s="59"/>
    </row>
    <row r="599" spans="2:8" x14ac:dyDescent="0.2">
      <c r="B599" s="59"/>
      <c r="C599" s="59"/>
      <c r="D599" s="59"/>
      <c r="E599" s="59"/>
      <c r="F599" s="59"/>
      <c r="G599" s="79"/>
      <c r="H599" s="59"/>
    </row>
    <row r="600" spans="2:8" x14ac:dyDescent="0.2">
      <c r="B600" s="59"/>
      <c r="C600" s="59"/>
      <c r="D600" s="59"/>
      <c r="E600" s="59"/>
      <c r="F600" s="59"/>
      <c r="G600" s="79"/>
      <c r="H600" s="59"/>
    </row>
    <row r="601" spans="2:8" x14ac:dyDescent="0.2">
      <c r="B601" s="59"/>
      <c r="C601" s="59"/>
      <c r="D601" s="59"/>
      <c r="E601" s="59"/>
      <c r="F601" s="59"/>
      <c r="G601" s="79"/>
      <c r="H601" s="59"/>
    </row>
    <row r="602" spans="2:8" x14ac:dyDescent="0.2">
      <c r="B602" s="59"/>
      <c r="C602" s="59"/>
      <c r="D602" s="59"/>
      <c r="E602" s="59"/>
      <c r="F602" s="59"/>
      <c r="G602" s="79"/>
      <c r="H602" s="59"/>
    </row>
    <row r="603" spans="2:8" x14ac:dyDescent="0.2">
      <c r="B603" s="59"/>
      <c r="C603" s="59"/>
      <c r="D603" s="59"/>
      <c r="E603" s="59"/>
      <c r="F603" s="59"/>
      <c r="G603" s="79"/>
      <c r="H603" s="59"/>
    </row>
    <row r="604" spans="2:8" x14ac:dyDescent="0.2">
      <c r="B604" s="59"/>
      <c r="C604" s="59"/>
      <c r="D604" s="59"/>
      <c r="E604" s="59"/>
      <c r="F604" s="59"/>
      <c r="G604" s="79"/>
      <c r="H604" s="59"/>
    </row>
    <row r="605" spans="2:8" x14ac:dyDescent="0.2">
      <c r="B605" s="59"/>
      <c r="C605" s="59"/>
      <c r="D605" s="59"/>
      <c r="E605" s="59"/>
      <c r="F605" s="59"/>
      <c r="G605" s="79"/>
      <c r="H605" s="59"/>
    </row>
    <row r="606" spans="2:8" x14ac:dyDescent="0.2">
      <c r="B606" s="59"/>
      <c r="C606" s="59"/>
      <c r="D606" s="59"/>
      <c r="E606" s="59"/>
      <c r="F606" s="59"/>
      <c r="G606" s="79"/>
      <c r="H606" s="59"/>
    </row>
    <row r="607" spans="2:8" x14ac:dyDescent="0.2">
      <c r="B607" s="59"/>
      <c r="C607" s="59"/>
      <c r="D607" s="59"/>
      <c r="E607" s="59"/>
      <c r="F607" s="59"/>
      <c r="G607" s="79"/>
      <c r="H607" s="59"/>
    </row>
    <row r="608" spans="2:8" x14ac:dyDescent="0.2">
      <c r="B608" s="59"/>
      <c r="C608" s="59"/>
      <c r="D608" s="59"/>
      <c r="E608" s="59"/>
      <c r="F608" s="59"/>
      <c r="G608" s="79"/>
      <c r="H608" s="59"/>
    </row>
    <row r="609" spans="2:8" x14ac:dyDescent="0.2">
      <c r="B609" s="59"/>
      <c r="C609" s="59"/>
      <c r="D609" s="59"/>
      <c r="E609" s="59"/>
      <c r="F609" s="59"/>
      <c r="G609" s="79"/>
      <c r="H609" s="59"/>
    </row>
    <row r="610" spans="2:8" x14ac:dyDescent="0.2">
      <c r="B610" s="59"/>
      <c r="C610" s="59"/>
      <c r="D610" s="59"/>
      <c r="E610" s="59"/>
      <c r="F610" s="59"/>
      <c r="G610" s="79"/>
      <c r="H610" s="59"/>
    </row>
    <row r="611" spans="2:8" x14ac:dyDescent="0.2">
      <c r="B611" s="59"/>
      <c r="C611" s="59"/>
      <c r="D611" s="59"/>
      <c r="E611" s="59"/>
      <c r="F611" s="59"/>
      <c r="G611" s="79"/>
      <c r="H611" s="59"/>
    </row>
    <row r="612" spans="2:8" x14ac:dyDescent="0.2">
      <c r="B612" s="59"/>
      <c r="C612" s="59"/>
      <c r="D612" s="59"/>
      <c r="E612" s="59"/>
      <c r="F612" s="59"/>
      <c r="G612" s="79"/>
      <c r="H612" s="59"/>
    </row>
    <row r="613" spans="2:8" x14ac:dyDescent="0.2">
      <c r="B613" s="59"/>
      <c r="C613" s="59"/>
      <c r="D613" s="59"/>
      <c r="E613" s="59"/>
      <c r="F613" s="59"/>
      <c r="G613" s="79"/>
      <c r="H613" s="59"/>
    </row>
    <row r="614" spans="2:8" x14ac:dyDescent="0.2">
      <c r="B614" s="59"/>
      <c r="C614" s="59"/>
      <c r="D614" s="59"/>
      <c r="E614" s="59"/>
      <c r="F614" s="59"/>
      <c r="G614" s="79"/>
      <c r="H614" s="59"/>
    </row>
    <row r="615" spans="2:8" x14ac:dyDescent="0.2">
      <c r="B615" s="59"/>
      <c r="C615" s="59"/>
      <c r="D615" s="59"/>
      <c r="E615" s="59"/>
      <c r="F615" s="59"/>
      <c r="G615" s="79"/>
      <c r="H615" s="59"/>
    </row>
    <row r="616" spans="2:8" x14ac:dyDescent="0.2">
      <c r="B616" s="59"/>
      <c r="C616" s="59"/>
      <c r="D616" s="59"/>
      <c r="E616" s="59"/>
      <c r="F616" s="59"/>
      <c r="G616" s="79"/>
      <c r="H616" s="59"/>
    </row>
    <row r="617" spans="2:8" x14ac:dyDescent="0.2">
      <c r="B617" s="59"/>
      <c r="C617" s="59"/>
      <c r="D617" s="59"/>
      <c r="E617" s="59"/>
      <c r="F617" s="59"/>
      <c r="G617" s="79"/>
      <c r="H617" s="59"/>
    </row>
    <row r="618" spans="2:8" x14ac:dyDescent="0.2">
      <c r="B618" s="59"/>
      <c r="C618" s="59"/>
      <c r="D618" s="59"/>
      <c r="E618" s="59"/>
      <c r="F618" s="59"/>
      <c r="G618" s="79"/>
      <c r="H618" s="59"/>
    </row>
    <row r="619" spans="2:8" x14ac:dyDescent="0.2">
      <c r="B619" s="59"/>
      <c r="C619" s="59"/>
      <c r="D619" s="59"/>
      <c r="E619" s="59"/>
      <c r="F619" s="59"/>
      <c r="G619" s="79"/>
      <c r="H619" s="59"/>
    </row>
    <row r="620" spans="2:8" x14ac:dyDescent="0.2">
      <c r="B620" s="59"/>
      <c r="C620" s="59"/>
      <c r="D620" s="59"/>
      <c r="E620" s="59"/>
      <c r="F620" s="59"/>
      <c r="G620" s="79"/>
      <c r="H620" s="59"/>
    </row>
    <row r="621" spans="2:8" x14ac:dyDescent="0.2">
      <c r="B621" s="59"/>
      <c r="C621" s="59"/>
      <c r="D621" s="59"/>
      <c r="E621" s="59"/>
      <c r="F621" s="59"/>
      <c r="G621" s="79"/>
      <c r="H621" s="59"/>
    </row>
    <row r="622" spans="2:8" x14ac:dyDescent="0.2">
      <c r="B622" s="59"/>
      <c r="C622" s="59"/>
      <c r="D622" s="59"/>
      <c r="E622" s="59"/>
      <c r="F622" s="59"/>
      <c r="G622" s="79"/>
      <c r="H622" s="59"/>
    </row>
    <row r="623" spans="2:8" x14ac:dyDescent="0.2">
      <c r="B623" s="59"/>
      <c r="C623" s="59"/>
      <c r="D623" s="59"/>
      <c r="E623" s="59"/>
      <c r="F623" s="59"/>
      <c r="G623" s="79"/>
      <c r="H623" s="59"/>
    </row>
    <row r="624" spans="2:8" x14ac:dyDescent="0.2">
      <c r="B624" s="59"/>
      <c r="C624" s="59"/>
      <c r="D624" s="59"/>
      <c r="E624" s="59"/>
      <c r="F624" s="59"/>
      <c r="G624" s="79"/>
      <c r="H624" s="59"/>
    </row>
    <row r="625" spans="2:8" x14ac:dyDescent="0.2">
      <c r="B625" s="59"/>
      <c r="C625" s="59"/>
      <c r="D625" s="59"/>
      <c r="E625" s="59"/>
      <c r="F625" s="59"/>
      <c r="G625" s="79"/>
      <c r="H625" s="59"/>
    </row>
    <row r="626" spans="2:8" x14ac:dyDescent="0.2">
      <c r="B626" s="59"/>
      <c r="C626" s="59"/>
      <c r="D626" s="59"/>
      <c r="E626" s="59"/>
      <c r="F626" s="59"/>
      <c r="G626" s="79"/>
      <c r="H626" s="59"/>
    </row>
    <row r="627" spans="2:8" x14ac:dyDescent="0.2">
      <c r="B627" s="59"/>
      <c r="C627" s="59"/>
      <c r="D627" s="59"/>
      <c r="E627" s="59"/>
      <c r="F627" s="59"/>
      <c r="G627" s="79"/>
      <c r="H627" s="59"/>
    </row>
    <row r="628" spans="2:8" x14ac:dyDescent="0.2">
      <c r="B628" s="59"/>
      <c r="C628" s="59"/>
      <c r="D628" s="59"/>
      <c r="E628" s="59"/>
      <c r="F628" s="59"/>
      <c r="G628" s="79"/>
      <c r="H628" s="59"/>
    </row>
    <row r="629" spans="2:8" x14ac:dyDescent="0.2">
      <c r="B629" s="59"/>
      <c r="C629" s="59"/>
      <c r="D629" s="59"/>
      <c r="E629" s="59"/>
      <c r="F629" s="59"/>
      <c r="G629" s="79"/>
      <c r="H629" s="59"/>
    </row>
    <row r="630" spans="2:8" x14ac:dyDescent="0.2">
      <c r="B630" s="59"/>
      <c r="C630" s="59"/>
      <c r="D630" s="59"/>
      <c r="E630" s="59"/>
      <c r="F630" s="59"/>
      <c r="G630" s="79"/>
      <c r="H630" s="59"/>
    </row>
    <row r="631" spans="2:8" x14ac:dyDescent="0.2">
      <c r="B631" s="59"/>
      <c r="C631" s="59"/>
      <c r="D631" s="59"/>
      <c r="E631" s="59"/>
      <c r="F631" s="59"/>
      <c r="G631" s="79"/>
      <c r="H631" s="59"/>
    </row>
    <row r="632" spans="2:8" x14ac:dyDescent="0.2">
      <c r="B632" s="59"/>
      <c r="C632" s="59"/>
      <c r="D632" s="59"/>
      <c r="E632" s="59"/>
      <c r="F632" s="59"/>
      <c r="G632" s="79"/>
      <c r="H632" s="59"/>
    </row>
    <row r="633" spans="2:8" x14ac:dyDescent="0.2">
      <c r="B633" s="59"/>
      <c r="C633" s="59"/>
      <c r="D633" s="59"/>
      <c r="E633" s="59"/>
      <c r="F633" s="59"/>
      <c r="G633" s="79"/>
      <c r="H633" s="59"/>
    </row>
    <row r="634" spans="2:8" x14ac:dyDescent="0.2">
      <c r="B634" s="59"/>
      <c r="C634" s="59"/>
      <c r="D634" s="59"/>
      <c r="E634" s="59"/>
      <c r="F634" s="59"/>
      <c r="G634" s="79"/>
      <c r="H634" s="59"/>
    </row>
    <row r="635" spans="2:8" x14ac:dyDescent="0.2">
      <c r="B635" s="59"/>
      <c r="C635" s="59"/>
      <c r="D635" s="59"/>
      <c r="E635" s="59"/>
      <c r="F635" s="59"/>
      <c r="G635" s="79"/>
      <c r="H635" s="59"/>
    </row>
    <row r="636" spans="2:8" x14ac:dyDescent="0.2">
      <c r="B636" s="59"/>
      <c r="C636" s="59"/>
      <c r="D636" s="59"/>
      <c r="E636" s="59"/>
      <c r="F636" s="59"/>
      <c r="G636" s="79"/>
      <c r="H636" s="59"/>
    </row>
    <row r="637" spans="2:8" x14ac:dyDescent="0.2">
      <c r="B637" s="59"/>
      <c r="C637" s="59"/>
      <c r="D637" s="59"/>
      <c r="E637" s="59"/>
      <c r="F637" s="59"/>
      <c r="G637" s="79"/>
      <c r="H637" s="59"/>
    </row>
    <row r="638" spans="2:8" x14ac:dyDescent="0.2">
      <c r="B638" s="59"/>
      <c r="C638" s="59"/>
      <c r="D638" s="59"/>
      <c r="E638" s="59"/>
      <c r="F638" s="59"/>
      <c r="G638" s="79"/>
      <c r="H638" s="59"/>
    </row>
    <row r="639" spans="2:8" x14ac:dyDescent="0.2">
      <c r="B639" s="59"/>
      <c r="C639" s="59"/>
      <c r="D639" s="59"/>
      <c r="E639" s="59"/>
      <c r="F639" s="59"/>
      <c r="G639" s="79"/>
      <c r="H639" s="59"/>
    </row>
    <row r="640" spans="2:8" x14ac:dyDescent="0.2">
      <c r="B640" s="59"/>
      <c r="C640" s="59"/>
      <c r="D640" s="59"/>
      <c r="E640" s="59"/>
      <c r="F640" s="59"/>
      <c r="G640" s="79"/>
      <c r="H640" s="59"/>
    </row>
    <row r="641" spans="2:8" x14ac:dyDescent="0.2">
      <c r="B641" s="59"/>
      <c r="C641" s="59"/>
      <c r="D641" s="59"/>
      <c r="E641" s="59"/>
      <c r="F641" s="59"/>
      <c r="G641" s="79"/>
      <c r="H641" s="59"/>
    </row>
    <row r="642" spans="2:8" x14ac:dyDescent="0.2">
      <c r="B642" s="59"/>
      <c r="C642" s="59"/>
      <c r="D642" s="59"/>
      <c r="E642" s="59"/>
      <c r="F642" s="59"/>
      <c r="G642" s="79"/>
      <c r="H642" s="59"/>
    </row>
    <row r="643" spans="2:8" x14ac:dyDescent="0.2">
      <c r="B643" s="59"/>
      <c r="C643" s="59"/>
      <c r="D643" s="59"/>
      <c r="E643" s="59"/>
      <c r="F643" s="59"/>
      <c r="G643" s="79"/>
      <c r="H643" s="59"/>
    </row>
    <row r="644" spans="2:8" x14ac:dyDescent="0.2">
      <c r="B644" s="59"/>
      <c r="C644" s="59"/>
      <c r="D644" s="59"/>
      <c r="E644" s="59"/>
      <c r="F644" s="59"/>
      <c r="G644" s="79"/>
      <c r="H644" s="59"/>
    </row>
    <row r="645" spans="2:8" x14ac:dyDescent="0.2">
      <c r="B645" s="59"/>
      <c r="C645" s="59"/>
      <c r="D645" s="59"/>
      <c r="E645" s="59"/>
      <c r="F645" s="59"/>
      <c r="G645" s="79"/>
      <c r="H645" s="59"/>
    </row>
    <row r="646" spans="2:8" x14ac:dyDescent="0.2">
      <c r="B646" s="59"/>
      <c r="C646" s="59"/>
      <c r="D646" s="59"/>
      <c r="E646" s="59"/>
      <c r="F646" s="59"/>
      <c r="G646" s="79"/>
      <c r="H646" s="59"/>
    </row>
    <row r="647" spans="2:8" x14ac:dyDescent="0.2">
      <c r="B647" s="59"/>
      <c r="C647" s="59"/>
      <c r="D647" s="59"/>
      <c r="E647" s="59"/>
      <c r="F647" s="59"/>
      <c r="G647" s="79"/>
      <c r="H647" s="59"/>
    </row>
    <row r="648" spans="2:8" x14ac:dyDescent="0.2">
      <c r="B648" s="59"/>
      <c r="C648" s="59"/>
      <c r="D648" s="59"/>
      <c r="E648" s="59"/>
      <c r="F648" s="59"/>
      <c r="G648" s="79"/>
      <c r="H648" s="59"/>
    </row>
    <row r="649" spans="2:8" x14ac:dyDescent="0.2">
      <c r="B649" s="59"/>
      <c r="C649" s="59"/>
      <c r="D649" s="59"/>
      <c r="E649" s="59"/>
      <c r="F649" s="59"/>
      <c r="G649" s="79"/>
      <c r="H649" s="59"/>
    </row>
    <row r="650" spans="2:8" x14ac:dyDescent="0.2">
      <c r="B650" s="59"/>
      <c r="C650" s="59"/>
      <c r="D650" s="59"/>
      <c r="E650" s="59"/>
      <c r="F650" s="59"/>
      <c r="G650" s="79"/>
      <c r="H650" s="59"/>
    </row>
    <row r="651" spans="2:8" x14ac:dyDescent="0.2">
      <c r="B651" s="59"/>
      <c r="C651" s="59"/>
      <c r="D651" s="59"/>
      <c r="E651" s="59"/>
      <c r="F651" s="59"/>
      <c r="G651" s="79"/>
      <c r="H651" s="59"/>
    </row>
    <row r="652" spans="2:8" x14ac:dyDescent="0.2">
      <c r="B652" s="59"/>
      <c r="C652" s="59"/>
      <c r="D652" s="59"/>
      <c r="E652" s="59"/>
      <c r="F652" s="59"/>
      <c r="G652" s="79"/>
      <c r="H652" s="59"/>
    </row>
    <row r="653" spans="2:8" x14ac:dyDescent="0.2">
      <c r="B653" s="59"/>
      <c r="C653" s="59"/>
      <c r="D653" s="59"/>
      <c r="E653" s="59"/>
      <c r="F653" s="59"/>
      <c r="G653" s="79"/>
      <c r="H653" s="59"/>
    </row>
    <row r="654" spans="2:8" x14ac:dyDescent="0.2">
      <c r="B654" s="59"/>
      <c r="C654" s="59"/>
      <c r="D654" s="59"/>
      <c r="E654" s="59"/>
      <c r="F654" s="59"/>
      <c r="G654" s="79"/>
      <c r="H654" s="59"/>
    </row>
    <row r="655" spans="2:8" x14ac:dyDescent="0.2">
      <c r="B655" s="59"/>
      <c r="C655" s="59"/>
      <c r="D655" s="59"/>
      <c r="E655" s="59"/>
      <c r="F655" s="59"/>
      <c r="G655" s="79"/>
      <c r="H655" s="59"/>
    </row>
    <row r="656" spans="2:8" x14ac:dyDescent="0.2">
      <c r="B656" s="59"/>
      <c r="C656" s="59"/>
      <c r="D656" s="59"/>
      <c r="E656" s="59"/>
      <c r="F656" s="59"/>
      <c r="G656" s="79"/>
      <c r="H656" s="59"/>
    </row>
    <row r="657" spans="2:8" x14ac:dyDescent="0.2">
      <c r="B657" s="59"/>
      <c r="C657" s="59"/>
      <c r="D657" s="59"/>
      <c r="E657" s="59"/>
      <c r="F657" s="59"/>
      <c r="G657" s="79"/>
      <c r="H657" s="59"/>
    </row>
    <row r="658" spans="2:8" x14ac:dyDescent="0.2">
      <c r="B658" s="59"/>
      <c r="C658" s="59"/>
      <c r="D658" s="59"/>
      <c r="E658" s="59"/>
      <c r="F658" s="59"/>
      <c r="G658" s="79"/>
      <c r="H658" s="59"/>
    </row>
    <row r="659" spans="2:8" x14ac:dyDescent="0.2">
      <c r="B659" s="59"/>
      <c r="C659" s="59"/>
      <c r="D659" s="59"/>
      <c r="E659" s="59"/>
      <c r="F659" s="59"/>
      <c r="G659" s="79"/>
      <c r="H659" s="59"/>
    </row>
    <row r="660" spans="2:8" x14ac:dyDescent="0.2">
      <c r="B660" s="59"/>
      <c r="C660" s="59"/>
      <c r="D660" s="59"/>
      <c r="E660" s="59"/>
      <c r="F660" s="59"/>
      <c r="G660" s="79"/>
      <c r="H660" s="59"/>
    </row>
    <row r="661" spans="2:8" x14ac:dyDescent="0.2">
      <c r="B661" s="59"/>
      <c r="C661" s="59"/>
      <c r="D661" s="59"/>
      <c r="E661" s="59"/>
      <c r="F661" s="59"/>
      <c r="G661" s="79"/>
      <c r="H661" s="59"/>
    </row>
    <row r="662" spans="2:8" x14ac:dyDescent="0.2">
      <c r="B662" s="59"/>
      <c r="C662" s="59"/>
      <c r="D662" s="59"/>
      <c r="E662" s="59"/>
      <c r="F662" s="59"/>
      <c r="G662" s="79"/>
      <c r="H662" s="59"/>
    </row>
    <row r="663" spans="2:8" x14ac:dyDescent="0.2">
      <c r="B663" s="59"/>
      <c r="C663" s="59"/>
      <c r="D663" s="59"/>
      <c r="E663" s="59"/>
      <c r="F663" s="59"/>
      <c r="G663" s="79"/>
      <c r="H663" s="59"/>
    </row>
    <row r="664" spans="2:8" x14ac:dyDescent="0.2">
      <c r="B664" s="59"/>
      <c r="C664" s="59"/>
      <c r="D664" s="59"/>
      <c r="E664" s="59"/>
      <c r="F664" s="59"/>
      <c r="G664" s="79"/>
      <c r="H664" s="59"/>
    </row>
    <row r="665" spans="2:8" x14ac:dyDescent="0.2">
      <c r="B665" s="59"/>
      <c r="C665" s="59"/>
      <c r="D665" s="59"/>
      <c r="E665" s="59"/>
      <c r="F665" s="59"/>
      <c r="G665" s="79"/>
      <c r="H665" s="59"/>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2A20C-C99B-9944-BE10-D93D5F863573}">
  <dimension ref="B2:H665"/>
  <sheetViews>
    <sheetView showGridLines="0" workbookViewId="0">
      <selection activeCell="P17" sqref="P17"/>
    </sheetView>
  </sheetViews>
  <sheetFormatPr baseColWidth="10" defaultRowHeight="16" x14ac:dyDescent="0.2"/>
  <cols>
    <col min="3" max="3" width="17.33203125" customWidth="1"/>
    <col min="4" max="4" width="13.1640625" customWidth="1"/>
  </cols>
  <sheetData>
    <row r="2" spans="2:8" x14ac:dyDescent="0.2">
      <c r="B2" s="51" t="s">
        <v>8538</v>
      </c>
    </row>
    <row r="3" spans="2:8" x14ac:dyDescent="0.2">
      <c r="B3" s="51" t="s">
        <v>1894</v>
      </c>
      <c r="C3" s="51" t="s">
        <v>1895</v>
      </c>
      <c r="D3" s="51" t="s">
        <v>1899</v>
      </c>
      <c r="E3" s="51" t="s">
        <v>1896</v>
      </c>
      <c r="F3" s="51" t="s">
        <v>1897</v>
      </c>
      <c r="G3" s="51" t="s">
        <v>1898</v>
      </c>
    </row>
    <row r="4" spans="2:8" x14ac:dyDescent="0.2">
      <c r="B4" s="59">
        <v>1</v>
      </c>
      <c r="C4" s="59" t="s">
        <v>8096</v>
      </c>
      <c r="D4" s="59" t="s">
        <v>8097</v>
      </c>
      <c r="E4" s="59">
        <v>1</v>
      </c>
      <c r="F4" s="59">
        <v>18122009</v>
      </c>
      <c r="G4" s="79">
        <v>1.8049863275999999E-9</v>
      </c>
      <c r="H4" s="59"/>
    </row>
    <row r="5" spans="2:8" x14ac:dyDescent="0.2">
      <c r="B5" s="59">
        <v>2</v>
      </c>
      <c r="C5" s="59" t="s">
        <v>8098</v>
      </c>
      <c r="D5" s="59" t="s">
        <v>8099</v>
      </c>
      <c r="E5" s="59">
        <v>1</v>
      </c>
      <c r="F5" s="59">
        <v>37192741</v>
      </c>
      <c r="G5" s="79">
        <v>2.1343975418399999E-8</v>
      </c>
      <c r="H5" s="59"/>
    </row>
    <row r="6" spans="2:8" x14ac:dyDescent="0.2">
      <c r="B6" s="59">
        <v>3</v>
      </c>
      <c r="C6" s="59" t="s">
        <v>8100</v>
      </c>
      <c r="D6" s="59" t="s">
        <v>8101</v>
      </c>
      <c r="E6" s="59">
        <v>1</v>
      </c>
      <c r="F6" s="59">
        <v>49528403</v>
      </c>
      <c r="G6" s="79">
        <v>2.0069165658100001E-8</v>
      </c>
      <c r="H6" s="59"/>
    </row>
    <row r="7" spans="2:8" x14ac:dyDescent="0.2">
      <c r="B7" s="59">
        <v>3</v>
      </c>
      <c r="C7" s="59" t="s">
        <v>8102</v>
      </c>
      <c r="D7" s="59" t="s">
        <v>8103</v>
      </c>
      <c r="E7" s="59">
        <v>1</v>
      </c>
      <c r="F7" s="59">
        <v>50559162</v>
      </c>
      <c r="G7" s="79">
        <v>2.21161562731E-11</v>
      </c>
      <c r="H7" s="59"/>
    </row>
    <row r="8" spans="2:8" x14ac:dyDescent="0.2">
      <c r="B8" s="59">
        <v>3</v>
      </c>
      <c r="C8" s="59" t="s">
        <v>8104</v>
      </c>
      <c r="D8" s="59" t="s">
        <v>8105</v>
      </c>
      <c r="E8" s="59">
        <v>1</v>
      </c>
      <c r="F8" s="59">
        <v>50584682</v>
      </c>
      <c r="G8" s="79">
        <v>3.6639080896599999E-10</v>
      </c>
      <c r="H8" s="59"/>
    </row>
    <row r="9" spans="2:8" x14ac:dyDescent="0.2">
      <c r="B9" s="59">
        <v>4</v>
      </c>
      <c r="C9" s="59" t="s">
        <v>8106</v>
      </c>
      <c r="D9" s="59" t="s">
        <v>8107</v>
      </c>
      <c r="E9" s="59">
        <v>1</v>
      </c>
      <c r="F9" s="59">
        <v>52274078</v>
      </c>
      <c r="G9" s="79">
        <v>1.3528441756399999E-9</v>
      </c>
      <c r="H9" s="59"/>
    </row>
    <row r="10" spans="2:8" x14ac:dyDescent="0.2">
      <c r="B10" s="59">
        <v>5</v>
      </c>
      <c r="C10" s="59" t="s">
        <v>8108</v>
      </c>
      <c r="D10" s="59" t="s">
        <v>8109</v>
      </c>
      <c r="E10" s="59">
        <v>1</v>
      </c>
      <c r="F10" s="59">
        <v>72714331</v>
      </c>
      <c r="G10" s="79">
        <v>5.12267388664E-9</v>
      </c>
      <c r="H10" s="59"/>
    </row>
    <row r="11" spans="2:8" x14ac:dyDescent="0.2">
      <c r="B11" s="59">
        <v>5</v>
      </c>
      <c r="C11" s="59" t="s">
        <v>8110</v>
      </c>
      <c r="D11" s="59" t="s">
        <v>8111</v>
      </c>
      <c r="E11" s="59">
        <v>1</v>
      </c>
      <c r="F11" s="59">
        <v>72752073</v>
      </c>
      <c r="G11" s="79">
        <v>5.3602770776999995E-10</v>
      </c>
      <c r="H11" s="59"/>
    </row>
    <row r="12" spans="2:8" x14ac:dyDescent="0.2">
      <c r="B12" s="59">
        <v>5</v>
      </c>
      <c r="C12" s="59" t="s">
        <v>8112</v>
      </c>
      <c r="D12" s="59" t="s">
        <v>8113</v>
      </c>
      <c r="E12" s="59">
        <v>1</v>
      </c>
      <c r="F12" s="59">
        <v>72765116</v>
      </c>
      <c r="G12" s="79">
        <v>2.7438712143100001E-13</v>
      </c>
      <c r="H12" s="59"/>
    </row>
    <row r="13" spans="2:8" x14ac:dyDescent="0.2">
      <c r="B13" s="59">
        <v>5</v>
      </c>
      <c r="C13" s="59" t="s">
        <v>8114</v>
      </c>
      <c r="D13" s="59" t="s">
        <v>8115</v>
      </c>
      <c r="E13" s="59">
        <v>1</v>
      </c>
      <c r="F13" s="59">
        <v>72934826</v>
      </c>
      <c r="G13" s="79">
        <v>1.0310975093799999E-10</v>
      </c>
      <c r="H13" s="59"/>
    </row>
    <row r="14" spans="2:8" x14ac:dyDescent="0.2">
      <c r="B14" s="59">
        <v>6</v>
      </c>
      <c r="C14" s="59" t="s">
        <v>8116</v>
      </c>
      <c r="D14" s="59" t="s">
        <v>8117</v>
      </c>
      <c r="E14" s="59">
        <v>1</v>
      </c>
      <c r="F14" s="59">
        <v>73305782</v>
      </c>
      <c r="G14" s="79">
        <v>3.8570119046499999E-10</v>
      </c>
      <c r="H14" s="59"/>
    </row>
    <row r="15" spans="2:8" x14ac:dyDescent="0.2">
      <c r="B15" s="59">
        <v>6</v>
      </c>
      <c r="C15" s="59" t="s">
        <v>8118</v>
      </c>
      <c r="D15" s="59" t="s">
        <v>8119</v>
      </c>
      <c r="E15" s="59">
        <v>1</v>
      </c>
      <c r="F15" s="59">
        <v>73507701</v>
      </c>
      <c r="G15" s="79">
        <v>7.1112803699000006E-17</v>
      </c>
      <c r="H15" s="59"/>
    </row>
    <row r="16" spans="2:8" x14ac:dyDescent="0.2">
      <c r="B16" s="59">
        <v>6</v>
      </c>
      <c r="C16" s="59" t="s">
        <v>6752</v>
      </c>
      <c r="D16" s="59" t="s">
        <v>6753</v>
      </c>
      <c r="E16" s="59">
        <v>1</v>
      </c>
      <c r="F16" s="59">
        <v>73816564</v>
      </c>
      <c r="G16" s="79">
        <v>1.86131426293E-13</v>
      </c>
      <c r="H16" s="59"/>
    </row>
    <row r="17" spans="2:8" x14ac:dyDescent="0.2">
      <c r="B17" s="59">
        <v>6</v>
      </c>
      <c r="C17" s="59" t="s">
        <v>8120</v>
      </c>
      <c r="D17" s="59" t="s">
        <v>8121</v>
      </c>
      <c r="E17" s="59">
        <v>1</v>
      </c>
      <c r="F17" s="59">
        <v>73880586</v>
      </c>
      <c r="G17" s="79">
        <v>4.29028883383E-10</v>
      </c>
      <c r="H17" s="59"/>
    </row>
    <row r="18" spans="2:8" x14ac:dyDescent="0.2">
      <c r="B18" s="59">
        <v>6</v>
      </c>
      <c r="C18" s="59" t="s">
        <v>8122</v>
      </c>
      <c r="D18" s="59" t="s">
        <v>8123</v>
      </c>
      <c r="E18" s="59">
        <v>1</v>
      </c>
      <c r="F18" s="59">
        <v>73891081</v>
      </c>
      <c r="G18" s="79">
        <v>2.37808054778E-8</v>
      </c>
      <c r="H18" s="59"/>
    </row>
    <row r="19" spans="2:8" x14ac:dyDescent="0.2">
      <c r="B19" s="59">
        <v>6</v>
      </c>
      <c r="C19" s="59" t="s">
        <v>8124</v>
      </c>
      <c r="D19" s="59" t="s">
        <v>8125</v>
      </c>
      <c r="E19" s="59">
        <v>1</v>
      </c>
      <c r="F19" s="59">
        <v>73957815</v>
      </c>
      <c r="G19" s="79">
        <v>6.7326639991999999E-9</v>
      </c>
      <c r="H19" s="59"/>
    </row>
    <row r="20" spans="2:8" x14ac:dyDescent="0.2">
      <c r="B20" s="59">
        <v>6</v>
      </c>
      <c r="C20" s="59" t="s">
        <v>8126</v>
      </c>
      <c r="D20" s="59" t="s">
        <v>8127</v>
      </c>
      <c r="E20" s="59">
        <v>1</v>
      </c>
      <c r="F20" s="59">
        <v>74005504</v>
      </c>
      <c r="G20" s="79">
        <v>1.0585570318E-10</v>
      </c>
      <c r="H20" s="59"/>
    </row>
    <row r="21" spans="2:8" x14ac:dyDescent="0.2">
      <c r="B21" s="59">
        <v>6</v>
      </c>
      <c r="C21" s="59" t="s">
        <v>8128</v>
      </c>
      <c r="D21" s="59" t="s">
        <v>8129</v>
      </c>
      <c r="E21" s="59">
        <v>1</v>
      </c>
      <c r="F21" s="59">
        <v>74070609</v>
      </c>
      <c r="G21" s="79">
        <v>7.8930659563299999E-9</v>
      </c>
      <c r="H21" s="59"/>
    </row>
    <row r="22" spans="2:8" x14ac:dyDescent="0.2">
      <c r="B22" s="59">
        <v>6</v>
      </c>
      <c r="C22" s="59" t="s">
        <v>8130</v>
      </c>
      <c r="D22" s="59" t="s">
        <v>8131</v>
      </c>
      <c r="E22" s="59">
        <v>1</v>
      </c>
      <c r="F22" s="59">
        <v>74077588</v>
      </c>
      <c r="G22" s="79">
        <v>6.9148140283099997E-14</v>
      </c>
      <c r="H22" s="59"/>
    </row>
    <row r="23" spans="2:8" x14ac:dyDescent="0.2">
      <c r="B23" s="59">
        <v>6</v>
      </c>
      <c r="C23" s="59" t="s">
        <v>8132</v>
      </c>
      <c r="D23" s="59" t="s">
        <v>8133</v>
      </c>
      <c r="E23" s="59">
        <v>1</v>
      </c>
      <c r="F23" s="59">
        <v>74092495</v>
      </c>
      <c r="G23" s="79">
        <v>2.9516890642399999E-11</v>
      </c>
      <c r="H23" s="59"/>
    </row>
    <row r="24" spans="2:8" x14ac:dyDescent="0.2">
      <c r="B24" s="59">
        <v>6</v>
      </c>
      <c r="C24" s="59" t="s">
        <v>8134</v>
      </c>
      <c r="D24" s="59" t="s">
        <v>8135</v>
      </c>
      <c r="E24" s="59">
        <v>1</v>
      </c>
      <c r="F24" s="59">
        <v>74106487</v>
      </c>
      <c r="G24" s="79">
        <v>9.1919349911100001E-9</v>
      </c>
      <c r="H24" s="59"/>
    </row>
    <row r="25" spans="2:8" x14ac:dyDescent="0.2">
      <c r="B25" s="59">
        <v>7</v>
      </c>
      <c r="C25" s="59" t="s">
        <v>8136</v>
      </c>
      <c r="D25" s="59" t="s">
        <v>8137</v>
      </c>
      <c r="E25" s="59">
        <v>1</v>
      </c>
      <c r="F25" s="59">
        <v>117873022</v>
      </c>
      <c r="G25" s="79">
        <v>4.1599089915299997E-8</v>
      </c>
      <c r="H25" s="59"/>
    </row>
    <row r="26" spans="2:8" x14ac:dyDescent="0.2">
      <c r="B26" s="59">
        <v>8</v>
      </c>
      <c r="C26" s="59" t="s">
        <v>8138</v>
      </c>
      <c r="D26" s="59" t="s">
        <v>8139</v>
      </c>
      <c r="E26" s="59">
        <v>1</v>
      </c>
      <c r="F26" s="59">
        <v>176323426</v>
      </c>
      <c r="G26" s="79">
        <v>1.5279519637800001E-8</v>
      </c>
      <c r="H26" s="59"/>
    </row>
    <row r="27" spans="2:8" x14ac:dyDescent="0.2">
      <c r="B27" s="59">
        <v>9</v>
      </c>
      <c r="C27" s="59" t="s">
        <v>8140</v>
      </c>
      <c r="D27" s="59" t="s">
        <v>8141</v>
      </c>
      <c r="E27" s="59">
        <v>1</v>
      </c>
      <c r="F27" s="59">
        <v>181739504</v>
      </c>
      <c r="G27" s="79">
        <v>1.5449100172099999E-8</v>
      </c>
      <c r="H27" s="59"/>
    </row>
    <row r="28" spans="2:8" x14ac:dyDescent="0.2">
      <c r="B28" s="59">
        <v>10</v>
      </c>
      <c r="C28" s="59" t="s">
        <v>8142</v>
      </c>
      <c r="D28" s="59" t="s">
        <v>8143</v>
      </c>
      <c r="E28" s="59">
        <v>1</v>
      </c>
      <c r="F28" s="59">
        <v>190839343</v>
      </c>
      <c r="G28" s="79">
        <v>4.2399173567400002E-8</v>
      </c>
      <c r="H28" s="59"/>
    </row>
    <row r="29" spans="2:8" x14ac:dyDescent="0.2">
      <c r="B29" s="59">
        <v>10</v>
      </c>
      <c r="C29" s="59" t="s">
        <v>8144</v>
      </c>
      <c r="D29" s="59" t="s">
        <v>8145</v>
      </c>
      <c r="E29" s="59">
        <v>1</v>
      </c>
      <c r="F29" s="59">
        <v>191332517</v>
      </c>
      <c r="G29" s="79">
        <v>2.0019108930199999E-8</v>
      </c>
      <c r="H29" s="59"/>
    </row>
    <row r="30" spans="2:8" x14ac:dyDescent="0.2">
      <c r="B30" s="59">
        <v>11</v>
      </c>
      <c r="C30" s="59" t="s">
        <v>8146</v>
      </c>
      <c r="D30" s="59" t="s">
        <v>8147</v>
      </c>
      <c r="E30" s="59">
        <v>1</v>
      </c>
      <c r="F30" s="59">
        <v>197631141</v>
      </c>
      <c r="G30" s="79">
        <v>2.83575637774E-9</v>
      </c>
      <c r="H30" s="59"/>
    </row>
    <row r="31" spans="2:8" x14ac:dyDescent="0.2">
      <c r="B31" s="59">
        <v>12</v>
      </c>
      <c r="C31" s="59" t="s">
        <v>8148</v>
      </c>
      <c r="D31" s="59" t="s">
        <v>8149</v>
      </c>
      <c r="E31" s="59">
        <v>1</v>
      </c>
      <c r="F31" s="59">
        <v>214442481</v>
      </c>
      <c r="G31" s="79">
        <v>4.3770629485399999E-8</v>
      </c>
      <c r="H31" s="59"/>
    </row>
    <row r="32" spans="2:8" x14ac:dyDescent="0.2">
      <c r="B32" s="59">
        <v>13</v>
      </c>
      <c r="C32" s="59" t="s">
        <v>8150</v>
      </c>
      <c r="D32" s="59" t="s">
        <v>8151</v>
      </c>
      <c r="E32" s="59">
        <v>2</v>
      </c>
      <c r="F32" s="59">
        <v>22495845</v>
      </c>
      <c r="G32" s="79">
        <v>5.6194651455700003E-9</v>
      </c>
      <c r="H32" s="59"/>
    </row>
    <row r="33" spans="2:8" x14ac:dyDescent="0.2">
      <c r="B33" s="59">
        <v>14</v>
      </c>
      <c r="C33" s="59" t="s">
        <v>8152</v>
      </c>
      <c r="D33" s="59" t="s">
        <v>8153</v>
      </c>
      <c r="E33" s="59">
        <v>2</v>
      </c>
      <c r="F33" s="59">
        <v>104452335</v>
      </c>
      <c r="G33" s="79">
        <v>1.26999353815E-8</v>
      </c>
      <c r="H33" s="59"/>
    </row>
    <row r="34" spans="2:8" x14ac:dyDescent="0.2">
      <c r="B34" s="59">
        <v>15</v>
      </c>
      <c r="C34" s="59" t="s">
        <v>8154</v>
      </c>
      <c r="D34" s="59" t="s">
        <v>8155</v>
      </c>
      <c r="E34" s="59">
        <v>2</v>
      </c>
      <c r="F34" s="59">
        <v>124980406</v>
      </c>
      <c r="G34" s="79">
        <v>3.18224632145E-8</v>
      </c>
      <c r="H34" s="59"/>
    </row>
    <row r="35" spans="2:8" x14ac:dyDescent="0.2">
      <c r="B35" s="59">
        <v>16</v>
      </c>
      <c r="C35" s="59" t="s">
        <v>8156</v>
      </c>
      <c r="D35" s="59" t="s">
        <v>8157</v>
      </c>
      <c r="E35" s="59">
        <v>2</v>
      </c>
      <c r="F35" s="59">
        <v>161356971</v>
      </c>
      <c r="G35" s="79">
        <v>5.6796177651899998E-9</v>
      </c>
      <c r="H35" s="59"/>
    </row>
    <row r="36" spans="2:8" x14ac:dyDescent="0.2">
      <c r="B36" s="59">
        <v>17</v>
      </c>
      <c r="C36" s="59" t="s">
        <v>8158</v>
      </c>
      <c r="D36" s="59" t="s">
        <v>8159</v>
      </c>
      <c r="E36" s="59">
        <v>2</v>
      </c>
      <c r="F36" s="59">
        <v>208071813</v>
      </c>
      <c r="G36" s="79">
        <v>2.3577625634700001E-9</v>
      </c>
      <c r="H36" s="59"/>
    </row>
    <row r="37" spans="2:8" x14ac:dyDescent="0.2">
      <c r="B37" s="59">
        <v>18</v>
      </c>
      <c r="C37" s="59" t="s">
        <v>8160</v>
      </c>
      <c r="D37" s="59" t="s">
        <v>8161</v>
      </c>
      <c r="E37" s="59">
        <v>2</v>
      </c>
      <c r="F37" s="59">
        <v>212621761</v>
      </c>
      <c r="G37" s="79">
        <v>3.3490621389300002E-8</v>
      </c>
      <c r="H37" s="59"/>
    </row>
    <row r="38" spans="2:8" x14ac:dyDescent="0.2">
      <c r="B38" s="59">
        <v>18</v>
      </c>
      <c r="C38" s="59" t="s">
        <v>8162</v>
      </c>
      <c r="D38" s="59" t="s">
        <v>8163</v>
      </c>
      <c r="E38" s="59">
        <v>2</v>
      </c>
      <c r="F38" s="59">
        <v>212666847</v>
      </c>
      <c r="G38" s="79">
        <v>4.3939114677099997E-8</v>
      </c>
      <c r="H38" s="59"/>
    </row>
    <row r="39" spans="2:8" x14ac:dyDescent="0.2">
      <c r="B39" s="59">
        <v>19</v>
      </c>
      <c r="C39" s="59" t="s">
        <v>8164</v>
      </c>
      <c r="D39" s="59" t="s">
        <v>8165</v>
      </c>
      <c r="E39" s="59">
        <v>3</v>
      </c>
      <c r="F39" s="59">
        <v>49125063</v>
      </c>
      <c r="G39" s="79">
        <v>9.44282088159E-9</v>
      </c>
      <c r="H39" s="59"/>
    </row>
    <row r="40" spans="2:8" x14ac:dyDescent="0.2">
      <c r="B40" s="59">
        <v>19</v>
      </c>
      <c r="C40" s="59" t="s">
        <v>8166</v>
      </c>
      <c r="D40" s="59" t="s">
        <v>8167</v>
      </c>
      <c r="E40" s="59">
        <v>3</v>
      </c>
      <c r="F40" s="59">
        <v>49210732</v>
      </c>
      <c r="G40" s="79">
        <v>3.31875320976E-10</v>
      </c>
      <c r="H40" s="59"/>
    </row>
    <row r="41" spans="2:8" x14ac:dyDescent="0.2">
      <c r="B41" s="59">
        <v>19</v>
      </c>
      <c r="C41" s="59" t="s">
        <v>8168</v>
      </c>
      <c r="D41" s="59" t="s">
        <v>8169</v>
      </c>
      <c r="E41" s="59">
        <v>3</v>
      </c>
      <c r="F41" s="59">
        <v>49642027</v>
      </c>
      <c r="G41" s="79">
        <v>3.4711953306399998E-9</v>
      </c>
      <c r="H41" s="59"/>
    </row>
    <row r="42" spans="2:8" x14ac:dyDescent="0.2">
      <c r="B42" s="59">
        <v>20</v>
      </c>
      <c r="C42" s="59" t="s">
        <v>8170</v>
      </c>
      <c r="D42" s="59" t="s">
        <v>8171</v>
      </c>
      <c r="E42" s="59">
        <v>3</v>
      </c>
      <c r="F42" s="59">
        <v>115977242</v>
      </c>
      <c r="G42" s="79">
        <v>4.0836763203699998E-10</v>
      </c>
      <c r="H42" s="59"/>
    </row>
    <row r="43" spans="2:8" x14ac:dyDescent="0.2">
      <c r="B43" s="59">
        <v>21</v>
      </c>
      <c r="C43" s="59" t="s">
        <v>8172</v>
      </c>
      <c r="D43" s="59" t="s">
        <v>8173</v>
      </c>
      <c r="E43" s="59">
        <v>3</v>
      </c>
      <c r="F43" s="59">
        <v>117515519</v>
      </c>
      <c r="G43" s="79">
        <v>1.10295995741E-9</v>
      </c>
      <c r="H43" s="59"/>
    </row>
    <row r="44" spans="2:8" x14ac:dyDescent="0.2">
      <c r="B44" s="59">
        <v>22</v>
      </c>
      <c r="C44" s="59" t="s">
        <v>8174</v>
      </c>
      <c r="D44" s="59" t="s">
        <v>8175</v>
      </c>
      <c r="E44" s="59">
        <v>3</v>
      </c>
      <c r="F44" s="59">
        <v>158111936</v>
      </c>
      <c r="G44" s="79">
        <v>3.5691370535400001E-8</v>
      </c>
      <c r="H44" s="59"/>
    </row>
    <row r="45" spans="2:8" x14ac:dyDescent="0.2">
      <c r="B45" s="59">
        <v>23</v>
      </c>
      <c r="C45" s="59" t="s">
        <v>8176</v>
      </c>
      <c r="D45" s="59" t="s">
        <v>8177</v>
      </c>
      <c r="E45" s="59">
        <v>4</v>
      </c>
      <c r="F45" s="59">
        <v>59708660</v>
      </c>
      <c r="G45" s="79">
        <v>2.4910832732099999E-8</v>
      </c>
      <c r="H45" s="59"/>
    </row>
    <row r="46" spans="2:8" x14ac:dyDescent="0.2">
      <c r="B46" s="59">
        <v>23</v>
      </c>
      <c r="C46" s="59" t="s">
        <v>8178</v>
      </c>
      <c r="D46" s="59" t="s">
        <v>8179</v>
      </c>
      <c r="E46" s="59">
        <v>4</v>
      </c>
      <c r="F46" s="59">
        <v>59873841</v>
      </c>
      <c r="G46" s="79">
        <v>9.5267912377699993E-9</v>
      </c>
      <c r="H46" s="59"/>
    </row>
    <row r="47" spans="2:8" x14ac:dyDescent="0.2">
      <c r="B47" s="59">
        <v>24</v>
      </c>
      <c r="C47" s="59" t="s">
        <v>8180</v>
      </c>
      <c r="D47" s="59" t="s">
        <v>8181</v>
      </c>
      <c r="E47" s="59">
        <v>4</v>
      </c>
      <c r="F47" s="59">
        <v>131237381</v>
      </c>
      <c r="G47" s="79">
        <v>1.39039861861E-8</v>
      </c>
      <c r="H47" s="59"/>
    </row>
    <row r="48" spans="2:8" x14ac:dyDescent="0.2">
      <c r="B48" s="59">
        <v>25</v>
      </c>
      <c r="C48" s="59" t="s">
        <v>8182</v>
      </c>
      <c r="D48" s="59" t="s">
        <v>8183</v>
      </c>
      <c r="E48" s="59">
        <v>5</v>
      </c>
      <c r="F48" s="59">
        <v>61509655</v>
      </c>
      <c r="G48" s="79">
        <v>5.8402856265299997E-9</v>
      </c>
      <c r="H48" s="59"/>
    </row>
    <row r="49" spans="2:8" x14ac:dyDescent="0.2">
      <c r="B49" s="59">
        <v>26</v>
      </c>
      <c r="C49" s="59" t="s">
        <v>8184</v>
      </c>
      <c r="D49" s="59" t="s">
        <v>8185</v>
      </c>
      <c r="E49" s="59">
        <v>5</v>
      </c>
      <c r="F49" s="59">
        <v>92428154</v>
      </c>
      <c r="G49" s="79">
        <v>1.9593086738299999E-8</v>
      </c>
      <c r="H49" s="59"/>
    </row>
    <row r="50" spans="2:8" x14ac:dyDescent="0.2">
      <c r="B50" s="59">
        <v>26</v>
      </c>
      <c r="C50" s="59" t="s">
        <v>8186</v>
      </c>
      <c r="D50" s="59" t="s">
        <v>8187</v>
      </c>
      <c r="E50" s="59">
        <v>5</v>
      </c>
      <c r="F50" s="59">
        <v>92437628</v>
      </c>
      <c r="G50" s="79">
        <v>1.14859599567E-8</v>
      </c>
      <c r="H50" s="59"/>
    </row>
    <row r="51" spans="2:8" x14ac:dyDescent="0.2">
      <c r="B51" s="59">
        <v>27</v>
      </c>
      <c r="C51" s="59" t="s">
        <v>8188</v>
      </c>
      <c r="D51" s="59" t="s">
        <v>8189</v>
      </c>
      <c r="E51" s="59">
        <v>5</v>
      </c>
      <c r="F51" s="59">
        <v>93071630</v>
      </c>
      <c r="G51" s="79">
        <v>2.4101406157499998E-8</v>
      </c>
      <c r="H51" s="59"/>
    </row>
    <row r="52" spans="2:8" x14ac:dyDescent="0.2">
      <c r="B52" s="59">
        <v>28</v>
      </c>
      <c r="C52" s="59" t="s">
        <v>8190</v>
      </c>
      <c r="D52" s="59" t="s">
        <v>8191</v>
      </c>
      <c r="E52" s="59">
        <v>5</v>
      </c>
      <c r="F52" s="59">
        <v>103671867</v>
      </c>
      <c r="G52" s="79">
        <v>6.0436933874899997E-10</v>
      </c>
      <c r="H52" s="59"/>
    </row>
    <row r="53" spans="2:8" x14ac:dyDescent="0.2">
      <c r="B53" s="59">
        <v>28</v>
      </c>
      <c r="C53" s="59" t="s">
        <v>8192</v>
      </c>
      <c r="D53" s="59" t="s">
        <v>8193</v>
      </c>
      <c r="E53" s="59">
        <v>5</v>
      </c>
      <c r="F53" s="59">
        <v>103743732</v>
      </c>
      <c r="G53" s="79">
        <v>5.2293423123300001E-11</v>
      </c>
      <c r="H53" s="59"/>
    </row>
    <row r="54" spans="2:8" x14ac:dyDescent="0.2">
      <c r="B54" s="59">
        <v>28</v>
      </c>
      <c r="C54" s="59" t="s">
        <v>8194</v>
      </c>
      <c r="D54" s="59" t="s">
        <v>8195</v>
      </c>
      <c r="E54" s="59">
        <v>5</v>
      </c>
      <c r="F54" s="59">
        <v>103904226</v>
      </c>
      <c r="G54" s="79">
        <v>4.8428372213800003E-14</v>
      </c>
      <c r="H54" s="59"/>
    </row>
    <row r="55" spans="2:8" x14ac:dyDescent="0.2">
      <c r="B55" s="59">
        <v>28</v>
      </c>
      <c r="C55" s="59" t="s">
        <v>8196</v>
      </c>
      <c r="D55" s="59" t="s">
        <v>8197</v>
      </c>
      <c r="E55" s="59">
        <v>5</v>
      </c>
      <c r="F55" s="59">
        <v>103917837</v>
      </c>
      <c r="G55" s="79">
        <v>7.5736140503400001E-9</v>
      </c>
      <c r="H55" s="59"/>
    </row>
    <row r="56" spans="2:8" x14ac:dyDescent="0.2">
      <c r="B56" s="59">
        <v>28</v>
      </c>
      <c r="C56" s="59" t="s">
        <v>8198</v>
      </c>
      <c r="D56" s="59" t="s">
        <v>8199</v>
      </c>
      <c r="E56" s="59">
        <v>5</v>
      </c>
      <c r="F56" s="59">
        <v>103995368</v>
      </c>
      <c r="G56" s="79">
        <v>4.6880549405299996E-13</v>
      </c>
      <c r="H56" s="59"/>
    </row>
    <row r="57" spans="2:8" x14ac:dyDescent="0.2">
      <c r="B57" s="59">
        <v>29</v>
      </c>
      <c r="C57" s="59" t="s">
        <v>8200</v>
      </c>
      <c r="D57" s="59" t="s">
        <v>8201</v>
      </c>
      <c r="E57" s="59">
        <v>5</v>
      </c>
      <c r="F57" s="59">
        <v>107073493</v>
      </c>
      <c r="G57" s="79">
        <v>2.7316490488800001E-8</v>
      </c>
      <c r="H57" s="59"/>
    </row>
    <row r="58" spans="2:8" x14ac:dyDescent="0.2">
      <c r="B58" s="59">
        <v>30</v>
      </c>
      <c r="C58" s="59" t="s">
        <v>8202</v>
      </c>
      <c r="D58" s="59" t="s">
        <v>8203</v>
      </c>
      <c r="E58" s="59">
        <v>5</v>
      </c>
      <c r="F58" s="59">
        <v>164487132</v>
      </c>
      <c r="G58" s="79">
        <v>2.4247095399000001E-12</v>
      </c>
      <c r="H58" s="59"/>
    </row>
    <row r="59" spans="2:8" x14ac:dyDescent="0.2">
      <c r="B59" s="59">
        <v>30</v>
      </c>
      <c r="C59" s="59" t="s">
        <v>8204</v>
      </c>
      <c r="D59" s="59" t="s">
        <v>8205</v>
      </c>
      <c r="E59" s="59">
        <v>5</v>
      </c>
      <c r="F59" s="59">
        <v>164631708</v>
      </c>
      <c r="G59" s="79">
        <v>7.1559189022699998E-9</v>
      </c>
      <c r="H59" s="59"/>
    </row>
    <row r="60" spans="2:8" x14ac:dyDescent="0.2">
      <c r="B60" s="59">
        <v>30</v>
      </c>
      <c r="C60" s="59" t="s">
        <v>8206</v>
      </c>
      <c r="D60" s="59" t="s">
        <v>8207</v>
      </c>
      <c r="E60" s="59">
        <v>5</v>
      </c>
      <c r="F60" s="59">
        <v>164644336</v>
      </c>
      <c r="G60" s="79">
        <v>3.0012302541799998E-10</v>
      </c>
      <c r="H60" s="59"/>
    </row>
    <row r="61" spans="2:8" x14ac:dyDescent="0.2">
      <c r="B61" s="59">
        <v>31</v>
      </c>
      <c r="C61" s="59" t="s">
        <v>7212</v>
      </c>
      <c r="D61" s="59" t="s">
        <v>7213</v>
      </c>
      <c r="E61" s="59">
        <v>6</v>
      </c>
      <c r="F61" s="59">
        <v>26173478</v>
      </c>
      <c r="G61" s="79">
        <v>3.6724605193199999E-8</v>
      </c>
      <c r="H61" s="59"/>
    </row>
    <row r="62" spans="2:8" x14ac:dyDescent="0.2">
      <c r="B62" s="59">
        <v>31</v>
      </c>
      <c r="C62" s="59" t="s">
        <v>8208</v>
      </c>
      <c r="D62" s="59" t="s">
        <v>8209</v>
      </c>
      <c r="E62" s="59">
        <v>6</v>
      </c>
      <c r="F62" s="59">
        <v>26316295</v>
      </c>
      <c r="G62" s="79">
        <v>1.49560944117E-12</v>
      </c>
      <c r="H62" s="59"/>
    </row>
    <row r="63" spans="2:8" x14ac:dyDescent="0.2">
      <c r="B63" s="59">
        <v>31</v>
      </c>
      <c r="C63" s="59" t="s">
        <v>8210</v>
      </c>
      <c r="D63" s="59" t="s">
        <v>8211</v>
      </c>
      <c r="E63" s="59">
        <v>6</v>
      </c>
      <c r="F63" s="59">
        <v>26360597</v>
      </c>
      <c r="G63" s="79">
        <v>7.5652002798499996E-11</v>
      </c>
      <c r="H63" s="59"/>
    </row>
    <row r="64" spans="2:8" x14ac:dyDescent="0.2">
      <c r="B64" s="59">
        <v>31</v>
      </c>
      <c r="C64" s="59" t="s">
        <v>8212</v>
      </c>
      <c r="D64" s="59" t="s">
        <v>8213</v>
      </c>
      <c r="E64" s="59">
        <v>6</v>
      </c>
      <c r="F64" s="59">
        <v>26365679</v>
      </c>
      <c r="G64" s="79">
        <v>8.3690036005100006E-14</v>
      </c>
      <c r="H64" s="59"/>
    </row>
    <row r="65" spans="2:8" x14ac:dyDescent="0.2">
      <c r="B65" s="59">
        <v>31</v>
      </c>
      <c r="C65" s="59" t="s">
        <v>7240</v>
      </c>
      <c r="D65" s="59" t="s">
        <v>7241</v>
      </c>
      <c r="E65" s="59">
        <v>6</v>
      </c>
      <c r="F65" s="59">
        <v>26466035</v>
      </c>
      <c r="G65" s="79">
        <v>8.6773445184099992E-9</v>
      </c>
      <c r="H65" s="59"/>
    </row>
    <row r="66" spans="2:8" x14ac:dyDescent="0.2">
      <c r="B66" s="59">
        <v>31</v>
      </c>
      <c r="C66" s="59" t="s">
        <v>8214</v>
      </c>
      <c r="D66" s="59" t="s">
        <v>8215</v>
      </c>
      <c r="E66" s="59">
        <v>6</v>
      </c>
      <c r="F66" s="59">
        <v>27024687</v>
      </c>
      <c r="G66" s="79">
        <v>9.9606334286899998E-9</v>
      </c>
      <c r="H66" s="59"/>
    </row>
    <row r="67" spans="2:8" x14ac:dyDescent="0.2">
      <c r="B67" s="59">
        <v>31</v>
      </c>
      <c r="C67" s="59" t="s">
        <v>8216</v>
      </c>
      <c r="D67" s="59" t="s">
        <v>8217</v>
      </c>
      <c r="E67" s="59">
        <v>6</v>
      </c>
      <c r="F67" s="59">
        <v>27050396</v>
      </c>
      <c r="G67" s="79">
        <v>6.7641435299899996E-10</v>
      </c>
      <c r="H67" s="59"/>
    </row>
    <row r="68" spans="2:8" x14ac:dyDescent="0.2">
      <c r="B68" s="59">
        <v>31</v>
      </c>
      <c r="C68" s="59" t="s">
        <v>8218</v>
      </c>
      <c r="D68" s="59" t="s">
        <v>8219</v>
      </c>
      <c r="E68" s="59">
        <v>6</v>
      </c>
      <c r="F68" s="59">
        <v>27182377</v>
      </c>
      <c r="G68" s="79">
        <v>7.1513882254399996E-9</v>
      </c>
      <c r="H68" s="59"/>
    </row>
    <row r="69" spans="2:8" x14ac:dyDescent="0.2">
      <c r="B69" s="59">
        <v>31</v>
      </c>
      <c r="C69" s="59" t="s">
        <v>8220</v>
      </c>
      <c r="D69" s="59" t="s">
        <v>8221</v>
      </c>
      <c r="E69" s="59">
        <v>6</v>
      </c>
      <c r="F69" s="59">
        <v>27320744</v>
      </c>
      <c r="G69" s="79">
        <v>3.3001276251199998E-9</v>
      </c>
      <c r="H69" s="59"/>
    </row>
    <row r="70" spans="2:8" x14ac:dyDescent="0.2">
      <c r="B70" s="59">
        <v>31</v>
      </c>
      <c r="C70" s="59" t="s">
        <v>8222</v>
      </c>
      <c r="D70" s="59" t="s">
        <v>8223</v>
      </c>
      <c r="E70" s="59">
        <v>6</v>
      </c>
      <c r="F70" s="59">
        <v>27327000</v>
      </c>
      <c r="G70" s="79">
        <v>2.55274032243E-17</v>
      </c>
      <c r="H70" s="59"/>
    </row>
    <row r="71" spans="2:8" x14ac:dyDescent="0.2">
      <c r="B71" s="59">
        <v>31</v>
      </c>
      <c r="C71" s="59" t="s">
        <v>8224</v>
      </c>
      <c r="D71" s="59" t="s">
        <v>8225</v>
      </c>
      <c r="E71" s="59">
        <v>6</v>
      </c>
      <c r="F71" s="59">
        <v>27380897</v>
      </c>
      <c r="G71" s="79">
        <v>5.8845365364900002E-11</v>
      </c>
      <c r="H71" s="59"/>
    </row>
    <row r="72" spans="2:8" x14ac:dyDescent="0.2">
      <c r="B72" s="59">
        <v>31</v>
      </c>
      <c r="C72" s="59" t="s">
        <v>8226</v>
      </c>
      <c r="D72" s="59" t="s">
        <v>8227</v>
      </c>
      <c r="E72" s="59">
        <v>6</v>
      </c>
      <c r="F72" s="59">
        <v>27422066</v>
      </c>
      <c r="G72" s="79">
        <v>1.8745443411199999E-11</v>
      </c>
      <c r="H72" s="59"/>
    </row>
    <row r="73" spans="2:8" x14ac:dyDescent="0.2">
      <c r="B73" s="59">
        <v>31</v>
      </c>
      <c r="C73" s="59" t="s">
        <v>8228</v>
      </c>
      <c r="D73" s="59" t="s">
        <v>8229</v>
      </c>
      <c r="E73" s="59">
        <v>6</v>
      </c>
      <c r="F73" s="59">
        <v>27582795</v>
      </c>
      <c r="G73" s="79">
        <v>6.8081581655299996E-10</v>
      </c>
      <c r="H73" s="59"/>
    </row>
    <row r="74" spans="2:8" x14ac:dyDescent="0.2">
      <c r="B74" s="59">
        <v>31</v>
      </c>
      <c r="C74" s="59" t="s">
        <v>7276</v>
      </c>
      <c r="D74" s="59" t="s">
        <v>7277</v>
      </c>
      <c r="E74" s="59">
        <v>6</v>
      </c>
      <c r="F74" s="59">
        <v>27689939</v>
      </c>
      <c r="G74" s="79">
        <v>6.59862155308E-10</v>
      </c>
      <c r="H74" s="59"/>
    </row>
    <row r="75" spans="2:8" x14ac:dyDescent="0.2">
      <c r="B75" s="59">
        <v>31</v>
      </c>
      <c r="C75" s="59" t="s">
        <v>8230</v>
      </c>
      <c r="D75" s="59" t="s">
        <v>8231</v>
      </c>
      <c r="E75" s="59">
        <v>6</v>
      </c>
      <c r="F75" s="59">
        <v>27726731</v>
      </c>
      <c r="G75" s="79">
        <v>7.1991999300399996E-10</v>
      </c>
      <c r="H75" s="59"/>
    </row>
    <row r="76" spans="2:8" x14ac:dyDescent="0.2">
      <c r="B76" s="59">
        <v>31</v>
      </c>
      <c r="C76" s="59" t="s">
        <v>7284</v>
      </c>
      <c r="D76" s="59" t="s">
        <v>7285</v>
      </c>
      <c r="E76" s="59">
        <v>6</v>
      </c>
      <c r="F76" s="59">
        <v>27839746</v>
      </c>
      <c r="G76" s="79">
        <v>2.0407649925400001E-12</v>
      </c>
      <c r="H76" s="59"/>
    </row>
    <row r="77" spans="2:8" x14ac:dyDescent="0.2">
      <c r="B77" s="59">
        <v>31</v>
      </c>
      <c r="C77" s="59" t="s">
        <v>8232</v>
      </c>
      <c r="D77" s="59" t="s">
        <v>8233</v>
      </c>
      <c r="E77" s="59">
        <v>6</v>
      </c>
      <c r="F77" s="59">
        <v>27862127</v>
      </c>
      <c r="G77" s="79">
        <v>1.17268688953E-11</v>
      </c>
      <c r="H77" s="59"/>
    </row>
    <row r="78" spans="2:8" x14ac:dyDescent="0.2">
      <c r="B78" s="59">
        <v>31</v>
      </c>
      <c r="C78" s="59" t="s">
        <v>8234</v>
      </c>
      <c r="D78" s="59" t="s">
        <v>8235</v>
      </c>
      <c r="E78" s="59">
        <v>6</v>
      </c>
      <c r="F78" s="59">
        <v>27866943</v>
      </c>
      <c r="G78" s="79">
        <v>1.04636036617E-13</v>
      </c>
      <c r="H78" s="59"/>
    </row>
    <row r="79" spans="2:8" x14ac:dyDescent="0.2">
      <c r="B79" s="59">
        <v>31</v>
      </c>
      <c r="C79" s="59" t="s">
        <v>8236</v>
      </c>
      <c r="D79" s="59" t="s">
        <v>8237</v>
      </c>
      <c r="E79" s="59">
        <v>6</v>
      </c>
      <c r="F79" s="59">
        <v>28175549</v>
      </c>
      <c r="G79" s="79">
        <v>2.28234018895E-11</v>
      </c>
      <c r="H79" s="59"/>
    </row>
    <row r="80" spans="2:8" x14ac:dyDescent="0.2">
      <c r="B80" s="59">
        <v>31</v>
      </c>
      <c r="C80" s="59" t="s">
        <v>8238</v>
      </c>
      <c r="D80" s="59" t="s">
        <v>8239</v>
      </c>
      <c r="E80" s="59">
        <v>6</v>
      </c>
      <c r="F80" s="59">
        <v>28209102</v>
      </c>
      <c r="G80" s="79">
        <v>3.23092948405E-11</v>
      </c>
      <c r="H80" s="59"/>
    </row>
    <row r="81" spans="2:8" x14ac:dyDescent="0.2">
      <c r="B81" s="59">
        <v>31</v>
      </c>
      <c r="C81" s="59" t="s">
        <v>8240</v>
      </c>
      <c r="D81" s="59" t="s">
        <v>8241</v>
      </c>
      <c r="E81" s="59">
        <v>6</v>
      </c>
      <c r="F81" s="59">
        <v>28299687</v>
      </c>
      <c r="G81" s="79">
        <v>3.5748789436800002E-15</v>
      </c>
      <c r="H81" s="59"/>
    </row>
    <row r="82" spans="2:8" x14ac:dyDescent="0.2">
      <c r="B82" s="59">
        <v>31</v>
      </c>
      <c r="C82" s="59" t="s">
        <v>8242</v>
      </c>
      <c r="D82" s="59" t="s">
        <v>8243</v>
      </c>
      <c r="E82" s="59">
        <v>6</v>
      </c>
      <c r="F82" s="59">
        <v>28366151</v>
      </c>
      <c r="G82" s="79">
        <v>2.1555073942100001E-21</v>
      </c>
      <c r="H82" s="59"/>
    </row>
    <row r="83" spans="2:8" x14ac:dyDescent="0.2">
      <c r="B83" s="59">
        <v>31</v>
      </c>
      <c r="C83" s="59" t="s">
        <v>8244</v>
      </c>
      <c r="D83" s="59" t="s">
        <v>8245</v>
      </c>
      <c r="E83" s="59">
        <v>6</v>
      </c>
      <c r="F83" s="59">
        <v>28828010</v>
      </c>
      <c r="G83" s="79">
        <v>1.08230226189E-10</v>
      </c>
      <c r="H83" s="59"/>
    </row>
    <row r="84" spans="2:8" x14ac:dyDescent="0.2">
      <c r="B84" s="59">
        <v>32</v>
      </c>
      <c r="C84" s="59" t="s">
        <v>8246</v>
      </c>
      <c r="D84" s="59" t="s">
        <v>8247</v>
      </c>
      <c r="E84" s="59">
        <v>6</v>
      </c>
      <c r="F84" s="59">
        <v>67000001</v>
      </c>
      <c r="G84" s="79">
        <v>6.3314089466200005E-10</v>
      </c>
      <c r="H84" s="59"/>
    </row>
    <row r="85" spans="2:8" x14ac:dyDescent="0.2">
      <c r="B85" s="59">
        <v>33</v>
      </c>
      <c r="C85" s="59" t="s">
        <v>8248</v>
      </c>
      <c r="D85" s="59" t="s">
        <v>8249</v>
      </c>
      <c r="E85" s="59">
        <v>6</v>
      </c>
      <c r="F85" s="59">
        <v>101387304</v>
      </c>
      <c r="G85" s="79">
        <v>2.5763066711600001E-8</v>
      </c>
      <c r="H85" s="59"/>
    </row>
    <row r="86" spans="2:8" x14ac:dyDescent="0.2">
      <c r="B86" s="59">
        <v>34</v>
      </c>
      <c r="C86" s="59" t="s">
        <v>8250</v>
      </c>
      <c r="D86" s="59" t="s">
        <v>8251</v>
      </c>
      <c r="E86" s="59">
        <v>6</v>
      </c>
      <c r="F86" s="59">
        <v>142996618</v>
      </c>
      <c r="G86" s="79">
        <v>1.2401276135199999E-8</v>
      </c>
      <c r="H86" s="59"/>
    </row>
    <row r="87" spans="2:8" x14ac:dyDescent="0.2">
      <c r="B87" s="59">
        <v>35</v>
      </c>
      <c r="C87" s="59" t="s">
        <v>8252</v>
      </c>
      <c r="D87" s="59" t="s">
        <v>8253</v>
      </c>
      <c r="E87" s="59">
        <v>6</v>
      </c>
      <c r="F87" s="59">
        <v>152202007</v>
      </c>
      <c r="G87" s="79">
        <v>4.0632722615699999E-10</v>
      </c>
      <c r="H87" s="59"/>
    </row>
    <row r="88" spans="2:8" x14ac:dyDescent="0.2">
      <c r="B88" s="59">
        <v>36</v>
      </c>
      <c r="C88" s="59" t="s">
        <v>8254</v>
      </c>
      <c r="D88" s="59" t="s">
        <v>8255</v>
      </c>
      <c r="E88" s="59">
        <v>7</v>
      </c>
      <c r="F88" s="59">
        <v>1801914</v>
      </c>
      <c r="G88" s="79">
        <v>3.0106985869400002E-8</v>
      </c>
      <c r="H88" s="59"/>
    </row>
    <row r="89" spans="2:8" x14ac:dyDescent="0.2">
      <c r="B89" s="59">
        <v>36</v>
      </c>
      <c r="C89" s="59" t="s">
        <v>8256</v>
      </c>
      <c r="D89" s="59" t="s">
        <v>8257</v>
      </c>
      <c r="E89" s="59">
        <v>7</v>
      </c>
      <c r="F89" s="59">
        <v>1844156</v>
      </c>
      <c r="G89" s="79">
        <v>3.0238481942800001E-8</v>
      </c>
      <c r="H89" s="59"/>
    </row>
    <row r="90" spans="2:8" x14ac:dyDescent="0.2">
      <c r="B90" s="59">
        <v>36</v>
      </c>
      <c r="C90" s="59" t="s">
        <v>8258</v>
      </c>
      <c r="D90" s="59" t="s">
        <v>8259</v>
      </c>
      <c r="E90" s="59">
        <v>7</v>
      </c>
      <c r="F90" s="59">
        <v>1856669</v>
      </c>
      <c r="G90" s="79">
        <v>1.79723151614E-10</v>
      </c>
      <c r="H90" s="59"/>
    </row>
    <row r="91" spans="2:8" x14ac:dyDescent="0.2">
      <c r="B91" s="59">
        <v>36</v>
      </c>
      <c r="C91" s="59" t="s">
        <v>8260</v>
      </c>
      <c r="D91" s="59" t="s">
        <v>8261</v>
      </c>
      <c r="E91" s="59">
        <v>7</v>
      </c>
      <c r="F91" s="59">
        <v>1889300</v>
      </c>
      <c r="G91" s="79">
        <v>1.1431884908899999E-10</v>
      </c>
      <c r="H91" s="59"/>
    </row>
    <row r="92" spans="2:8" x14ac:dyDescent="0.2">
      <c r="B92" s="59">
        <v>36</v>
      </c>
      <c r="C92" s="59" t="s">
        <v>8262</v>
      </c>
      <c r="D92" s="59" t="s">
        <v>8263</v>
      </c>
      <c r="E92" s="59">
        <v>7</v>
      </c>
      <c r="F92" s="59">
        <v>1992582</v>
      </c>
      <c r="G92" s="79">
        <v>6.58482180147E-10</v>
      </c>
      <c r="H92" s="59"/>
    </row>
    <row r="93" spans="2:8" x14ac:dyDescent="0.2">
      <c r="B93" s="59">
        <v>36</v>
      </c>
      <c r="C93" s="59" t="s">
        <v>8264</v>
      </c>
      <c r="D93" s="59" t="s">
        <v>8265</v>
      </c>
      <c r="E93" s="59">
        <v>7</v>
      </c>
      <c r="F93" s="59">
        <v>2096255</v>
      </c>
      <c r="G93" s="79">
        <v>1.31706137146E-11</v>
      </c>
      <c r="H93" s="59"/>
    </row>
    <row r="94" spans="2:8" x14ac:dyDescent="0.2">
      <c r="B94" s="59">
        <v>36</v>
      </c>
      <c r="C94" s="59" t="s">
        <v>8266</v>
      </c>
      <c r="D94" s="59" t="s">
        <v>8267</v>
      </c>
      <c r="E94" s="59">
        <v>7</v>
      </c>
      <c r="F94" s="59">
        <v>2107649</v>
      </c>
      <c r="G94" s="79">
        <v>2.2738231680500001E-13</v>
      </c>
      <c r="H94" s="59"/>
    </row>
    <row r="95" spans="2:8" x14ac:dyDescent="0.2">
      <c r="B95" s="59">
        <v>37</v>
      </c>
      <c r="C95" s="59" t="s">
        <v>8268</v>
      </c>
      <c r="D95" s="59" t="s">
        <v>8269</v>
      </c>
      <c r="E95" s="59">
        <v>7</v>
      </c>
      <c r="F95" s="59">
        <v>12252659</v>
      </c>
      <c r="G95" s="79">
        <v>1.3150903995100001E-13</v>
      </c>
      <c r="H95" s="59"/>
    </row>
    <row r="96" spans="2:8" x14ac:dyDescent="0.2">
      <c r="B96" s="59">
        <v>37</v>
      </c>
      <c r="C96" s="59" t="s">
        <v>8270</v>
      </c>
      <c r="D96" s="59" t="s">
        <v>8271</v>
      </c>
      <c r="E96" s="59">
        <v>7</v>
      </c>
      <c r="F96" s="59">
        <v>12256540</v>
      </c>
      <c r="G96" s="79">
        <v>3.2212739982699998E-11</v>
      </c>
      <c r="H96" s="59"/>
    </row>
    <row r="97" spans="2:8" x14ac:dyDescent="0.2">
      <c r="B97" s="59">
        <v>38</v>
      </c>
      <c r="C97" s="59" t="s">
        <v>8272</v>
      </c>
      <c r="D97" s="59" t="s">
        <v>8273</v>
      </c>
      <c r="E97" s="59">
        <v>7</v>
      </c>
      <c r="F97" s="59">
        <v>82416315</v>
      </c>
      <c r="G97" s="79">
        <v>7.1782247804900001E-9</v>
      </c>
      <c r="H97" s="59"/>
    </row>
    <row r="98" spans="2:8" x14ac:dyDescent="0.2">
      <c r="B98" s="59">
        <v>38</v>
      </c>
      <c r="C98" s="59" t="s">
        <v>8274</v>
      </c>
      <c r="D98" s="59" t="s">
        <v>8275</v>
      </c>
      <c r="E98" s="59">
        <v>7</v>
      </c>
      <c r="F98" s="59">
        <v>82496254</v>
      </c>
      <c r="G98" s="79">
        <v>2.3714132527199999E-8</v>
      </c>
      <c r="H98" s="59"/>
    </row>
    <row r="99" spans="2:8" x14ac:dyDescent="0.2">
      <c r="B99" s="59">
        <v>39</v>
      </c>
      <c r="C99" s="59" t="s">
        <v>8276</v>
      </c>
      <c r="D99" s="59" t="s">
        <v>8277</v>
      </c>
      <c r="E99" s="59">
        <v>7</v>
      </c>
      <c r="F99" s="59">
        <v>109153054</v>
      </c>
      <c r="G99" s="79">
        <v>7.3933254544100001E-9</v>
      </c>
      <c r="H99" s="59"/>
    </row>
    <row r="100" spans="2:8" x14ac:dyDescent="0.2">
      <c r="B100" s="59">
        <v>40</v>
      </c>
      <c r="C100" s="59" t="s">
        <v>8278</v>
      </c>
      <c r="D100" s="59" t="s">
        <v>8279</v>
      </c>
      <c r="E100" s="59">
        <v>7</v>
      </c>
      <c r="F100" s="59">
        <v>113981217</v>
      </c>
      <c r="G100" s="79">
        <v>4.8443354625999997E-8</v>
      </c>
      <c r="H100" s="59"/>
    </row>
    <row r="101" spans="2:8" x14ac:dyDescent="0.2">
      <c r="B101" s="59">
        <v>40</v>
      </c>
      <c r="C101" s="59" t="s">
        <v>8280</v>
      </c>
      <c r="D101" s="59" t="s">
        <v>8281</v>
      </c>
      <c r="E101" s="59">
        <v>7</v>
      </c>
      <c r="F101" s="59">
        <v>114047542</v>
      </c>
      <c r="G101" s="79">
        <v>9.5184727124199992E-12</v>
      </c>
      <c r="H101" s="59"/>
    </row>
    <row r="102" spans="2:8" x14ac:dyDescent="0.2">
      <c r="B102" s="59">
        <v>41</v>
      </c>
      <c r="C102" s="59" t="s">
        <v>8282</v>
      </c>
      <c r="D102" s="59" t="s">
        <v>8283</v>
      </c>
      <c r="E102" s="59">
        <v>7</v>
      </c>
      <c r="F102" s="59">
        <v>114842574</v>
      </c>
      <c r="G102" s="79">
        <v>1.99732395394E-8</v>
      </c>
      <c r="H102" s="59"/>
    </row>
    <row r="103" spans="2:8" x14ac:dyDescent="0.2">
      <c r="B103" s="59">
        <v>42</v>
      </c>
      <c r="C103" s="59" t="s">
        <v>8284</v>
      </c>
      <c r="D103" s="59" t="s">
        <v>8285</v>
      </c>
      <c r="E103" s="59">
        <v>7</v>
      </c>
      <c r="F103" s="59">
        <v>117520009</v>
      </c>
      <c r="G103" s="79">
        <v>2.0431928261699999E-13</v>
      </c>
      <c r="H103" s="59"/>
    </row>
    <row r="104" spans="2:8" x14ac:dyDescent="0.2">
      <c r="B104" s="59">
        <v>42</v>
      </c>
      <c r="C104" s="59" t="s">
        <v>8286</v>
      </c>
      <c r="D104" s="59" t="s">
        <v>8287</v>
      </c>
      <c r="E104" s="59">
        <v>7</v>
      </c>
      <c r="F104" s="59">
        <v>117545475</v>
      </c>
      <c r="G104" s="79">
        <v>1.05337035068E-8</v>
      </c>
      <c r="H104" s="59"/>
    </row>
    <row r="105" spans="2:8" x14ac:dyDescent="0.2">
      <c r="B105" s="59">
        <v>42</v>
      </c>
      <c r="C105" s="59" t="s">
        <v>8288</v>
      </c>
      <c r="D105" s="59" t="s">
        <v>8289</v>
      </c>
      <c r="E105" s="59">
        <v>7</v>
      </c>
      <c r="F105" s="59">
        <v>117581953</v>
      </c>
      <c r="G105" s="79">
        <v>3.1183388055500002E-12</v>
      </c>
      <c r="H105" s="59"/>
    </row>
    <row r="106" spans="2:8" x14ac:dyDescent="0.2">
      <c r="B106" s="59">
        <v>42</v>
      </c>
      <c r="C106" s="59" t="s">
        <v>8290</v>
      </c>
      <c r="D106" s="59" t="s">
        <v>8291</v>
      </c>
      <c r="E106" s="59">
        <v>7</v>
      </c>
      <c r="F106" s="59">
        <v>117628183</v>
      </c>
      <c r="G106" s="79">
        <v>2.9228487963600001E-13</v>
      </c>
      <c r="H106" s="59"/>
    </row>
    <row r="107" spans="2:8" x14ac:dyDescent="0.2">
      <c r="B107" s="59">
        <v>42</v>
      </c>
      <c r="C107" s="59" t="s">
        <v>8292</v>
      </c>
      <c r="D107" s="59" t="s">
        <v>8293</v>
      </c>
      <c r="E107" s="59">
        <v>7</v>
      </c>
      <c r="F107" s="59">
        <v>117665936</v>
      </c>
      <c r="G107" s="79">
        <v>2.3846098762099999E-8</v>
      </c>
      <c r="H107" s="59"/>
    </row>
    <row r="108" spans="2:8" x14ac:dyDescent="0.2">
      <c r="B108" s="59">
        <v>43</v>
      </c>
      <c r="C108" s="59" t="s">
        <v>8294</v>
      </c>
      <c r="D108" s="59" t="s">
        <v>8295</v>
      </c>
      <c r="E108" s="59">
        <v>8</v>
      </c>
      <c r="F108" s="59">
        <v>10307328</v>
      </c>
      <c r="G108" s="79">
        <v>3.1926051237500002E-8</v>
      </c>
      <c r="H108" s="59"/>
    </row>
    <row r="109" spans="2:8" x14ac:dyDescent="0.2">
      <c r="B109" s="59">
        <v>44</v>
      </c>
      <c r="C109" s="59" t="s">
        <v>8296</v>
      </c>
      <c r="D109" s="59" t="s">
        <v>8297</v>
      </c>
      <c r="E109" s="59">
        <v>8</v>
      </c>
      <c r="F109" s="59">
        <v>31824555</v>
      </c>
      <c r="G109" s="79">
        <v>2.31170803003E-9</v>
      </c>
      <c r="H109" s="59"/>
    </row>
    <row r="110" spans="2:8" x14ac:dyDescent="0.2">
      <c r="B110" s="59">
        <v>45</v>
      </c>
      <c r="C110" s="59" t="s">
        <v>8298</v>
      </c>
      <c r="D110" s="59" t="s">
        <v>8299</v>
      </c>
      <c r="E110" s="59">
        <v>9</v>
      </c>
      <c r="F110" s="59">
        <v>11130263</v>
      </c>
      <c r="G110" s="79">
        <v>1.95266943544E-8</v>
      </c>
      <c r="H110" s="59"/>
    </row>
    <row r="111" spans="2:8" x14ac:dyDescent="0.2">
      <c r="B111" s="59">
        <v>45</v>
      </c>
      <c r="C111" s="59" t="s">
        <v>8300</v>
      </c>
      <c r="D111" s="59" t="s">
        <v>8301</v>
      </c>
      <c r="E111" s="59">
        <v>9</v>
      </c>
      <c r="F111" s="59">
        <v>11131371</v>
      </c>
      <c r="G111" s="79">
        <v>6.4279885634299996E-11</v>
      </c>
      <c r="H111" s="59"/>
    </row>
    <row r="112" spans="2:8" x14ac:dyDescent="0.2">
      <c r="B112" s="59">
        <v>45</v>
      </c>
      <c r="C112" s="59" t="s">
        <v>8302</v>
      </c>
      <c r="D112" s="59" t="s">
        <v>8303</v>
      </c>
      <c r="E112" s="59">
        <v>9</v>
      </c>
      <c r="F112" s="59">
        <v>11155055</v>
      </c>
      <c r="G112" s="79">
        <v>4.3911770155199998E-13</v>
      </c>
      <c r="H112" s="59"/>
    </row>
    <row r="113" spans="2:8" x14ac:dyDescent="0.2">
      <c r="B113" s="59">
        <v>45</v>
      </c>
      <c r="C113" s="59" t="s">
        <v>8304</v>
      </c>
      <c r="D113" s="59" t="s">
        <v>8305</v>
      </c>
      <c r="E113" s="59">
        <v>9</v>
      </c>
      <c r="F113" s="59">
        <v>11208995</v>
      </c>
      <c r="G113" s="79">
        <v>2.3112992941699998E-13</v>
      </c>
      <c r="H113" s="59"/>
    </row>
    <row r="114" spans="2:8" x14ac:dyDescent="0.2">
      <c r="B114" s="59">
        <v>45</v>
      </c>
      <c r="C114" s="59" t="s">
        <v>8306</v>
      </c>
      <c r="D114" s="59" t="s">
        <v>8307</v>
      </c>
      <c r="E114" s="59">
        <v>9</v>
      </c>
      <c r="F114" s="59">
        <v>11225906</v>
      </c>
      <c r="G114" s="79">
        <v>2.1754844424900001E-8</v>
      </c>
      <c r="H114" s="59"/>
    </row>
    <row r="115" spans="2:8" x14ac:dyDescent="0.2">
      <c r="B115" s="59">
        <v>45</v>
      </c>
      <c r="C115" s="59" t="s">
        <v>8308</v>
      </c>
      <c r="D115" s="59" t="s">
        <v>8309</v>
      </c>
      <c r="E115" s="59">
        <v>9</v>
      </c>
      <c r="F115" s="59">
        <v>11241807</v>
      </c>
      <c r="G115" s="79">
        <v>6.9034396726800004E-13</v>
      </c>
      <c r="H115" s="59"/>
    </row>
    <row r="116" spans="2:8" x14ac:dyDescent="0.2">
      <c r="B116" s="59">
        <v>45</v>
      </c>
      <c r="C116" s="59" t="s">
        <v>8310</v>
      </c>
      <c r="D116" s="59" t="s">
        <v>8311</v>
      </c>
      <c r="E116" s="59">
        <v>9</v>
      </c>
      <c r="F116" s="59">
        <v>11269117</v>
      </c>
      <c r="G116" s="79">
        <v>1.1263355597E-8</v>
      </c>
      <c r="H116" s="59"/>
    </row>
    <row r="117" spans="2:8" x14ac:dyDescent="0.2">
      <c r="B117" s="59">
        <v>45</v>
      </c>
      <c r="C117" s="59" t="s">
        <v>8312</v>
      </c>
      <c r="D117" s="59" t="s">
        <v>8313</v>
      </c>
      <c r="E117" s="59">
        <v>9</v>
      </c>
      <c r="F117" s="59">
        <v>11321937</v>
      </c>
      <c r="G117" s="79">
        <v>8.8707590188900004E-10</v>
      </c>
      <c r="H117" s="59"/>
    </row>
    <row r="118" spans="2:8" x14ac:dyDescent="0.2">
      <c r="B118" s="59">
        <v>45</v>
      </c>
      <c r="C118" s="59" t="s">
        <v>8314</v>
      </c>
      <c r="D118" s="59" t="s">
        <v>8315</v>
      </c>
      <c r="E118" s="59">
        <v>9</v>
      </c>
      <c r="F118" s="59">
        <v>11547243</v>
      </c>
      <c r="G118" s="79">
        <v>5.8840524975599997E-12</v>
      </c>
      <c r="H118" s="59"/>
    </row>
    <row r="119" spans="2:8" x14ac:dyDescent="0.2">
      <c r="B119" s="59">
        <v>45</v>
      </c>
      <c r="C119" s="59" t="s">
        <v>8316</v>
      </c>
      <c r="D119" s="59" t="s">
        <v>8317</v>
      </c>
      <c r="E119" s="59">
        <v>9</v>
      </c>
      <c r="F119" s="59">
        <v>11695224</v>
      </c>
      <c r="G119" s="79">
        <v>4.4823577842700002E-10</v>
      </c>
      <c r="H119" s="59"/>
    </row>
    <row r="120" spans="2:8" x14ac:dyDescent="0.2">
      <c r="B120" s="59">
        <v>45</v>
      </c>
      <c r="C120" s="59" t="s">
        <v>8318</v>
      </c>
      <c r="D120" s="59" t="s">
        <v>8319</v>
      </c>
      <c r="E120" s="59">
        <v>9</v>
      </c>
      <c r="F120" s="59">
        <v>11808502</v>
      </c>
      <c r="G120" s="79">
        <v>5.97032226154E-9</v>
      </c>
      <c r="H120" s="59"/>
    </row>
    <row r="121" spans="2:8" x14ac:dyDescent="0.2">
      <c r="B121" s="59">
        <v>46</v>
      </c>
      <c r="C121" s="59" t="s">
        <v>8320</v>
      </c>
      <c r="D121" s="59" t="s">
        <v>8321</v>
      </c>
      <c r="E121" s="59">
        <v>9</v>
      </c>
      <c r="F121" s="59">
        <v>17016503</v>
      </c>
      <c r="G121" s="79">
        <v>1.5094796754400001E-9</v>
      </c>
      <c r="H121" s="59"/>
    </row>
    <row r="122" spans="2:8" x14ac:dyDescent="0.2">
      <c r="B122" s="59">
        <v>47</v>
      </c>
      <c r="C122" s="59" t="s">
        <v>8322</v>
      </c>
      <c r="D122" s="59" t="s">
        <v>8323</v>
      </c>
      <c r="E122" s="59">
        <v>9</v>
      </c>
      <c r="F122" s="59">
        <v>23737627</v>
      </c>
      <c r="G122" s="79">
        <v>2.5121218369999999E-8</v>
      </c>
      <c r="H122" s="59"/>
    </row>
    <row r="123" spans="2:8" x14ac:dyDescent="0.2">
      <c r="B123" s="59">
        <v>48</v>
      </c>
      <c r="C123" s="59" t="s">
        <v>8324</v>
      </c>
      <c r="D123" s="59" t="s">
        <v>8325</v>
      </c>
      <c r="E123" s="59">
        <v>9</v>
      </c>
      <c r="F123" s="59">
        <v>36978587</v>
      </c>
      <c r="G123" s="79">
        <v>5.6296776285799997E-9</v>
      </c>
      <c r="H123" s="59"/>
    </row>
    <row r="124" spans="2:8" x14ac:dyDescent="0.2">
      <c r="B124" s="59">
        <v>48</v>
      </c>
      <c r="C124" s="59" t="s">
        <v>8326</v>
      </c>
      <c r="D124" s="59" t="s">
        <v>8327</v>
      </c>
      <c r="E124" s="59">
        <v>9</v>
      </c>
      <c r="F124" s="59">
        <v>36994885</v>
      </c>
      <c r="G124" s="79">
        <v>6.6765885364400005E-10</v>
      </c>
      <c r="H124" s="59"/>
    </row>
    <row r="125" spans="2:8" x14ac:dyDescent="0.2">
      <c r="B125" s="59">
        <v>48</v>
      </c>
      <c r="C125" s="59" t="s">
        <v>8328</v>
      </c>
      <c r="D125" s="59" t="s">
        <v>8329</v>
      </c>
      <c r="E125" s="59">
        <v>9</v>
      </c>
      <c r="F125" s="59">
        <v>36999369</v>
      </c>
      <c r="G125" s="79">
        <v>9.8676705070099999E-10</v>
      </c>
      <c r="H125" s="59"/>
    </row>
    <row r="126" spans="2:8" x14ac:dyDescent="0.2">
      <c r="B126" s="59">
        <v>48</v>
      </c>
      <c r="C126" s="59" t="s">
        <v>8330</v>
      </c>
      <c r="D126" s="59" t="s">
        <v>8331</v>
      </c>
      <c r="E126" s="59">
        <v>9</v>
      </c>
      <c r="F126" s="59">
        <v>37027536</v>
      </c>
      <c r="G126" s="79">
        <v>4.9834718277100004E-10</v>
      </c>
      <c r="H126" s="59"/>
    </row>
    <row r="127" spans="2:8" x14ac:dyDescent="0.2">
      <c r="B127" s="59">
        <v>48</v>
      </c>
      <c r="C127" s="59" t="s">
        <v>8332</v>
      </c>
      <c r="D127" s="59" t="s">
        <v>8333</v>
      </c>
      <c r="E127" s="59">
        <v>9</v>
      </c>
      <c r="F127" s="59">
        <v>37182655</v>
      </c>
      <c r="G127" s="79">
        <v>1.0641948262299999E-9</v>
      </c>
      <c r="H127" s="59"/>
    </row>
    <row r="128" spans="2:8" x14ac:dyDescent="0.2">
      <c r="B128" s="59">
        <v>49</v>
      </c>
      <c r="C128" s="59" t="s">
        <v>8334</v>
      </c>
      <c r="D128" s="59" t="s">
        <v>8335</v>
      </c>
      <c r="E128" s="59">
        <v>9</v>
      </c>
      <c r="F128" s="59">
        <v>82515992</v>
      </c>
      <c r="G128" s="79">
        <v>6.7056080135499999E-9</v>
      </c>
      <c r="H128" s="59"/>
    </row>
    <row r="129" spans="2:8" x14ac:dyDescent="0.2">
      <c r="B129" s="59">
        <v>50</v>
      </c>
      <c r="C129" s="59" t="s">
        <v>8336</v>
      </c>
      <c r="D129" s="59" t="s">
        <v>8337</v>
      </c>
      <c r="E129" s="59">
        <v>9</v>
      </c>
      <c r="F129" s="59">
        <v>127892193</v>
      </c>
      <c r="G129" s="79">
        <v>1.23472071924E-8</v>
      </c>
      <c r="H129" s="59"/>
    </row>
    <row r="130" spans="2:8" x14ac:dyDescent="0.2">
      <c r="B130" s="59">
        <v>51</v>
      </c>
      <c r="C130" s="59" t="s">
        <v>8338</v>
      </c>
      <c r="D130" s="59" t="s">
        <v>8339</v>
      </c>
      <c r="E130" s="59">
        <v>10</v>
      </c>
      <c r="F130" s="59">
        <v>10910560</v>
      </c>
      <c r="G130" s="79">
        <v>3.2686739893700002E-8</v>
      </c>
      <c r="H130" s="59"/>
    </row>
    <row r="131" spans="2:8" x14ac:dyDescent="0.2">
      <c r="B131" s="59">
        <v>52</v>
      </c>
      <c r="C131" s="59" t="s">
        <v>8340</v>
      </c>
      <c r="D131" s="59" t="s">
        <v>8341</v>
      </c>
      <c r="E131" s="59">
        <v>10</v>
      </c>
      <c r="F131" s="59">
        <v>68400027</v>
      </c>
      <c r="G131" s="79">
        <v>1.8727231324900001E-8</v>
      </c>
      <c r="H131" s="59"/>
    </row>
    <row r="132" spans="2:8" x14ac:dyDescent="0.2">
      <c r="B132" s="59">
        <v>53</v>
      </c>
      <c r="C132" s="59" t="s">
        <v>8342</v>
      </c>
      <c r="D132" s="59" t="s">
        <v>8343</v>
      </c>
      <c r="E132" s="59">
        <v>10</v>
      </c>
      <c r="F132" s="59">
        <v>104764271</v>
      </c>
      <c r="G132" s="79">
        <v>2.37394820578E-8</v>
      </c>
      <c r="H132" s="59"/>
    </row>
    <row r="133" spans="2:8" x14ac:dyDescent="0.2">
      <c r="B133" s="59">
        <v>54</v>
      </c>
      <c r="C133" s="59" t="s">
        <v>8344</v>
      </c>
      <c r="D133" s="59" t="s">
        <v>8345</v>
      </c>
      <c r="E133" s="59">
        <v>10</v>
      </c>
      <c r="F133" s="59">
        <v>106454672</v>
      </c>
      <c r="G133" s="79">
        <v>5.7474117186999999E-11</v>
      </c>
      <c r="H133" s="59"/>
    </row>
    <row r="134" spans="2:8" x14ac:dyDescent="0.2">
      <c r="B134" s="59">
        <v>54</v>
      </c>
      <c r="C134" s="59" t="s">
        <v>8346</v>
      </c>
      <c r="D134" s="59" t="s">
        <v>8347</v>
      </c>
      <c r="E134" s="59">
        <v>10</v>
      </c>
      <c r="F134" s="59">
        <v>106529451</v>
      </c>
      <c r="G134" s="79">
        <v>2.8475237902199999E-8</v>
      </c>
      <c r="H134" s="59"/>
    </row>
    <row r="135" spans="2:8" x14ac:dyDescent="0.2">
      <c r="B135" s="59">
        <v>54</v>
      </c>
      <c r="C135" s="59" t="s">
        <v>8348</v>
      </c>
      <c r="D135" s="59" t="s">
        <v>8349</v>
      </c>
      <c r="E135" s="59">
        <v>10</v>
      </c>
      <c r="F135" s="59">
        <v>106571608</v>
      </c>
      <c r="G135" s="79">
        <v>2.61082967078E-9</v>
      </c>
      <c r="H135" s="59"/>
    </row>
    <row r="136" spans="2:8" x14ac:dyDescent="0.2">
      <c r="B136" s="59">
        <v>54</v>
      </c>
      <c r="C136" s="59" t="s">
        <v>8350</v>
      </c>
      <c r="D136" s="59" t="s">
        <v>8351</v>
      </c>
      <c r="E136" s="59">
        <v>10</v>
      </c>
      <c r="F136" s="59">
        <v>106610839</v>
      </c>
      <c r="G136" s="79">
        <v>6.4991107262699999E-11</v>
      </c>
      <c r="H136" s="59"/>
    </row>
    <row r="137" spans="2:8" x14ac:dyDescent="0.2">
      <c r="B137" s="59">
        <v>54</v>
      </c>
      <c r="C137" s="59" t="s">
        <v>8352</v>
      </c>
      <c r="D137" s="59" t="s">
        <v>8353</v>
      </c>
      <c r="E137" s="59">
        <v>10</v>
      </c>
      <c r="F137" s="59">
        <v>106676091</v>
      </c>
      <c r="G137" s="79">
        <v>2.07662216543E-10</v>
      </c>
      <c r="H137" s="59"/>
    </row>
    <row r="138" spans="2:8" x14ac:dyDescent="0.2">
      <c r="B138" s="59">
        <v>55</v>
      </c>
      <c r="C138" s="59" t="s">
        <v>8354</v>
      </c>
      <c r="D138" s="59" t="s">
        <v>8355</v>
      </c>
      <c r="E138" s="59">
        <v>11</v>
      </c>
      <c r="F138" s="59">
        <v>20306530</v>
      </c>
      <c r="G138" s="79">
        <v>1.58678360159E-8</v>
      </c>
      <c r="H138" s="59"/>
    </row>
    <row r="139" spans="2:8" x14ac:dyDescent="0.2">
      <c r="B139" s="59">
        <v>56</v>
      </c>
      <c r="C139" s="59" t="s">
        <v>8356</v>
      </c>
      <c r="D139" s="59" t="s">
        <v>8357</v>
      </c>
      <c r="E139" s="59">
        <v>11</v>
      </c>
      <c r="F139" s="59">
        <v>28644830</v>
      </c>
      <c r="G139" s="79">
        <v>3.9547483450800001E-11</v>
      </c>
      <c r="H139" s="59"/>
    </row>
    <row r="140" spans="2:8" x14ac:dyDescent="0.2">
      <c r="B140" s="59">
        <v>57</v>
      </c>
      <c r="C140" s="59" t="s">
        <v>8358</v>
      </c>
      <c r="D140" s="59" t="s">
        <v>8359</v>
      </c>
      <c r="E140" s="59">
        <v>11</v>
      </c>
      <c r="F140" s="59">
        <v>57650796</v>
      </c>
      <c r="G140" s="79">
        <v>5.4323492530399995E-10</v>
      </c>
      <c r="H140" s="59"/>
    </row>
    <row r="141" spans="2:8" x14ac:dyDescent="0.2">
      <c r="B141" s="59">
        <v>58</v>
      </c>
      <c r="C141" s="59" t="s">
        <v>8360</v>
      </c>
      <c r="D141" s="59" t="s">
        <v>8361</v>
      </c>
      <c r="E141" s="59">
        <v>11</v>
      </c>
      <c r="F141" s="59">
        <v>61471678</v>
      </c>
      <c r="G141" s="79">
        <v>1.2264889499600001E-8</v>
      </c>
      <c r="H141" s="59"/>
    </row>
    <row r="142" spans="2:8" x14ac:dyDescent="0.2">
      <c r="B142" s="59">
        <v>59</v>
      </c>
      <c r="C142" s="59" t="s">
        <v>8362</v>
      </c>
      <c r="D142" s="59" t="s">
        <v>8363</v>
      </c>
      <c r="E142" s="59">
        <v>11</v>
      </c>
      <c r="F142" s="59">
        <v>88472482</v>
      </c>
      <c r="G142" s="79">
        <v>3.2149160415199998E-10</v>
      </c>
      <c r="H142" s="59"/>
    </row>
    <row r="143" spans="2:8" x14ac:dyDescent="0.2">
      <c r="B143" s="59">
        <v>59</v>
      </c>
      <c r="C143" s="59" t="s">
        <v>8364</v>
      </c>
      <c r="D143" s="59" t="s">
        <v>8365</v>
      </c>
      <c r="E143" s="59">
        <v>11</v>
      </c>
      <c r="F143" s="59">
        <v>88634197</v>
      </c>
      <c r="G143" s="79">
        <v>1.6022555853500001E-9</v>
      </c>
      <c r="H143" s="59"/>
    </row>
    <row r="144" spans="2:8" x14ac:dyDescent="0.2">
      <c r="B144" s="59">
        <v>59</v>
      </c>
      <c r="C144" s="59" t="s">
        <v>8366</v>
      </c>
      <c r="D144" s="59" t="s">
        <v>8367</v>
      </c>
      <c r="E144" s="59">
        <v>11</v>
      </c>
      <c r="F144" s="59">
        <v>88712383</v>
      </c>
      <c r="G144" s="79">
        <v>8.7219597726700002E-11</v>
      </c>
      <c r="H144" s="59"/>
    </row>
    <row r="145" spans="2:8" x14ac:dyDescent="0.2">
      <c r="B145" s="59">
        <v>59</v>
      </c>
      <c r="C145" s="59" t="s">
        <v>8368</v>
      </c>
      <c r="D145" s="59" t="s">
        <v>8369</v>
      </c>
      <c r="E145" s="59">
        <v>11</v>
      </c>
      <c r="F145" s="59">
        <v>88779776</v>
      </c>
      <c r="G145" s="79">
        <v>3.7544843842800002E-8</v>
      </c>
      <c r="H145" s="59"/>
    </row>
    <row r="146" spans="2:8" x14ac:dyDescent="0.2">
      <c r="B146" s="59">
        <v>59</v>
      </c>
      <c r="C146" s="59" t="s">
        <v>8370</v>
      </c>
      <c r="D146" s="59" t="s">
        <v>8371</v>
      </c>
      <c r="E146" s="59">
        <v>11</v>
      </c>
      <c r="F146" s="59">
        <v>88885187</v>
      </c>
      <c r="G146" s="79">
        <v>2.58996576233E-10</v>
      </c>
      <c r="H146" s="59"/>
    </row>
    <row r="147" spans="2:8" x14ac:dyDescent="0.2">
      <c r="B147" s="59">
        <v>59</v>
      </c>
      <c r="C147" s="59" t="s">
        <v>8372</v>
      </c>
      <c r="D147" s="59" t="s">
        <v>8373</v>
      </c>
      <c r="E147" s="59">
        <v>11</v>
      </c>
      <c r="F147" s="59">
        <v>88911696</v>
      </c>
      <c r="G147" s="79">
        <v>2.68152813978E-8</v>
      </c>
      <c r="H147" s="59"/>
    </row>
    <row r="148" spans="2:8" x14ac:dyDescent="0.2">
      <c r="B148" s="59">
        <v>60</v>
      </c>
      <c r="C148" s="59" t="s">
        <v>8374</v>
      </c>
      <c r="D148" s="59" t="s">
        <v>8375</v>
      </c>
      <c r="E148" s="59">
        <v>11</v>
      </c>
      <c r="F148" s="59">
        <v>89959637</v>
      </c>
      <c r="G148" s="79">
        <v>1.05572257503E-8</v>
      </c>
      <c r="H148" s="59"/>
    </row>
    <row r="149" spans="2:8" x14ac:dyDescent="0.2">
      <c r="B149" s="59">
        <v>61</v>
      </c>
      <c r="C149" s="59" t="s">
        <v>8376</v>
      </c>
      <c r="D149" s="59" t="s">
        <v>8377</v>
      </c>
      <c r="E149" s="59">
        <v>11</v>
      </c>
      <c r="F149" s="59">
        <v>112827715</v>
      </c>
      <c r="G149" s="79">
        <v>2.0685845724400001E-10</v>
      </c>
      <c r="H149" s="59"/>
    </row>
    <row r="150" spans="2:8" x14ac:dyDescent="0.2">
      <c r="B150" s="59">
        <v>62</v>
      </c>
      <c r="C150" s="59" t="s">
        <v>8378</v>
      </c>
      <c r="D150" s="59" t="s">
        <v>8379</v>
      </c>
      <c r="E150" s="59">
        <v>11</v>
      </c>
      <c r="F150" s="59">
        <v>113242860</v>
      </c>
      <c r="G150" s="79">
        <v>3.72650696279E-8</v>
      </c>
      <c r="H150" s="59"/>
    </row>
    <row r="151" spans="2:8" x14ac:dyDescent="0.2">
      <c r="B151" s="59">
        <v>62</v>
      </c>
      <c r="C151" s="59" t="s">
        <v>8380</v>
      </c>
      <c r="D151" s="59" t="s">
        <v>8381</v>
      </c>
      <c r="E151" s="59">
        <v>11</v>
      </c>
      <c r="F151" s="59">
        <v>113286829</v>
      </c>
      <c r="G151" s="79">
        <v>2.58623846766E-10</v>
      </c>
      <c r="H151" s="59"/>
    </row>
    <row r="152" spans="2:8" x14ac:dyDescent="0.2">
      <c r="B152" s="59">
        <v>62</v>
      </c>
      <c r="C152" s="59" t="s">
        <v>8382</v>
      </c>
      <c r="D152" s="59" t="s">
        <v>8383</v>
      </c>
      <c r="E152" s="59">
        <v>11</v>
      </c>
      <c r="F152" s="59">
        <v>113370758</v>
      </c>
      <c r="G152" s="79">
        <v>6.2809913653799998E-13</v>
      </c>
      <c r="H152" s="59"/>
    </row>
    <row r="153" spans="2:8" x14ac:dyDescent="0.2">
      <c r="B153" s="59">
        <v>62</v>
      </c>
      <c r="C153" s="59" t="s">
        <v>8384</v>
      </c>
      <c r="D153" s="59" t="s">
        <v>8385</v>
      </c>
      <c r="E153" s="59">
        <v>11</v>
      </c>
      <c r="F153" s="59">
        <v>113424042</v>
      </c>
      <c r="G153" s="79">
        <v>6.8307133229999998E-9</v>
      </c>
      <c r="H153" s="59"/>
    </row>
    <row r="154" spans="2:8" x14ac:dyDescent="0.2">
      <c r="B154" s="59">
        <v>63</v>
      </c>
      <c r="C154" s="59" t="s">
        <v>8386</v>
      </c>
      <c r="D154" s="59" t="s">
        <v>8387</v>
      </c>
      <c r="E154" s="59">
        <v>11</v>
      </c>
      <c r="F154" s="59">
        <v>118569414</v>
      </c>
      <c r="G154" s="79">
        <v>2.3236505736799999E-8</v>
      </c>
      <c r="H154" s="59"/>
    </row>
    <row r="155" spans="2:8" x14ac:dyDescent="0.2">
      <c r="B155" s="59">
        <v>64</v>
      </c>
      <c r="C155" s="59" t="s">
        <v>8388</v>
      </c>
      <c r="D155" s="59" t="s">
        <v>8389</v>
      </c>
      <c r="E155" s="59">
        <v>12</v>
      </c>
      <c r="F155" s="59">
        <v>52349088</v>
      </c>
      <c r="G155" s="79">
        <v>6.9127753406600001E-9</v>
      </c>
      <c r="H155" s="59"/>
    </row>
    <row r="156" spans="2:8" x14ac:dyDescent="0.2">
      <c r="B156" s="59">
        <v>65</v>
      </c>
      <c r="C156" s="59" t="s">
        <v>8390</v>
      </c>
      <c r="D156" s="59" t="s">
        <v>8391</v>
      </c>
      <c r="E156" s="59">
        <v>12</v>
      </c>
      <c r="F156" s="59">
        <v>84131036</v>
      </c>
      <c r="G156" s="79">
        <v>4.2480496248200003E-8</v>
      </c>
      <c r="H156" s="59"/>
    </row>
    <row r="157" spans="2:8" x14ac:dyDescent="0.2">
      <c r="B157" s="59">
        <v>66</v>
      </c>
      <c r="C157" s="59" t="s">
        <v>8392</v>
      </c>
      <c r="D157" s="59" t="s">
        <v>8393</v>
      </c>
      <c r="E157" s="59">
        <v>13</v>
      </c>
      <c r="F157" s="59">
        <v>31713542</v>
      </c>
      <c r="G157" s="79">
        <v>4.9042345833199997E-9</v>
      </c>
      <c r="H157" s="59"/>
    </row>
    <row r="158" spans="2:8" x14ac:dyDescent="0.2">
      <c r="B158" s="59">
        <v>66</v>
      </c>
      <c r="C158" s="59" t="s">
        <v>8394</v>
      </c>
      <c r="D158" s="59" t="s">
        <v>8395</v>
      </c>
      <c r="E158" s="59">
        <v>13</v>
      </c>
      <c r="F158" s="59">
        <v>31799646</v>
      </c>
      <c r="G158" s="79">
        <v>1.9775629709799999E-11</v>
      </c>
      <c r="H158" s="59"/>
    </row>
    <row r="159" spans="2:8" x14ac:dyDescent="0.2">
      <c r="B159" s="59">
        <v>66</v>
      </c>
      <c r="C159" s="59" t="s">
        <v>8396</v>
      </c>
      <c r="D159" s="59" t="s">
        <v>8397</v>
      </c>
      <c r="E159" s="59">
        <v>13</v>
      </c>
      <c r="F159" s="59">
        <v>31852276</v>
      </c>
      <c r="G159" s="79">
        <v>3.89404128586E-9</v>
      </c>
      <c r="H159" s="59"/>
    </row>
    <row r="160" spans="2:8" x14ac:dyDescent="0.2">
      <c r="B160" s="59">
        <v>66</v>
      </c>
      <c r="C160" s="59" t="s">
        <v>8398</v>
      </c>
      <c r="D160" s="59" t="s">
        <v>8399</v>
      </c>
      <c r="E160" s="59">
        <v>13</v>
      </c>
      <c r="F160" s="59">
        <v>31870394</v>
      </c>
      <c r="G160" s="79">
        <v>1.6026389577100001E-10</v>
      </c>
      <c r="H160" s="59"/>
    </row>
    <row r="161" spans="2:8" x14ac:dyDescent="0.2">
      <c r="B161" s="59">
        <v>66</v>
      </c>
      <c r="C161" s="59" t="s">
        <v>8400</v>
      </c>
      <c r="D161" s="59" t="s">
        <v>8401</v>
      </c>
      <c r="E161" s="59">
        <v>13</v>
      </c>
      <c r="F161" s="59">
        <v>31907441</v>
      </c>
      <c r="G161" s="79">
        <v>3.18381122829E-9</v>
      </c>
      <c r="H161" s="59"/>
    </row>
    <row r="162" spans="2:8" x14ac:dyDescent="0.2">
      <c r="B162" s="59">
        <v>67</v>
      </c>
      <c r="C162" s="59" t="s">
        <v>8402</v>
      </c>
      <c r="D162" s="59" t="s">
        <v>8403</v>
      </c>
      <c r="E162" s="59">
        <v>13</v>
      </c>
      <c r="F162" s="59">
        <v>53643370</v>
      </c>
      <c r="G162" s="79">
        <v>2.09274848409E-8</v>
      </c>
      <c r="H162" s="59"/>
    </row>
    <row r="163" spans="2:8" x14ac:dyDescent="0.2">
      <c r="B163" s="59">
        <v>67</v>
      </c>
      <c r="C163" s="59" t="s">
        <v>8404</v>
      </c>
      <c r="D163" s="59" t="s">
        <v>8405</v>
      </c>
      <c r="E163" s="59">
        <v>13</v>
      </c>
      <c r="F163" s="59">
        <v>53860655</v>
      </c>
      <c r="G163" s="79">
        <v>2.05472830775E-8</v>
      </c>
      <c r="H163" s="59"/>
    </row>
    <row r="164" spans="2:8" x14ac:dyDescent="0.2">
      <c r="B164" s="59">
        <v>68</v>
      </c>
      <c r="C164" s="59" t="s">
        <v>8406</v>
      </c>
      <c r="D164" s="59" t="s">
        <v>8407</v>
      </c>
      <c r="E164" s="59">
        <v>13</v>
      </c>
      <c r="F164" s="59">
        <v>80843549</v>
      </c>
      <c r="G164" s="79">
        <v>2.9657995437099999E-8</v>
      </c>
      <c r="H164" s="59"/>
    </row>
    <row r="165" spans="2:8" x14ac:dyDescent="0.2">
      <c r="B165" s="59">
        <v>68</v>
      </c>
      <c r="C165" s="59" t="s">
        <v>8408</v>
      </c>
      <c r="D165" s="59" t="s">
        <v>8409</v>
      </c>
      <c r="E165" s="59">
        <v>13</v>
      </c>
      <c r="F165" s="59">
        <v>80858347</v>
      </c>
      <c r="G165" s="79">
        <v>4.5963305576700001E-8</v>
      </c>
      <c r="H165" s="59"/>
    </row>
    <row r="166" spans="2:8" x14ac:dyDescent="0.2">
      <c r="B166" s="59">
        <v>68</v>
      </c>
      <c r="C166" s="59" t="s">
        <v>8410</v>
      </c>
      <c r="D166" s="59" t="s">
        <v>8411</v>
      </c>
      <c r="E166" s="59">
        <v>13</v>
      </c>
      <c r="F166" s="59">
        <v>80921519</v>
      </c>
      <c r="G166" s="79">
        <v>2.57413570652E-9</v>
      </c>
      <c r="H166" s="59"/>
    </row>
    <row r="167" spans="2:8" x14ac:dyDescent="0.2">
      <c r="B167" s="59">
        <v>69</v>
      </c>
      <c r="C167" s="59" t="s">
        <v>8412</v>
      </c>
      <c r="D167" s="59" t="s">
        <v>8413</v>
      </c>
      <c r="E167" s="59">
        <v>13</v>
      </c>
      <c r="F167" s="59">
        <v>99115041</v>
      </c>
      <c r="G167" s="79">
        <v>1.0492361285400001E-8</v>
      </c>
      <c r="H167" s="59"/>
    </row>
    <row r="168" spans="2:8" x14ac:dyDescent="0.2">
      <c r="B168" s="59">
        <v>70</v>
      </c>
      <c r="C168" s="59" t="s">
        <v>8414</v>
      </c>
      <c r="D168" s="59" t="s">
        <v>8415</v>
      </c>
      <c r="E168" s="59">
        <v>14</v>
      </c>
      <c r="F168" s="59">
        <v>42074726</v>
      </c>
      <c r="G168" s="79">
        <v>1.3420982503E-15</v>
      </c>
      <c r="H168" s="59"/>
    </row>
    <row r="169" spans="2:8" x14ac:dyDescent="0.2">
      <c r="B169" s="59">
        <v>70</v>
      </c>
      <c r="C169" s="59" t="s">
        <v>8416</v>
      </c>
      <c r="D169" s="59" t="s">
        <v>8417</v>
      </c>
      <c r="E169" s="59">
        <v>14</v>
      </c>
      <c r="F169" s="59">
        <v>42078975</v>
      </c>
      <c r="G169" s="79">
        <v>6.1343646469400004E-11</v>
      </c>
      <c r="H169" s="59"/>
    </row>
    <row r="170" spans="2:8" x14ac:dyDescent="0.2">
      <c r="B170" s="59">
        <v>70</v>
      </c>
      <c r="C170" s="59" t="s">
        <v>8418</v>
      </c>
      <c r="D170" s="59" t="s">
        <v>8419</v>
      </c>
      <c r="E170" s="59">
        <v>14</v>
      </c>
      <c r="F170" s="59">
        <v>42117374</v>
      </c>
      <c r="G170" s="79">
        <v>6.8932422262799997E-12</v>
      </c>
      <c r="H170" s="59"/>
    </row>
    <row r="171" spans="2:8" x14ac:dyDescent="0.2">
      <c r="B171" s="59">
        <v>70</v>
      </c>
      <c r="C171" s="59" t="s">
        <v>8420</v>
      </c>
      <c r="D171" s="59" t="s">
        <v>8421</v>
      </c>
      <c r="E171" s="59">
        <v>14</v>
      </c>
      <c r="F171" s="59">
        <v>42233384</v>
      </c>
      <c r="G171" s="79">
        <v>2.6244129021400001E-8</v>
      </c>
      <c r="H171" s="59"/>
    </row>
    <row r="172" spans="2:8" x14ac:dyDescent="0.2">
      <c r="B172" s="59">
        <v>71</v>
      </c>
      <c r="C172" s="59" t="s">
        <v>8422</v>
      </c>
      <c r="D172" s="59" t="s">
        <v>8423</v>
      </c>
      <c r="E172" s="59">
        <v>14</v>
      </c>
      <c r="F172" s="59">
        <v>75125540</v>
      </c>
      <c r="G172" s="79">
        <v>4.9224164758099999E-11</v>
      </c>
      <c r="H172" s="59"/>
    </row>
    <row r="173" spans="2:8" x14ac:dyDescent="0.2">
      <c r="B173" s="59">
        <v>71</v>
      </c>
      <c r="C173" s="59" t="s">
        <v>8424</v>
      </c>
      <c r="D173" s="59" t="s">
        <v>8425</v>
      </c>
      <c r="E173" s="59">
        <v>14</v>
      </c>
      <c r="F173" s="59">
        <v>75254073</v>
      </c>
      <c r="G173" s="79">
        <v>9.6528420487799995E-11</v>
      </c>
      <c r="H173" s="59"/>
    </row>
    <row r="174" spans="2:8" x14ac:dyDescent="0.2">
      <c r="B174" s="59">
        <v>72</v>
      </c>
      <c r="C174" s="59" t="s">
        <v>8426</v>
      </c>
      <c r="D174" s="59" t="s">
        <v>8427</v>
      </c>
      <c r="E174" s="59">
        <v>14</v>
      </c>
      <c r="F174" s="59">
        <v>103284276</v>
      </c>
      <c r="G174" s="79">
        <v>2.4283147981800001E-9</v>
      </c>
      <c r="H174" s="59"/>
    </row>
    <row r="175" spans="2:8" x14ac:dyDescent="0.2">
      <c r="B175" s="59">
        <v>73</v>
      </c>
      <c r="C175" s="59" t="s">
        <v>8428</v>
      </c>
      <c r="D175" s="59" t="s">
        <v>8429</v>
      </c>
      <c r="E175" s="59">
        <v>14</v>
      </c>
      <c r="F175" s="59">
        <v>103850963</v>
      </c>
      <c r="G175" s="79">
        <v>4.7834174824799999E-8</v>
      </c>
      <c r="H175" s="59"/>
    </row>
    <row r="176" spans="2:8" x14ac:dyDescent="0.2">
      <c r="B176" s="59">
        <v>73</v>
      </c>
      <c r="C176" s="59" t="s">
        <v>8430</v>
      </c>
      <c r="D176" s="59" t="s">
        <v>8431</v>
      </c>
      <c r="E176" s="59">
        <v>14</v>
      </c>
      <c r="F176" s="59">
        <v>103997525</v>
      </c>
      <c r="G176" s="79">
        <v>1.29100206852E-11</v>
      </c>
      <c r="H176" s="59"/>
    </row>
    <row r="177" spans="2:8" x14ac:dyDescent="0.2">
      <c r="B177" s="59">
        <v>73</v>
      </c>
      <c r="C177" s="59" t="s">
        <v>8432</v>
      </c>
      <c r="D177" s="59" t="s">
        <v>8433</v>
      </c>
      <c r="E177" s="59">
        <v>14</v>
      </c>
      <c r="F177" s="59">
        <v>104011994</v>
      </c>
      <c r="G177" s="79">
        <v>3.9223836020600002E-11</v>
      </c>
      <c r="H177" s="59"/>
    </row>
    <row r="178" spans="2:8" x14ac:dyDescent="0.2">
      <c r="B178" s="59">
        <v>73</v>
      </c>
      <c r="C178" s="59" t="s">
        <v>8434</v>
      </c>
      <c r="D178" s="59" t="s">
        <v>8435</v>
      </c>
      <c r="E178" s="59">
        <v>14</v>
      </c>
      <c r="F178" s="59">
        <v>104017953</v>
      </c>
      <c r="G178" s="79">
        <v>3.23401834184E-9</v>
      </c>
      <c r="H178" s="59"/>
    </row>
    <row r="179" spans="2:8" x14ac:dyDescent="0.2">
      <c r="B179" s="59">
        <v>73</v>
      </c>
      <c r="C179" s="59" t="s">
        <v>8436</v>
      </c>
      <c r="D179" s="59" t="s">
        <v>8437</v>
      </c>
      <c r="E179" s="59">
        <v>14</v>
      </c>
      <c r="F179" s="59">
        <v>104089459</v>
      </c>
      <c r="G179" s="79">
        <v>7.5315877265100004E-10</v>
      </c>
      <c r="H179" s="59"/>
    </row>
    <row r="180" spans="2:8" x14ac:dyDescent="0.2">
      <c r="B180" s="59">
        <v>74</v>
      </c>
      <c r="C180" s="59" t="s">
        <v>8438</v>
      </c>
      <c r="D180" s="59" t="s">
        <v>8439</v>
      </c>
      <c r="E180" s="59">
        <v>16</v>
      </c>
      <c r="F180" s="59">
        <v>13785959</v>
      </c>
      <c r="G180" s="79">
        <v>1.4036576087E-8</v>
      </c>
      <c r="H180" s="59"/>
    </row>
    <row r="181" spans="2:8" x14ac:dyDescent="0.2">
      <c r="B181" s="59">
        <v>75</v>
      </c>
      <c r="C181" s="59" t="s">
        <v>8440</v>
      </c>
      <c r="D181" s="59" t="s">
        <v>8441</v>
      </c>
      <c r="E181" s="59">
        <v>18</v>
      </c>
      <c r="F181" s="59">
        <v>35152563</v>
      </c>
      <c r="G181" s="79">
        <v>1.60604850957E-12</v>
      </c>
      <c r="H181" s="59"/>
    </row>
    <row r="182" spans="2:8" x14ac:dyDescent="0.2">
      <c r="B182" s="59">
        <v>75</v>
      </c>
      <c r="C182" s="59" t="s">
        <v>8442</v>
      </c>
      <c r="D182" s="59" t="s">
        <v>8443</v>
      </c>
      <c r="E182" s="59">
        <v>18</v>
      </c>
      <c r="F182" s="59">
        <v>35154480</v>
      </c>
      <c r="G182" s="79">
        <v>7.1497504024699998E-12</v>
      </c>
      <c r="H182" s="59"/>
    </row>
    <row r="183" spans="2:8" x14ac:dyDescent="0.2">
      <c r="B183" s="59">
        <v>75</v>
      </c>
      <c r="C183" s="59" t="s">
        <v>8444</v>
      </c>
      <c r="D183" s="59" t="s">
        <v>8445</v>
      </c>
      <c r="E183" s="59">
        <v>18</v>
      </c>
      <c r="F183" s="59">
        <v>35215517</v>
      </c>
      <c r="G183" s="79">
        <v>2.1426354813600001E-8</v>
      </c>
      <c r="H183" s="59"/>
    </row>
    <row r="184" spans="2:8" x14ac:dyDescent="0.2">
      <c r="B184" s="59">
        <v>76</v>
      </c>
      <c r="C184" s="59" t="s">
        <v>8446</v>
      </c>
      <c r="D184" s="59" t="s">
        <v>8447</v>
      </c>
      <c r="E184" s="59">
        <v>18</v>
      </c>
      <c r="F184" s="59">
        <v>50672763</v>
      </c>
      <c r="G184" s="79">
        <v>7.2447276968000003E-9</v>
      </c>
      <c r="H184" s="59"/>
    </row>
    <row r="185" spans="2:8" x14ac:dyDescent="0.2">
      <c r="B185" s="59">
        <v>76</v>
      </c>
      <c r="C185" s="59" t="s">
        <v>8448</v>
      </c>
      <c r="D185" s="59" t="s">
        <v>8449</v>
      </c>
      <c r="E185" s="59">
        <v>18</v>
      </c>
      <c r="F185" s="59">
        <v>50746748</v>
      </c>
      <c r="G185" s="79">
        <v>9.393793275780001E-10</v>
      </c>
      <c r="H185" s="59"/>
    </row>
    <row r="186" spans="2:8" x14ac:dyDescent="0.2">
      <c r="B186" s="59">
        <v>76</v>
      </c>
      <c r="C186" s="59" t="s">
        <v>8450</v>
      </c>
      <c r="D186" s="59" t="s">
        <v>8451</v>
      </c>
      <c r="E186" s="59">
        <v>18</v>
      </c>
      <c r="F186" s="59">
        <v>50776391</v>
      </c>
      <c r="G186" s="79">
        <v>4.4886281068399999E-10</v>
      </c>
      <c r="H186" s="59"/>
    </row>
    <row r="187" spans="2:8" x14ac:dyDescent="0.2">
      <c r="B187" s="59">
        <v>76</v>
      </c>
      <c r="C187" s="59" t="s">
        <v>8452</v>
      </c>
      <c r="D187" s="59" t="s">
        <v>8453</v>
      </c>
      <c r="E187" s="59">
        <v>18</v>
      </c>
      <c r="F187" s="59">
        <v>50919600</v>
      </c>
      <c r="G187" s="79">
        <v>3.4288738612499999E-8</v>
      </c>
      <c r="H187" s="59"/>
    </row>
    <row r="188" spans="2:8" x14ac:dyDescent="0.2">
      <c r="B188" s="59">
        <v>77</v>
      </c>
      <c r="C188" s="59" t="s">
        <v>8454</v>
      </c>
      <c r="D188" s="59" t="s">
        <v>8455</v>
      </c>
      <c r="E188" s="59">
        <v>18</v>
      </c>
      <c r="F188" s="59">
        <v>52391708</v>
      </c>
      <c r="G188" s="79">
        <v>4.36544506395E-9</v>
      </c>
      <c r="H188" s="59"/>
    </row>
    <row r="189" spans="2:8" x14ac:dyDescent="0.2">
      <c r="B189" s="59">
        <v>77</v>
      </c>
      <c r="C189" s="59" t="s">
        <v>8456</v>
      </c>
      <c r="D189" s="59" t="s">
        <v>8457</v>
      </c>
      <c r="E189" s="59">
        <v>18</v>
      </c>
      <c r="F189" s="59">
        <v>52474170</v>
      </c>
      <c r="G189" s="79">
        <v>2.4553181948799999E-11</v>
      </c>
      <c r="H189" s="59"/>
    </row>
    <row r="190" spans="2:8" x14ac:dyDescent="0.2">
      <c r="B190" s="59">
        <v>77</v>
      </c>
      <c r="C190" s="59" t="s">
        <v>8458</v>
      </c>
      <c r="D190" s="59" t="s">
        <v>8459</v>
      </c>
      <c r="E190" s="59">
        <v>18</v>
      </c>
      <c r="F190" s="59">
        <v>52492668</v>
      </c>
      <c r="G190" s="79">
        <v>7.0087195011299999E-10</v>
      </c>
      <c r="H190" s="59"/>
    </row>
    <row r="191" spans="2:8" x14ac:dyDescent="0.2">
      <c r="B191" s="59">
        <v>77</v>
      </c>
      <c r="C191" s="59" t="s">
        <v>8460</v>
      </c>
      <c r="D191" s="59" t="s">
        <v>8461</v>
      </c>
      <c r="E191" s="59">
        <v>18</v>
      </c>
      <c r="F191" s="59">
        <v>52542425</v>
      </c>
      <c r="G191" s="79">
        <v>8.2504296045200001E-9</v>
      </c>
      <c r="H191" s="59"/>
    </row>
    <row r="192" spans="2:8" x14ac:dyDescent="0.2">
      <c r="B192" s="59">
        <v>77</v>
      </c>
      <c r="C192" s="59" t="s">
        <v>8462</v>
      </c>
      <c r="D192" s="59" t="s">
        <v>8463</v>
      </c>
      <c r="E192" s="59">
        <v>18</v>
      </c>
      <c r="F192" s="59">
        <v>52547057</v>
      </c>
      <c r="G192" s="79">
        <v>2.1768562753200001E-9</v>
      </c>
      <c r="H192" s="59"/>
    </row>
    <row r="193" spans="2:8" x14ac:dyDescent="0.2">
      <c r="B193" s="59">
        <v>77</v>
      </c>
      <c r="C193" s="59" t="s">
        <v>8464</v>
      </c>
      <c r="D193" s="59" t="s">
        <v>8465</v>
      </c>
      <c r="E193" s="59">
        <v>18</v>
      </c>
      <c r="F193" s="59">
        <v>52579200</v>
      </c>
      <c r="G193" s="79">
        <v>4.4315171963900003E-11</v>
      </c>
      <c r="H193" s="59"/>
    </row>
    <row r="194" spans="2:8" x14ac:dyDescent="0.2">
      <c r="B194" s="59">
        <v>77</v>
      </c>
      <c r="C194" s="59" t="s">
        <v>8466</v>
      </c>
      <c r="D194" s="59" t="s">
        <v>8467</v>
      </c>
      <c r="E194" s="59">
        <v>18</v>
      </c>
      <c r="F194" s="59">
        <v>52732938</v>
      </c>
      <c r="G194" s="79">
        <v>7.1084937805999998E-10</v>
      </c>
      <c r="H194" s="59"/>
    </row>
    <row r="195" spans="2:8" x14ac:dyDescent="0.2">
      <c r="B195" s="59">
        <v>77</v>
      </c>
      <c r="C195" s="59" t="s">
        <v>8468</v>
      </c>
      <c r="D195" s="59" t="s">
        <v>8469</v>
      </c>
      <c r="E195" s="59">
        <v>18</v>
      </c>
      <c r="F195" s="59">
        <v>52747871</v>
      </c>
      <c r="G195" s="79">
        <v>4.9076579108200003E-11</v>
      </c>
      <c r="H195" s="59"/>
    </row>
    <row r="196" spans="2:8" x14ac:dyDescent="0.2">
      <c r="B196" s="59">
        <v>77</v>
      </c>
      <c r="C196" s="59" t="s">
        <v>8470</v>
      </c>
      <c r="D196" s="59" t="s">
        <v>8471</v>
      </c>
      <c r="E196" s="59">
        <v>18</v>
      </c>
      <c r="F196" s="59">
        <v>52751455</v>
      </c>
      <c r="G196" s="79">
        <v>2.2760060675699999E-8</v>
      </c>
      <c r="H196" s="59"/>
    </row>
    <row r="197" spans="2:8" x14ac:dyDescent="0.2">
      <c r="B197" s="59">
        <v>77</v>
      </c>
      <c r="C197" s="59" t="s">
        <v>8472</v>
      </c>
      <c r="D197" s="59" t="s">
        <v>8473</v>
      </c>
      <c r="E197" s="59">
        <v>18</v>
      </c>
      <c r="F197" s="59">
        <v>52754086</v>
      </c>
      <c r="G197" s="79">
        <v>8.36660575824E-9</v>
      </c>
      <c r="H197" s="59"/>
    </row>
    <row r="198" spans="2:8" x14ac:dyDescent="0.2">
      <c r="B198" s="59">
        <v>77</v>
      </c>
      <c r="C198" s="59" t="s">
        <v>8474</v>
      </c>
      <c r="D198" s="59" t="s">
        <v>8475</v>
      </c>
      <c r="E198" s="59">
        <v>18</v>
      </c>
      <c r="F198" s="59">
        <v>52757346</v>
      </c>
      <c r="G198" s="79">
        <v>4.5851776397799997E-12</v>
      </c>
      <c r="H198" s="59"/>
    </row>
    <row r="199" spans="2:8" x14ac:dyDescent="0.2">
      <c r="B199" s="59">
        <v>77</v>
      </c>
      <c r="C199" s="59" t="s">
        <v>7960</v>
      </c>
      <c r="D199" s="59" t="s">
        <v>7961</v>
      </c>
      <c r="E199" s="59">
        <v>18</v>
      </c>
      <c r="F199" s="59">
        <v>52765283</v>
      </c>
      <c r="G199" s="79">
        <v>4.4870265129899998E-9</v>
      </c>
      <c r="H199" s="59"/>
    </row>
    <row r="200" spans="2:8" x14ac:dyDescent="0.2">
      <c r="B200" s="59">
        <v>77</v>
      </c>
      <c r="C200" s="59" t="s">
        <v>8476</v>
      </c>
      <c r="D200" s="59" t="s">
        <v>8477</v>
      </c>
      <c r="E200" s="59">
        <v>18</v>
      </c>
      <c r="F200" s="59">
        <v>52771334</v>
      </c>
      <c r="G200" s="79">
        <v>1.03166265634E-8</v>
      </c>
      <c r="H200" s="59"/>
    </row>
    <row r="201" spans="2:8" x14ac:dyDescent="0.2">
      <c r="B201" s="59">
        <v>77</v>
      </c>
      <c r="C201" s="59" t="s">
        <v>8478</v>
      </c>
      <c r="D201" s="59" t="s">
        <v>8479</v>
      </c>
      <c r="E201" s="59">
        <v>18</v>
      </c>
      <c r="F201" s="59">
        <v>52835378</v>
      </c>
      <c r="G201" s="79">
        <v>1.7459065965699999E-8</v>
      </c>
      <c r="H201" s="59"/>
    </row>
    <row r="202" spans="2:8" x14ac:dyDescent="0.2">
      <c r="B202" s="59">
        <v>77</v>
      </c>
      <c r="C202" s="59" t="s">
        <v>8480</v>
      </c>
      <c r="D202" s="59" t="s">
        <v>8481</v>
      </c>
      <c r="E202" s="59">
        <v>18</v>
      </c>
      <c r="F202" s="59">
        <v>52858610</v>
      </c>
      <c r="G202" s="79">
        <v>6.8305758306800004E-9</v>
      </c>
      <c r="H202" s="59"/>
    </row>
    <row r="203" spans="2:8" x14ac:dyDescent="0.2">
      <c r="B203" s="59">
        <v>77</v>
      </c>
      <c r="C203" s="59" t="s">
        <v>8482</v>
      </c>
      <c r="D203" s="59" t="s">
        <v>8483</v>
      </c>
      <c r="E203" s="59">
        <v>18</v>
      </c>
      <c r="F203" s="59">
        <v>52942827</v>
      </c>
      <c r="G203" s="79">
        <v>3.1087679405499997E-8</v>
      </c>
      <c r="H203" s="59"/>
    </row>
    <row r="204" spans="2:8" x14ac:dyDescent="0.2">
      <c r="B204" s="59">
        <v>77</v>
      </c>
      <c r="C204" s="59" t="s">
        <v>8484</v>
      </c>
      <c r="D204" s="59" t="s">
        <v>8485</v>
      </c>
      <c r="E204" s="59">
        <v>18</v>
      </c>
      <c r="F204" s="59">
        <v>53045198</v>
      </c>
      <c r="G204" s="79">
        <v>1.0217496605499999E-8</v>
      </c>
      <c r="H204" s="59"/>
    </row>
    <row r="205" spans="2:8" x14ac:dyDescent="0.2">
      <c r="B205" s="59">
        <v>77</v>
      </c>
      <c r="C205" s="59" t="s">
        <v>8486</v>
      </c>
      <c r="D205" s="59" t="s">
        <v>8487</v>
      </c>
      <c r="E205" s="59">
        <v>18</v>
      </c>
      <c r="F205" s="59">
        <v>53057188</v>
      </c>
      <c r="G205" s="79">
        <v>3.7591137745599997E-9</v>
      </c>
      <c r="H205" s="59"/>
    </row>
    <row r="206" spans="2:8" x14ac:dyDescent="0.2">
      <c r="B206" s="59">
        <v>77</v>
      </c>
      <c r="C206" s="59" t="s">
        <v>8488</v>
      </c>
      <c r="D206" s="59" t="s">
        <v>8489</v>
      </c>
      <c r="E206" s="59">
        <v>18</v>
      </c>
      <c r="F206" s="59">
        <v>53099012</v>
      </c>
      <c r="G206" s="79">
        <v>5.6998447012100005E-17</v>
      </c>
      <c r="H206" s="59"/>
    </row>
    <row r="207" spans="2:8" x14ac:dyDescent="0.2">
      <c r="B207" s="59">
        <v>77</v>
      </c>
      <c r="C207" s="59" t="s">
        <v>8490</v>
      </c>
      <c r="D207" s="59" t="s">
        <v>8491</v>
      </c>
      <c r="E207" s="59">
        <v>18</v>
      </c>
      <c r="F207" s="59">
        <v>53101984</v>
      </c>
      <c r="G207" s="79">
        <v>3.0611692588300001E-11</v>
      </c>
      <c r="H207" s="59"/>
    </row>
    <row r="208" spans="2:8" x14ac:dyDescent="0.2">
      <c r="B208" s="59">
        <v>77</v>
      </c>
      <c r="C208" s="59" t="s">
        <v>8492</v>
      </c>
      <c r="D208" s="59" t="s">
        <v>8493</v>
      </c>
      <c r="E208" s="59">
        <v>18</v>
      </c>
      <c r="F208" s="59">
        <v>53123031</v>
      </c>
      <c r="G208" s="79">
        <v>9.3850085974799996E-10</v>
      </c>
      <c r="H208" s="59"/>
    </row>
    <row r="209" spans="2:8" x14ac:dyDescent="0.2">
      <c r="B209" s="59">
        <v>77</v>
      </c>
      <c r="C209" s="59" t="s">
        <v>8494</v>
      </c>
      <c r="D209" s="59" t="s">
        <v>8495</v>
      </c>
      <c r="E209" s="59">
        <v>18</v>
      </c>
      <c r="F209" s="59">
        <v>53125435</v>
      </c>
      <c r="G209" s="79">
        <v>2.2620828801100001E-13</v>
      </c>
      <c r="H209" s="59"/>
    </row>
    <row r="210" spans="2:8" x14ac:dyDescent="0.2">
      <c r="B210" s="59">
        <v>77</v>
      </c>
      <c r="C210" s="59" t="s">
        <v>8496</v>
      </c>
      <c r="D210" s="59" t="s">
        <v>8497</v>
      </c>
      <c r="E210" s="59">
        <v>18</v>
      </c>
      <c r="F210" s="59">
        <v>53134652</v>
      </c>
      <c r="G210" s="79">
        <v>2.2131647156500001E-10</v>
      </c>
      <c r="H210" s="59"/>
    </row>
    <row r="211" spans="2:8" x14ac:dyDescent="0.2">
      <c r="B211" s="59">
        <v>77</v>
      </c>
      <c r="C211" s="59" t="s">
        <v>8498</v>
      </c>
      <c r="D211" s="59" t="s">
        <v>8499</v>
      </c>
      <c r="E211" s="59">
        <v>18</v>
      </c>
      <c r="F211" s="59">
        <v>53135894</v>
      </c>
      <c r="G211" s="79">
        <v>1.0764565672099999E-14</v>
      </c>
      <c r="H211" s="59"/>
    </row>
    <row r="212" spans="2:8" x14ac:dyDescent="0.2">
      <c r="B212" s="59">
        <v>77</v>
      </c>
      <c r="C212" s="59" t="s">
        <v>8500</v>
      </c>
      <c r="D212" s="59" t="s">
        <v>8501</v>
      </c>
      <c r="E212" s="59">
        <v>18</v>
      </c>
      <c r="F212" s="59">
        <v>53164693</v>
      </c>
      <c r="G212" s="79">
        <v>2.53390857252E-8</v>
      </c>
      <c r="H212" s="59"/>
    </row>
    <row r="213" spans="2:8" x14ac:dyDescent="0.2">
      <c r="B213" s="59">
        <v>77</v>
      </c>
      <c r="C213" s="59" t="s">
        <v>8502</v>
      </c>
      <c r="D213" s="59" t="s">
        <v>8503</v>
      </c>
      <c r="E213" s="59">
        <v>18</v>
      </c>
      <c r="F213" s="59">
        <v>53168243</v>
      </c>
      <c r="G213" s="79">
        <v>2.2705213238999999E-10</v>
      </c>
      <c r="H213" s="59"/>
    </row>
    <row r="214" spans="2:8" x14ac:dyDescent="0.2">
      <c r="B214" s="59">
        <v>77</v>
      </c>
      <c r="C214" s="59" t="s">
        <v>8504</v>
      </c>
      <c r="D214" s="59" t="s">
        <v>8505</v>
      </c>
      <c r="E214" s="59">
        <v>18</v>
      </c>
      <c r="F214" s="59">
        <v>53198836</v>
      </c>
      <c r="G214" s="79">
        <v>4.7365701432900002E-9</v>
      </c>
      <c r="H214" s="59"/>
    </row>
    <row r="215" spans="2:8" x14ac:dyDescent="0.2">
      <c r="B215" s="59">
        <v>77</v>
      </c>
      <c r="C215" s="59" t="s">
        <v>7964</v>
      </c>
      <c r="D215" s="59" t="s">
        <v>7965</v>
      </c>
      <c r="E215" s="59">
        <v>18</v>
      </c>
      <c r="F215" s="59">
        <v>53200117</v>
      </c>
      <c r="G215" s="79">
        <v>8.7389918561600004E-9</v>
      </c>
      <c r="H215" s="59"/>
    </row>
    <row r="216" spans="2:8" x14ac:dyDescent="0.2">
      <c r="B216" s="59">
        <v>77</v>
      </c>
      <c r="C216" s="59" t="s">
        <v>8506</v>
      </c>
      <c r="D216" s="59" t="s">
        <v>8507</v>
      </c>
      <c r="E216" s="59">
        <v>18</v>
      </c>
      <c r="F216" s="59">
        <v>53207207</v>
      </c>
      <c r="G216" s="79">
        <v>2.3553070575700002E-10</v>
      </c>
      <c r="H216" s="59"/>
    </row>
    <row r="217" spans="2:8" x14ac:dyDescent="0.2">
      <c r="B217" s="59">
        <v>77</v>
      </c>
      <c r="C217" s="59" t="s">
        <v>8508</v>
      </c>
      <c r="D217" s="59" t="s">
        <v>8509</v>
      </c>
      <c r="E217" s="59">
        <v>18</v>
      </c>
      <c r="F217" s="59">
        <v>53239916</v>
      </c>
      <c r="G217" s="79">
        <v>2.1940496890899999E-9</v>
      </c>
      <c r="H217" s="59"/>
    </row>
    <row r="218" spans="2:8" x14ac:dyDescent="0.2">
      <c r="B218" s="59">
        <v>77</v>
      </c>
      <c r="C218" s="59" t="s">
        <v>8510</v>
      </c>
      <c r="D218" s="59" t="s">
        <v>8511</v>
      </c>
      <c r="E218" s="59">
        <v>18</v>
      </c>
      <c r="F218" s="59">
        <v>53408187</v>
      </c>
      <c r="G218" s="79">
        <v>2.4505341676700001E-8</v>
      </c>
      <c r="H218" s="59"/>
    </row>
    <row r="219" spans="2:8" x14ac:dyDescent="0.2">
      <c r="B219" s="59">
        <v>78</v>
      </c>
      <c r="C219" s="59" t="s">
        <v>8512</v>
      </c>
      <c r="D219" s="59" t="s">
        <v>8513</v>
      </c>
      <c r="E219" s="59">
        <v>20</v>
      </c>
      <c r="F219" s="59">
        <v>44700166</v>
      </c>
      <c r="G219" s="79">
        <v>1.1737552855299999E-9</v>
      </c>
      <c r="H219" s="59"/>
    </row>
    <row r="220" spans="2:8" x14ac:dyDescent="0.2">
      <c r="B220" s="59">
        <v>78</v>
      </c>
      <c r="C220" s="59" t="s">
        <v>8514</v>
      </c>
      <c r="D220" s="59" t="s">
        <v>8515</v>
      </c>
      <c r="E220" s="59">
        <v>20</v>
      </c>
      <c r="F220" s="59">
        <v>44724305</v>
      </c>
      <c r="G220" s="79">
        <v>6.1236556026400003E-12</v>
      </c>
      <c r="H220" s="59"/>
    </row>
    <row r="221" spans="2:8" x14ac:dyDescent="0.2">
      <c r="B221" s="59"/>
      <c r="C221" s="59"/>
      <c r="D221" s="59"/>
      <c r="E221" s="59"/>
      <c r="F221" s="59"/>
      <c r="G221" s="79"/>
      <c r="H221" s="59"/>
    </row>
    <row r="222" spans="2:8" x14ac:dyDescent="0.2">
      <c r="B222" s="59"/>
      <c r="C222" s="59"/>
      <c r="D222" s="59"/>
      <c r="E222" s="59"/>
      <c r="F222" s="59"/>
      <c r="G222" s="79"/>
      <c r="H222" s="59"/>
    </row>
    <row r="223" spans="2:8" x14ac:dyDescent="0.2">
      <c r="B223" s="59"/>
      <c r="C223" s="59"/>
      <c r="D223" s="59"/>
      <c r="E223" s="59"/>
      <c r="F223" s="59"/>
      <c r="G223" s="79"/>
      <c r="H223" s="59"/>
    </row>
    <row r="224" spans="2:8" x14ac:dyDescent="0.2">
      <c r="B224" s="59"/>
      <c r="C224" s="59"/>
      <c r="D224" s="59"/>
      <c r="E224" s="59"/>
      <c r="F224" s="59"/>
      <c r="G224" s="79"/>
      <c r="H224" s="59"/>
    </row>
    <row r="225" spans="2:8" x14ac:dyDescent="0.2">
      <c r="B225" s="59"/>
      <c r="C225" s="59"/>
      <c r="D225" s="59"/>
      <c r="E225" s="59"/>
      <c r="F225" s="59"/>
      <c r="G225" s="79"/>
      <c r="H225" s="59"/>
    </row>
    <row r="226" spans="2:8" x14ac:dyDescent="0.2">
      <c r="B226" s="59"/>
      <c r="C226" s="59"/>
      <c r="D226" s="59"/>
      <c r="E226" s="59"/>
      <c r="F226" s="59"/>
      <c r="G226" s="79"/>
      <c r="H226" s="59"/>
    </row>
    <row r="227" spans="2:8" x14ac:dyDescent="0.2">
      <c r="B227" s="59"/>
      <c r="C227" s="59"/>
      <c r="D227" s="59"/>
      <c r="E227" s="59"/>
      <c r="F227" s="59"/>
      <c r="G227" s="79"/>
      <c r="H227" s="59"/>
    </row>
    <row r="228" spans="2:8" x14ac:dyDescent="0.2">
      <c r="B228" s="59"/>
      <c r="C228" s="59"/>
      <c r="D228" s="59"/>
      <c r="E228" s="59"/>
      <c r="F228" s="59"/>
      <c r="G228" s="79"/>
      <c r="H228" s="59"/>
    </row>
    <row r="229" spans="2:8" x14ac:dyDescent="0.2">
      <c r="B229" s="59"/>
      <c r="C229" s="59"/>
      <c r="D229" s="59"/>
      <c r="E229" s="59"/>
      <c r="F229" s="59"/>
      <c r="G229" s="79"/>
      <c r="H229" s="59"/>
    </row>
    <row r="230" spans="2:8" x14ac:dyDescent="0.2">
      <c r="B230" s="59"/>
      <c r="C230" s="59"/>
      <c r="D230" s="59"/>
      <c r="E230" s="59"/>
      <c r="F230" s="59"/>
      <c r="G230" s="79"/>
      <c r="H230" s="59"/>
    </row>
    <row r="231" spans="2:8" x14ac:dyDescent="0.2">
      <c r="B231" s="59"/>
      <c r="C231" s="59"/>
      <c r="D231" s="59"/>
      <c r="E231" s="59"/>
      <c r="F231" s="59"/>
      <c r="G231" s="79"/>
      <c r="H231" s="59"/>
    </row>
    <row r="232" spans="2:8" x14ac:dyDescent="0.2">
      <c r="B232" s="59"/>
      <c r="C232" s="59"/>
      <c r="D232" s="59"/>
      <c r="E232" s="59"/>
      <c r="F232" s="59"/>
      <c r="G232" s="79"/>
      <c r="H232" s="59"/>
    </row>
    <row r="233" spans="2:8" x14ac:dyDescent="0.2">
      <c r="B233" s="59"/>
      <c r="C233" s="59"/>
      <c r="D233" s="59"/>
      <c r="E233" s="59"/>
      <c r="F233" s="59"/>
      <c r="G233" s="79"/>
      <c r="H233" s="59"/>
    </row>
    <row r="234" spans="2:8" x14ac:dyDescent="0.2">
      <c r="B234" s="59"/>
      <c r="C234" s="59"/>
      <c r="D234" s="59"/>
      <c r="E234" s="59"/>
      <c r="F234" s="59"/>
      <c r="G234" s="79"/>
      <c r="H234" s="59"/>
    </row>
    <row r="235" spans="2:8" x14ac:dyDescent="0.2">
      <c r="B235" s="59"/>
      <c r="C235" s="59"/>
      <c r="D235" s="59"/>
      <c r="E235" s="59"/>
      <c r="F235" s="59"/>
      <c r="G235" s="79"/>
      <c r="H235" s="59"/>
    </row>
    <row r="236" spans="2:8" x14ac:dyDescent="0.2">
      <c r="B236" s="59"/>
      <c r="C236" s="59"/>
      <c r="D236" s="59"/>
      <c r="E236" s="59"/>
      <c r="F236" s="59"/>
      <c r="G236" s="79"/>
      <c r="H236" s="59"/>
    </row>
    <row r="237" spans="2:8" x14ac:dyDescent="0.2">
      <c r="B237" s="59"/>
      <c r="C237" s="59"/>
      <c r="D237" s="59"/>
      <c r="E237" s="59"/>
      <c r="F237" s="59"/>
      <c r="G237" s="79"/>
      <c r="H237" s="59"/>
    </row>
    <row r="238" spans="2:8" x14ac:dyDescent="0.2">
      <c r="B238" s="59"/>
      <c r="C238" s="59"/>
      <c r="D238" s="59"/>
      <c r="E238" s="59"/>
      <c r="F238" s="59"/>
      <c r="G238" s="79"/>
      <c r="H238" s="59"/>
    </row>
    <row r="239" spans="2:8" x14ac:dyDescent="0.2">
      <c r="B239" s="59"/>
      <c r="C239" s="59"/>
      <c r="D239" s="59"/>
      <c r="E239" s="59"/>
      <c r="F239" s="59"/>
      <c r="G239" s="79"/>
      <c r="H239" s="59"/>
    </row>
    <row r="240" spans="2:8" x14ac:dyDescent="0.2">
      <c r="B240" s="59"/>
      <c r="C240" s="59"/>
      <c r="D240" s="59"/>
      <c r="E240" s="59"/>
      <c r="F240" s="59"/>
      <c r="G240" s="79"/>
      <c r="H240" s="59"/>
    </row>
    <row r="241" spans="2:8" x14ac:dyDescent="0.2">
      <c r="B241" s="59"/>
      <c r="C241" s="59"/>
      <c r="D241" s="59"/>
      <c r="E241" s="59"/>
      <c r="F241" s="59"/>
      <c r="G241" s="79"/>
      <c r="H241" s="59"/>
    </row>
    <row r="242" spans="2:8" x14ac:dyDescent="0.2">
      <c r="B242" s="59"/>
      <c r="C242" s="59"/>
      <c r="D242" s="59"/>
      <c r="E242" s="59"/>
      <c r="F242" s="59"/>
      <c r="G242" s="79"/>
      <c r="H242" s="59"/>
    </row>
    <row r="243" spans="2:8" x14ac:dyDescent="0.2">
      <c r="B243" s="59"/>
      <c r="C243" s="59"/>
      <c r="D243" s="59"/>
      <c r="E243" s="59"/>
      <c r="F243" s="59"/>
      <c r="G243" s="79"/>
      <c r="H243" s="59"/>
    </row>
    <row r="244" spans="2:8" x14ac:dyDescent="0.2">
      <c r="B244" s="59"/>
      <c r="C244" s="59"/>
      <c r="D244" s="59"/>
      <c r="E244" s="59"/>
      <c r="F244" s="59"/>
      <c r="G244" s="79"/>
      <c r="H244" s="59"/>
    </row>
    <row r="245" spans="2:8" x14ac:dyDescent="0.2">
      <c r="B245" s="59"/>
      <c r="C245" s="59"/>
      <c r="D245" s="59"/>
      <c r="E245" s="59"/>
      <c r="F245" s="59"/>
      <c r="G245" s="79"/>
      <c r="H245" s="59"/>
    </row>
    <row r="246" spans="2:8" x14ac:dyDescent="0.2">
      <c r="B246" s="59"/>
      <c r="C246" s="59"/>
      <c r="D246" s="59"/>
      <c r="E246" s="59"/>
      <c r="F246" s="59"/>
      <c r="G246" s="79"/>
      <c r="H246" s="59"/>
    </row>
    <row r="247" spans="2:8" x14ac:dyDescent="0.2">
      <c r="B247" s="59"/>
      <c r="C247" s="59"/>
      <c r="D247" s="59"/>
      <c r="E247" s="59"/>
      <c r="F247" s="59"/>
      <c r="G247" s="79"/>
      <c r="H247" s="59"/>
    </row>
    <row r="248" spans="2:8" x14ac:dyDescent="0.2">
      <c r="B248" s="59"/>
      <c r="C248" s="59"/>
      <c r="D248" s="59"/>
      <c r="E248" s="59"/>
      <c r="F248" s="59"/>
      <c r="G248" s="79"/>
      <c r="H248" s="59"/>
    </row>
    <row r="249" spans="2:8" x14ac:dyDescent="0.2">
      <c r="B249" s="59"/>
      <c r="C249" s="59"/>
      <c r="D249" s="59"/>
      <c r="E249" s="59"/>
      <c r="F249" s="59"/>
      <c r="G249" s="79"/>
      <c r="H249" s="59"/>
    </row>
    <row r="250" spans="2:8" x14ac:dyDescent="0.2">
      <c r="B250" s="59"/>
      <c r="C250" s="59"/>
      <c r="D250" s="59"/>
      <c r="E250" s="59"/>
      <c r="F250" s="59"/>
      <c r="G250" s="79"/>
      <c r="H250" s="59"/>
    </row>
    <row r="251" spans="2:8" x14ac:dyDescent="0.2">
      <c r="B251" s="59"/>
      <c r="C251" s="59"/>
      <c r="D251" s="59"/>
      <c r="E251" s="59"/>
      <c r="F251" s="59"/>
      <c r="G251" s="79"/>
      <c r="H251" s="59"/>
    </row>
    <row r="252" spans="2:8" x14ac:dyDescent="0.2">
      <c r="B252" s="59"/>
      <c r="C252" s="59"/>
      <c r="D252" s="59"/>
      <c r="E252" s="59"/>
      <c r="F252" s="59"/>
      <c r="G252" s="79"/>
      <c r="H252" s="59"/>
    </row>
    <row r="253" spans="2:8" x14ac:dyDescent="0.2">
      <c r="B253" s="59"/>
      <c r="C253" s="59"/>
      <c r="D253" s="59"/>
      <c r="E253" s="59"/>
      <c r="F253" s="59"/>
      <c r="G253" s="79"/>
      <c r="H253" s="59"/>
    </row>
    <row r="254" spans="2:8" x14ac:dyDescent="0.2">
      <c r="B254" s="59"/>
      <c r="C254" s="59"/>
      <c r="D254" s="59"/>
      <c r="E254" s="59"/>
      <c r="F254" s="59"/>
      <c r="G254" s="79"/>
      <c r="H254" s="59"/>
    </row>
    <row r="255" spans="2:8" x14ac:dyDescent="0.2">
      <c r="B255" s="59"/>
      <c r="C255" s="59"/>
      <c r="D255" s="59"/>
      <c r="E255" s="59"/>
      <c r="F255" s="59"/>
      <c r="G255" s="79"/>
      <c r="H255" s="59"/>
    </row>
    <row r="256" spans="2:8" x14ac:dyDescent="0.2">
      <c r="B256" s="59"/>
      <c r="C256" s="59"/>
      <c r="D256" s="59"/>
      <c r="E256" s="59"/>
      <c r="F256" s="59"/>
      <c r="G256" s="79"/>
      <c r="H256" s="59"/>
    </row>
    <row r="257" spans="2:8" x14ac:dyDescent="0.2">
      <c r="B257" s="59"/>
      <c r="C257" s="59"/>
      <c r="D257" s="59"/>
      <c r="E257" s="59"/>
      <c r="F257" s="59"/>
      <c r="G257" s="79"/>
      <c r="H257" s="59"/>
    </row>
    <row r="258" spans="2:8" x14ac:dyDescent="0.2">
      <c r="B258" s="59"/>
      <c r="C258" s="59"/>
      <c r="D258" s="59"/>
      <c r="E258" s="59"/>
      <c r="F258" s="59"/>
      <c r="G258" s="79"/>
      <c r="H258" s="59"/>
    </row>
    <row r="259" spans="2:8" x14ac:dyDescent="0.2">
      <c r="B259" s="59"/>
      <c r="C259" s="59"/>
      <c r="D259" s="59"/>
      <c r="E259" s="59"/>
      <c r="F259" s="59"/>
      <c r="G259" s="79"/>
      <c r="H259" s="59"/>
    </row>
    <row r="260" spans="2:8" x14ac:dyDescent="0.2">
      <c r="B260" s="59"/>
      <c r="C260" s="59"/>
      <c r="D260" s="59"/>
      <c r="E260" s="59"/>
      <c r="F260" s="59"/>
      <c r="G260" s="79"/>
      <c r="H260" s="59"/>
    </row>
    <row r="261" spans="2:8" x14ac:dyDescent="0.2">
      <c r="B261" s="59"/>
      <c r="C261" s="59"/>
      <c r="D261" s="59"/>
      <c r="E261" s="59"/>
      <c r="F261" s="59"/>
      <c r="G261" s="79"/>
      <c r="H261" s="59"/>
    </row>
    <row r="262" spans="2:8" x14ac:dyDescent="0.2">
      <c r="B262" s="59"/>
      <c r="C262" s="59"/>
      <c r="D262" s="59"/>
      <c r="E262" s="59"/>
      <c r="F262" s="59"/>
      <c r="G262" s="79"/>
      <c r="H262" s="59"/>
    </row>
    <row r="263" spans="2:8" x14ac:dyDescent="0.2">
      <c r="B263" s="59"/>
      <c r="C263" s="59"/>
      <c r="D263" s="59"/>
      <c r="E263" s="59"/>
      <c r="F263" s="59"/>
      <c r="G263" s="79"/>
      <c r="H263" s="59"/>
    </row>
    <row r="264" spans="2:8" x14ac:dyDescent="0.2">
      <c r="B264" s="59"/>
      <c r="C264" s="59"/>
      <c r="D264" s="59"/>
      <c r="E264" s="59"/>
      <c r="F264" s="59"/>
      <c r="G264" s="79"/>
      <c r="H264" s="59"/>
    </row>
    <row r="265" spans="2:8" x14ac:dyDescent="0.2">
      <c r="B265" s="59"/>
      <c r="C265" s="59"/>
      <c r="D265" s="59"/>
      <c r="E265" s="59"/>
      <c r="F265" s="59"/>
      <c r="G265" s="79"/>
      <c r="H265" s="59"/>
    </row>
    <row r="266" spans="2:8" x14ac:dyDescent="0.2">
      <c r="B266" s="59"/>
      <c r="C266" s="59"/>
      <c r="D266" s="59"/>
      <c r="E266" s="59"/>
      <c r="F266" s="59"/>
      <c r="G266" s="79"/>
      <c r="H266" s="59"/>
    </row>
    <row r="267" spans="2:8" x14ac:dyDescent="0.2">
      <c r="B267" s="59"/>
      <c r="C267" s="59"/>
      <c r="D267" s="59"/>
      <c r="E267" s="59"/>
      <c r="F267" s="59"/>
      <c r="G267" s="79"/>
      <c r="H267" s="59"/>
    </row>
    <row r="268" spans="2:8" x14ac:dyDescent="0.2">
      <c r="B268" s="59"/>
      <c r="C268" s="59"/>
      <c r="D268" s="59"/>
      <c r="E268" s="59"/>
      <c r="F268" s="59"/>
      <c r="G268" s="79"/>
      <c r="H268" s="59"/>
    </row>
    <row r="269" spans="2:8" x14ac:dyDescent="0.2">
      <c r="B269" s="59"/>
      <c r="C269" s="59"/>
      <c r="D269" s="59"/>
      <c r="E269" s="59"/>
      <c r="F269" s="59"/>
      <c r="G269" s="79"/>
      <c r="H269" s="59"/>
    </row>
    <row r="270" spans="2:8" x14ac:dyDescent="0.2">
      <c r="B270" s="59"/>
      <c r="C270" s="59"/>
      <c r="D270" s="59"/>
      <c r="E270" s="59"/>
      <c r="F270" s="59"/>
      <c r="G270" s="79"/>
      <c r="H270" s="59"/>
    </row>
    <row r="271" spans="2:8" x14ac:dyDescent="0.2">
      <c r="B271" s="59"/>
      <c r="C271" s="59"/>
      <c r="D271" s="59"/>
      <c r="E271" s="59"/>
      <c r="F271" s="59"/>
      <c r="G271" s="79"/>
      <c r="H271" s="59"/>
    </row>
    <row r="272" spans="2:8" x14ac:dyDescent="0.2">
      <c r="B272" s="59"/>
      <c r="C272" s="59"/>
      <c r="D272" s="59"/>
      <c r="E272" s="59"/>
      <c r="F272" s="59"/>
      <c r="G272" s="79"/>
      <c r="H272" s="59"/>
    </row>
    <row r="273" spans="2:8" x14ac:dyDescent="0.2">
      <c r="B273" s="59"/>
      <c r="C273" s="59"/>
      <c r="D273" s="59"/>
      <c r="E273" s="59"/>
      <c r="F273" s="59"/>
      <c r="G273" s="79"/>
      <c r="H273" s="59"/>
    </row>
    <row r="274" spans="2:8" x14ac:dyDescent="0.2">
      <c r="B274" s="59"/>
      <c r="C274" s="59"/>
      <c r="D274" s="59"/>
      <c r="E274" s="59"/>
      <c r="F274" s="59"/>
      <c r="G274" s="79"/>
      <c r="H274" s="59"/>
    </row>
    <row r="275" spans="2:8" x14ac:dyDescent="0.2">
      <c r="B275" s="59"/>
      <c r="C275" s="59"/>
      <c r="D275" s="59"/>
      <c r="E275" s="59"/>
      <c r="F275" s="59"/>
      <c r="G275" s="79"/>
      <c r="H275" s="59"/>
    </row>
    <row r="276" spans="2:8" x14ac:dyDescent="0.2">
      <c r="B276" s="59"/>
      <c r="C276" s="59"/>
      <c r="D276" s="59"/>
      <c r="E276" s="59"/>
      <c r="F276" s="59"/>
      <c r="G276" s="79"/>
      <c r="H276" s="59"/>
    </row>
    <row r="277" spans="2:8" x14ac:dyDescent="0.2">
      <c r="B277" s="59"/>
      <c r="C277" s="59"/>
      <c r="D277" s="59"/>
      <c r="E277" s="59"/>
      <c r="F277" s="59"/>
      <c r="G277" s="79"/>
      <c r="H277" s="59"/>
    </row>
    <row r="278" spans="2:8" x14ac:dyDescent="0.2">
      <c r="B278" s="59"/>
      <c r="C278" s="59"/>
      <c r="D278" s="59"/>
      <c r="E278" s="59"/>
      <c r="F278" s="59"/>
      <c r="G278" s="79"/>
      <c r="H278" s="59"/>
    </row>
    <row r="279" spans="2:8" x14ac:dyDescent="0.2">
      <c r="B279" s="59"/>
      <c r="C279" s="59"/>
      <c r="D279" s="59"/>
      <c r="E279" s="59"/>
      <c r="F279" s="59"/>
      <c r="G279" s="79"/>
      <c r="H279" s="59"/>
    </row>
    <row r="280" spans="2:8" x14ac:dyDescent="0.2">
      <c r="B280" s="59"/>
      <c r="C280" s="59"/>
      <c r="D280" s="59"/>
      <c r="E280" s="59"/>
      <c r="F280" s="59"/>
      <c r="G280" s="79"/>
      <c r="H280" s="59"/>
    </row>
    <row r="281" spans="2:8" x14ac:dyDescent="0.2">
      <c r="B281" s="59"/>
      <c r="C281" s="59"/>
      <c r="D281" s="59"/>
      <c r="E281" s="59"/>
      <c r="F281" s="59"/>
      <c r="G281" s="79"/>
      <c r="H281" s="59"/>
    </row>
    <row r="282" spans="2:8" x14ac:dyDescent="0.2">
      <c r="B282" s="59"/>
      <c r="C282" s="59"/>
      <c r="D282" s="59"/>
      <c r="E282" s="59"/>
      <c r="F282" s="59"/>
      <c r="G282" s="79"/>
      <c r="H282" s="59"/>
    </row>
    <row r="283" spans="2:8" x14ac:dyDescent="0.2">
      <c r="B283" s="59"/>
      <c r="C283" s="59"/>
      <c r="D283" s="59"/>
      <c r="E283" s="59"/>
      <c r="F283" s="59"/>
      <c r="G283" s="79"/>
      <c r="H283" s="59"/>
    </row>
    <row r="284" spans="2:8" x14ac:dyDescent="0.2">
      <c r="B284" s="59"/>
      <c r="C284" s="59"/>
      <c r="D284" s="59"/>
      <c r="E284" s="59"/>
      <c r="F284" s="59"/>
      <c r="G284" s="79"/>
      <c r="H284" s="59"/>
    </row>
    <row r="285" spans="2:8" x14ac:dyDescent="0.2">
      <c r="B285" s="59"/>
      <c r="C285" s="59"/>
      <c r="D285" s="59"/>
      <c r="E285" s="59"/>
      <c r="F285" s="59"/>
      <c r="G285" s="79"/>
      <c r="H285" s="59"/>
    </row>
    <row r="286" spans="2:8" x14ac:dyDescent="0.2">
      <c r="B286" s="59"/>
      <c r="C286" s="59"/>
      <c r="D286" s="59"/>
      <c r="E286" s="59"/>
      <c r="F286" s="59"/>
      <c r="G286" s="79"/>
      <c r="H286" s="59"/>
    </row>
    <row r="287" spans="2:8" x14ac:dyDescent="0.2">
      <c r="B287" s="59"/>
      <c r="C287" s="59"/>
      <c r="D287" s="59"/>
      <c r="E287" s="59"/>
      <c r="F287" s="59"/>
      <c r="G287" s="79"/>
      <c r="H287" s="59"/>
    </row>
    <row r="288" spans="2:8" x14ac:dyDescent="0.2">
      <c r="B288" s="59"/>
      <c r="C288" s="59"/>
      <c r="D288" s="59"/>
      <c r="E288" s="59"/>
      <c r="F288" s="59"/>
      <c r="G288" s="79"/>
      <c r="H288" s="59"/>
    </row>
    <row r="289" spans="2:8" x14ac:dyDescent="0.2">
      <c r="B289" s="59"/>
      <c r="C289" s="59"/>
      <c r="D289" s="59"/>
      <c r="E289" s="59"/>
      <c r="F289" s="59"/>
      <c r="G289" s="79"/>
      <c r="H289" s="59"/>
    </row>
    <row r="290" spans="2:8" x14ac:dyDescent="0.2">
      <c r="B290" s="59"/>
      <c r="C290" s="59"/>
      <c r="D290" s="59"/>
      <c r="E290" s="59"/>
      <c r="F290" s="59"/>
      <c r="G290" s="79"/>
      <c r="H290" s="59"/>
    </row>
    <row r="291" spans="2:8" x14ac:dyDescent="0.2">
      <c r="B291" s="59"/>
      <c r="C291" s="59"/>
      <c r="D291" s="59"/>
      <c r="E291" s="59"/>
      <c r="F291" s="59"/>
      <c r="G291" s="79"/>
      <c r="H291" s="59"/>
    </row>
    <row r="292" spans="2:8" x14ac:dyDescent="0.2">
      <c r="B292" s="59"/>
      <c r="C292" s="59"/>
      <c r="D292" s="59"/>
      <c r="E292" s="59"/>
      <c r="F292" s="59"/>
      <c r="G292" s="79"/>
      <c r="H292" s="59"/>
    </row>
    <row r="293" spans="2:8" x14ac:dyDescent="0.2">
      <c r="B293" s="59"/>
      <c r="C293" s="59"/>
      <c r="D293" s="59"/>
      <c r="E293" s="59"/>
      <c r="F293" s="59"/>
      <c r="G293" s="79"/>
      <c r="H293" s="59"/>
    </row>
    <row r="294" spans="2:8" x14ac:dyDescent="0.2">
      <c r="B294" s="59"/>
      <c r="C294" s="59"/>
      <c r="D294" s="59"/>
      <c r="E294" s="59"/>
      <c r="F294" s="59"/>
      <c r="G294" s="79"/>
      <c r="H294" s="59"/>
    </row>
    <row r="295" spans="2:8" x14ac:dyDescent="0.2">
      <c r="B295" s="59"/>
      <c r="C295" s="59"/>
      <c r="D295" s="59"/>
      <c r="E295" s="59"/>
      <c r="F295" s="59"/>
      <c r="G295" s="79"/>
      <c r="H295" s="59"/>
    </row>
    <row r="296" spans="2:8" x14ac:dyDescent="0.2">
      <c r="B296" s="59"/>
      <c r="C296" s="59"/>
      <c r="D296" s="59"/>
      <c r="E296" s="59"/>
      <c r="F296" s="59"/>
      <c r="G296" s="79"/>
      <c r="H296" s="59"/>
    </row>
    <row r="297" spans="2:8" x14ac:dyDescent="0.2">
      <c r="B297" s="59"/>
      <c r="C297" s="59"/>
      <c r="D297" s="59"/>
      <c r="E297" s="59"/>
      <c r="F297" s="59"/>
      <c r="G297" s="79"/>
      <c r="H297" s="59"/>
    </row>
    <row r="298" spans="2:8" x14ac:dyDescent="0.2">
      <c r="B298" s="59"/>
      <c r="C298" s="59"/>
      <c r="D298" s="59"/>
      <c r="E298" s="59"/>
      <c r="F298" s="59"/>
      <c r="G298" s="79"/>
      <c r="H298" s="59"/>
    </row>
    <row r="299" spans="2:8" x14ac:dyDescent="0.2">
      <c r="B299" s="59"/>
      <c r="C299" s="59"/>
      <c r="D299" s="59"/>
      <c r="E299" s="59"/>
      <c r="F299" s="59"/>
      <c r="G299" s="79"/>
      <c r="H299" s="59"/>
    </row>
    <row r="300" spans="2:8" x14ac:dyDescent="0.2">
      <c r="B300" s="59"/>
      <c r="C300" s="59"/>
      <c r="D300" s="59"/>
      <c r="E300" s="59"/>
      <c r="F300" s="59"/>
      <c r="G300" s="79"/>
      <c r="H300" s="59"/>
    </row>
    <row r="301" spans="2:8" x14ac:dyDescent="0.2">
      <c r="B301" s="59"/>
      <c r="C301" s="59"/>
      <c r="D301" s="59"/>
      <c r="E301" s="59"/>
      <c r="F301" s="59"/>
      <c r="G301" s="79"/>
      <c r="H301" s="59"/>
    </row>
    <row r="302" spans="2:8" x14ac:dyDescent="0.2">
      <c r="B302" s="59"/>
      <c r="C302" s="59"/>
      <c r="D302" s="59"/>
      <c r="E302" s="59"/>
      <c r="F302" s="59"/>
      <c r="G302" s="79"/>
      <c r="H302" s="59"/>
    </row>
    <row r="303" spans="2:8" x14ac:dyDescent="0.2">
      <c r="B303" s="59"/>
      <c r="C303" s="59"/>
      <c r="D303" s="59"/>
      <c r="E303" s="59"/>
      <c r="F303" s="59"/>
      <c r="G303" s="79"/>
      <c r="H303" s="59"/>
    </row>
    <row r="304" spans="2:8" x14ac:dyDescent="0.2">
      <c r="B304" s="59"/>
      <c r="C304" s="59"/>
      <c r="D304" s="59"/>
      <c r="E304" s="59"/>
      <c r="F304" s="59"/>
      <c r="G304" s="79"/>
      <c r="H304" s="59"/>
    </row>
    <row r="305" spans="2:8" x14ac:dyDescent="0.2">
      <c r="B305" s="59"/>
      <c r="C305" s="59"/>
      <c r="D305" s="59"/>
      <c r="E305" s="59"/>
      <c r="F305" s="59"/>
      <c r="G305" s="79"/>
      <c r="H305" s="59"/>
    </row>
    <row r="306" spans="2:8" x14ac:dyDescent="0.2">
      <c r="B306" s="59"/>
      <c r="C306" s="59"/>
      <c r="D306" s="59"/>
      <c r="E306" s="59"/>
      <c r="F306" s="59"/>
      <c r="G306" s="79"/>
      <c r="H306" s="59"/>
    </row>
    <row r="307" spans="2:8" x14ac:dyDescent="0.2">
      <c r="B307" s="59"/>
      <c r="C307" s="59"/>
      <c r="D307" s="59"/>
      <c r="E307" s="59"/>
      <c r="F307" s="59"/>
      <c r="G307" s="79"/>
      <c r="H307" s="59"/>
    </row>
    <row r="308" spans="2:8" x14ac:dyDescent="0.2">
      <c r="B308" s="59"/>
      <c r="C308" s="59"/>
      <c r="D308" s="59"/>
      <c r="E308" s="59"/>
      <c r="F308" s="59"/>
      <c r="G308" s="79"/>
      <c r="H308" s="59"/>
    </row>
    <row r="309" spans="2:8" x14ac:dyDescent="0.2">
      <c r="B309" s="59"/>
      <c r="C309" s="59"/>
      <c r="D309" s="59"/>
      <c r="E309" s="59"/>
      <c r="F309" s="59"/>
      <c r="G309" s="79"/>
      <c r="H309" s="59"/>
    </row>
    <row r="310" spans="2:8" x14ac:dyDescent="0.2">
      <c r="B310" s="59"/>
      <c r="C310" s="59"/>
      <c r="D310" s="59"/>
      <c r="E310" s="59"/>
      <c r="F310" s="59"/>
      <c r="G310" s="79"/>
      <c r="H310" s="59"/>
    </row>
    <row r="311" spans="2:8" x14ac:dyDescent="0.2">
      <c r="B311" s="59"/>
      <c r="C311" s="59"/>
      <c r="D311" s="59"/>
      <c r="E311" s="59"/>
      <c r="F311" s="59"/>
      <c r="G311" s="79"/>
      <c r="H311" s="59"/>
    </row>
    <row r="312" spans="2:8" x14ac:dyDescent="0.2">
      <c r="B312" s="59"/>
      <c r="C312" s="59"/>
      <c r="D312" s="59"/>
      <c r="E312" s="59"/>
      <c r="F312" s="59"/>
      <c r="G312" s="79"/>
      <c r="H312" s="59"/>
    </row>
    <row r="313" spans="2:8" x14ac:dyDescent="0.2">
      <c r="B313" s="59"/>
      <c r="C313" s="59"/>
      <c r="D313" s="59"/>
      <c r="E313" s="59"/>
      <c r="F313" s="59"/>
      <c r="G313" s="79"/>
      <c r="H313" s="59"/>
    </row>
    <row r="314" spans="2:8" x14ac:dyDescent="0.2">
      <c r="B314" s="59"/>
      <c r="C314" s="59"/>
      <c r="D314" s="59"/>
      <c r="E314" s="59"/>
      <c r="F314" s="59"/>
      <c r="G314" s="79"/>
      <c r="H314" s="59"/>
    </row>
    <row r="315" spans="2:8" x14ac:dyDescent="0.2">
      <c r="B315" s="59"/>
      <c r="C315" s="59"/>
      <c r="D315" s="59"/>
      <c r="E315" s="59"/>
      <c r="F315" s="59"/>
      <c r="G315" s="79"/>
      <c r="H315" s="59"/>
    </row>
    <row r="316" spans="2:8" x14ac:dyDescent="0.2">
      <c r="B316" s="59"/>
      <c r="C316" s="59"/>
      <c r="D316" s="59"/>
      <c r="E316" s="59"/>
      <c r="F316" s="59"/>
      <c r="G316" s="79"/>
      <c r="H316" s="59"/>
    </row>
    <row r="317" spans="2:8" x14ac:dyDescent="0.2">
      <c r="B317" s="59"/>
      <c r="C317" s="59"/>
      <c r="D317" s="59"/>
      <c r="E317" s="59"/>
      <c r="F317" s="59"/>
      <c r="G317" s="79"/>
      <c r="H317" s="59"/>
    </row>
    <row r="318" spans="2:8" x14ac:dyDescent="0.2">
      <c r="B318" s="59"/>
      <c r="C318" s="59"/>
      <c r="D318" s="59"/>
      <c r="E318" s="59"/>
      <c r="F318" s="59"/>
      <c r="G318" s="79"/>
      <c r="H318" s="59"/>
    </row>
    <row r="319" spans="2:8" x14ac:dyDescent="0.2">
      <c r="B319" s="59"/>
      <c r="C319" s="59"/>
      <c r="D319" s="59"/>
      <c r="E319" s="59"/>
      <c r="F319" s="59"/>
      <c r="G319" s="79"/>
      <c r="H319" s="59"/>
    </row>
    <row r="320" spans="2:8" x14ac:dyDescent="0.2">
      <c r="B320" s="59"/>
      <c r="C320" s="59"/>
      <c r="D320" s="59"/>
      <c r="E320" s="59"/>
      <c r="F320" s="59"/>
      <c r="G320" s="79"/>
      <c r="H320" s="59"/>
    </row>
    <row r="321" spans="2:8" x14ac:dyDescent="0.2">
      <c r="B321" s="59"/>
      <c r="C321" s="59"/>
      <c r="D321" s="59"/>
      <c r="E321" s="59"/>
      <c r="F321" s="59"/>
      <c r="G321" s="79"/>
      <c r="H321" s="59"/>
    </row>
    <row r="322" spans="2:8" x14ac:dyDescent="0.2">
      <c r="B322" s="59"/>
      <c r="C322" s="59"/>
      <c r="D322" s="59"/>
      <c r="E322" s="59"/>
      <c r="F322" s="59"/>
      <c r="G322" s="79"/>
      <c r="H322" s="59"/>
    </row>
    <row r="323" spans="2:8" x14ac:dyDescent="0.2">
      <c r="B323" s="59"/>
      <c r="C323" s="59"/>
      <c r="D323" s="59"/>
      <c r="E323" s="59"/>
      <c r="F323" s="59"/>
      <c r="G323" s="79"/>
      <c r="H323" s="59"/>
    </row>
    <row r="324" spans="2:8" x14ac:dyDescent="0.2">
      <c r="B324" s="59"/>
      <c r="C324" s="59"/>
      <c r="D324" s="59"/>
      <c r="E324" s="59"/>
      <c r="F324" s="59"/>
      <c r="G324" s="79"/>
      <c r="H324" s="59"/>
    </row>
    <row r="325" spans="2:8" x14ac:dyDescent="0.2">
      <c r="B325" s="59"/>
      <c r="C325" s="59"/>
      <c r="D325" s="59"/>
      <c r="E325" s="59"/>
      <c r="F325" s="59"/>
      <c r="G325" s="79"/>
      <c r="H325" s="59"/>
    </row>
    <row r="326" spans="2:8" x14ac:dyDescent="0.2">
      <c r="B326" s="59"/>
      <c r="C326" s="59"/>
      <c r="D326" s="59"/>
      <c r="E326" s="59"/>
      <c r="F326" s="59"/>
      <c r="G326" s="79"/>
      <c r="H326" s="59"/>
    </row>
    <row r="327" spans="2:8" x14ac:dyDescent="0.2">
      <c r="B327" s="59"/>
      <c r="C327" s="59"/>
      <c r="D327" s="59"/>
      <c r="E327" s="59"/>
      <c r="F327" s="59"/>
      <c r="G327" s="79"/>
      <c r="H327" s="59"/>
    </row>
    <row r="328" spans="2:8" x14ac:dyDescent="0.2">
      <c r="B328" s="59"/>
      <c r="C328" s="59"/>
      <c r="D328" s="59"/>
      <c r="E328" s="59"/>
      <c r="F328" s="59"/>
      <c r="G328" s="79"/>
      <c r="H328" s="59"/>
    </row>
    <row r="329" spans="2:8" x14ac:dyDescent="0.2">
      <c r="B329" s="59"/>
      <c r="C329" s="59"/>
      <c r="D329" s="59"/>
      <c r="E329" s="59"/>
      <c r="F329" s="59"/>
      <c r="G329" s="79"/>
      <c r="H329" s="59"/>
    </row>
    <row r="330" spans="2:8" x14ac:dyDescent="0.2">
      <c r="B330" s="59"/>
      <c r="C330" s="59"/>
      <c r="D330" s="59"/>
      <c r="E330" s="59"/>
      <c r="F330" s="59"/>
      <c r="G330" s="79"/>
      <c r="H330" s="59"/>
    </row>
    <row r="331" spans="2:8" x14ac:dyDescent="0.2">
      <c r="B331" s="59"/>
      <c r="C331" s="59"/>
      <c r="D331" s="59"/>
      <c r="E331" s="59"/>
      <c r="F331" s="59"/>
      <c r="G331" s="79"/>
      <c r="H331" s="59"/>
    </row>
    <row r="332" spans="2:8" x14ac:dyDescent="0.2">
      <c r="B332" s="59"/>
      <c r="C332" s="59"/>
      <c r="D332" s="59"/>
      <c r="E332" s="59"/>
      <c r="F332" s="59"/>
      <c r="G332" s="79"/>
      <c r="H332" s="59"/>
    </row>
    <row r="333" spans="2:8" x14ac:dyDescent="0.2">
      <c r="B333" s="59"/>
      <c r="C333" s="59"/>
      <c r="D333" s="59"/>
      <c r="E333" s="59"/>
      <c r="F333" s="59"/>
      <c r="G333" s="79"/>
      <c r="H333" s="59"/>
    </row>
    <row r="334" spans="2:8" x14ac:dyDescent="0.2">
      <c r="B334" s="59"/>
      <c r="C334" s="59"/>
      <c r="D334" s="59"/>
      <c r="E334" s="59"/>
      <c r="F334" s="59"/>
      <c r="G334" s="79"/>
      <c r="H334" s="59"/>
    </row>
    <row r="335" spans="2:8" x14ac:dyDescent="0.2">
      <c r="B335" s="59"/>
      <c r="C335" s="59"/>
      <c r="D335" s="59"/>
      <c r="E335" s="59"/>
      <c r="F335" s="59"/>
      <c r="G335" s="79"/>
      <c r="H335" s="59"/>
    </row>
    <row r="336" spans="2:8" x14ac:dyDescent="0.2">
      <c r="B336" s="59"/>
      <c r="C336" s="59"/>
      <c r="D336" s="59"/>
      <c r="E336" s="59"/>
      <c r="F336" s="59"/>
      <c r="G336" s="79"/>
      <c r="H336" s="59"/>
    </row>
    <row r="337" spans="2:8" x14ac:dyDescent="0.2">
      <c r="B337" s="59"/>
      <c r="C337" s="59"/>
      <c r="D337" s="59"/>
      <c r="E337" s="59"/>
      <c r="F337" s="59"/>
      <c r="G337" s="79"/>
      <c r="H337" s="59"/>
    </row>
    <row r="338" spans="2:8" x14ac:dyDescent="0.2">
      <c r="B338" s="59"/>
      <c r="C338" s="59"/>
      <c r="D338" s="59"/>
      <c r="E338" s="59"/>
      <c r="F338" s="59"/>
      <c r="G338" s="79"/>
      <c r="H338" s="59"/>
    </row>
    <row r="339" spans="2:8" x14ac:dyDescent="0.2">
      <c r="B339" s="59"/>
      <c r="C339" s="59"/>
      <c r="D339" s="59"/>
      <c r="E339" s="59"/>
      <c r="F339" s="59"/>
      <c r="G339" s="79"/>
      <c r="H339" s="59"/>
    </row>
    <row r="340" spans="2:8" x14ac:dyDescent="0.2">
      <c r="B340" s="59"/>
      <c r="C340" s="59"/>
      <c r="D340" s="59"/>
      <c r="E340" s="59"/>
      <c r="F340" s="59"/>
      <c r="G340" s="79"/>
      <c r="H340" s="59"/>
    </row>
    <row r="341" spans="2:8" x14ac:dyDescent="0.2">
      <c r="B341" s="59"/>
      <c r="C341" s="59"/>
      <c r="D341" s="59"/>
      <c r="E341" s="59"/>
      <c r="F341" s="59"/>
      <c r="G341" s="79"/>
      <c r="H341" s="59"/>
    </row>
    <row r="342" spans="2:8" x14ac:dyDescent="0.2">
      <c r="B342" s="59"/>
      <c r="C342" s="59"/>
      <c r="D342" s="59"/>
      <c r="E342" s="59"/>
      <c r="F342" s="59"/>
      <c r="G342" s="79"/>
      <c r="H342" s="59"/>
    </row>
    <row r="343" spans="2:8" x14ac:dyDescent="0.2">
      <c r="B343" s="59"/>
      <c r="C343" s="59"/>
      <c r="D343" s="59"/>
      <c r="E343" s="59"/>
      <c r="F343" s="59"/>
      <c r="G343" s="79"/>
      <c r="H343" s="59"/>
    </row>
    <row r="344" spans="2:8" x14ac:dyDescent="0.2">
      <c r="B344" s="59"/>
      <c r="C344" s="59"/>
      <c r="D344" s="59"/>
      <c r="E344" s="59"/>
      <c r="F344" s="59"/>
      <c r="G344" s="79"/>
      <c r="H344" s="59"/>
    </row>
    <row r="345" spans="2:8" x14ac:dyDescent="0.2">
      <c r="B345" s="59"/>
      <c r="C345" s="59"/>
      <c r="D345" s="59"/>
      <c r="E345" s="59"/>
      <c r="F345" s="59"/>
      <c r="G345" s="79"/>
      <c r="H345" s="59"/>
    </row>
    <row r="346" spans="2:8" x14ac:dyDescent="0.2">
      <c r="B346" s="59"/>
      <c r="C346" s="59"/>
      <c r="D346" s="59"/>
      <c r="E346" s="59"/>
      <c r="F346" s="59"/>
      <c r="G346" s="79"/>
      <c r="H346" s="59"/>
    </row>
    <row r="347" spans="2:8" x14ac:dyDescent="0.2">
      <c r="B347" s="59"/>
      <c r="C347" s="59"/>
      <c r="D347" s="59"/>
      <c r="E347" s="59"/>
      <c r="F347" s="59"/>
      <c r="G347" s="79"/>
      <c r="H347" s="59"/>
    </row>
    <row r="348" spans="2:8" x14ac:dyDescent="0.2">
      <c r="B348" s="59"/>
      <c r="C348" s="59"/>
      <c r="D348" s="59"/>
      <c r="E348" s="59"/>
      <c r="F348" s="59"/>
      <c r="G348" s="79"/>
      <c r="H348" s="59"/>
    </row>
    <row r="349" spans="2:8" x14ac:dyDescent="0.2">
      <c r="B349" s="59"/>
      <c r="C349" s="59"/>
      <c r="D349" s="59"/>
      <c r="E349" s="59"/>
      <c r="F349" s="59"/>
      <c r="G349" s="79"/>
      <c r="H349" s="59"/>
    </row>
    <row r="350" spans="2:8" x14ac:dyDescent="0.2">
      <c r="B350" s="59"/>
      <c r="C350" s="59"/>
      <c r="D350" s="59"/>
      <c r="E350" s="59"/>
      <c r="F350" s="59"/>
      <c r="G350" s="79"/>
      <c r="H350" s="59"/>
    </row>
    <row r="351" spans="2:8" x14ac:dyDescent="0.2">
      <c r="B351" s="59"/>
      <c r="C351" s="59"/>
      <c r="D351" s="59"/>
      <c r="E351" s="59"/>
      <c r="F351" s="59"/>
      <c r="G351" s="79"/>
      <c r="H351" s="59"/>
    </row>
    <row r="352" spans="2:8" x14ac:dyDescent="0.2">
      <c r="B352" s="59"/>
      <c r="C352" s="59"/>
      <c r="D352" s="59"/>
      <c r="E352" s="59"/>
      <c r="F352" s="59"/>
      <c r="G352" s="79"/>
      <c r="H352" s="59"/>
    </row>
    <row r="353" spans="2:8" x14ac:dyDescent="0.2">
      <c r="B353" s="59"/>
      <c r="C353" s="59"/>
      <c r="D353" s="59"/>
      <c r="E353" s="59"/>
      <c r="F353" s="59"/>
      <c r="G353" s="79"/>
      <c r="H353" s="59"/>
    </row>
    <row r="354" spans="2:8" x14ac:dyDescent="0.2">
      <c r="B354" s="59"/>
      <c r="C354" s="59"/>
      <c r="D354" s="59"/>
      <c r="E354" s="59"/>
      <c r="F354" s="59"/>
      <c r="G354" s="79"/>
      <c r="H354" s="59"/>
    </row>
    <row r="355" spans="2:8" x14ac:dyDescent="0.2">
      <c r="B355" s="59"/>
      <c r="C355" s="59"/>
      <c r="D355" s="59"/>
      <c r="E355" s="59"/>
      <c r="F355" s="59"/>
      <c r="G355" s="79"/>
      <c r="H355" s="59"/>
    </row>
    <row r="356" spans="2:8" x14ac:dyDescent="0.2">
      <c r="B356" s="59"/>
      <c r="C356" s="59"/>
      <c r="D356" s="59"/>
      <c r="E356" s="59"/>
      <c r="F356" s="59"/>
      <c r="G356" s="79"/>
      <c r="H356" s="59"/>
    </row>
    <row r="357" spans="2:8" x14ac:dyDescent="0.2">
      <c r="B357" s="59"/>
      <c r="C357" s="59"/>
      <c r="D357" s="59"/>
      <c r="E357" s="59"/>
      <c r="F357" s="59"/>
      <c r="G357" s="79"/>
      <c r="H357" s="59"/>
    </row>
    <row r="358" spans="2:8" x14ac:dyDescent="0.2">
      <c r="B358" s="59"/>
      <c r="C358" s="59"/>
      <c r="D358" s="59"/>
      <c r="E358" s="59"/>
      <c r="F358" s="59"/>
      <c r="G358" s="79"/>
      <c r="H358" s="59"/>
    </row>
    <row r="359" spans="2:8" x14ac:dyDescent="0.2">
      <c r="B359" s="59"/>
      <c r="C359" s="59"/>
      <c r="D359" s="59"/>
      <c r="E359" s="59"/>
      <c r="F359" s="59"/>
      <c r="G359" s="79"/>
      <c r="H359" s="59"/>
    </row>
    <row r="360" spans="2:8" x14ac:dyDescent="0.2">
      <c r="B360" s="59"/>
      <c r="C360" s="59"/>
      <c r="D360" s="59"/>
      <c r="E360" s="59"/>
      <c r="F360" s="59"/>
      <c r="G360" s="79"/>
      <c r="H360" s="59"/>
    </row>
    <row r="361" spans="2:8" x14ac:dyDescent="0.2">
      <c r="B361" s="59"/>
      <c r="C361" s="59"/>
      <c r="D361" s="59"/>
      <c r="E361" s="59"/>
      <c r="F361" s="59"/>
      <c r="G361" s="79"/>
      <c r="H361" s="59"/>
    </row>
    <row r="362" spans="2:8" x14ac:dyDescent="0.2">
      <c r="B362" s="59"/>
      <c r="C362" s="59"/>
      <c r="D362" s="59"/>
      <c r="E362" s="59"/>
      <c r="F362" s="59"/>
      <c r="G362" s="79"/>
      <c r="H362" s="59"/>
    </row>
    <row r="363" spans="2:8" x14ac:dyDescent="0.2">
      <c r="B363" s="59"/>
      <c r="C363" s="59"/>
      <c r="D363" s="59"/>
      <c r="E363" s="59"/>
      <c r="F363" s="59"/>
      <c r="G363" s="79"/>
      <c r="H363" s="59"/>
    </row>
    <row r="364" spans="2:8" x14ac:dyDescent="0.2">
      <c r="B364" s="59"/>
      <c r="C364" s="59"/>
      <c r="D364" s="59"/>
      <c r="E364" s="59"/>
      <c r="F364" s="59"/>
      <c r="G364" s="79"/>
      <c r="H364" s="59"/>
    </row>
    <row r="365" spans="2:8" x14ac:dyDescent="0.2">
      <c r="B365" s="59"/>
      <c r="C365" s="59"/>
      <c r="D365" s="59"/>
      <c r="E365" s="59"/>
      <c r="F365" s="59"/>
      <c r="G365" s="79"/>
      <c r="H365" s="59"/>
    </row>
    <row r="366" spans="2:8" x14ac:dyDescent="0.2">
      <c r="B366" s="59"/>
      <c r="C366" s="59"/>
      <c r="D366" s="59"/>
      <c r="E366" s="59"/>
      <c r="F366" s="59"/>
      <c r="G366" s="79"/>
      <c r="H366" s="59"/>
    </row>
    <row r="367" spans="2:8" x14ac:dyDescent="0.2">
      <c r="B367" s="59"/>
      <c r="C367" s="59"/>
      <c r="D367" s="59"/>
      <c r="E367" s="59"/>
      <c r="F367" s="59"/>
      <c r="G367" s="79"/>
      <c r="H367" s="59"/>
    </row>
    <row r="368" spans="2:8" x14ac:dyDescent="0.2">
      <c r="B368" s="59"/>
      <c r="C368" s="59"/>
      <c r="D368" s="59"/>
      <c r="E368" s="59"/>
      <c r="F368" s="59"/>
      <c r="G368" s="79"/>
      <c r="H368" s="59"/>
    </row>
    <row r="369" spans="2:8" x14ac:dyDescent="0.2">
      <c r="B369" s="59"/>
      <c r="C369" s="59"/>
      <c r="D369" s="59"/>
      <c r="E369" s="59"/>
      <c r="F369" s="59"/>
      <c r="G369" s="79"/>
      <c r="H369" s="59"/>
    </row>
    <row r="370" spans="2:8" x14ac:dyDescent="0.2">
      <c r="B370" s="59"/>
      <c r="C370" s="59"/>
      <c r="D370" s="59"/>
      <c r="E370" s="59"/>
      <c r="F370" s="59"/>
      <c r="G370" s="79"/>
      <c r="H370" s="59"/>
    </row>
    <row r="371" spans="2:8" x14ac:dyDescent="0.2">
      <c r="B371" s="59"/>
      <c r="C371" s="59"/>
      <c r="D371" s="59"/>
      <c r="E371" s="59"/>
      <c r="F371" s="59"/>
      <c r="G371" s="79"/>
      <c r="H371" s="59"/>
    </row>
    <row r="372" spans="2:8" x14ac:dyDescent="0.2">
      <c r="B372" s="59"/>
      <c r="C372" s="59"/>
      <c r="D372" s="59"/>
      <c r="E372" s="59"/>
      <c r="F372" s="59"/>
      <c r="G372" s="79"/>
      <c r="H372" s="59"/>
    </row>
    <row r="373" spans="2:8" x14ac:dyDescent="0.2">
      <c r="B373" s="59"/>
      <c r="C373" s="59"/>
      <c r="D373" s="59"/>
      <c r="E373" s="59"/>
      <c r="F373" s="59"/>
      <c r="G373" s="79"/>
      <c r="H373" s="59"/>
    </row>
    <row r="374" spans="2:8" x14ac:dyDescent="0.2">
      <c r="B374" s="59"/>
      <c r="C374" s="59"/>
      <c r="D374" s="59"/>
      <c r="E374" s="59"/>
      <c r="F374" s="59"/>
      <c r="G374" s="79"/>
      <c r="H374" s="59"/>
    </row>
    <row r="375" spans="2:8" x14ac:dyDescent="0.2">
      <c r="B375" s="59"/>
      <c r="C375" s="59"/>
      <c r="D375" s="59"/>
      <c r="E375" s="59"/>
      <c r="F375" s="59"/>
      <c r="G375" s="79"/>
      <c r="H375" s="59"/>
    </row>
    <row r="376" spans="2:8" x14ac:dyDescent="0.2">
      <c r="B376" s="59"/>
      <c r="C376" s="59"/>
      <c r="D376" s="59"/>
      <c r="E376" s="59"/>
      <c r="F376" s="59"/>
      <c r="G376" s="79"/>
      <c r="H376" s="59"/>
    </row>
    <row r="377" spans="2:8" x14ac:dyDescent="0.2">
      <c r="B377" s="59"/>
      <c r="C377" s="59"/>
      <c r="D377" s="59"/>
      <c r="E377" s="59"/>
      <c r="F377" s="59"/>
      <c r="G377" s="79"/>
      <c r="H377" s="59"/>
    </row>
    <row r="378" spans="2:8" x14ac:dyDescent="0.2">
      <c r="B378" s="59"/>
      <c r="C378" s="59"/>
      <c r="D378" s="59"/>
      <c r="E378" s="59"/>
      <c r="F378" s="59"/>
      <c r="G378" s="79"/>
      <c r="H378" s="59"/>
    </row>
    <row r="379" spans="2:8" x14ac:dyDescent="0.2">
      <c r="B379" s="59"/>
      <c r="C379" s="59"/>
      <c r="D379" s="59"/>
      <c r="E379" s="59"/>
      <c r="F379" s="59"/>
      <c r="G379" s="79"/>
      <c r="H379" s="59"/>
    </row>
    <row r="380" spans="2:8" x14ac:dyDescent="0.2">
      <c r="B380" s="59"/>
      <c r="C380" s="59"/>
      <c r="D380" s="59"/>
      <c r="E380" s="59"/>
      <c r="F380" s="59"/>
      <c r="G380" s="79"/>
      <c r="H380" s="59"/>
    </row>
    <row r="381" spans="2:8" x14ac:dyDescent="0.2">
      <c r="B381" s="59"/>
      <c r="C381" s="59"/>
      <c r="D381" s="59"/>
      <c r="E381" s="59"/>
      <c r="F381" s="59"/>
      <c r="G381" s="79"/>
      <c r="H381" s="59"/>
    </row>
    <row r="382" spans="2:8" x14ac:dyDescent="0.2">
      <c r="B382" s="59"/>
      <c r="C382" s="59"/>
      <c r="D382" s="59"/>
      <c r="E382" s="59"/>
      <c r="F382" s="59"/>
      <c r="G382" s="79"/>
      <c r="H382" s="59"/>
    </row>
    <row r="383" spans="2:8" x14ac:dyDescent="0.2">
      <c r="B383" s="59"/>
      <c r="C383" s="59"/>
      <c r="D383" s="59"/>
      <c r="E383" s="59"/>
      <c r="F383" s="59"/>
      <c r="G383" s="79"/>
      <c r="H383" s="59"/>
    </row>
    <row r="384" spans="2:8" x14ac:dyDescent="0.2">
      <c r="B384" s="59"/>
      <c r="C384" s="59"/>
      <c r="D384" s="59"/>
      <c r="E384" s="59"/>
      <c r="F384" s="59"/>
      <c r="G384" s="79"/>
      <c r="H384" s="59"/>
    </row>
    <row r="385" spans="2:8" x14ac:dyDescent="0.2">
      <c r="B385" s="59"/>
      <c r="C385" s="59"/>
      <c r="D385" s="59"/>
      <c r="E385" s="59"/>
      <c r="F385" s="59"/>
      <c r="G385" s="79"/>
      <c r="H385" s="59"/>
    </row>
    <row r="386" spans="2:8" x14ac:dyDescent="0.2">
      <c r="B386" s="59"/>
      <c r="C386" s="59"/>
      <c r="D386" s="59"/>
      <c r="E386" s="59"/>
      <c r="F386" s="59"/>
      <c r="G386" s="79"/>
      <c r="H386" s="59"/>
    </row>
    <row r="387" spans="2:8" x14ac:dyDescent="0.2">
      <c r="B387" s="59"/>
      <c r="C387" s="59"/>
      <c r="D387" s="59"/>
      <c r="E387" s="59"/>
      <c r="F387" s="59"/>
      <c r="G387" s="79"/>
      <c r="H387" s="59"/>
    </row>
    <row r="388" spans="2:8" x14ac:dyDescent="0.2">
      <c r="B388" s="59"/>
      <c r="C388" s="59"/>
      <c r="D388" s="59"/>
      <c r="E388" s="59"/>
      <c r="F388" s="59"/>
      <c r="G388" s="79"/>
      <c r="H388" s="59"/>
    </row>
    <row r="389" spans="2:8" x14ac:dyDescent="0.2">
      <c r="B389" s="59"/>
      <c r="C389" s="59"/>
      <c r="D389" s="59"/>
      <c r="E389" s="59"/>
      <c r="F389" s="59"/>
      <c r="G389" s="79"/>
      <c r="H389" s="59"/>
    </row>
    <row r="390" spans="2:8" x14ac:dyDescent="0.2">
      <c r="B390" s="59"/>
      <c r="C390" s="59"/>
      <c r="D390" s="59"/>
      <c r="E390" s="59"/>
      <c r="F390" s="59"/>
      <c r="G390" s="79"/>
      <c r="H390" s="59"/>
    </row>
    <row r="391" spans="2:8" x14ac:dyDescent="0.2">
      <c r="B391" s="59"/>
      <c r="C391" s="59"/>
      <c r="D391" s="59"/>
      <c r="E391" s="59"/>
      <c r="F391" s="59"/>
      <c r="G391" s="79"/>
      <c r="H391" s="59"/>
    </row>
    <row r="392" spans="2:8" x14ac:dyDescent="0.2">
      <c r="B392" s="59"/>
      <c r="C392" s="59"/>
      <c r="D392" s="59"/>
      <c r="E392" s="59"/>
      <c r="F392" s="59"/>
      <c r="G392" s="79"/>
      <c r="H392" s="59"/>
    </row>
    <row r="393" spans="2:8" x14ac:dyDescent="0.2">
      <c r="B393" s="59"/>
      <c r="C393" s="59"/>
      <c r="D393" s="59"/>
      <c r="E393" s="59"/>
      <c r="F393" s="59"/>
      <c r="G393" s="79"/>
      <c r="H393" s="59"/>
    </row>
    <row r="394" spans="2:8" x14ac:dyDescent="0.2">
      <c r="B394" s="59"/>
      <c r="C394" s="59"/>
      <c r="D394" s="59"/>
      <c r="E394" s="59"/>
      <c r="F394" s="59"/>
      <c r="G394" s="79"/>
      <c r="H394" s="59"/>
    </row>
    <row r="395" spans="2:8" x14ac:dyDescent="0.2">
      <c r="B395" s="59"/>
      <c r="C395" s="59"/>
      <c r="D395" s="59"/>
      <c r="E395" s="59"/>
      <c r="F395" s="59"/>
      <c r="G395" s="79"/>
      <c r="H395" s="59"/>
    </row>
    <row r="396" spans="2:8" x14ac:dyDescent="0.2">
      <c r="B396" s="59"/>
      <c r="C396" s="59"/>
      <c r="D396" s="59"/>
      <c r="E396" s="59"/>
      <c r="F396" s="59"/>
      <c r="G396" s="79"/>
      <c r="H396" s="59"/>
    </row>
    <row r="397" spans="2:8" x14ac:dyDescent="0.2">
      <c r="B397" s="59"/>
      <c r="C397" s="59"/>
      <c r="D397" s="59"/>
      <c r="E397" s="59"/>
      <c r="F397" s="59"/>
      <c r="G397" s="79"/>
      <c r="H397" s="59"/>
    </row>
    <row r="398" spans="2:8" x14ac:dyDescent="0.2">
      <c r="B398" s="59"/>
      <c r="C398" s="59"/>
      <c r="D398" s="59"/>
      <c r="E398" s="59"/>
      <c r="F398" s="59"/>
      <c r="G398" s="79"/>
      <c r="H398" s="59"/>
    </row>
    <row r="399" spans="2:8" x14ac:dyDescent="0.2">
      <c r="B399" s="59"/>
      <c r="C399" s="59"/>
      <c r="D399" s="59"/>
      <c r="E399" s="59"/>
      <c r="F399" s="59"/>
      <c r="G399" s="79"/>
      <c r="H399" s="59"/>
    </row>
    <row r="400" spans="2:8" x14ac:dyDescent="0.2">
      <c r="B400" s="59"/>
      <c r="C400" s="59"/>
      <c r="D400" s="59"/>
      <c r="E400" s="59"/>
      <c r="F400" s="59"/>
      <c r="G400" s="79"/>
      <c r="H400" s="59"/>
    </row>
    <row r="401" spans="2:8" x14ac:dyDescent="0.2">
      <c r="B401" s="59"/>
      <c r="C401" s="59"/>
      <c r="D401" s="59"/>
      <c r="E401" s="59"/>
      <c r="F401" s="59"/>
      <c r="G401" s="79"/>
      <c r="H401" s="59"/>
    </row>
    <row r="402" spans="2:8" x14ac:dyDescent="0.2">
      <c r="B402" s="59"/>
      <c r="C402" s="59"/>
      <c r="D402" s="59"/>
      <c r="E402" s="59"/>
      <c r="F402" s="59"/>
      <c r="G402" s="79"/>
      <c r="H402" s="59"/>
    </row>
    <row r="403" spans="2:8" x14ac:dyDescent="0.2">
      <c r="B403" s="59"/>
      <c r="C403" s="59"/>
      <c r="D403" s="59"/>
      <c r="E403" s="59"/>
      <c r="F403" s="59"/>
      <c r="G403" s="79"/>
      <c r="H403" s="59"/>
    </row>
    <row r="404" spans="2:8" x14ac:dyDescent="0.2">
      <c r="B404" s="59"/>
      <c r="C404" s="59"/>
      <c r="D404" s="59"/>
      <c r="E404" s="59"/>
      <c r="F404" s="59"/>
      <c r="G404" s="79"/>
      <c r="H404" s="59"/>
    </row>
    <row r="405" spans="2:8" x14ac:dyDescent="0.2">
      <c r="B405" s="59"/>
      <c r="C405" s="59"/>
      <c r="D405" s="59"/>
      <c r="E405" s="59"/>
      <c r="F405" s="59"/>
      <c r="G405" s="79"/>
      <c r="H405" s="59"/>
    </row>
    <row r="406" spans="2:8" x14ac:dyDescent="0.2">
      <c r="B406" s="59"/>
      <c r="C406" s="59"/>
      <c r="D406" s="59"/>
      <c r="E406" s="59"/>
      <c r="F406" s="59"/>
      <c r="G406" s="79"/>
      <c r="H406" s="59"/>
    </row>
    <row r="407" spans="2:8" x14ac:dyDescent="0.2">
      <c r="B407" s="59"/>
      <c r="C407" s="59"/>
      <c r="D407" s="59"/>
      <c r="E407" s="59"/>
      <c r="F407" s="59"/>
      <c r="G407" s="79"/>
      <c r="H407" s="59"/>
    </row>
    <row r="408" spans="2:8" x14ac:dyDescent="0.2">
      <c r="B408" s="59"/>
      <c r="C408" s="59"/>
      <c r="D408" s="59"/>
      <c r="E408" s="59"/>
      <c r="F408" s="59"/>
      <c r="G408" s="79"/>
      <c r="H408" s="59"/>
    </row>
    <row r="409" spans="2:8" x14ac:dyDescent="0.2">
      <c r="B409" s="59"/>
      <c r="C409" s="59"/>
      <c r="D409" s="59"/>
      <c r="E409" s="59"/>
      <c r="F409" s="59"/>
      <c r="G409" s="79"/>
      <c r="H409" s="59"/>
    </row>
    <row r="410" spans="2:8" x14ac:dyDescent="0.2">
      <c r="B410" s="59"/>
      <c r="C410" s="59"/>
      <c r="D410" s="59"/>
      <c r="E410" s="59"/>
      <c r="F410" s="59"/>
      <c r="G410" s="79"/>
      <c r="H410" s="59"/>
    </row>
    <row r="411" spans="2:8" x14ac:dyDescent="0.2">
      <c r="B411" s="59"/>
      <c r="C411" s="59"/>
      <c r="D411" s="59"/>
      <c r="E411" s="59"/>
      <c r="F411" s="59"/>
      <c r="G411" s="79"/>
      <c r="H411" s="59"/>
    </row>
    <row r="412" spans="2:8" x14ac:dyDescent="0.2">
      <c r="B412" s="59"/>
      <c r="C412" s="59"/>
      <c r="D412" s="59"/>
      <c r="E412" s="59"/>
      <c r="F412" s="59"/>
      <c r="G412" s="79"/>
      <c r="H412" s="59"/>
    </row>
    <row r="413" spans="2:8" x14ac:dyDescent="0.2">
      <c r="B413" s="59"/>
      <c r="C413" s="59"/>
      <c r="D413" s="59"/>
      <c r="E413" s="59"/>
      <c r="F413" s="59"/>
      <c r="G413" s="79"/>
      <c r="H413" s="59"/>
    </row>
    <row r="414" spans="2:8" x14ac:dyDescent="0.2">
      <c r="B414" s="59"/>
      <c r="C414" s="59"/>
      <c r="D414" s="59"/>
      <c r="E414" s="59"/>
      <c r="F414" s="59"/>
      <c r="G414" s="79"/>
      <c r="H414" s="59"/>
    </row>
    <row r="415" spans="2:8" x14ac:dyDescent="0.2">
      <c r="B415" s="59"/>
      <c r="C415" s="59"/>
      <c r="D415" s="59"/>
      <c r="E415" s="59"/>
      <c r="F415" s="59"/>
      <c r="G415" s="79"/>
      <c r="H415" s="59"/>
    </row>
    <row r="416" spans="2:8" x14ac:dyDescent="0.2">
      <c r="B416" s="59"/>
      <c r="C416" s="59"/>
      <c r="D416" s="59"/>
      <c r="E416" s="59"/>
      <c r="F416" s="59"/>
      <c r="G416" s="79"/>
      <c r="H416" s="59"/>
    </row>
    <row r="417" spans="2:8" x14ac:dyDescent="0.2">
      <c r="B417" s="59"/>
      <c r="C417" s="59"/>
      <c r="D417" s="59"/>
      <c r="E417" s="59"/>
      <c r="F417" s="59"/>
      <c r="G417" s="79"/>
      <c r="H417" s="59"/>
    </row>
    <row r="418" spans="2:8" x14ac:dyDescent="0.2">
      <c r="B418" s="59"/>
      <c r="C418" s="59"/>
      <c r="D418" s="59"/>
      <c r="E418" s="59"/>
      <c r="F418" s="59"/>
      <c r="G418" s="79"/>
      <c r="H418" s="59"/>
    </row>
    <row r="419" spans="2:8" x14ac:dyDescent="0.2">
      <c r="B419" s="59"/>
      <c r="C419" s="59"/>
      <c r="D419" s="59"/>
      <c r="E419" s="59"/>
      <c r="F419" s="59"/>
      <c r="G419" s="79"/>
      <c r="H419" s="59"/>
    </row>
    <row r="420" spans="2:8" x14ac:dyDescent="0.2">
      <c r="B420" s="59"/>
      <c r="C420" s="59"/>
      <c r="D420" s="59"/>
      <c r="E420" s="59"/>
      <c r="F420" s="59"/>
      <c r="G420" s="79"/>
      <c r="H420" s="59"/>
    </row>
    <row r="421" spans="2:8" x14ac:dyDescent="0.2">
      <c r="B421" s="59"/>
      <c r="C421" s="59"/>
      <c r="D421" s="59"/>
      <c r="E421" s="59"/>
      <c r="F421" s="59"/>
      <c r="G421" s="79"/>
      <c r="H421" s="59"/>
    </row>
    <row r="422" spans="2:8" x14ac:dyDescent="0.2">
      <c r="B422" s="59"/>
      <c r="C422" s="59"/>
      <c r="D422" s="59"/>
      <c r="E422" s="59"/>
      <c r="F422" s="59"/>
      <c r="G422" s="79"/>
      <c r="H422" s="59"/>
    </row>
    <row r="423" spans="2:8" x14ac:dyDescent="0.2">
      <c r="B423" s="59"/>
      <c r="C423" s="59"/>
      <c r="D423" s="59"/>
      <c r="E423" s="59"/>
      <c r="F423" s="59"/>
      <c r="G423" s="79"/>
      <c r="H423" s="59"/>
    </row>
    <row r="424" spans="2:8" x14ac:dyDescent="0.2">
      <c r="B424" s="59"/>
      <c r="C424" s="59"/>
      <c r="D424" s="59"/>
      <c r="E424" s="59"/>
      <c r="F424" s="59"/>
      <c r="G424" s="79"/>
      <c r="H424" s="59"/>
    </row>
    <row r="425" spans="2:8" x14ac:dyDescent="0.2">
      <c r="B425" s="59"/>
      <c r="C425" s="59"/>
      <c r="D425" s="59"/>
      <c r="E425" s="59"/>
      <c r="F425" s="59"/>
      <c r="G425" s="79"/>
      <c r="H425" s="59"/>
    </row>
    <row r="426" spans="2:8" x14ac:dyDescent="0.2">
      <c r="B426" s="59"/>
      <c r="C426" s="59"/>
      <c r="D426" s="59"/>
      <c r="E426" s="59"/>
      <c r="F426" s="59"/>
      <c r="G426" s="79"/>
      <c r="H426" s="59"/>
    </row>
    <row r="427" spans="2:8" x14ac:dyDescent="0.2">
      <c r="B427" s="59"/>
      <c r="C427" s="59"/>
      <c r="D427" s="59"/>
      <c r="E427" s="59"/>
      <c r="F427" s="59"/>
      <c r="G427" s="79"/>
      <c r="H427" s="59"/>
    </row>
    <row r="428" spans="2:8" x14ac:dyDescent="0.2">
      <c r="B428" s="59"/>
      <c r="C428" s="59"/>
      <c r="D428" s="59"/>
      <c r="E428" s="59"/>
      <c r="F428" s="59"/>
      <c r="G428" s="79"/>
      <c r="H428" s="59"/>
    </row>
    <row r="429" spans="2:8" x14ac:dyDescent="0.2">
      <c r="B429" s="59"/>
      <c r="C429" s="59"/>
      <c r="D429" s="59"/>
      <c r="E429" s="59"/>
      <c r="F429" s="59"/>
      <c r="G429" s="79"/>
      <c r="H429" s="59"/>
    </row>
    <row r="430" spans="2:8" x14ac:dyDescent="0.2">
      <c r="B430" s="59"/>
      <c r="C430" s="59"/>
      <c r="D430" s="59"/>
      <c r="E430" s="59"/>
      <c r="F430" s="59"/>
      <c r="G430" s="79"/>
      <c r="H430" s="59"/>
    </row>
    <row r="431" spans="2:8" x14ac:dyDescent="0.2">
      <c r="B431" s="59"/>
      <c r="C431" s="59"/>
      <c r="D431" s="59"/>
      <c r="E431" s="59"/>
      <c r="F431" s="59"/>
      <c r="G431" s="79"/>
      <c r="H431" s="59"/>
    </row>
    <row r="432" spans="2:8" x14ac:dyDescent="0.2">
      <c r="B432" s="59"/>
      <c r="C432" s="59"/>
      <c r="D432" s="59"/>
      <c r="E432" s="59"/>
      <c r="F432" s="59"/>
      <c r="G432" s="79"/>
      <c r="H432" s="59"/>
    </row>
    <row r="433" spans="2:8" x14ac:dyDescent="0.2">
      <c r="B433" s="59"/>
      <c r="C433" s="59"/>
      <c r="D433" s="59"/>
      <c r="E433" s="59"/>
      <c r="F433" s="59"/>
      <c r="G433" s="79"/>
      <c r="H433" s="59"/>
    </row>
    <row r="434" spans="2:8" x14ac:dyDescent="0.2">
      <c r="B434" s="59"/>
      <c r="C434" s="59"/>
      <c r="D434" s="59"/>
      <c r="E434" s="59"/>
      <c r="F434" s="59"/>
      <c r="G434" s="79"/>
      <c r="H434" s="59"/>
    </row>
    <row r="435" spans="2:8" x14ac:dyDescent="0.2">
      <c r="B435" s="59"/>
      <c r="C435" s="59"/>
      <c r="D435" s="59"/>
      <c r="E435" s="59"/>
      <c r="F435" s="59"/>
      <c r="G435" s="79"/>
      <c r="H435" s="59"/>
    </row>
    <row r="436" spans="2:8" x14ac:dyDescent="0.2">
      <c r="B436" s="59"/>
      <c r="C436" s="59"/>
      <c r="D436" s="59"/>
      <c r="E436" s="59"/>
      <c r="F436" s="59"/>
      <c r="G436" s="79"/>
      <c r="H436" s="59"/>
    </row>
    <row r="437" spans="2:8" x14ac:dyDescent="0.2">
      <c r="B437" s="59"/>
      <c r="C437" s="59"/>
      <c r="D437" s="59"/>
      <c r="E437" s="59"/>
      <c r="F437" s="59"/>
      <c r="G437" s="79"/>
      <c r="H437" s="59"/>
    </row>
    <row r="438" spans="2:8" x14ac:dyDescent="0.2">
      <c r="B438" s="59"/>
      <c r="C438" s="59"/>
      <c r="D438" s="59"/>
      <c r="E438" s="59"/>
      <c r="F438" s="59"/>
      <c r="G438" s="79"/>
      <c r="H438" s="59"/>
    </row>
    <row r="439" spans="2:8" x14ac:dyDescent="0.2">
      <c r="B439" s="59"/>
      <c r="C439" s="59"/>
      <c r="D439" s="59"/>
      <c r="E439" s="59"/>
      <c r="F439" s="59"/>
      <c r="G439" s="79"/>
      <c r="H439" s="59"/>
    </row>
    <row r="440" spans="2:8" x14ac:dyDescent="0.2">
      <c r="B440" s="59"/>
      <c r="C440" s="59"/>
      <c r="D440" s="59"/>
      <c r="E440" s="59"/>
      <c r="F440" s="59"/>
      <c r="G440" s="79"/>
      <c r="H440" s="59"/>
    </row>
    <row r="441" spans="2:8" x14ac:dyDescent="0.2">
      <c r="B441" s="59"/>
      <c r="C441" s="59"/>
      <c r="D441" s="59"/>
      <c r="E441" s="59"/>
      <c r="F441" s="59"/>
      <c r="G441" s="79"/>
      <c r="H441" s="59"/>
    </row>
    <row r="442" spans="2:8" x14ac:dyDescent="0.2">
      <c r="B442" s="59"/>
      <c r="C442" s="59"/>
      <c r="D442" s="59"/>
      <c r="E442" s="59"/>
      <c r="F442" s="59"/>
      <c r="G442" s="79"/>
      <c r="H442" s="59"/>
    </row>
    <row r="443" spans="2:8" x14ac:dyDescent="0.2">
      <c r="B443" s="59"/>
      <c r="C443" s="59"/>
      <c r="D443" s="59"/>
      <c r="E443" s="59"/>
      <c r="F443" s="59"/>
      <c r="G443" s="79"/>
      <c r="H443" s="59"/>
    </row>
    <row r="444" spans="2:8" x14ac:dyDescent="0.2">
      <c r="B444" s="59"/>
      <c r="C444" s="59"/>
      <c r="D444" s="59"/>
      <c r="E444" s="59"/>
      <c r="F444" s="59"/>
      <c r="G444" s="79"/>
      <c r="H444" s="59"/>
    </row>
    <row r="445" spans="2:8" x14ac:dyDescent="0.2">
      <c r="B445" s="59"/>
      <c r="C445" s="59"/>
      <c r="D445" s="59"/>
      <c r="E445" s="59"/>
      <c r="F445" s="59"/>
      <c r="G445" s="79"/>
      <c r="H445" s="59"/>
    </row>
    <row r="446" spans="2:8" x14ac:dyDescent="0.2">
      <c r="B446" s="59"/>
      <c r="C446" s="59"/>
      <c r="D446" s="59"/>
      <c r="E446" s="59"/>
      <c r="F446" s="59"/>
      <c r="G446" s="79"/>
      <c r="H446" s="59"/>
    </row>
    <row r="447" spans="2:8" x14ac:dyDescent="0.2">
      <c r="B447" s="59"/>
      <c r="C447" s="59"/>
      <c r="D447" s="59"/>
      <c r="E447" s="59"/>
      <c r="F447" s="59"/>
      <c r="G447" s="79"/>
      <c r="H447" s="59"/>
    </row>
    <row r="448" spans="2:8" x14ac:dyDescent="0.2">
      <c r="B448" s="59"/>
      <c r="C448" s="59"/>
      <c r="D448" s="59"/>
      <c r="E448" s="59"/>
      <c r="F448" s="59"/>
      <c r="G448" s="79"/>
      <c r="H448" s="59"/>
    </row>
    <row r="449" spans="2:8" x14ac:dyDescent="0.2">
      <c r="B449" s="59"/>
      <c r="C449" s="59"/>
      <c r="D449" s="59"/>
      <c r="E449" s="59"/>
      <c r="F449" s="59"/>
      <c r="G449" s="79"/>
      <c r="H449" s="59"/>
    </row>
    <row r="450" spans="2:8" x14ac:dyDescent="0.2">
      <c r="B450" s="59"/>
      <c r="C450" s="59"/>
      <c r="D450" s="59"/>
      <c r="E450" s="59"/>
      <c r="F450" s="59"/>
      <c r="G450" s="79"/>
      <c r="H450" s="59"/>
    </row>
    <row r="451" spans="2:8" x14ac:dyDescent="0.2">
      <c r="B451" s="59"/>
      <c r="C451" s="59"/>
      <c r="D451" s="59"/>
      <c r="E451" s="59"/>
      <c r="F451" s="59"/>
      <c r="G451" s="79"/>
      <c r="H451" s="59"/>
    </row>
    <row r="452" spans="2:8" x14ac:dyDescent="0.2">
      <c r="B452" s="59"/>
      <c r="C452" s="59"/>
      <c r="D452" s="59"/>
      <c r="E452" s="59"/>
      <c r="F452" s="59"/>
      <c r="G452" s="79"/>
      <c r="H452" s="59"/>
    </row>
    <row r="453" spans="2:8" x14ac:dyDescent="0.2">
      <c r="B453" s="59"/>
      <c r="C453" s="59"/>
      <c r="D453" s="59"/>
      <c r="E453" s="59"/>
      <c r="F453" s="59"/>
      <c r="G453" s="79"/>
      <c r="H453" s="59"/>
    </row>
    <row r="454" spans="2:8" x14ac:dyDescent="0.2">
      <c r="B454" s="59"/>
      <c r="C454" s="59"/>
      <c r="D454" s="59"/>
      <c r="E454" s="59"/>
      <c r="F454" s="59"/>
      <c r="G454" s="79"/>
      <c r="H454" s="59"/>
    </row>
    <row r="455" spans="2:8" x14ac:dyDescent="0.2">
      <c r="B455" s="59"/>
      <c r="C455" s="59"/>
      <c r="D455" s="59"/>
      <c r="E455" s="59"/>
      <c r="F455" s="59"/>
      <c r="G455" s="79"/>
      <c r="H455" s="59"/>
    </row>
    <row r="456" spans="2:8" x14ac:dyDescent="0.2">
      <c r="B456" s="59"/>
      <c r="C456" s="59"/>
      <c r="D456" s="59"/>
      <c r="E456" s="59"/>
      <c r="F456" s="59"/>
      <c r="G456" s="79"/>
      <c r="H456" s="59"/>
    </row>
    <row r="457" spans="2:8" x14ac:dyDescent="0.2">
      <c r="B457" s="59"/>
      <c r="C457" s="59"/>
      <c r="D457" s="59"/>
      <c r="E457" s="59"/>
      <c r="F457" s="59"/>
      <c r="G457" s="79"/>
      <c r="H457" s="59"/>
    </row>
    <row r="458" spans="2:8" x14ac:dyDescent="0.2">
      <c r="B458" s="59"/>
      <c r="C458" s="59"/>
      <c r="D458" s="59"/>
      <c r="E458" s="59"/>
      <c r="F458" s="59"/>
      <c r="G458" s="79"/>
      <c r="H458" s="59"/>
    </row>
    <row r="459" spans="2:8" x14ac:dyDescent="0.2">
      <c r="B459" s="59"/>
      <c r="C459" s="59"/>
      <c r="D459" s="59"/>
      <c r="E459" s="59"/>
      <c r="F459" s="59"/>
      <c r="G459" s="79"/>
      <c r="H459" s="59"/>
    </row>
    <row r="460" spans="2:8" x14ac:dyDescent="0.2">
      <c r="B460" s="59"/>
      <c r="C460" s="59"/>
      <c r="D460" s="59"/>
      <c r="E460" s="59"/>
      <c r="F460" s="59"/>
      <c r="G460" s="79"/>
      <c r="H460" s="59"/>
    </row>
    <row r="461" spans="2:8" x14ac:dyDescent="0.2">
      <c r="B461" s="59"/>
      <c r="C461" s="59"/>
      <c r="D461" s="59"/>
      <c r="E461" s="59"/>
      <c r="F461" s="59"/>
      <c r="G461" s="79"/>
      <c r="H461" s="59"/>
    </row>
    <row r="462" spans="2:8" x14ac:dyDescent="0.2">
      <c r="B462" s="59"/>
      <c r="C462" s="59"/>
      <c r="D462" s="59"/>
      <c r="E462" s="59"/>
      <c r="F462" s="59"/>
      <c r="G462" s="79"/>
      <c r="H462" s="59"/>
    </row>
    <row r="463" spans="2:8" x14ac:dyDescent="0.2">
      <c r="B463" s="59"/>
      <c r="C463" s="59"/>
      <c r="D463" s="59"/>
      <c r="E463" s="59"/>
      <c r="F463" s="59"/>
      <c r="G463" s="79"/>
      <c r="H463" s="59"/>
    </row>
    <row r="464" spans="2:8" x14ac:dyDescent="0.2">
      <c r="B464" s="59"/>
      <c r="C464" s="59"/>
      <c r="D464" s="59"/>
      <c r="E464" s="59"/>
      <c r="F464" s="59"/>
      <c r="G464" s="79"/>
      <c r="H464" s="59"/>
    </row>
    <row r="465" spans="2:8" x14ac:dyDescent="0.2">
      <c r="B465" s="59"/>
      <c r="C465" s="59"/>
      <c r="D465" s="59"/>
      <c r="E465" s="59"/>
      <c r="F465" s="59"/>
      <c r="G465" s="79"/>
      <c r="H465" s="59"/>
    </row>
    <row r="466" spans="2:8" x14ac:dyDescent="0.2">
      <c r="B466" s="59"/>
      <c r="C466" s="59"/>
      <c r="D466" s="59"/>
      <c r="E466" s="59"/>
      <c r="F466" s="59"/>
      <c r="G466" s="79"/>
      <c r="H466" s="59"/>
    </row>
    <row r="467" spans="2:8" x14ac:dyDescent="0.2">
      <c r="B467" s="59"/>
      <c r="C467" s="59"/>
      <c r="D467" s="59"/>
      <c r="E467" s="59"/>
      <c r="F467" s="59"/>
      <c r="G467" s="79"/>
      <c r="H467" s="59"/>
    </row>
    <row r="468" spans="2:8" x14ac:dyDescent="0.2">
      <c r="B468" s="59"/>
      <c r="C468" s="59"/>
      <c r="D468" s="59"/>
      <c r="E468" s="59"/>
      <c r="F468" s="59"/>
      <c r="G468" s="79"/>
      <c r="H468" s="59"/>
    </row>
    <row r="469" spans="2:8" x14ac:dyDescent="0.2">
      <c r="B469" s="59"/>
      <c r="C469" s="59"/>
      <c r="D469" s="59"/>
      <c r="E469" s="59"/>
      <c r="F469" s="59"/>
      <c r="G469" s="79"/>
      <c r="H469" s="59"/>
    </row>
    <row r="470" spans="2:8" x14ac:dyDescent="0.2">
      <c r="B470" s="59"/>
      <c r="C470" s="59"/>
      <c r="D470" s="59"/>
      <c r="E470" s="59"/>
      <c r="F470" s="59"/>
      <c r="G470" s="79"/>
      <c r="H470" s="59"/>
    </row>
    <row r="471" spans="2:8" x14ac:dyDescent="0.2">
      <c r="B471" s="59"/>
      <c r="C471" s="59"/>
      <c r="D471" s="59"/>
      <c r="E471" s="59"/>
      <c r="F471" s="59"/>
      <c r="G471" s="79"/>
      <c r="H471" s="59"/>
    </row>
    <row r="472" spans="2:8" x14ac:dyDescent="0.2">
      <c r="B472" s="59"/>
      <c r="C472" s="59"/>
      <c r="D472" s="59"/>
      <c r="E472" s="59"/>
      <c r="F472" s="59"/>
      <c r="G472" s="79"/>
      <c r="H472" s="59"/>
    </row>
    <row r="473" spans="2:8" x14ac:dyDescent="0.2">
      <c r="B473" s="59"/>
      <c r="C473" s="59"/>
      <c r="D473" s="59"/>
      <c r="E473" s="59"/>
      <c r="F473" s="59"/>
      <c r="G473" s="79"/>
      <c r="H473" s="59"/>
    </row>
    <row r="474" spans="2:8" x14ac:dyDescent="0.2">
      <c r="B474" s="59"/>
      <c r="C474" s="59"/>
      <c r="D474" s="59"/>
      <c r="E474" s="59"/>
      <c r="F474" s="59"/>
      <c r="G474" s="79"/>
      <c r="H474" s="59"/>
    </row>
    <row r="475" spans="2:8" x14ac:dyDescent="0.2">
      <c r="B475" s="59"/>
      <c r="C475" s="59"/>
      <c r="D475" s="59"/>
      <c r="E475" s="59"/>
      <c r="F475" s="59"/>
      <c r="G475" s="79"/>
      <c r="H475" s="59"/>
    </row>
    <row r="476" spans="2:8" x14ac:dyDescent="0.2">
      <c r="B476" s="59"/>
      <c r="C476" s="59"/>
      <c r="D476" s="59"/>
      <c r="E476" s="59"/>
      <c r="F476" s="59"/>
      <c r="G476" s="79"/>
      <c r="H476" s="59"/>
    </row>
    <row r="477" spans="2:8" x14ac:dyDescent="0.2">
      <c r="B477" s="59"/>
      <c r="C477" s="59"/>
      <c r="D477" s="59"/>
      <c r="E477" s="59"/>
      <c r="F477" s="59"/>
      <c r="G477" s="79"/>
      <c r="H477" s="59"/>
    </row>
    <row r="478" spans="2:8" x14ac:dyDescent="0.2">
      <c r="B478" s="59"/>
      <c r="C478" s="59"/>
      <c r="D478" s="59"/>
      <c r="E478" s="59"/>
      <c r="F478" s="59"/>
      <c r="G478" s="79"/>
      <c r="H478" s="59"/>
    </row>
    <row r="479" spans="2:8" x14ac:dyDescent="0.2">
      <c r="B479" s="59"/>
      <c r="C479" s="59"/>
      <c r="D479" s="59"/>
      <c r="E479" s="59"/>
      <c r="F479" s="59"/>
      <c r="G479" s="79"/>
      <c r="H479" s="59"/>
    </row>
    <row r="480" spans="2:8" x14ac:dyDescent="0.2">
      <c r="B480" s="59"/>
      <c r="C480" s="59"/>
      <c r="D480" s="59"/>
      <c r="E480" s="59"/>
      <c r="F480" s="59"/>
      <c r="G480" s="79"/>
      <c r="H480" s="59"/>
    </row>
    <row r="481" spans="2:8" x14ac:dyDescent="0.2">
      <c r="B481" s="59"/>
      <c r="C481" s="59"/>
      <c r="D481" s="59"/>
      <c r="E481" s="59"/>
      <c r="F481" s="59"/>
      <c r="G481" s="79"/>
      <c r="H481" s="59"/>
    </row>
    <row r="482" spans="2:8" x14ac:dyDescent="0.2">
      <c r="B482" s="59"/>
      <c r="C482" s="59"/>
      <c r="D482" s="59"/>
      <c r="E482" s="59"/>
      <c r="F482" s="59"/>
      <c r="G482" s="79"/>
      <c r="H482" s="59"/>
    </row>
    <row r="483" spans="2:8" x14ac:dyDescent="0.2">
      <c r="B483" s="59"/>
      <c r="C483" s="59"/>
      <c r="D483" s="59"/>
      <c r="E483" s="59"/>
      <c r="F483" s="59"/>
      <c r="G483" s="79"/>
      <c r="H483" s="59"/>
    </row>
    <row r="484" spans="2:8" x14ac:dyDescent="0.2">
      <c r="B484" s="59"/>
      <c r="C484" s="59"/>
      <c r="D484" s="59"/>
      <c r="E484" s="59"/>
      <c r="F484" s="59"/>
      <c r="G484" s="79"/>
      <c r="H484" s="59"/>
    </row>
    <row r="485" spans="2:8" x14ac:dyDescent="0.2">
      <c r="B485" s="59"/>
      <c r="C485" s="59"/>
      <c r="D485" s="59"/>
      <c r="E485" s="59"/>
      <c r="F485" s="59"/>
      <c r="G485" s="79"/>
      <c r="H485" s="59"/>
    </row>
    <row r="486" spans="2:8" x14ac:dyDescent="0.2">
      <c r="B486" s="59"/>
      <c r="C486" s="59"/>
      <c r="D486" s="59"/>
      <c r="E486" s="59"/>
      <c r="F486" s="59"/>
      <c r="G486" s="79"/>
      <c r="H486" s="59"/>
    </row>
    <row r="487" spans="2:8" x14ac:dyDescent="0.2">
      <c r="B487" s="59"/>
      <c r="C487" s="59"/>
      <c r="D487" s="59"/>
      <c r="E487" s="59"/>
      <c r="F487" s="59"/>
      <c r="G487" s="79"/>
      <c r="H487" s="59"/>
    </row>
    <row r="488" spans="2:8" x14ac:dyDescent="0.2">
      <c r="B488" s="59"/>
      <c r="C488" s="59"/>
      <c r="D488" s="59"/>
      <c r="E488" s="59"/>
      <c r="F488" s="59"/>
      <c r="G488" s="79"/>
      <c r="H488" s="59"/>
    </row>
    <row r="489" spans="2:8" x14ac:dyDescent="0.2">
      <c r="B489" s="59"/>
      <c r="C489" s="59"/>
      <c r="D489" s="59"/>
      <c r="E489" s="59"/>
      <c r="F489" s="59"/>
      <c r="G489" s="79"/>
      <c r="H489" s="59"/>
    </row>
    <row r="490" spans="2:8" x14ac:dyDescent="0.2">
      <c r="B490" s="59"/>
      <c r="C490" s="59"/>
      <c r="D490" s="59"/>
      <c r="E490" s="59"/>
      <c r="F490" s="59"/>
      <c r="G490" s="79"/>
      <c r="H490" s="59"/>
    </row>
    <row r="491" spans="2:8" x14ac:dyDescent="0.2">
      <c r="B491" s="59"/>
      <c r="C491" s="59"/>
      <c r="D491" s="59"/>
      <c r="E491" s="59"/>
      <c r="F491" s="59"/>
      <c r="G491" s="79"/>
      <c r="H491" s="59"/>
    </row>
    <row r="492" spans="2:8" x14ac:dyDescent="0.2">
      <c r="B492" s="59"/>
      <c r="C492" s="59"/>
      <c r="D492" s="59"/>
      <c r="E492" s="59"/>
      <c r="F492" s="59"/>
      <c r="G492" s="79"/>
      <c r="H492" s="59"/>
    </row>
    <row r="493" spans="2:8" x14ac:dyDescent="0.2">
      <c r="B493" s="59"/>
      <c r="C493" s="59"/>
      <c r="D493" s="59"/>
      <c r="E493" s="59"/>
      <c r="F493" s="59"/>
      <c r="G493" s="79"/>
      <c r="H493" s="59"/>
    </row>
    <row r="494" spans="2:8" x14ac:dyDescent="0.2">
      <c r="B494" s="59"/>
      <c r="C494" s="59"/>
      <c r="D494" s="59"/>
      <c r="E494" s="59"/>
      <c r="F494" s="59"/>
      <c r="G494" s="79"/>
      <c r="H494" s="59"/>
    </row>
    <row r="495" spans="2:8" x14ac:dyDescent="0.2">
      <c r="B495" s="59"/>
      <c r="C495" s="59"/>
      <c r="D495" s="59"/>
      <c r="E495" s="59"/>
      <c r="F495" s="59"/>
      <c r="G495" s="79"/>
      <c r="H495" s="59"/>
    </row>
    <row r="496" spans="2:8" x14ac:dyDescent="0.2">
      <c r="B496" s="59"/>
      <c r="C496" s="59"/>
      <c r="D496" s="59"/>
      <c r="E496" s="59"/>
      <c r="F496" s="59"/>
      <c r="G496" s="79"/>
      <c r="H496" s="59"/>
    </row>
    <row r="497" spans="2:8" x14ac:dyDescent="0.2">
      <c r="B497" s="59"/>
      <c r="C497" s="59"/>
      <c r="D497" s="59"/>
      <c r="E497" s="59"/>
      <c r="F497" s="59"/>
      <c r="G497" s="79"/>
      <c r="H497" s="59"/>
    </row>
    <row r="498" spans="2:8" x14ac:dyDescent="0.2">
      <c r="B498" s="59"/>
      <c r="C498" s="59"/>
      <c r="D498" s="59"/>
      <c r="E498" s="59"/>
      <c r="F498" s="59"/>
      <c r="G498" s="79"/>
      <c r="H498" s="59"/>
    </row>
    <row r="499" spans="2:8" x14ac:dyDescent="0.2">
      <c r="B499" s="59"/>
      <c r="C499" s="59"/>
      <c r="D499" s="59"/>
      <c r="E499" s="59"/>
      <c r="F499" s="59"/>
      <c r="G499" s="79"/>
      <c r="H499" s="59"/>
    </row>
    <row r="500" spans="2:8" x14ac:dyDescent="0.2">
      <c r="B500" s="59"/>
      <c r="C500" s="59"/>
      <c r="D500" s="59"/>
      <c r="E500" s="59"/>
      <c r="F500" s="59"/>
      <c r="G500" s="79"/>
      <c r="H500" s="59"/>
    </row>
    <row r="501" spans="2:8" x14ac:dyDescent="0.2">
      <c r="B501" s="59"/>
      <c r="C501" s="59"/>
      <c r="D501" s="59"/>
      <c r="E501" s="59"/>
      <c r="F501" s="59"/>
      <c r="G501" s="79"/>
      <c r="H501" s="59"/>
    </row>
    <row r="502" spans="2:8" x14ac:dyDescent="0.2">
      <c r="B502" s="59"/>
      <c r="C502" s="59"/>
      <c r="D502" s="59"/>
      <c r="E502" s="59"/>
      <c r="F502" s="59"/>
      <c r="G502" s="79"/>
      <c r="H502" s="59"/>
    </row>
    <row r="503" spans="2:8" x14ac:dyDescent="0.2">
      <c r="B503" s="59"/>
      <c r="C503" s="59"/>
      <c r="D503" s="59"/>
      <c r="E503" s="59"/>
      <c r="F503" s="59"/>
      <c r="G503" s="79"/>
      <c r="H503" s="59"/>
    </row>
    <row r="504" spans="2:8" x14ac:dyDescent="0.2">
      <c r="B504" s="59"/>
      <c r="C504" s="59"/>
      <c r="D504" s="59"/>
      <c r="E504" s="59"/>
      <c r="F504" s="59"/>
      <c r="G504" s="79"/>
      <c r="H504" s="59"/>
    </row>
    <row r="505" spans="2:8" x14ac:dyDescent="0.2">
      <c r="B505" s="59"/>
      <c r="C505" s="59"/>
      <c r="D505" s="59"/>
      <c r="E505" s="59"/>
      <c r="F505" s="59"/>
      <c r="G505" s="79"/>
      <c r="H505" s="59"/>
    </row>
    <row r="506" spans="2:8" x14ac:dyDescent="0.2">
      <c r="B506" s="59"/>
      <c r="C506" s="59"/>
      <c r="D506" s="59"/>
      <c r="E506" s="59"/>
      <c r="F506" s="59"/>
      <c r="G506" s="79"/>
      <c r="H506" s="59"/>
    </row>
    <row r="507" spans="2:8" x14ac:dyDescent="0.2">
      <c r="B507" s="59"/>
      <c r="C507" s="59"/>
      <c r="D507" s="59"/>
      <c r="E507" s="59"/>
      <c r="F507" s="59"/>
      <c r="G507" s="79"/>
      <c r="H507" s="59"/>
    </row>
    <row r="508" spans="2:8" x14ac:dyDescent="0.2">
      <c r="B508" s="59"/>
      <c r="C508" s="59"/>
      <c r="D508" s="59"/>
      <c r="E508" s="59"/>
      <c r="F508" s="59"/>
      <c r="G508" s="79"/>
      <c r="H508" s="59"/>
    </row>
    <row r="509" spans="2:8" x14ac:dyDescent="0.2">
      <c r="B509" s="59"/>
      <c r="C509" s="59"/>
      <c r="D509" s="59"/>
      <c r="E509" s="59"/>
      <c r="F509" s="59"/>
      <c r="G509" s="79"/>
      <c r="H509" s="59"/>
    </row>
    <row r="510" spans="2:8" x14ac:dyDescent="0.2">
      <c r="B510" s="59"/>
      <c r="C510" s="59"/>
      <c r="D510" s="59"/>
      <c r="E510" s="59"/>
      <c r="F510" s="59"/>
      <c r="G510" s="79"/>
      <c r="H510" s="59"/>
    </row>
    <row r="511" spans="2:8" x14ac:dyDescent="0.2">
      <c r="B511" s="59"/>
      <c r="C511" s="59"/>
      <c r="D511" s="59"/>
      <c r="E511" s="59"/>
      <c r="F511" s="59"/>
      <c r="G511" s="79"/>
      <c r="H511" s="59"/>
    </row>
    <row r="512" spans="2:8" x14ac:dyDescent="0.2">
      <c r="B512" s="59"/>
      <c r="C512" s="59"/>
      <c r="D512" s="59"/>
      <c r="E512" s="59"/>
      <c r="F512" s="59"/>
      <c r="G512" s="79"/>
      <c r="H512" s="59"/>
    </row>
    <row r="513" spans="2:8" x14ac:dyDescent="0.2">
      <c r="B513" s="59"/>
      <c r="C513" s="59"/>
      <c r="D513" s="59"/>
      <c r="E513" s="59"/>
      <c r="F513" s="59"/>
      <c r="G513" s="79"/>
      <c r="H513" s="59"/>
    </row>
    <row r="514" spans="2:8" x14ac:dyDescent="0.2">
      <c r="B514" s="59"/>
      <c r="C514" s="59"/>
      <c r="D514" s="59"/>
      <c r="E514" s="59"/>
      <c r="F514" s="59"/>
      <c r="G514" s="79"/>
      <c r="H514" s="59"/>
    </row>
    <row r="515" spans="2:8" x14ac:dyDescent="0.2">
      <c r="B515" s="59"/>
      <c r="C515" s="59"/>
      <c r="D515" s="59"/>
      <c r="E515" s="59"/>
      <c r="F515" s="59"/>
      <c r="G515" s="79"/>
      <c r="H515" s="59"/>
    </row>
    <row r="516" spans="2:8" x14ac:dyDescent="0.2">
      <c r="B516" s="59"/>
      <c r="C516" s="59"/>
      <c r="D516" s="59"/>
      <c r="E516" s="59"/>
      <c r="F516" s="59"/>
      <c r="G516" s="79"/>
      <c r="H516" s="59"/>
    </row>
    <row r="517" spans="2:8" x14ac:dyDescent="0.2">
      <c r="B517" s="59"/>
      <c r="C517" s="59"/>
      <c r="D517" s="59"/>
      <c r="E517" s="59"/>
      <c r="F517" s="59"/>
      <c r="G517" s="79"/>
      <c r="H517" s="59"/>
    </row>
    <row r="518" spans="2:8" x14ac:dyDescent="0.2">
      <c r="B518" s="59"/>
      <c r="C518" s="59"/>
      <c r="D518" s="59"/>
      <c r="E518" s="59"/>
      <c r="F518" s="59"/>
      <c r="G518" s="79"/>
      <c r="H518" s="59"/>
    </row>
    <row r="519" spans="2:8" x14ac:dyDescent="0.2">
      <c r="B519" s="59"/>
      <c r="C519" s="59"/>
      <c r="D519" s="59"/>
      <c r="E519" s="59"/>
      <c r="F519" s="59"/>
      <c r="G519" s="79"/>
      <c r="H519" s="59"/>
    </row>
    <row r="520" spans="2:8" x14ac:dyDescent="0.2">
      <c r="B520" s="59"/>
      <c r="C520" s="59"/>
      <c r="D520" s="59"/>
      <c r="E520" s="59"/>
      <c r="F520" s="59"/>
      <c r="G520" s="79"/>
      <c r="H520" s="59"/>
    </row>
    <row r="521" spans="2:8" x14ac:dyDescent="0.2">
      <c r="B521" s="59"/>
      <c r="C521" s="59"/>
      <c r="D521" s="59"/>
      <c r="E521" s="59"/>
      <c r="F521" s="59"/>
      <c r="G521" s="79"/>
      <c r="H521" s="59"/>
    </row>
    <row r="522" spans="2:8" x14ac:dyDescent="0.2">
      <c r="B522" s="59"/>
      <c r="C522" s="59"/>
      <c r="D522" s="59"/>
      <c r="E522" s="59"/>
      <c r="F522" s="59"/>
      <c r="G522" s="79"/>
      <c r="H522" s="59"/>
    </row>
    <row r="523" spans="2:8" x14ac:dyDescent="0.2">
      <c r="B523" s="59"/>
      <c r="C523" s="59"/>
      <c r="D523" s="59"/>
      <c r="E523" s="59"/>
      <c r="F523" s="59"/>
      <c r="G523" s="79"/>
      <c r="H523" s="59"/>
    </row>
    <row r="524" spans="2:8" x14ac:dyDescent="0.2">
      <c r="B524" s="59"/>
      <c r="C524" s="59"/>
      <c r="D524" s="59"/>
      <c r="E524" s="59"/>
      <c r="F524" s="59"/>
      <c r="G524" s="79"/>
      <c r="H524" s="59"/>
    </row>
    <row r="525" spans="2:8" x14ac:dyDescent="0.2">
      <c r="B525" s="59"/>
      <c r="C525" s="59"/>
      <c r="D525" s="59"/>
      <c r="E525" s="59"/>
      <c r="F525" s="59"/>
      <c r="G525" s="79"/>
      <c r="H525" s="59"/>
    </row>
    <row r="526" spans="2:8" x14ac:dyDescent="0.2">
      <c r="B526" s="59"/>
      <c r="C526" s="59"/>
      <c r="D526" s="59"/>
      <c r="E526" s="59"/>
      <c r="F526" s="59"/>
      <c r="G526" s="79"/>
      <c r="H526" s="59"/>
    </row>
    <row r="527" spans="2:8" x14ac:dyDescent="0.2">
      <c r="B527" s="59"/>
      <c r="C527" s="59"/>
      <c r="D527" s="59"/>
      <c r="E527" s="59"/>
      <c r="F527" s="59"/>
      <c r="G527" s="79"/>
      <c r="H527" s="59"/>
    </row>
    <row r="528" spans="2:8" x14ac:dyDescent="0.2">
      <c r="B528" s="59"/>
      <c r="C528" s="59"/>
      <c r="D528" s="59"/>
      <c r="E528" s="59"/>
      <c r="F528" s="59"/>
      <c r="G528" s="79"/>
      <c r="H528" s="59"/>
    </row>
    <row r="529" spans="2:8" x14ac:dyDescent="0.2">
      <c r="B529" s="59"/>
      <c r="C529" s="59"/>
      <c r="D529" s="59"/>
      <c r="E529" s="59"/>
      <c r="F529" s="59"/>
      <c r="G529" s="79"/>
      <c r="H529" s="59"/>
    </row>
    <row r="530" spans="2:8" x14ac:dyDescent="0.2">
      <c r="B530" s="59"/>
      <c r="C530" s="59"/>
      <c r="D530" s="59"/>
      <c r="E530" s="59"/>
      <c r="F530" s="59"/>
      <c r="G530" s="79"/>
      <c r="H530" s="59"/>
    </row>
    <row r="531" spans="2:8" x14ac:dyDescent="0.2">
      <c r="B531" s="59"/>
      <c r="C531" s="59"/>
      <c r="D531" s="59"/>
      <c r="E531" s="59"/>
      <c r="F531" s="59"/>
      <c r="G531" s="79"/>
      <c r="H531" s="59"/>
    </row>
    <row r="532" spans="2:8" x14ac:dyDescent="0.2">
      <c r="B532" s="59"/>
      <c r="C532" s="59"/>
      <c r="D532" s="59"/>
      <c r="E532" s="59"/>
      <c r="F532" s="59"/>
      <c r="G532" s="79"/>
      <c r="H532" s="59"/>
    </row>
    <row r="533" spans="2:8" x14ac:dyDescent="0.2">
      <c r="B533" s="59"/>
      <c r="C533" s="59"/>
      <c r="D533" s="59"/>
      <c r="E533" s="59"/>
      <c r="F533" s="59"/>
      <c r="G533" s="79"/>
      <c r="H533" s="59"/>
    </row>
    <row r="534" spans="2:8" x14ac:dyDescent="0.2">
      <c r="B534" s="59"/>
      <c r="C534" s="59"/>
      <c r="D534" s="59"/>
      <c r="E534" s="59"/>
      <c r="F534" s="59"/>
      <c r="G534" s="79"/>
      <c r="H534" s="59"/>
    </row>
    <row r="535" spans="2:8" x14ac:dyDescent="0.2">
      <c r="B535" s="59"/>
      <c r="C535" s="59"/>
      <c r="D535" s="59"/>
      <c r="E535" s="59"/>
      <c r="F535" s="59"/>
      <c r="G535" s="79"/>
      <c r="H535" s="59"/>
    </row>
    <row r="536" spans="2:8" x14ac:dyDescent="0.2">
      <c r="B536" s="59"/>
      <c r="C536" s="59"/>
      <c r="D536" s="59"/>
      <c r="E536" s="59"/>
      <c r="F536" s="59"/>
      <c r="G536" s="79"/>
      <c r="H536" s="59"/>
    </row>
    <row r="537" spans="2:8" x14ac:dyDescent="0.2">
      <c r="B537" s="59"/>
      <c r="C537" s="59"/>
      <c r="D537" s="59"/>
      <c r="E537" s="59"/>
      <c r="F537" s="59"/>
      <c r="G537" s="79"/>
      <c r="H537" s="59"/>
    </row>
    <row r="538" spans="2:8" x14ac:dyDescent="0.2">
      <c r="B538" s="59"/>
      <c r="C538" s="59"/>
      <c r="D538" s="59"/>
      <c r="E538" s="59"/>
      <c r="F538" s="59"/>
      <c r="G538" s="79"/>
      <c r="H538" s="59"/>
    </row>
    <row r="539" spans="2:8" x14ac:dyDescent="0.2">
      <c r="B539" s="59"/>
      <c r="C539" s="59"/>
      <c r="D539" s="59"/>
      <c r="E539" s="59"/>
      <c r="F539" s="59"/>
      <c r="G539" s="79"/>
      <c r="H539" s="59"/>
    </row>
    <row r="540" spans="2:8" x14ac:dyDescent="0.2">
      <c r="B540" s="59"/>
      <c r="C540" s="59"/>
      <c r="D540" s="59"/>
      <c r="E540" s="59"/>
      <c r="F540" s="59"/>
      <c r="G540" s="79"/>
      <c r="H540" s="59"/>
    </row>
    <row r="541" spans="2:8" x14ac:dyDescent="0.2">
      <c r="B541" s="59"/>
      <c r="C541" s="59"/>
      <c r="D541" s="59"/>
      <c r="E541" s="59"/>
      <c r="F541" s="59"/>
      <c r="G541" s="79"/>
      <c r="H541" s="59"/>
    </row>
    <row r="542" spans="2:8" x14ac:dyDescent="0.2">
      <c r="B542" s="59"/>
      <c r="C542" s="59"/>
      <c r="D542" s="59"/>
      <c r="E542" s="59"/>
      <c r="F542" s="59"/>
      <c r="G542" s="79"/>
      <c r="H542" s="59"/>
    </row>
    <row r="543" spans="2:8" x14ac:dyDescent="0.2">
      <c r="B543" s="59"/>
      <c r="C543" s="59"/>
      <c r="D543" s="59"/>
      <c r="E543" s="59"/>
      <c r="F543" s="59"/>
      <c r="G543" s="79"/>
      <c r="H543" s="59"/>
    </row>
    <row r="544" spans="2:8" x14ac:dyDescent="0.2">
      <c r="B544" s="59"/>
      <c r="C544" s="59"/>
      <c r="D544" s="59"/>
      <c r="E544" s="59"/>
      <c r="F544" s="59"/>
      <c r="G544" s="79"/>
      <c r="H544" s="59"/>
    </row>
    <row r="545" spans="2:8" x14ac:dyDescent="0.2">
      <c r="B545" s="59"/>
      <c r="C545" s="59"/>
      <c r="D545" s="59"/>
      <c r="E545" s="59"/>
      <c r="F545" s="59"/>
      <c r="G545" s="79"/>
      <c r="H545" s="59"/>
    </row>
    <row r="546" spans="2:8" x14ac:dyDescent="0.2">
      <c r="B546" s="59"/>
      <c r="C546" s="59"/>
      <c r="D546" s="59"/>
      <c r="E546" s="59"/>
      <c r="F546" s="59"/>
      <c r="G546" s="79"/>
      <c r="H546" s="59"/>
    </row>
    <row r="547" spans="2:8" x14ac:dyDescent="0.2">
      <c r="B547" s="59"/>
      <c r="C547" s="59"/>
      <c r="D547" s="59"/>
      <c r="E547" s="59"/>
      <c r="F547" s="59"/>
      <c r="G547" s="79"/>
      <c r="H547" s="59"/>
    </row>
    <row r="548" spans="2:8" x14ac:dyDescent="0.2">
      <c r="B548" s="59"/>
      <c r="C548" s="59"/>
      <c r="D548" s="59"/>
      <c r="E548" s="59"/>
      <c r="F548" s="59"/>
      <c r="G548" s="79"/>
      <c r="H548" s="59"/>
    </row>
    <row r="549" spans="2:8" x14ac:dyDescent="0.2">
      <c r="B549" s="59"/>
      <c r="C549" s="59"/>
      <c r="D549" s="59"/>
      <c r="E549" s="59"/>
      <c r="F549" s="59"/>
      <c r="G549" s="79"/>
      <c r="H549" s="59"/>
    </row>
    <row r="550" spans="2:8" x14ac:dyDescent="0.2">
      <c r="B550" s="59"/>
      <c r="C550" s="59"/>
      <c r="D550" s="59"/>
      <c r="E550" s="59"/>
      <c r="F550" s="59"/>
      <c r="G550" s="79"/>
      <c r="H550" s="59"/>
    </row>
    <row r="551" spans="2:8" x14ac:dyDescent="0.2">
      <c r="B551" s="59"/>
      <c r="C551" s="59"/>
      <c r="D551" s="59"/>
      <c r="E551" s="59"/>
      <c r="F551" s="59"/>
      <c r="G551" s="79"/>
      <c r="H551" s="59"/>
    </row>
    <row r="552" spans="2:8" x14ac:dyDescent="0.2">
      <c r="B552" s="59"/>
      <c r="C552" s="59"/>
      <c r="D552" s="59"/>
      <c r="E552" s="59"/>
      <c r="F552" s="59"/>
      <c r="G552" s="79"/>
      <c r="H552" s="59"/>
    </row>
    <row r="553" spans="2:8" x14ac:dyDescent="0.2">
      <c r="B553" s="59"/>
      <c r="C553" s="59"/>
      <c r="D553" s="59"/>
      <c r="E553" s="59"/>
      <c r="F553" s="59"/>
      <c r="G553" s="79"/>
      <c r="H553" s="59"/>
    </row>
    <row r="554" spans="2:8" x14ac:dyDescent="0.2">
      <c r="B554" s="59"/>
      <c r="C554" s="59"/>
      <c r="D554" s="59"/>
      <c r="E554" s="59"/>
      <c r="F554" s="59"/>
      <c r="G554" s="79"/>
      <c r="H554" s="59"/>
    </row>
    <row r="555" spans="2:8" x14ac:dyDescent="0.2">
      <c r="B555" s="59"/>
      <c r="C555" s="59"/>
      <c r="D555" s="59"/>
      <c r="E555" s="59"/>
      <c r="F555" s="59"/>
      <c r="G555" s="79"/>
      <c r="H555" s="59"/>
    </row>
    <row r="556" spans="2:8" x14ac:dyDescent="0.2">
      <c r="B556" s="59"/>
      <c r="C556" s="59"/>
      <c r="D556" s="59"/>
      <c r="E556" s="59"/>
      <c r="F556" s="59"/>
      <c r="G556" s="79"/>
      <c r="H556" s="59"/>
    </row>
    <row r="557" spans="2:8" x14ac:dyDescent="0.2">
      <c r="B557" s="59"/>
      <c r="C557" s="59"/>
      <c r="D557" s="59"/>
      <c r="E557" s="59"/>
      <c r="F557" s="59"/>
      <c r="G557" s="79"/>
      <c r="H557" s="59"/>
    </row>
    <row r="558" spans="2:8" x14ac:dyDescent="0.2">
      <c r="B558" s="59"/>
      <c r="C558" s="59"/>
      <c r="D558" s="59"/>
      <c r="E558" s="59"/>
      <c r="F558" s="59"/>
      <c r="G558" s="79"/>
      <c r="H558" s="59"/>
    </row>
    <row r="559" spans="2:8" x14ac:dyDescent="0.2">
      <c r="B559" s="59"/>
      <c r="C559" s="59"/>
      <c r="D559" s="59"/>
      <c r="E559" s="59"/>
      <c r="F559" s="59"/>
      <c r="G559" s="79"/>
      <c r="H559" s="59"/>
    </row>
    <row r="560" spans="2:8" x14ac:dyDescent="0.2">
      <c r="B560" s="59"/>
      <c r="C560" s="59"/>
      <c r="D560" s="59"/>
      <c r="E560" s="59"/>
      <c r="F560" s="59"/>
      <c r="G560" s="79"/>
      <c r="H560" s="59"/>
    </row>
    <row r="561" spans="2:8" x14ac:dyDescent="0.2">
      <c r="B561" s="59"/>
      <c r="C561" s="59"/>
      <c r="D561" s="59"/>
      <c r="E561" s="59"/>
      <c r="F561" s="59"/>
      <c r="G561" s="79"/>
      <c r="H561" s="59"/>
    </row>
    <row r="562" spans="2:8" x14ac:dyDescent="0.2">
      <c r="B562" s="59"/>
      <c r="C562" s="59"/>
      <c r="D562" s="59"/>
      <c r="E562" s="59"/>
      <c r="F562" s="59"/>
      <c r="G562" s="79"/>
      <c r="H562" s="59"/>
    </row>
    <row r="563" spans="2:8" x14ac:dyDescent="0.2">
      <c r="B563" s="59"/>
      <c r="C563" s="59"/>
      <c r="D563" s="59"/>
      <c r="E563" s="59"/>
      <c r="F563" s="59"/>
      <c r="G563" s="79"/>
      <c r="H563" s="59"/>
    </row>
    <row r="564" spans="2:8" x14ac:dyDescent="0.2">
      <c r="B564" s="59"/>
      <c r="C564" s="59"/>
      <c r="D564" s="59"/>
      <c r="E564" s="59"/>
      <c r="F564" s="59"/>
      <c r="G564" s="79"/>
      <c r="H564" s="59"/>
    </row>
    <row r="565" spans="2:8" x14ac:dyDescent="0.2">
      <c r="B565" s="59"/>
      <c r="C565" s="59"/>
      <c r="D565" s="59"/>
      <c r="E565" s="59"/>
      <c r="F565" s="59"/>
      <c r="G565" s="79"/>
      <c r="H565" s="59"/>
    </row>
    <row r="566" spans="2:8" x14ac:dyDescent="0.2">
      <c r="B566" s="59"/>
      <c r="C566" s="59"/>
      <c r="D566" s="59"/>
      <c r="E566" s="59"/>
      <c r="F566" s="59"/>
      <c r="G566" s="79"/>
      <c r="H566" s="59"/>
    </row>
    <row r="567" spans="2:8" x14ac:dyDescent="0.2">
      <c r="B567" s="59"/>
      <c r="C567" s="59"/>
      <c r="D567" s="59"/>
      <c r="E567" s="59"/>
      <c r="F567" s="59"/>
      <c r="G567" s="79"/>
      <c r="H567" s="59"/>
    </row>
    <row r="568" spans="2:8" x14ac:dyDescent="0.2">
      <c r="B568" s="59"/>
      <c r="C568" s="59"/>
      <c r="D568" s="59"/>
      <c r="E568" s="59"/>
      <c r="F568" s="59"/>
      <c r="G568" s="79"/>
      <c r="H568" s="59"/>
    </row>
    <row r="569" spans="2:8" x14ac:dyDescent="0.2">
      <c r="B569" s="59"/>
      <c r="C569" s="59"/>
      <c r="D569" s="59"/>
      <c r="E569" s="59"/>
      <c r="F569" s="59"/>
      <c r="G569" s="79"/>
      <c r="H569" s="59"/>
    </row>
    <row r="570" spans="2:8" x14ac:dyDescent="0.2">
      <c r="B570" s="59"/>
      <c r="C570" s="59"/>
      <c r="D570" s="59"/>
      <c r="E570" s="59"/>
      <c r="F570" s="59"/>
      <c r="G570" s="79"/>
      <c r="H570" s="59"/>
    </row>
    <row r="571" spans="2:8" x14ac:dyDescent="0.2">
      <c r="B571" s="59"/>
      <c r="C571" s="59"/>
      <c r="D571" s="59"/>
      <c r="E571" s="59"/>
      <c r="F571" s="59"/>
      <c r="G571" s="79"/>
      <c r="H571" s="59"/>
    </row>
    <row r="572" spans="2:8" x14ac:dyDescent="0.2">
      <c r="B572" s="59"/>
      <c r="C572" s="59"/>
      <c r="D572" s="59"/>
      <c r="E572" s="59"/>
      <c r="F572" s="59"/>
      <c r="G572" s="79"/>
      <c r="H572" s="59"/>
    </row>
    <row r="573" spans="2:8" x14ac:dyDescent="0.2">
      <c r="B573" s="59"/>
      <c r="C573" s="59"/>
      <c r="D573" s="59"/>
      <c r="E573" s="59"/>
      <c r="F573" s="59"/>
      <c r="G573" s="79"/>
      <c r="H573" s="59"/>
    </row>
    <row r="574" spans="2:8" x14ac:dyDescent="0.2">
      <c r="B574" s="59"/>
      <c r="C574" s="59"/>
      <c r="D574" s="59"/>
      <c r="E574" s="59"/>
      <c r="F574" s="59"/>
      <c r="G574" s="79"/>
      <c r="H574" s="59"/>
    </row>
    <row r="575" spans="2:8" x14ac:dyDescent="0.2">
      <c r="B575" s="59"/>
      <c r="C575" s="59"/>
      <c r="D575" s="59"/>
      <c r="E575" s="59"/>
      <c r="F575" s="59"/>
      <c r="G575" s="79"/>
      <c r="H575" s="59"/>
    </row>
    <row r="576" spans="2:8" x14ac:dyDescent="0.2">
      <c r="B576" s="59"/>
      <c r="C576" s="59"/>
      <c r="D576" s="59"/>
      <c r="E576" s="59"/>
      <c r="F576" s="59"/>
      <c r="G576" s="79"/>
      <c r="H576" s="59"/>
    </row>
    <row r="577" spans="2:8" x14ac:dyDescent="0.2">
      <c r="B577" s="59"/>
      <c r="C577" s="59"/>
      <c r="D577" s="59"/>
      <c r="E577" s="59"/>
      <c r="F577" s="59"/>
      <c r="G577" s="79"/>
      <c r="H577" s="59"/>
    </row>
    <row r="578" spans="2:8" x14ac:dyDescent="0.2">
      <c r="B578" s="59"/>
      <c r="C578" s="59"/>
      <c r="D578" s="59"/>
      <c r="E578" s="59"/>
      <c r="F578" s="59"/>
      <c r="G578" s="79"/>
      <c r="H578" s="59"/>
    </row>
    <row r="579" spans="2:8" x14ac:dyDescent="0.2">
      <c r="B579" s="59"/>
      <c r="C579" s="59"/>
      <c r="D579" s="59"/>
      <c r="E579" s="59"/>
      <c r="F579" s="59"/>
      <c r="G579" s="79"/>
      <c r="H579" s="59"/>
    </row>
    <row r="580" spans="2:8" x14ac:dyDescent="0.2">
      <c r="B580" s="59"/>
      <c r="C580" s="59"/>
      <c r="D580" s="59"/>
      <c r="E580" s="59"/>
      <c r="F580" s="59"/>
      <c r="G580" s="79"/>
      <c r="H580" s="59"/>
    </row>
    <row r="581" spans="2:8" x14ac:dyDescent="0.2">
      <c r="B581" s="59"/>
      <c r="C581" s="59"/>
      <c r="D581" s="59"/>
      <c r="E581" s="59"/>
      <c r="F581" s="59"/>
      <c r="G581" s="79"/>
      <c r="H581" s="59"/>
    </row>
    <row r="582" spans="2:8" x14ac:dyDescent="0.2">
      <c r="B582" s="59"/>
      <c r="C582" s="59"/>
      <c r="D582" s="59"/>
      <c r="E582" s="59"/>
      <c r="F582" s="59"/>
      <c r="G582" s="79"/>
      <c r="H582" s="59"/>
    </row>
    <row r="583" spans="2:8" x14ac:dyDescent="0.2">
      <c r="B583" s="59"/>
      <c r="C583" s="59"/>
      <c r="D583" s="59"/>
      <c r="E583" s="59"/>
      <c r="F583" s="59"/>
      <c r="G583" s="79"/>
      <c r="H583" s="59"/>
    </row>
    <row r="584" spans="2:8" x14ac:dyDescent="0.2">
      <c r="B584" s="59"/>
      <c r="C584" s="59"/>
      <c r="D584" s="59"/>
      <c r="E584" s="59"/>
      <c r="F584" s="59"/>
      <c r="G584" s="79"/>
      <c r="H584" s="59"/>
    </row>
    <row r="585" spans="2:8" x14ac:dyDescent="0.2">
      <c r="B585" s="59"/>
      <c r="C585" s="59"/>
      <c r="D585" s="59"/>
      <c r="E585" s="59"/>
      <c r="F585" s="59"/>
      <c r="G585" s="79"/>
      <c r="H585" s="59"/>
    </row>
    <row r="586" spans="2:8" x14ac:dyDescent="0.2">
      <c r="B586" s="59"/>
      <c r="C586" s="59"/>
      <c r="D586" s="59"/>
      <c r="E586" s="59"/>
      <c r="F586" s="59"/>
      <c r="G586" s="79"/>
      <c r="H586" s="59"/>
    </row>
    <row r="587" spans="2:8" x14ac:dyDescent="0.2">
      <c r="B587" s="59"/>
      <c r="C587" s="59"/>
      <c r="D587" s="59"/>
      <c r="E587" s="59"/>
      <c r="F587" s="59"/>
      <c r="G587" s="79"/>
      <c r="H587" s="59"/>
    </row>
    <row r="588" spans="2:8" x14ac:dyDescent="0.2">
      <c r="B588" s="59"/>
      <c r="C588" s="59"/>
      <c r="D588" s="59"/>
      <c r="E588" s="59"/>
      <c r="F588" s="59"/>
      <c r="G588" s="79"/>
      <c r="H588" s="59"/>
    </row>
    <row r="589" spans="2:8" x14ac:dyDescent="0.2">
      <c r="B589" s="59"/>
      <c r="C589" s="59"/>
      <c r="D589" s="59"/>
      <c r="E589" s="59"/>
      <c r="F589" s="59"/>
      <c r="G589" s="79"/>
      <c r="H589" s="59"/>
    </row>
    <row r="590" spans="2:8" x14ac:dyDescent="0.2">
      <c r="B590" s="59"/>
      <c r="C590" s="59"/>
      <c r="D590" s="59"/>
      <c r="E590" s="59"/>
      <c r="F590" s="59"/>
      <c r="G590" s="79"/>
      <c r="H590" s="59"/>
    </row>
    <row r="591" spans="2:8" x14ac:dyDescent="0.2">
      <c r="B591" s="59"/>
      <c r="C591" s="59"/>
      <c r="D591" s="59"/>
      <c r="E591" s="59"/>
      <c r="F591" s="59"/>
      <c r="G591" s="79"/>
      <c r="H591" s="59"/>
    </row>
    <row r="592" spans="2:8" x14ac:dyDescent="0.2">
      <c r="B592" s="59"/>
      <c r="C592" s="59"/>
      <c r="D592" s="59"/>
      <c r="E592" s="59"/>
      <c r="F592" s="59"/>
      <c r="G592" s="79"/>
      <c r="H592" s="59"/>
    </row>
    <row r="593" spans="2:8" x14ac:dyDescent="0.2">
      <c r="B593" s="59"/>
      <c r="C593" s="59"/>
      <c r="D593" s="59"/>
      <c r="E593" s="59"/>
      <c r="F593" s="59"/>
      <c r="G593" s="79"/>
      <c r="H593" s="59"/>
    </row>
    <row r="594" spans="2:8" x14ac:dyDescent="0.2">
      <c r="B594" s="59"/>
      <c r="C594" s="59"/>
      <c r="D594" s="59"/>
      <c r="E594" s="59"/>
      <c r="F594" s="59"/>
      <c r="G594" s="79"/>
      <c r="H594" s="59"/>
    </row>
    <row r="595" spans="2:8" x14ac:dyDescent="0.2">
      <c r="B595" s="59"/>
      <c r="C595" s="59"/>
      <c r="D595" s="59"/>
      <c r="E595" s="59"/>
      <c r="F595" s="59"/>
      <c r="G595" s="79"/>
      <c r="H595" s="59"/>
    </row>
    <row r="596" spans="2:8" x14ac:dyDescent="0.2">
      <c r="B596" s="59"/>
      <c r="C596" s="59"/>
      <c r="D596" s="59"/>
      <c r="E596" s="59"/>
      <c r="F596" s="59"/>
      <c r="G596" s="79"/>
      <c r="H596" s="59"/>
    </row>
    <row r="597" spans="2:8" x14ac:dyDescent="0.2">
      <c r="B597" s="59"/>
      <c r="C597" s="59"/>
      <c r="D597" s="59"/>
      <c r="E597" s="59"/>
      <c r="F597" s="59"/>
      <c r="G597" s="79"/>
      <c r="H597" s="59"/>
    </row>
    <row r="598" spans="2:8" x14ac:dyDescent="0.2">
      <c r="B598" s="59"/>
      <c r="C598" s="59"/>
      <c r="D598" s="59"/>
      <c r="E598" s="59"/>
      <c r="F598" s="59"/>
      <c r="G598" s="79"/>
      <c r="H598" s="59"/>
    </row>
    <row r="599" spans="2:8" x14ac:dyDescent="0.2">
      <c r="B599" s="59"/>
      <c r="C599" s="59"/>
      <c r="D599" s="59"/>
      <c r="E599" s="59"/>
      <c r="F599" s="59"/>
      <c r="G599" s="79"/>
      <c r="H599" s="59"/>
    </row>
    <row r="600" spans="2:8" x14ac:dyDescent="0.2">
      <c r="B600" s="59"/>
      <c r="C600" s="59"/>
      <c r="D600" s="59"/>
      <c r="E600" s="59"/>
      <c r="F600" s="59"/>
      <c r="G600" s="79"/>
      <c r="H600" s="59"/>
    </row>
    <row r="601" spans="2:8" x14ac:dyDescent="0.2">
      <c r="B601" s="59"/>
      <c r="C601" s="59"/>
      <c r="D601" s="59"/>
      <c r="E601" s="59"/>
      <c r="F601" s="59"/>
      <c r="G601" s="79"/>
      <c r="H601" s="59"/>
    </row>
    <row r="602" spans="2:8" x14ac:dyDescent="0.2">
      <c r="B602" s="59"/>
      <c r="C602" s="59"/>
      <c r="D602" s="59"/>
      <c r="E602" s="59"/>
      <c r="F602" s="59"/>
      <c r="G602" s="79"/>
      <c r="H602" s="59"/>
    </row>
    <row r="603" spans="2:8" x14ac:dyDescent="0.2">
      <c r="B603" s="59"/>
      <c r="C603" s="59"/>
      <c r="D603" s="59"/>
      <c r="E603" s="59"/>
      <c r="F603" s="59"/>
      <c r="G603" s="79"/>
      <c r="H603" s="59"/>
    </row>
    <row r="604" spans="2:8" x14ac:dyDescent="0.2">
      <c r="B604" s="59"/>
      <c r="C604" s="59"/>
      <c r="D604" s="59"/>
      <c r="E604" s="59"/>
      <c r="F604" s="59"/>
      <c r="G604" s="79"/>
      <c r="H604" s="59"/>
    </row>
    <row r="605" spans="2:8" x14ac:dyDescent="0.2">
      <c r="B605" s="59"/>
      <c r="C605" s="59"/>
      <c r="D605" s="59"/>
      <c r="E605" s="59"/>
      <c r="F605" s="59"/>
      <c r="G605" s="79"/>
      <c r="H605" s="59"/>
    </row>
    <row r="606" spans="2:8" x14ac:dyDescent="0.2">
      <c r="B606" s="59"/>
      <c r="C606" s="59"/>
      <c r="D606" s="59"/>
      <c r="E606" s="59"/>
      <c r="F606" s="59"/>
      <c r="G606" s="79"/>
      <c r="H606" s="59"/>
    </row>
    <row r="607" spans="2:8" x14ac:dyDescent="0.2">
      <c r="B607" s="59"/>
      <c r="C607" s="59"/>
      <c r="D607" s="59"/>
      <c r="E607" s="59"/>
      <c r="F607" s="59"/>
      <c r="G607" s="79"/>
      <c r="H607" s="59"/>
    </row>
    <row r="608" spans="2:8" x14ac:dyDescent="0.2">
      <c r="B608" s="59"/>
      <c r="C608" s="59"/>
      <c r="D608" s="59"/>
      <c r="E608" s="59"/>
      <c r="F608" s="59"/>
      <c r="G608" s="79"/>
      <c r="H608" s="59"/>
    </row>
    <row r="609" spans="2:8" x14ac:dyDescent="0.2">
      <c r="B609" s="59"/>
      <c r="C609" s="59"/>
      <c r="D609" s="59"/>
      <c r="E609" s="59"/>
      <c r="F609" s="59"/>
      <c r="G609" s="79"/>
      <c r="H609" s="59"/>
    </row>
    <row r="610" spans="2:8" x14ac:dyDescent="0.2">
      <c r="B610" s="59"/>
      <c r="C610" s="59"/>
      <c r="D610" s="59"/>
      <c r="E610" s="59"/>
      <c r="F610" s="59"/>
      <c r="G610" s="79"/>
      <c r="H610" s="59"/>
    </row>
    <row r="611" spans="2:8" x14ac:dyDescent="0.2">
      <c r="B611" s="59"/>
      <c r="C611" s="59"/>
      <c r="D611" s="59"/>
      <c r="E611" s="59"/>
      <c r="F611" s="59"/>
      <c r="G611" s="79"/>
      <c r="H611" s="59"/>
    </row>
    <row r="612" spans="2:8" x14ac:dyDescent="0.2">
      <c r="B612" s="59"/>
      <c r="C612" s="59"/>
      <c r="D612" s="59"/>
      <c r="E612" s="59"/>
      <c r="F612" s="59"/>
      <c r="G612" s="79"/>
      <c r="H612" s="59"/>
    </row>
    <row r="613" spans="2:8" x14ac:dyDescent="0.2">
      <c r="B613" s="59"/>
      <c r="C613" s="59"/>
      <c r="D613" s="59"/>
      <c r="E613" s="59"/>
      <c r="F613" s="59"/>
      <c r="G613" s="79"/>
      <c r="H613" s="59"/>
    </row>
    <row r="614" spans="2:8" x14ac:dyDescent="0.2">
      <c r="B614" s="59"/>
      <c r="C614" s="59"/>
      <c r="D614" s="59"/>
      <c r="E614" s="59"/>
      <c r="F614" s="59"/>
      <c r="G614" s="79"/>
      <c r="H614" s="59"/>
    </row>
    <row r="615" spans="2:8" x14ac:dyDescent="0.2">
      <c r="B615" s="59"/>
      <c r="C615" s="59"/>
      <c r="D615" s="59"/>
      <c r="E615" s="59"/>
      <c r="F615" s="59"/>
      <c r="G615" s="79"/>
      <c r="H615" s="59"/>
    </row>
    <row r="616" spans="2:8" x14ac:dyDescent="0.2">
      <c r="B616" s="59"/>
      <c r="C616" s="59"/>
      <c r="D616" s="59"/>
      <c r="E616" s="59"/>
      <c r="F616" s="59"/>
      <c r="G616" s="79"/>
      <c r="H616" s="59"/>
    </row>
    <row r="617" spans="2:8" x14ac:dyDescent="0.2">
      <c r="B617" s="59"/>
      <c r="C617" s="59"/>
      <c r="D617" s="59"/>
      <c r="E617" s="59"/>
      <c r="F617" s="59"/>
      <c r="G617" s="79"/>
      <c r="H617" s="59"/>
    </row>
    <row r="618" spans="2:8" x14ac:dyDescent="0.2">
      <c r="B618" s="59"/>
      <c r="C618" s="59"/>
      <c r="D618" s="59"/>
      <c r="E618" s="59"/>
      <c r="F618" s="59"/>
      <c r="G618" s="79"/>
      <c r="H618" s="59"/>
    </row>
    <row r="619" spans="2:8" x14ac:dyDescent="0.2">
      <c r="B619" s="59"/>
      <c r="C619" s="59"/>
      <c r="D619" s="59"/>
      <c r="E619" s="59"/>
      <c r="F619" s="59"/>
      <c r="G619" s="79"/>
      <c r="H619" s="59"/>
    </row>
    <row r="620" spans="2:8" x14ac:dyDescent="0.2">
      <c r="B620" s="59"/>
      <c r="C620" s="59"/>
      <c r="D620" s="59"/>
      <c r="E620" s="59"/>
      <c r="F620" s="59"/>
      <c r="G620" s="79"/>
      <c r="H620" s="59"/>
    </row>
    <row r="621" spans="2:8" x14ac:dyDescent="0.2">
      <c r="B621" s="59"/>
      <c r="C621" s="59"/>
      <c r="D621" s="59"/>
      <c r="E621" s="59"/>
      <c r="F621" s="59"/>
      <c r="G621" s="79"/>
      <c r="H621" s="59"/>
    </row>
    <row r="622" spans="2:8" x14ac:dyDescent="0.2">
      <c r="B622" s="59"/>
      <c r="C622" s="59"/>
      <c r="D622" s="59"/>
      <c r="E622" s="59"/>
      <c r="F622" s="59"/>
      <c r="G622" s="79"/>
      <c r="H622" s="59"/>
    </row>
    <row r="623" spans="2:8" x14ac:dyDescent="0.2">
      <c r="B623" s="59"/>
      <c r="C623" s="59"/>
      <c r="D623" s="59"/>
      <c r="E623" s="59"/>
      <c r="F623" s="59"/>
      <c r="G623" s="79"/>
      <c r="H623" s="59"/>
    </row>
    <row r="624" spans="2:8" x14ac:dyDescent="0.2">
      <c r="B624" s="59"/>
      <c r="C624" s="59"/>
      <c r="D624" s="59"/>
      <c r="E624" s="59"/>
      <c r="F624" s="59"/>
      <c r="G624" s="79"/>
      <c r="H624" s="59"/>
    </row>
    <row r="625" spans="2:8" x14ac:dyDescent="0.2">
      <c r="B625" s="59"/>
      <c r="C625" s="59"/>
      <c r="D625" s="59"/>
      <c r="E625" s="59"/>
      <c r="F625" s="59"/>
      <c r="G625" s="79"/>
      <c r="H625" s="59"/>
    </row>
    <row r="626" spans="2:8" x14ac:dyDescent="0.2">
      <c r="B626" s="59"/>
      <c r="C626" s="59"/>
      <c r="D626" s="59"/>
      <c r="E626" s="59"/>
      <c r="F626" s="59"/>
      <c r="G626" s="79"/>
      <c r="H626" s="59"/>
    </row>
    <row r="627" spans="2:8" x14ac:dyDescent="0.2">
      <c r="B627" s="59"/>
      <c r="C627" s="59"/>
      <c r="D627" s="59"/>
      <c r="E627" s="59"/>
      <c r="F627" s="59"/>
      <c r="G627" s="79"/>
      <c r="H627" s="59"/>
    </row>
    <row r="628" spans="2:8" x14ac:dyDescent="0.2">
      <c r="B628" s="59"/>
      <c r="C628" s="59"/>
      <c r="D628" s="59"/>
      <c r="E628" s="59"/>
      <c r="F628" s="59"/>
      <c r="G628" s="79"/>
      <c r="H628" s="59"/>
    </row>
    <row r="629" spans="2:8" x14ac:dyDescent="0.2">
      <c r="B629" s="59"/>
      <c r="C629" s="59"/>
      <c r="D629" s="59"/>
      <c r="E629" s="59"/>
      <c r="F629" s="59"/>
      <c r="G629" s="79"/>
      <c r="H629" s="59"/>
    </row>
    <row r="630" spans="2:8" x14ac:dyDescent="0.2">
      <c r="B630" s="59"/>
      <c r="C630" s="59"/>
      <c r="D630" s="59"/>
      <c r="E630" s="59"/>
      <c r="F630" s="59"/>
      <c r="G630" s="79"/>
      <c r="H630" s="59"/>
    </row>
    <row r="631" spans="2:8" x14ac:dyDescent="0.2">
      <c r="B631" s="59"/>
      <c r="C631" s="59"/>
      <c r="D631" s="59"/>
      <c r="E631" s="59"/>
      <c r="F631" s="59"/>
      <c r="G631" s="79"/>
      <c r="H631" s="59"/>
    </row>
    <row r="632" spans="2:8" x14ac:dyDescent="0.2">
      <c r="B632" s="59"/>
      <c r="C632" s="59"/>
      <c r="D632" s="59"/>
      <c r="E632" s="59"/>
      <c r="F632" s="59"/>
      <c r="G632" s="79"/>
      <c r="H632" s="59"/>
    </row>
    <row r="633" spans="2:8" x14ac:dyDescent="0.2">
      <c r="B633" s="59"/>
      <c r="C633" s="59"/>
      <c r="D633" s="59"/>
      <c r="E633" s="59"/>
      <c r="F633" s="59"/>
      <c r="G633" s="79"/>
      <c r="H633" s="59"/>
    </row>
    <row r="634" spans="2:8" x14ac:dyDescent="0.2">
      <c r="B634" s="59"/>
      <c r="C634" s="59"/>
      <c r="D634" s="59"/>
      <c r="E634" s="59"/>
      <c r="F634" s="59"/>
      <c r="G634" s="79"/>
      <c r="H634" s="59"/>
    </row>
    <row r="635" spans="2:8" x14ac:dyDescent="0.2">
      <c r="B635" s="59"/>
      <c r="C635" s="59"/>
      <c r="D635" s="59"/>
      <c r="E635" s="59"/>
      <c r="F635" s="59"/>
      <c r="G635" s="79"/>
      <c r="H635" s="59"/>
    </row>
    <row r="636" spans="2:8" x14ac:dyDescent="0.2">
      <c r="B636" s="59"/>
      <c r="C636" s="59"/>
      <c r="D636" s="59"/>
      <c r="E636" s="59"/>
      <c r="F636" s="59"/>
      <c r="G636" s="79"/>
      <c r="H636" s="59"/>
    </row>
    <row r="637" spans="2:8" x14ac:dyDescent="0.2">
      <c r="B637" s="59"/>
      <c r="C637" s="59"/>
      <c r="D637" s="59"/>
      <c r="E637" s="59"/>
      <c r="F637" s="59"/>
      <c r="G637" s="79"/>
      <c r="H637" s="59"/>
    </row>
    <row r="638" spans="2:8" x14ac:dyDescent="0.2">
      <c r="B638" s="59"/>
      <c r="C638" s="59"/>
      <c r="D638" s="59"/>
      <c r="E638" s="59"/>
      <c r="F638" s="59"/>
      <c r="G638" s="79"/>
      <c r="H638" s="59"/>
    </row>
    <row r="639" spans="2:8" x14ac:dyDescent="0.2">
      <c r="B639" s="59"/>
      <c r="C639" s="59"/>
      <c r="D639" s="59"/>
      <c r="E639" s="59"/>
      <c r="F639" s="59"/>
      <c r="G639" s="79"/>
      <c r="H639" s="59"/>
    </row>
    <row r="640" spans="2:8" x14ac:dyDescent="0.2">
      <c r="B640" s="59"/>
      <c r="C640" s="59"/>
      <c r="D640" s="59"/>
      <c r="E640" s="59"/>
      <c r="F640" s="59"/>
      <c r="G640" s="79"/>
      <c r="H640" s="59"/>
    </row>
    <row r="641" spans="2:8" x14ac:dyDescent="0.2">
      <c r="B641" s="59"/>
      <c r="C641" s="59"/>
      <c r="D641" s="59"/>
      <c r="E641" s="59"/>
      <c r="F641" s="59"/>
      <c r="G641" s="79"/>
      <c r="H641" s="59"/>
    </row>
    <row r="642" spans="2:8" x14ac:dyDescent="0.2">
      <c r="B642" s="59"/>
      <c r="C642" s="59"/>
      <c r="D642" s="59"/>
      <c r="E642" s="59"/>
      <c r="F642" s="59"/>
      <c r="G642" s="79"/>
      <c r="H642" s="59"/>
    </row>
    <row r="643" spans="2:8" x14ac:dyDescent="0.2">
      <c r="B643" s="59"/>
      <c r="C643" s="59"/>
      <c r="D643" s="59"/>
      <c r="E643" s="59"/>
      <c r="F643" s="59"/>
      <c r="G643" s="79"/>
      <c r="H643" s="59"/>
    </row>
    <row r="644" spans="2:8" x14ac:dyDescent="0.2">
      <c r="B644" s="59"/>
      <c r="C644" s="59"/>
      <c r="D644" s="59"/>
      <c r="E644" s="59"/>
      <c r="F644" s="59"/>
      <c r="G644" s="79"/>
      <c r="H644" s="59"/>
    </row>
    <row r="645" spans="2:8" x14ac:dyDescent="0.2">
      <c r="B645" s="59"/>
      <c r="C645" s="59"/>
      <c r="D645" s="59"/>
      <c r="E645" s="59"/>
      <c r="F645" s="59"/>
      <c r="G645" s="79"/>
      <c r="H645" s="59"/>
    </row>
    <row r="646" spans="2:8" x14ac:dyDescent="0.2">
      <c r="B646" s="59"/>
      <c r="C646" s="59"/>
      <c r="D646" s="59"/>
      <c r="E646" s="59"/>
      <c r="F646" s="59"/>
      <c r="G646" s="79"/>
      <c r="H646" s="59"/>
    </row>
    <row r="647" spans="2:8" x14ac:dyDescent="0.2">
      <c r="B647" s="59"/>
      <c r="C647" s="59"/>
      <c r="D647" s="59"/>
      <c r="E647" s="59"/>
      <c r="F647" s="59"/>
      <c r="G647" s="79"/>
      <c r="H647" s="59"/>
    </row>
    <row r="648" spans="2:8" x14ac:dyDescent="0.2">
      <c r="B648" s="59"/>
      <c r="C648" s="59"/>
      <c r="D648" s="59"/>
      <c r="E648" s="59"/>
      <c r="F648" s="59"/>
      <c r="G648" s="79"/>
      <c r="H648" s="59"/>
    </row>
    <row r="649" spans="2:8" x14ac:dyDescent="0.2">
      <c r="B649" s="59"/>
      <c r="C649" s="59"/>
      <c r="D649" s="59"/>
      <c r="E649" s="59"/>
      <c r="F649" s="59"/>
      <c r="G649" s="79"/>
      <c r="H649" s="59"/>
    </row>
    <row r="650" spans="2:8" x14ac:dyDescent="0.2">
      <c r="B650" s="59"/>
      <c r="C650" s="59"/>
      <c r="D650" s="59"/>
      <c r="E650" s="59"/>
      <c r="F650" s="59"/>
      <c r="G650" s="79"/>
      <c r="H650" s="59"/>
    </row>
    <row r="651" spans="2:8" x14ac:dyDescent="0.2">
      <c r="B651" s="59"/>
      <c r="C651" s="59"/>
      <c r="D651" s="59"/>
      <c r="E651" s="59"/>
      <c r="F651" s="59"/>
      <c r="G651" s="79"/>
      <c r="H651" s="59"/>
    </row>
    <row r="652" spans="2:8" x14ac:dyDescent="0.2">
      <c r="B652" s="59"/>
      <c r="C652" s="59"/>
      <c r="D652" s="59"/>
      <c r="E652" s="59"/>
      <c r="F652" s="59"/>
      <c r="G652" s="79"/>
      <c r="H652" s="59"/>
    </row>
    <row r="653" spans="2:8" x14ac:dyDescent="0.2">
      <c r="B653" s="59"/>
      <c r="C653" s="59"/>
      <c r="D653" s="59"/>
      <c r="E653" s="59"/>
      <c r="F653" s="59"/>
      <c r="G653" s="79"/>
      <c r="H653" s="59"/>
    </row>
    <row r="654" spans="2:8" x14ac:dyDescent="0.2">
      <c r="B654" s="59"/>
      <c r="C654" s="59"/>
      <c r="D654" s="59"/>
      <c r="E654" s="59"/>
      <c r="F654" s="59"/>
      <c r="G654" s="79"/>
      <c r="H654" s="59"/>
    </row>
    <row r="655" spans="2:8" x14ac:dyDescent="0.2">
      <c r="B655" s="59"/>
      <c r="C655" s="59"/>
      <c r="D655" s="59"/>
      <c r="E655" s="59"/>
      <c r="F655" s="59"/>
      <c r="G655" s="79"/>
      <c r="H655" s="59"/>
    </row>
    <row r="656" spans="2:8" x14ac:dyDescent="0.2">
      <c r="B656" s="59"/>
      <c r="C656" s="59"/>
      <c r="D656" s="59"/>
      <c r="E656" s="59"/>
      <c r="F656" s="59"/>
      <c r="G656" s="79"/>
      <c r="H656" s="59"/>
    </row>
    <row r="657" spans="2:8" x14ac:dyDescent="0.2">
      <c r="B657" s="59"/>
      <c r="C657" s="59"/>
      <c r="D657" s="59"/>
      <c r="E657" s="59"/>
      <c r="F657" s="59"/>
      <c r="G657" s="79"/>
      <c r="H657" s="59"/>
    </row>
    <row r="658" spans="2:8" x14ac:dyDescent="0.2">
      <c r="B658" s="59"/>
      <c r="C658" s="59"/>
      <c r="D658" s="59"/>
      <c r="E658" s="59"/>
      <c r="F658" s="59"/>
      <c r="G658" s="79"/>
      <c r="H658" s="59"/>
    </row>
    <row r="659" spans="2:8" x14ac:dyDescent="0.2">
      <c r="B659" s="59"/>
      <c r="C659" s="59"/>
      <c r="D659" s="59"/>
      <c r="E659" s="59"/>
      <c r="F659" s="59"/>
      <c r="G659" s="79"/>
      <c r="H659" s="59"/>
    </row>
    <row r="660" spans="2:8" x14ac:dyDescent="0.2">
      <c r="B660" s="59"/>
      <c r="C660" s="59"/>
      <c r="D660" s="59"/>
      <c r="E660" s="59"/>
      <c r="F660" s="59"/>
      <c r="G660" s="79"/>
      <c r="H660" s="59"/>
    </row>
    <row r="661" spans="2:8" x14ac:dyDescent="0.2">
      <c r="B661" s="59"/>
      <c r="C661" s="59"/>
      <c r="D661" s="59"/>
      <c r="E661" s="59"/>
      <c r="F661" s="59"/>
      <c r="G661" s="79"/>
      <c r="H661" s="59"/>
    </row>
    <row r="662" spans="2:8" x14ac:dyDescent="0.2">
      <c r="B662" s="59"/>
      <c r="C662" s="59"/>
      <c r="D662" s="59"/>
      <c r="E662" s="59"/>
      <c r="F662" s="59"/>
      <c r="G662" s="79"/>
      <c r="H662" s="59"/>
    </row>
    <row r="663" spans="2:8" x14ac:dyDescent="0.2">
      <c r="B663" s="59"/>
      <c r="C663" s="59"/>
      <c r="D663" s="59"/>
      <c r="E663" s="59"/>
      <c r="F663" s="59"/>
      <c r="G663" s="79"/>
      <c r="H663" s="59"/>
    </row>
    <row r="664" spans="2:8" x14ac:dyDescent="0.2">
      <c r="B664" s="59"/>
      <c r="C664" s="59"/>
      <c r="D664" s="59"/>
      <c r="E664" s="59"/>
      <c r="F664" s="59"/>
      <c r="G664" s="79"/>
      <c r="H664" s="59"/>
    </row>
    <row r="665" spans="2:8" x14ac:dyDescent="0.2">
      <c r="B665" s="59"/>
      <c r="C665" s="59"/>
      <c r="D665" s="59"/>
      <c r="E665" s="59"/>
      <c r="F665" s="59"/>
      <c r="G665" s="79"/>
      <c r="H665" s="5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2483F-B10E-1145-A036-1864D9660C09}">
  <dimension ref="A1:X1283"/>
  <sheetViews>
    <sheetView showGridLines="0" topLeftCell="A1172" workbookViewId="0">
      <selection activeCell="H1" sqref="H1:X1"/>
    </sheetView>
  </sheetViews>
  <sheetFormatPr baseColWidth="10" defaultRowHeight="16" x14ac:dyDescent="0.2"/>
  <cols>
    <col min="1" max="1" width="16" customWidth="1"/>
    <col min="2" max="2" width="25.6640625" customWidth="1"/>
    <col min="3" max="3" width="10.5" customWidth="1"/>
    <col min="7" max="8" width="10.83203125" style="59"/>
  </cols>
  <sheetData>
    <row r="1" spans="2:23" x14ac:dyDescent="0.2">
      <c r="G1">
        <f>COUNTIF(G6:G1706,"&lt;.05")</f>
        <v>0</v>
      </c>
      <c r="H1"/>
    </row>
    <row r="2" spans="2:23" x14ac:dyDescent="0.2">
      <c r="B2" s="138" t="s">
        <v>8526</v>
      </c>
      <c r="C2" s="138"/>
      <c r="D2" s="138"/>
      <c r="E2" s="138"/>
      <c r="F2" s="138"/>
      <c r="G2" s="138"/>
      <c r="H2" s="138"/>
    </row>
    <row r="3" spans="2:23" x14ac:dyDescent="0.2">
      <c r="D3" s="139" t="s">
        <v>79</v>
      </c>
      <c r="E3" s="139"/>
      <c r="F3" s="139"/>
      <c r="G3" s="139"/>
      <c r="H3" s="139"/>
      <c r="I3" s="139" t="s">
        <v>763</v>
      </c>
      <c r="J3" s="139"/>
      <c r="K3" s="139"/>
      <c r="L3" s="139"/>
      <c r="M3" s="139"/>
      <c r="N3" s="140" t="s">
        <v>764</v>
      </c>
      <c r="O3" s="140"/>
      <c r="P3" s="140"/>
      <c r="Q3" s="140"/>
      <c r="R3" s="140"/>
      <c r="S3" s="140" t="s">
        <v>765</v>
      </c>
      <c r="T3" s="140"/>
      <c r="U3" s="140"/>
      <c r="V3" s="140"/>
      <c r="W3" s="140"/>
    </row>
    <row r="4" spans="2:23" x14ac:dyDescent="0.2">
      <c r="B4" s="19" t="s">
        <v>80</v>
      </c>
      <c r="C4" s="64" t="s">
        <v>1975</v>
      </c>
      <c r="D4" s="20" t="s">
        <v>81</v>
      </c>
      <c r="E4" s="20" t="s">
        <v>82</v>
      </c>
      <c r="F4" s="20" t="s">
        <v>83</v>
      </c>
      <c r="G4" s="131" t="s">
        <v>761</v>
      </c>
      <c r="H4" s="132" t="s">
        <v>762</v>
      </c>
      <c r="I4" s="21" t="s">
        <v>81</v>
      </c>
      <c r="J4" s="21" t="s">
        <v>82</v>
      </c>
      <c r="K4" s="21" t="s">
        <v>83</v>
      </c>
      <c r="L4" s="20" t="s">
        <v>761</v>
      </c>
      <c r="M4" s="19" t="s">
        <v>762</v>
      </c>
      <c r="N4" s="21" t="s">
        <v>81</v>
      </c>
      <c r="O4" s="21" t="s">
        <v>82</v>
      </c>
      <c r="P4" s="21" t="s">
        <v>83</v>
      </c>
      <c r="Q4" s="20" t="s">
        <v>761</v>
      </c>
      <c r="R4" s="19" t="s">
        <v>762</v>
      </c>
      <c r="S4" s="21" t="s">
        <v>81</v>
      </c>
      <c r="T4" s="21" t="s">
        <v>82</v>
      </c>
      <c r="U4" s="21" t="s">
        <v>83</v>
      </c>
      <c r="V4" s="20" t="s">
        <v>761</v>
      </c>
      <c r="W4" s="20" t="s">
        <v>762</v>
      </c>
    </row>
    <row r="5" spans="2:23" x14ac:dyDescent="0.2">
      <c r="B5" s="73" t="s">
        <v>2602</v>
      </c>
      <c r="C5" s="72"/>
      <c r="D5" s="33"/>
      <c r="E5" s="33"/>
      <c r="F5" s="33"/>
      <c r="G5" s="133"/>
      <c r="H5" s="134"/>
      <c r="L5" s="33"/>
      <c r="M5" s="68"/>
      <c r="Q5" s="33"/>
      <c r="R5" s="68"/>
      <c r="V5" s="33"/>
      <c r="W5" s="33"/>
    </row>
    <row r="6" spans="2:23" x14ac:dyDescent="0.2">
      <c r="B6" s="56" t="s">
        <v>2230</v>
      </c>
      <c r="C6" s="78">
        <v>5469</v>
      </c>
      <c r="D6" s="79">
        <v>0.99802305074352804</v>
      </c>
      <c r="E6" s="79">
        <v>2.8719763999999998E-2</v>
      </c>
      <c r="F6" s="79">
        <v>0.94506606199999998</v>
      </c>
      <c r="G6" s="79">
        <v>0.991673151733656</v>
      </c>
      <c r="H6" s="80">
        <v>1</v>
      </c>
      <c r="I6" s="79">
        <v>0.94524695841506168</v>
      </c>
      <c r="J6" s="79">
        <v>2.8505639836525699E-2</v>
      </c>
      <c r="K6" s="79">
        <v>4.8226698991830699E-2</v>
      </c>
      <c r="L6" s="79">
        <v>0.53217113930985405</v>
      </c>
      <c r="M6" s="80">
        <v>1</v>
      </c>
      <c r="N6" s="79">
        <v>0.98128599388381865</v>
      </c>
      <c r="O6" s="79">
        <v>2.82904869118124E-2</v>
      </c>
      <c r="P6" s="79">
        <v>0.50428514808727198</v>
      </c>
      <c r="Q6" s="79">
        <v>0.58576790236558396</v>
      </c>
      <c r="R6" s="80">
        <v>1</v>
      </c>
      <c r="S6" s="79">
        <v>1.0107086672115235</v>
      </c>
      <c r="T6" s="79">
        <v>2.8205397356110402E-2</v>
      </c>
      <c r="U6" s="79">
        <v>0.70569147977777003</v>
      </c>
      <c r="V6" s="79">
        <v>0.764563048839771</v>
      </c>
      <c r="W6" s="79">
        <v>1</v>
      </c>
    </row>
    <row r="7" spans="2:23" x14ac:dyDescent="0.2">
      <c r="B7" s="56" t="s">
        <v>108</v>
      </c>
      <c r="C7" s="78">
        <v>5492</v>
      </c>
      <c r="D7" s="79">
        <v>-9.8623170000000007E-3</v>
      </c>
      <c r="E7" s="79">
        <v>1.35861E-2</v>
      </c>
      <c r="F7" s="79">
        <v>0.46792510700000001</v>
      </c>
      <c r="G7" s="79">
        <v>0.91776964572333797</v>
      </c>
      <c r="H7" s="80">
        <v>1</v>
      </c>
      <c r="I7" s="79">
        <v>-1.6478296283071701E-2</v>
      </c>
      <c r="J7" s="79">
        <v>1.3501154512710001E-2</v>
      </c>
      <c r="K7" s="79">
        <v>0.22232752640838299</v>
      </c>
      <c r="L7" s="79">
        <v>0.73459417908661795</v>
      </c>
      <c r="M7" s="80">
        <v>1</v>
      </c>
      <c r="N7" s="79">
        <v>-3.1986296710788599E-2</v>
      </c>
      <c r="O7" s="79">
        <v>1.34417544408662E-2</v>
      </c>
      <c r="P7" s="79">
        <v>1.73665109793044E-2</v>
      </c>
      <c r="Q7" s="79">
        <v>3.7216612766494399E-2</v>
      </c>
      <c r="R7" s="80">
        <v>1</v>
      </c>
      <c r="S7" s="79">
        <v>-3.87151042950468E-2</v>
      </c>
      <c r="T7" s="79">
        <v>1.33866718866323E-2</v>
      </c>
      <c r="U7" s="79">
        <v>3.8430755733842199E-3</v>
      </c>
      <c r="V7" s="79">
        <v>1.2504776673396299E-2</v>
      </c>
      <c r="W7" s="79">
        <v>1</v>
      </c>
    </row>
    <row r="8" spans="2:23" x14ac:dyDescent="0.2">
      <c r="B8" s="56" t="s">
        <v>113</v>
      </c>
      <c r="C8" s="78">
        <v>5482</v>
      </c>
      <c r="D8" s="79">
        <v>2.2454227E-2</v>
      </c>
      <c r="E8" s="79">
        <v>1.312051E-2</v>
      </c>
      <c r="F8" s="79">
        <v>8.7067472000000007E-2</v>
      </c>
      <c r="G8" s="79">
        <v>0.59336855393782395</v>
      </c>
      <c r="H8" s="80">
        <v>1</v>
      </c>
      <c r="I8" s="79">
        <v>-2.39824211559427E-2</v>
      </c>
      <c r="J8" s="79">
        <v>1.3076578189264901E-2</v>
      </c>
      <c r="K8" s="79">
        <v>6.6709401179823699E-2</v>
      </c>
      <c r="L8" s="79">
        <v>0.57459637698370203</v>
      </c>
      <c r="M8" s="80">
        <v>1</v>
      </c>
      <c r="N8" s="79">
        <v>-5.08725814668754E-2</v>
      </c>
      <c r="O8" s="79">
        <v>1.2981780282494099E-2</v>
      </c>
      <c r="P8" s="79">
        <v>9.0101215049285694E-5</v>
      </c>
      <c r="Q8" s="79">
        <v>5.3680019670208196E-4</v>
      </c>
      <c r="R8" s="80">
        <v>0.114338441897544</v>
      </c>
      <c r="S8" s="79">
        <v>-4.5605146227756001E-2</v>
      </c>
      <c r="T8" s="79">
        <v>1.29360630402589E-2</v>
      </c>
      <c r="U8" s="79">
        <v>4.2630020800588298E-4</v>
      </c>
      <c r="V8" s="79">
        <v>2.3418829608634899E-3</v>
      </c>
      <c r="W8" s="79">
        <v>0.54097496395946598</v>
      </c>
    </row>
    <row r="9" spans="2:23" x14ac:dyDescent="0.2">
      <c r="B9" s="56" t="s">
        <v>106</v>
      </c>
      <c r="C9" s="78">
        <v>5495</v>
      </c>
      <c r="D9" s="79">
        <v>-1.3490738E-2</v>
      </c>
      <c r="E9" s="79">
        <v>1.3678071999999999E-2</v>
      </c>
      <c r="F9" s="79">
        <v>0.32402962899999999</v>
      </c>
      <c r="G9" s="79">
        <v>0.85579729232661295</v>
      </c>
      <c r="H9" s="80">
        <v>1</v>
      </c>
      <c r="I9" s="79">
        <v>3.0546458681840402E-3</v>
      </c>
      <c r="J9" s="79">
        <v>1.3595495095046E-2</v>
      </c>
      <c r="K9" s="79">
        <v>0.82223657795841998</v>
      </c>
      <c r="L9" s="79">
        <v>0.96329235519434897</v>
      </c>
      <c r="M9" s="80">
        <v>1</v>
      </c>
      <c r="N9" s="79">
        <v>-3.42560555000305E-3</v>
      </c>
      <c r="O9" s="79">
        <v>1.3539947284034201E-2</v>
      </c>
      <c r="P9" s="79">
        <v>0.80027832856202397</v>
      </c>
      <c r="Q9" s="79">
        <v>0.83722440143875398</v>
      </c>
      <c r="R9" s="80">
        <v>1</v>
      </c>
      <c r="S9" s="79">
        <v>-1.9948730921020098E-2</v>
      </c>
      <c r="T9" s="79">
        <v>1.347690638443E-2</v>
      </c>
      <c r="U9" s="79">
        <v>0.13887611303280001</v>
      </c>
      <c r="V9" s="79">
        <v>0.21055410685618101</v>
      </c>
      <c r="W9" s="79">
        <v>1</v>
      </c>
    </row>
    <row r="10" spans="2:23" x14ac:dyDescent="0.2">
      <c r="B10" s="56" t="s">
        <v>112</v>
      </c>
      <c r="C10" s="78">
        <v>5464</v>
      </c>
      <c r="D10" s="79">
        <v>-1.0170012000000001E-2</v>
      </c>
      <c r="E10" s="79">
        <v>1.3373441999999999E-2</v>
      </c>
      <c r="F10" s="79">
        <v>0.447011345</v>
      </c>
      <c r="G10" s="79">
        <v>0.90687861002875403</v>
      </c>
      <c r="H10" s="80">
        <v>1</v>
      </c>
      <c r="I10" s="79">
        <v>-4.20339806193641E-2</v>
      </c>
      <c r="J10" s="79">
        <v>1.32759520544932E-2</v>
      </c>
      <c r="K10" s="79">
        <v>1.55339393715869E-3</v>
      </c>
      <c r="L10" s="79">
        <v>0.18043336354349901</v>
      </c>
      <c r="M10" s="80">
        <v>1</v>
      </c>
      <c r="N10" s="79">
        <v>-5.2402738307920201E-2</v>
      </c>
      <c r="O10" s="79">
        <v>1.31989241913411E-2</v>
      </c>
      <c r="P10" s="79">
        <v>7.2754565673420596E-5</v>
      </c>
      <c r="Q10" s="79">
        <v>4.5036850653449098E-4</v>
      </c>
      <c r="R10" s="80">
        <v>9.2325543839570701E-2</v>
      </c>
      <c r="S10" s="79">
        <v>-4.4790257024703198E-2</v>
      </c>
      <c r="T10" s="79">
        <v>1.31588691571131E-2</v>
      </c>
      <c r="U10" s="79">
        <v>6.6944977747459904E-4</v>
      </c>
      <c r="V10" s="79">
        <v>3.3091145416112699E-3</v>
      </c>
      <c r="W10" s="79">
        <v>0.84953176761526605</v>
      </c>
    </row>
    <row r="11" spans="2:23" x14ac:dyDescent="0.2">
      <c r="B11" s="56" t="s">
        <v>107</v>
      </c>
      <c r="C11" s="78">
        <v>5480</v>
      </c>
      <c r="D11" s="79">
        <v>1.7435297999999998E-2</v>
      </c>
      <c r="E11" s="79">
        <v>1.378971E-2</v>
      </c>
      <c r="F11" s="79">
        <v>0.20615344599999999</v>
      </c>
      <c r="G11" s="79">
        <v>0.73748064038764105</v>
      </c>
      <c r="H11" s="80">
        <v>1</v>
      </c>
      <c r="I11" s="79">
        <v>-3.0086986023355699E-2</v>
      </c>
      <c r="J11" s="79">
        <v>1.3702369832890301E-2</v>
      </c>
      <c r="K11" s="79">
        <v>2.81541789615944E-2</v>
      </c>
      <c r="L11" s="79">
        <v>0.46602025326235702</v>
      </c>
      <c r="M11" s="80">
        <v>1</v>
      </c>
      <c r="N11" s="81">
        <v>-6.8505118914819904E-2</v>
      </c>
      <c r="O11" s="81">
        <v>1.3601355031299099E-2</v>
      </c>
      <c r="P11" s="81">
        <v>4.8984652981992002E-7</v>
      </c>
      <c r="Q11" s="81">
        <v>6.2161524634147903E-6</v>
      </c>
      <c r="R11" s="82">
        <v>6.2161524634147896E-4</v>
      </c>
      <c r="S11" s="79">
        <v>-4.5380098135504497E-2</v>
      </c>
      <c r="T11" s="79">
        <v>1.35728613108409E-2</v>
      </c>
      <c r="U11" s="79">
        <v>8.3329083886160798E-4</v>
      </c>
      <c r="V11" s="79">
        <v>3.8452584527832001E-3</v>
      </c>
      <c r="W11" s="79">
        <v>1</v>
      </c>
    </row>
    <row r="12" spans="2:23" x14ac:dyDescent="0.2">
      <c r="B12" s="56" t="s">
        <v>109</v>
      </c>
      <c r="C12" s="78">
        <v>5486</v>
      </c>
      <c r="D12" s="79">
        <v>-1.6515533999999998E-2</v>
      </c>
      <c r="E12" s="79">
        <v>1.3487046000000001E-2</v>
      </c>
      <c r="F12" s="79">
        <v>0.22080119400000001</v>
      </c>
      <c r="G12" s="79">
        <v>0.74224234113157905</v>
      </c>
      <c r="H12" s="80">
        <v>1</v>
      </c>
      <c r="I12" s="79">
        <v>-3.8088057260523098E-2</v>
      </c>
      <c r="J12" s="79">
        <v>1.3387319986371601E-2</v>
      </c>
      <c r="K12" s="79">
        <v>4.4576122164564696E-3</v>
      </c>
      <c r="L12" s="79">
        <v>0.237574476273296</v>
      </c>
      <c r="M12" s="80">
        <v>1</v>
      </c>
      <c r="N12" s="79">
        <v>-1.8735191790874701E-2</v>
      </c>
      <c r="O12" s="79">
        <v>1.33456643183659E-2</v>
      </c>
      <c r="P12" s="79">
        <v>0.16042657839323701</v>
      </c>
      <c r="Q12" s="79">
        <v>0.231342418160248</v>
      </c>
      <c r="R12" s="80">
        <v>1</v>
      </c>
      <c r="S12" s="79">
        <v>-1.5857220250245701E-2</v>
      </c>
      <c r="T12" s="79">
        <v>1.3289511924812101E-2</v>
      </c>
      <c r="U12" s="79">
        <v>0.23284054120127001</v>
      </c>
      <c r="V12" s="79">
        <v>0.320471417336672</v>
      </c>
      <c r="W12" s="79">
        <v>1</v>
      </c>
    </row>
    <row r="13" spans="2:23" x14ac:dyDescent="0.2">
      <c r="B13" s="56" t="s">
        <v>110</v>
      </c>
      <c r="C13" s="78">
        <v>5491</v>
      </c>
      <c r="D13" s="79">
        <v>-8.2591990000000001E-3</v>
      </c>
      <c r="E13" s="79">
        <v>1.3846479E-2</v>
      </c>
      <c r="F13" s="79">
        <v>0.55087802699999999</v>
      </c>
      <c r="G13" s="79">
        <v>0.94233160000673799</v>
      </c>
      <c r="H13" s="80">
        <v>1</v>
      </c>
      <c r="I13" s="79">
        <v>-4.2820117994029898E-2</v>
      </c>
      <c r="J13" s="79">
        <v>1.37522883104151E-2</v>
      </c>
      <c r="K13" s="79">
        <v>1.8579094968981199E-3</v>
      </c>
      <c r="L13" s="79">
        <v>0.18136055012028601</v>
      </c>
      <c r="M13" s="80">
        <v>1</v>
      </c>
      <c r="N13" s="79">
        <v>-4.99508141007418E-2</v>
      </c>
      <c r="O13" s="79">
        <v>1.36845665447926E-2</v>
      </c>
      <c r="P13" s="79">
        <v>2.6467069507563198E-4</v>
      </c>
      <c r="Q13" s="79">
        <v>1.3171259296116699E-3</v>
      </c>
      <c r="R13" s="80">
        <v>0.33586711205097702</v>
      </c>
      <c r="S13" s="79">
        <v>-3.0111830561437802E-2</v>
      </c>
      <c r="T13" s="79">
        <v>1.36459154627195E-2</v>
      </c>
      <c r="U13" s="79">
        <v>2.7381676070883099E-2</v>
      </c>
      <c r="V13" s="79">
        <v>5.5953859797021999E-2</v>
      </c>
      <c r="W13" s="79">
        <v>1</v>
      </c>
    </row>
    <row r="14" spans="2:23" x14ac:dyDescent="0.2">
      <c r="B14" s="56" t="s">
        <v>105</v>
      </c>
      <c r="C14" s="78">
        <v>5497</v>
      </c>
      <c r="D14" s="79">
        <v>1.4763505999999999E-2</v>
      </c>
      <c r="E14" s="79">
        <v>1.325761E-2</v>
      </c>
      <c r="F14" s="79">
        <v>0.26550606700000001</v>
      </c>
      <c r="G14" s="79">
        <v>0.81977420686861302</v>
      </c>
      <c r="H14" s="80">
        <v>1</v>
      </c>
      <c r="I14" s="79">
        <v>-3.1671402837374497E-2</v>
      </c>
      <c r="J14" s="79">
        <v>1.32018435752342E-2</v>
      </c>
      <c r="K14" s="79">
        <v>1.6473519617982799E-2</v>
      </c>
      <c r="L14" s="79">
        <v>0.41909202640396798</v>
      </c>
      <c r="M14" s="80">
        <v>1</v>
      </c>
      <c r="N14" s="79">
        <v>-3.6923472490614798E-2</v>
      </c>
      <c r="O14" s="79">
        <v>1.3131598426459499E-2</v>
      </c>
      <c r="P14" s="79">
        <v>4.9443973491251096E-3</v>
      </c>
      <c r="Q14" s="79">
        <v>1.32652013446929E-2</v>
      </c>
      <c r="R14" s="80">
        <v>1</v>
      </c>
      <c r="S14" s="79">
        <v>-5.2159183004017201E-2</v>
      </c>
      <c r="T14" s="79">
        <v>1.3050866819552901E-2</v>
      </c>
      <c r="U14" s="79">
        <v>6.5119526245907498E-5</v>
      </c>
      <c r="V14" s="79">
        <v>5.8194844229617299E-4</v>
      </c>
      <c r="W14" s="79">
        <v>8.2636678806056602E-2</v>
      </c>
    </row>
    <row r="15" spans="2:23" x14ac:dyDescent="0.2">
      <c r="B15" s="56" t="s">
        <v>111</v>
      </c>
      <c r="C15" s="78">
        <v>5490</v>
      </c>
      <c r="D15" s="79">
        <v>2.6585701E-2</v>
      </c>
      <c r="E15" s="79">
        <v>1.3438466E-2</v>
      </c>
      <c r="F15" s="79">
        <v>4.7942413000000003E-2</v>
      </c>
      <c r="G15" s="79">
        <v>0.45521505020000003</v>
      </c>
      <c r="H15" s="80">
        <v>1</v>
      </c>
      <c r="I15" s="79">
        <v>-7.5842329304895602E-3</v>
      </c>
      <c r="J15" s="79">
        <v>1.3399620782586301E-2</v>
      </c>
      <c r="K15" s="79">
        <v>0.57141510266138895</v>
      </c>
      <c r="L15" s="79">
        <v>0.911324282187712</v>
      </c>
      <c r="M15" s="80">
        <v>1</v>
      </c>
      <c r="N15" s="79">
        <v>-5.1951917690342297E-2</v>
      </c>
      <c r="O15" s="79">
        <v>1.33031005920459E-2</v>
      </c>
      <c r="P15" s="79">
        <v>9.5282197979544895E-5</v>
      </c>
      <c r="Q15" s="79">
        <v>5.5978291312982597E-4</v>
      </c>
      <c r="R15" s="80">
        <v>0.120913109236042</v>
      </c>
      <c r="S15" s="79">
        <v>-2.6387139951481099E-2</v>
      </c>
      <c r="T15" s="79">
        <v>1.3260192409169799E-2</v>
      </c>
      <c r="U15" s="79">
        <v>4.6646760846558E-2</v>
      </c>
      <c r="V15" s="79">
        <v>8.8880990261684903E-2</v>
      </c>
      <c r="W15" s="79">
        <v>1</v>
      </c>
    </row>
    <row r="16" spans="2:23" x14ac:dyDescent="0.2">
      <c r="B16" s="56" t="s">
        <v>114</v>
      </c>
      <c r="C16" s="78">
        <v>5463</v>
      </c>
      <c r="D16" s="79">
        <v>4.2379080000000003E-3</v>
      </c>
      <c r="E16" s="79">
        <v>1.3002763000000001E-2</v>
      </c>
      <c r="F16" s="79">
        <v>0.74449474599999999</v>
      </c>
      <c r="G16" s="79">
        <v>0.98545101377932998</v>
      </c>
      <c r="H16" s="80">
        <v>1</v>
      </c>
      <c r="I16" s="79">
        <v>-4.1689905730598997E-2</v>
      </c>
      <c r="J16" s="79">
        <v>1.292328895303E-2</v>
      </c>
      <c r="K16" s="79">
        <v>1.26309659850763E-3</v>
      </c>
      <c r="L16" s="79">
        <v>0.18043336354349901</v>
      </c>
      <c r="M16" s="80">
        <v>1</v>
      </c>
      <c r="N16" s="81">
        <v>-6.1437631895411501E-2</v>
      </c>
      <c r="O16" s="81">
        <v>1.2831917360068701E-2</v>
      </c>
      <c r="P16" s="81">
        <v>1.73071328455501E-6</v>
      </c>
      <c r="Q16" s="81">
        <v>1.8359031240237398E-5</v>
      </c>
      <c r="R16" s="82">
        <v>2.1962751581003099E-3</v>
      </c>
      <c r="S16" s="81">
        <v>-5.2838122821242298E-2</v>
      </c>
      <c r="T16" s="81">
        <v>1.27899313993824E-2</v>
      </c>
      <c r="U16" s="81">
        <v>3.6629926276230703E-5</v>
      </c>
      <c r="V16" s="81">
        <v>3.9729381576527202E-4</v>
      </c>
      <c r="W16" s="81">
        <v>4.6483376444536803E-2</v>
      </c>
    </row>
    <row r="17" spans="2:23" x14ac:dyDescent="0.2">
      <c r="B17" s="56" t="s">
        <v>115</v>
      </c>
      <c r="C17" s="78">
        <v>5408</v>
      </c>
      <c r="D17" s="79">
        <v>3.0098237999999999E-2</v>
      </c>
      <c r="E17" s="79">
        <v>1.3539081E-2</v>
      </c>
      <c r="F17" s="79">
        <v>2.6255410999999999E-2</v>
      </c>
      <c r="G17" s="79">
        <v>0.37436086021348303</v>
      </c>
      <c r="H17" s="80">
        <v>1</v>
      </c>
      <c r="I17" s="79">
        <v>1.9190224393337899E-2</v>
      </c>
      <c r="J17" s="79">
        <v>1.34767371564481E-2</v>
      </c>
      <c r="K17" s="79">
        <v>0.15452255475191201</v>
      </c>
      <c r="L17" s="79">
        <v>0.66470888806839401</v>
      </c>
      <c r="M17" s="80">
        <v>1</v>
      </c>
      <c r="N17" s="81">
        <v>-5.8809072927500497E-2</v>
      </c>
      <c r="O17" s="81">
        <v>1.33496228775577E-2</v>
      </c>
      <c r="P17" s="81">
        <v>1.0782907970252099E-5</v>
      </c>
      <c r="Q17" s="81">
        <v>9.1835639021811504E-5</v>
      </c>
      <c r="R17" s="82">
        <v>1.36835102142499E-2</v>
      </c>
      <c r="S17" s="79">
        <v>-4.1369620557887399E-2</v>
      </c>
      <c r="T17" s="79">
        <v>1.33492706899709E-2</v>
      </c>
      <c r="U17" s="79">
        <v>1.95222717355962E-3</v>
      </c>
      <c r="V17" s="79">
        <v>7.5760742606946702E-3</v>
      </c>
      <c r="W17" s="79">
        <v>1</v>
      </c>
    </row>
    <row r="18" spans="2:23" x14ac:dyDescent="0.2">
      <c r="B18" s="56" t="s">
        <v>116</v>
      </c>
      <c r="C18" s="78">
        <v>5456</v>
      </c>
      <c r="D18" s="79">
        <v>1.7869059999999999E-2</v>
      </c>
      <c r="E18" s="79">
        <v>1.3883418999999999E-2</v>
      </c>
      <c r="F18" s="79">
        <v>0.19812468599999999</v>
      </c>
      <c r="G18" s="79">
        <v>0.732514271634783</v>
      </c>
      <c r="H18" s="80">
        <v>1</v>
      </c>
      <c r="I18" s="79">
        <v>5.4677207461698799E-3</v>
      </c>
      <c r="J18" s="79">
        <v>1.38157721842668E-2</v>
      </c>
      <c r="K18" s="79">
        <v>0.69229925654722302</v>
      </c>
      <c r="L18" s="79">
        <v>0.93616360447106906</v>
      </c>
      <c r="M18" s="80">
        <v>1</v>
      </c>
      <c r="N18" s="79">
        <v>-2.6435542412540099E-2</v>
      </c>
      <c r="O18" s="79">
        <v>1.37403640715062E-2</v>
      </c>
      <c r="P18" s="79">
        <v>5.4418689722506498E-2</v>
      </c>
      <c r="Q18" s="79">
        <v>9.5383034886547993E-2</v>
      </c>
      <c r="R18" s="80">
        <v>1</v>
      </c>
      <c r="S18" s="79">
        <v>-3.5277432414379903E-2</v>
      </c>
      <c r="T18" s="79">
        <v>1.3738688233322799E-2</v>
      </c>
      <c r="U18" s="79">
        <v>1.0264344851015799E-2</v>
      </c>
      <c r="V18" s="79">
        <v>2.6474499219388301E-2</v>
      </c>
      <c r="W18" s="79">
        <v>1</v>
      </c>
    </row>
    <row r="19" spans="2:23" x14ac:dyDescent="0.2">
      <c r="B19" s="56" t="s">
        <v>117</v>
      </c>
      <c r="C19" s="78">
        <v>5441</v>
      </c>
      <c r="D19" s="79">
        <v>8.2676090000000004E-3</v>
      </c>
      <c r="E19" s="79">
        <v>1.3720405E-2</v>
      </c>
      <c r="F19" s="79">
        <v>0.54681576600000004</v>
      </c>
      <c r="G19" s="79">
        <v>0.94233160000673799</v>
      </c>
      <c r="H19" s="80">
        <v>1</v>
      </c>
      <c r="I19" s="79">
        <v>-4.5099212968453602E-2</v>
      </c>
      <c r="J19" s="79">
        <v>1.3679352742737599E-2</v>
      </c>
      <c r="K19" s="79">
        <v>9.8420195656835695E-4</v>
      </c>
      <c r="L19" s="79">
        <v>0.18043336354349901</v>
      </c>
      <c r="M19" s="80">
        <v>1</v>
      </c>
      <c r="N19" s="79">
        <v>-4.5043029850671698E-2</v>
      </c>
      <c r="O19" s="79">
        <v>1.35855011807963E-2</v>
      </c>
      <c r="P19" s="79">
        <v>9.2095785529631904E-4</v>
      </c>
      <c r="Q19" s="79">
        <v>3.34869776037544E-3</v>
      </c>
      <c r="R19" s="80">
        <v>1</v>
      </c>
      <c r="S19" s="79">
        <v>-4.8556444632762701E-2</v>
      </c>
      <c r="T19" s="79">
        <v>1.35637764024873E-2</v>
      </c>
      <c r="U19" s="79">
        <v>3.4688092001111301E-4</v>
      </c>
      <c r="V19" s="79">
        <v>2.0100086186945298E-3</v>
      </c>
      <c r="W19" s="79">
        <v>0.44019188749410199</v>
      </c>
    </row>
    <row r="20" spans="2:23" x14ac:dyDescent="0.2">
      <c r="B20" s="83" t="s">
        <v>2231</v>
      </c>
      <c r="C20" s="78"/>
      <c r="D20" s="79"/>
      <c r="E20" s="79"/>
      <c r="F20" s="79"/>
      <c r="G20" s="79"/>
      <c r="H20" s="80"/>
      <c r="I20" s="79"/>
      <c r="J20" s="79"/>
      <c r="K20" s="79"/>
      <c r="L20" s="79"/>
      <c r="M20" s="80"/>
      <c r="N20" s="79"/>
      <c r="O20" s="79"/>
      <c r="P20" s="79"/>
      <c r="Q20" s="79"/>
      <c r="R20" s="80"/>
      <c r="S20" s="79"/>
      <c r="T20" s="79"/>
      <c r="U20" s="79"/>
      <c r="V20" s="79"/>
      <c r="W20" s="79"/>
    </row>
    <row r="21" spans="2:23" x14ac:dyDescent="0.2">
      <c r="B21" s="56" t="s">
        <v>222</v>
      </c>
      <c r="C21" s="78">
        <v>5547</v>
      </c>
      <c r="D21" s="79">
        <v>-1.9886564999999998E-2</v>
      </c>
      <c r="E21" s="79">
        <v>1.3774007E-2</v>
      </c>
      <c r="F21" s="79">
        <v>0.14886157999999999</v>
      </c>
      <c r="G21" s="79">
        <v>0.67644481499999998</v>
      </c>
      <c r="H21" s="80">
        <v>1</v>
      </c>
      <c r="I21" s="79">
        <v>-1.3291438432821099E-2</v>
      </c>
      <c r="J21" s="79">
        <v>1.37087037397006E-2</v>
      </c>
      <c r="K21" s="79">
        <v>0.33230972434808798</v>
      </c>
      <c r="L21" s="79">
        <v>0.79366538468944703</v>
      </c>
      <c r="M21" s="80">
        <v>1</v>
      </c>
      <c r="N21" s="81">
        <v>8.5922005270649998E-2</v>
      </c>
      <c r="O21" s="81">
        <v>1.3580102679114799E-2</v>
      </c>
      <c r="P21" s="81">
        <v>2.7060385331861901E-10</v>
      </c>
      <c r="Q21" s="81">
        <v>7.1540893721109897E-9</v>
      </c>
      <c r="R21" s="82">
        <v>3.4339628986132801E-7</v>
      </c>
      <c r="S21" s="79">
        <v>4.3543651897452101E-2</v>
      </c>
      <c r="T21" s="79">
        <v>1.3588349537910899E-2</v>
      </c>
      <c r="U21" s="79">
        <v>1.36110027129045E-3</v>
      </c>
      <c r="V21" s="79">
        <v>5.8550381161612897E-3</v>
      </c>
      <c r="W21" s="79">
        <v>1</v>
      </c>
    </row>
    <row r="22" spans="2:23" x14ac:dyDescent="0.2">
      <c r="B22" s="56" t="s">
        <v>223</v>
      </c>
      <c r="C22" s="78">
        <v>5548</v>
      </c>
      <c r="D22" s="79">
        <v>-1.16851E-2</v>
      </c>
      <c r="E22" s="79">
        <v>1.3692655E-2</v>
      </c>
      <c r="F22" s="79">
        <v>0.39348359100000002</v>
      </c>
      <c r="G22" s="79">
        <v>0.88261195738869902</v>
      </c>
      <c r="H22" s="80">
        <v>1</v>
      </c>
      <c r="I22" s="79">
        <v>-1.15426036059804E-2</v>
      </c>
      <c r="J22" s="79">
        <v>1.36528608571139E-2</v>
      </c>
      <c r="K22" s="79">
        <v>0.397905530802804</v>
      </c>
      <c r="L22" s="79">
        <v>0.83369555356615399</v>
      </c>
      <c r="M22" s="80">
        <v>1</v>
      </c>
      <c r="N22" s="81">
        <v>8.2599725816610306E-2</v>
      </c>
      <c r="O22" s="81">
        <v>1.3509232899352901E-2</v>
      </c>
      <c r="P22" s="81">
        <v>1.0374711929816601E-9</v>
      </c>
      <c r="Q22" s="81">
        <v>2.3509838283816499E-8</v>
      </c>
      <c r="R22" s="82">
        <v>1.3165509438937299E-6</v>
      </c>
      <c r="S22" s="79">
        <v>4.4337325528550402E-2</v>
      </c>
      <c r="T22" s="79">
        <v>1.3511801060123899E-2</v>
      </c>
      <c r="U22" s="79">
        <v>1.0395240923701599E-3</v>
      </c>
      <c r="V22" s="79">
        <v>4.6286178007639801E-3</v>
      </c>
      <c r="W22" s="79">
        <v>1</v>
      </c>
    </row>
    <row r="23" spans="2:23" x14ac:dyDescent="0.2">
      <c r="B23" s="56" t="s">
        <v>224</v>
      </c>
      <c r="C23" s="78">
        <v>5548</v>
      </c>
      <c r="D23" s="79">
        <v>-4.1198459999999999E-3</v>
      </c>
      <c r="E23" s="79">
        <v>1.3304303E-2</v>
      </c>
      <c r="F23" s="79">
        <v>0.75682958099999997</v>
      </c>
      <c r="G23" s="79">
        <v>0.98545101377932998</v>
      </c>
      <c r="H23" s="80">
        <v>1</v>
      </c>
      <c r="I23" s="79">
        <v>2.13096769739064E-2</v>
      </c>
      <c r="J23" s="79">
        <v>1.3242118557765799E-2</v>
      </c>
      <c r="K23" s="79">
        <v>0.107624596697693</v>
      </c>
      <c r="L23" s="79">
        <v>0.62424045135977002</v>
      </c>
      <c r="M23" s="80">
        <v>1</v>
      </c>
      <c r="N23" s="81">
        <v>6.8831195889327998E-2</v>
      </c>
      <c r="O23" s="81">
        <v>1.3128101723608799E-2</v>
      </c>
      <c r="P23" s="81">
        <v>1.6405765800876899E-7</v>
      </c>
      <c r="Q23" s="81">
        <v>2.5083032290738299E-6</v>
      </c>
      <c r="R23" s="82">
        <v>2.08189168013128E-4</v>
      </c>
      <c r="S23" s="79">
        <v>3.2371820633085899E-2</v>
      </c>
      <c r="T23" s="79">
        <v>1.31297771052646E-2</v>
      </c>
      <c r="U23" s="79">
        <v>1.3712379288954401E-2</v>
      </c>
      <c r="V23" s="79">
        <v>3.2832093052232302E-2</v>
      </c>
      <c r="W23" s="79">
        <v>1</v>
      </c>
    </row>
    <row r="24" spans="2:23" x14ac:dyDescent="0.2">
      <c r="B24" s="56" t="s">
        <v>225</v>
      </c>
      <c r="C24" s="78">
        <v>5548</v>
      </c>
      <c r="D24" s="79">
        <v>-4.6866699999999998E-4</v>
      </c>
      <c r="E24" s="79">
        <v>1.3702773E-2</v>
      </c>
      <c r="F24" s="79">
        <v>0.972717147</v>
      </c>
      <c r="G24" s="79">
        <v>0.992299742561502</v>
      </c>
      <c r="H24" s="80">
        <v>1</v>
      </c>
      <c r="I24" s="79">
        <v>2.29649033947062E-2</v>
      </c>
      <c r="J24" s="79">
        <v>1.3615723504529701E-2</v>
      </c>
      <c r="K24" s="79">
        <v>9.1733719333636804E-2</v>
      </c>
      <c r="L24" s="79">
        <v>0.59811020064394504</v>
      </c>
      <c r="M24" s="80">
        <v>1</v>
      </c>
      <c r="N24" s="79">
        <v>2.9968417691917298E-2</v>
      </c>
      <c r="O24" s="79">
        <v>1.3537243535446801E-2</v>
      </c>
      <c r="P24" s="79">
        <v>2.68888851855037E-2</v>
      </c>
      <c r="Q24" s="79">
        <v>5.24147393247376E-2</v>
      </c>
      <c r="R24" s="80">
        <v>1</v>
      </c>
      <c r="S24" s="79">
        <v>3.9098103655094703E-2</v>
      </c>
      <c r="T24" s="79">
        <v>1.35147285368041E-2</v>
      </c>
      <c r="U24" s="79">
        <v>3.83200148694114E-3</v>
      </c>
      <c r="V24" s="79">
        <v>1.25007966244944E-2</v>
      </c>
      <c r="W24" s="79">
        <v>1</v>
      </c>
    </row>
    <row r="25" spans="2:23" x14ac:dyDescent="0.2">
      <c r="B25" s="56" t="s">
        <v>226</v>
      </c>
      <c r="C25" s="78">
        <v>5548</v>
      </c>
      <c r="D25" s="79">
        <v>-6.335668E-3</v>
      </c>
      <c r="E25" s="79">
        <v>1.3776039E-2</v>
      </c>
      <c r="F25" s="79">
        <v>0.64560389500000004</v>
      </c>
      <c r="G25" s="79">
        <v>0.98233085592215597</v>
      </c>
      <c r="H25" s="80">
        <v>1</v>
      </c>
      <c r="I25" s="79">
        <v>3.3354030201115298E-2</v>
      </c>
      <c r="J25" s="79">
        <v>1.3693154639909E-2</v>
      </c>
      <c r="K25" s="79">
        <v>1.48924558977881E-2</v>
      </c>
      <c r="L25" s="79">
        <v>0.41909202640396798</v>
      </c>
      <c r="M25" s="80">
        <v>1</v>
      </c>
      <c r="N25" s="79">
        <v>1.51188182945895E-2</v>
      </c>
      <c r="O25" s="79">
        <v>1.36160629543466E-2</v>
      </c>
      <c r="P25" s="79">
        <v>0.26689374453021802</v>
      </c>
      <c r="Q25" s="79">
        <v>0.34716213479695901</v>
      </c>
      <c r="R25" s="80">
        <v>1</v>
      </c>
      <c r="S25" s="79">
        <v>4.8336755845267601E-2</v>
      </c>
      <c r="T25" s="79">
        <v>1.35847354615822E-2</v>
      </c>
      <c r="U25" s="79">
        <v>3.7682514494983399E-4</v>
      </c>
      <c r="V25" s="79">
        <v>2.16335904205014E-3</v>
      </c>
      <c r="W25" s="79">
        <v>0.47819110894133898</v>
      </c>
    </row>
    <row r="26" spans="2:23" x14ac:dyDescent="0.2">
      <c r="B26" s="56" t="s">
        <v>1992</v>
      </c>
      <c r="C26" s="78">
        <v>5546</v>
      </c>
      <c r="D26" s="79">
        <v>9.0400000000000002E-5</v>
      </c>
      <c r="E26" s="79">
        <v>1.3887152E-2</v>
      </c>
      <c r="F26" s="79">
        <v>0.99480790399999997</v>
      </c>
      <c r="G26" s="79">
        <v>0.99559245282018904</v>
      </c>
      <c r="H26" s="80">
        <v>1</v>
      </c>
      <c r="I26" s="79">
        <v>1.29161289005436E-3</v>
      </c>
      <c r="J26" s="79">
        <v>1.3828622839336399E-2</v>
      </c>
      <c r="K26" s="79">
        <v>0.925588319112705</v>
      </c>
      <c r="L26" s="79">
        <v>0.981200184300273</v>
      </c>
      <c r="M26" s="80">
        <v>1</v>
      </c>
      <c r="N26" s="79">
        <v>2.6635989079988199E-2</v>
      </c>
      <c r="O26" s="79">
        <v>1.37324724299048E-2</v>
      </c>
      <c r="P26" s="79">
        <v>5.24784527909875E-2</v>
      </c>
      <c r="Q26" s="79">
        <v>9.2493273044115504E-2</v>
      </c>
      <c r="R26" s="80">
        <v>1</v>
      </c>
      <c r="S26" s="79">
        <v>1.51052645592066E-3</v>
      </c>
      <c r="T26" s="79">
        <v>1.3717102767359201E-2</v>
      </c>
      <c r="U26" s="79">
        <v>0.91231850643183898</v>
      </c>
      <c r="V26" s="79">
        <v>0.93724429787357</v>
      </c>
      <c r="W26" s="79">
        <v>1</v>
      </c>
    </row>
    <row r="27" spans="2:23" x14ac:dyDescent="0.2">
      <c r="B27" s="56" t="s">
        <v>227</v>
      </c>
      <c r="C27" s="78">
        <v>5546</v>
      </c>
      <c r="D27" s="79">
        <v>-3.7538224000000002E-2</v>
      </c>
      <c r="E27" s="79">
        <v>1.3853544000000001E-2</v>
      </c>
      <c r="F27" s="79">
        <v>6.7573329999999999E-3</v>
      </c>
      <c r="G27" s="79">
        <v>0.24769039949999999</v>
      </c>
      <c r="H27" s="80">
        <v>1</v>
      </c>
      <c r="I27" s="79">
        <v>-9.9711623811334395E-3</v>
      </c>
      <c r="J27" s="79">
        <v>1.37865659988153E-2</v>
      </c>
      <c r="K27" s="79">
        <v>0.46955765863280802</v>
      </c>
      <c r="L27" s="79">
        <v>0.87326336285163797</v>
      </c>
      <c r="M27" s="80">
        <v>1</v>
      </c>
      <c r="N27" s="79">
        <v>5.4577387960904701E-2</v>
      </c>
      <c r="O27" s="79">
        <v>1.36840666056528E-2</v>
      </c>
      <c r="P27" s="79">
        <v>6.7435649786493106E-5</v>
      </c>
      <c r="Q27" s="79">
        <v>4.2364277019336498E-4</v>
      </c>
      <c r="R27" s="80">
        <v>8.5575839579059704E-2</v>
      </c>
      <c r="S27" s="79">
        <v>3.3984649606678102E-2</v>
      </c>
      <c r="T27" s="79">
        <v>1.3681164594941699E-2</v>
      </c>
      <c r="U27" s="79">
        <v>1.3020843715767699E-2</v>
      </c>
      <c r="V27" s="79">
        <v>3.1533302815475603E-2</v>
      </c>
      <c r="W27" s="79">
        <v>1</v>
      </c>
    </row>
    <row r="28" spans="2:23" x14ac:dyDescent="0.2">
      <c r="B28" s="56" t="s">
        <v>228</v>
      </c>
      <c r="C28" s="78">
        <v>5547</v>
      </c>
      <c r="D28" s="79">
        <v>-3.5385989999999999E-3</v>
      </c>
      <c r="E28" s="79">
        <v>1.3657646000000001E-2</v>
      </c>
      <c r="F28" s="79">
        <v>0.79557330199999998</v>
      </c>
      <c r="G28" s="79">
        <v>0.98545101377932998</v>
      </c>
      <c r="H28" s="80">
        <v>1</v>
      </c>
      <c r="I28" s="79">
        <v>-9.1537487812766195E-3</v>
      </c>
      <c r="J28" s="79">
        <v>1.3620813445469801E-2</v>
      </c>
      <c r="K28" s="79">
        <v>0.50158599762924905</v>
      </c>
      <c r="L28" s="79">
        <v>0.88650784260657001</v>
      </c>
      <c r="M28" s="80">
        <v>1</v>
      </c>
      <c r="N28" s="81">
        <v>8.7416178178943302E-2</v>
      </c>
      <c r="O28" s="81">
        <v>1.34694272804663E-2</v>
      </c>
      <c r="P28" s="81">
        <v>9.34581965943363E-11</v>
      </c>
      <c r="Q28" s="81">
        <v>2.8926451580051901E-9</v>
      </c>
      <c r="R28" s="82">
        <v>1.18598451478213E-7</v>
      </c>
      <c r="S28" s="79">
        <v>5.2795283938676302E-2</v>
      </c>
      <c r="T28" s="79">
        <v>1.34735702971326E-2</v>
      </c>
      <c r="U28" s="79">
        <v>9.0215482319198404E-5</v>
      </c>
      <c r="V28" s="79">
        <v>7.5318057278330798E-4</v>
      </c>
      <c r="W28" s="79">
        <v>0.114483447063063</v>
      </c>
    </row>
    <row r="29" spans="2:23" x14ac:dyDescent="0.2">
      <c r="B29" s="56" t="s">
        <v>229</v>
      </c>
      <c r="C29" s="78">
        <v>5545</v>
      </c>
      <c r="D29" s="79">
        <v>-2.1272511000000001E-2</v>
      </c>
      <c r="E29" s="79">
        <v>1.3045062E-2</v>
      </c>
      <c r="F29" s="79">
        <v>0.10301331399999999</v>
      </c>
      <c r="G29" s="79">
        <v>0.61409274316589901</v>
      </c>
      <c r="H29" s="80">
        <v>1</v>
      </c>
      <c r="I29" s="79">
        <v>1.51588957292549E-2</v>
      </c>
      <c r="J29" s="79">
        <v>1.2999261253977301E-2</v>
      </c>
      <c r="K29" s="79">
        <v>0.24361197605058299</v>
      </c>
      <c r="L29" s="79">
        <v>0.74977621225371305</v>
      </c>
      <c r="M29" s="80">
        <v>1</v>
      </c>
      <c r="N29" s="81">
        <v>8.1960301859703294E-2</v>
      </c>
      <c r="O29" s="81">
        <v>1.28631906360948E-2</v>
      </c>
      <c r="P29" s="81">
        <v>2.02598018868274E-10</v>
      </c>
      <c r="Q29" s="81">
        <v>5.5890627379095598E-9</v>
      </c>
      <c r="R29" s="82">
        <v>2.5709688594383999E-7</v>
      </c>
      <c r="S29" s="79">
        <v>2.33813692770398E-2</v>
      </c>
      <c r="T29" s="79">
        <v>1.2881311901627101E-2</v>
      </c>
      <c r="U29" s="79">
        <v>6.9558280118478394E-2</v>
      </c>
      <c r="V29" s="79">
        <v>0.120992755450893</v>
      </c>
      <c r="W29" s="79">
        <v>1</v>
      </c>
    </row>
    <row r="30" spans="2:23" x14ac:dyDescent="0.2">
      <c r="B30" s="56" t="s">
        <v>230</v>
      </c>
      <c r="C30" s="78">
        <v>5546</v>
      </c>
      <c r="D30" s="79">
        <v>-7.5368650000000002E-3</v>
      </c>
      <c r="E30" s="79">
        <v>1.3859457E-2</v>
      </c>
      <c r="F30" s="79">
        <v>0.58659774600000003</v>
      </c>
      <c r="G30" s="79">
        <v>0.95350818012595395</v>
      </c>
      <c r="H30" s="80">
        <v>1</v>
      </c>
      <c r="I30" s="79">
        <v>2.1469691670896698E-2</v>
      </c>
      <c r="J30" s="79">
        <v>1.37940495474894E-2</v>
      </c>
      <c r="K30" s="79">
        <v>0.119663833870264</v>
      </c>
      <c r="L30" s="79">
        <v>0.63272252158902098</v>
      </c>
      <c r="M30" s="80">
        <v>1</v>
      </c>
      <c r="N30" s="79">
        <v>4.3387575902412399E-2</v>
      </c>
      <c r="O30" s="79">
        <v>1.3699989120381E-2</v>
      </c>
      <c r="P30" s="79">
        <v>1.54928319418326E-3</v>
      </c>
      <c r="Q30" s="79">
        <v>5.09336884305326E-3</v>
      </c>
      <c r="R30" s="80">
        <v>1</v>
      </c>
      <c r="S30" s="79">
        <v>3.9633185957051897E-2</v>
      </c>
      <c r="T30" s="79">
        <v>1.36776505032296E-2</v>
      </c>
      <c r="U30" s="79">
        <v>3.7752602833441402E-3</v>
      </c>
      <c r="V30" s="79">
        <v>1.2379341859337799E-2</v>
      </c>
      <c r="W30" s="79">
        <v>1</v>
      </c>
    </row>
    <row r="31" spans="2:23" x14ac:dyDescent="0.2">
      <c r="B31" s="56" t="s">
        <v>231</v>
      </c>
      <c r="C31" s="78">
        <v>5546</v>
      </c>
      <c r="D31" s="79">
        <v>-8.7582890000000007E-3</v>
      </c>
      <c r="E31" s="79">
        <v>1.3944289E-2</v>
      </c>
      <c r="F31" s="79">
        <v>0.52997069900000005</v>
      </c>
      <c r="G31" s="79">
        <v>0.93839135459751</v>
      </c>
      <c r="H31" s="80">
        <v>1</v>
      </c>
      <c r="I31" s="79">
        <v>4.16070318443401E-2</v>
      </c>
      <c r="J31" s="79">
        <v>1.38872133202739E-2</v>
      </c>
      <c r="K31" s="79">
        <v>2.7475285997200101E-3</v>
      </c>
      <c r="L31" s="79">
        <v>0.19370076628026101</v>
      </c>
      <c r="M31" s="80">
        <v>1</v>
      </c>
      <c r="N31" s="79">
        <v>2.4055666818523901E-2</v>
      </c>
      <c r="O31" s="79">
        <v>1.38032022791143E-2</v>
      </c>
      <c r="P31" s="79">
        <v>8.1433209307664206E-2</v>
      </c>
      <c r="Q31" s="79">
        <v>0.13197795991242101</v>
      </c>
      <c r="R31" s="80">
        <v>1</v>
      </c>
      <c r="S31" s="79">
        <v>5.37619877512059E-2</v>
      </c>
      <c r="T31" s="79">
        <v>1.37515310362997E-2</v>
      </c>
      <c r="U31" s="79">
        <v>9.3618308111327898E-5</v>
      </c>
      <c r="V31" s="79">
        <v>7.6617362379288495E-4</v>
      </c>
      <c r="W31" s="79">
        <v>0.11880163299327499</v>
      </c>
    </row>
    <row r="32" spans="2:23" x14ac:dyDescent="0.2">
      <c r="B32" s="56" t="s">
        <v>232</v>
      </c>
      <c r="C32" s="78">
        <v>5544</v>
      </c>
      <c r="D32" s="79">
        <v>-4.1909429999999999E-3</v>
      </c>
      <c r="E32" s="79">
        <v>1.3929896000000001E-2</v>
      </c>
      <c r="F32" s="79">
        <v>0.76353349199999998</v>
      </c>
      <c r="G32" s="79">
        <v>0.98545101377932998</v>
      </c>
      <c r="H32" s="80">
        <v>1</v>
      </c>
      <c r="I32" s="79">
        <v>4.4496125830422503E-3</v>
      </c>
      <c r="J32" s="79">
        <v>1.3873508856511001E-2</v>
      </c>
      <c r="K32" s="79">
        <v>0.74843011924423497</v>
      </c>
      <c r="L32" s="79">
        <v>0.95261566832591205</v>
      </c>
      <c r="M32" s="80">
        <v>1</v>
      </c>
      <c r="N32" s="79">
        <v>3.8383227803821703E-2</v>
      </c>
      <c r="O32" s="79">
        <v>1.37769391490266E-2</v>
      </c>
      <c r="P32" s="79">
        <v>5.3549131644820402E-3</v>
      </c>
      <c r="Q32" s="79">
        <v>1.3982273262814199E-2</v>
      </c>
      <c r="R32" s="80">
        <v>1</v>
      </c>
      <c r="S32" s="79">
        <v>1.5109510648715E-2</v>
      </c>
      <c r="T32" s="79">
        <v>1.3757263425233E-2</v>
      </c>
      <c r="U32" s="79">
        <v>0.27212706895729299</v>
      </c>
      <c r="V32" s="79">
        <v>0.36465601954256099</v>
      </c>
      <c r="W32" s="79">
        <v>1</v>
      </c>
    </row>
    <row r="33" spans="1:23" x14ac:dyDescent="0.2">
      <c r="B33" s="56" t="s">
        <v>233</v>
      </c>
      <c r="C33" s="78">
        <v>5549</v>
      </c>
      <c r="D33" s="79">
        <v>1.0608637000000001E-2</v>
      </c>
      <c r="E33" s="79">
        <v>1.3242818999999999E-2</v>
      </c>
      <c r="F33" s="79">
        <v>0.42311708799999997</v>
      </c>
      <c r="G33" s="79">
        <v>0.89158896436589397</v>
      </c>
      <c r="H33" s="80">
        <v>1</v>
      </c>
      <c r="I33" s="79">
        <v>1.9138557514469998E-2</v>
      </c>
      <c r="J33" s="79">
        <v>1.3193083304499901E-2</v>
      </c>
      <c r="K33" s="79">
        <v>0.14693573454888501</v>
      </c>
      <c r="L33" s="79">
        <v>0.66356386883464402</v>
      </c>
      <c r="M33" s="80">
        <v>1</v>
      </c>
      <c r="N33" s="81">
        <v>8.4444748048914997E-2</v>
      </c>
      <c r="O33" s="81">
        <v>1.3051662920105501E-2</v>
      </c>
      <c r="P33" s="81">
        <v>1.06671851462261E-10</v>
      </c>
      <c r="Q33" s="81">
        <v>3.1480599885025402E-9</v>
      </c>
      <c r="R33" s="82">
        <v>1.3536657950560901E-7</v>
      </c>
      <c r="S33" s="81">
        <v>5.8060880402686199E-2</v>
      </c>
      <c r="T33" s="81">
        <v>1.30533129853692E-2</v>
      </c>
      <c r="U33" s="81">
        <v>8.8423835616923201E-6</v>
      </c>
      <c r="V33" s="81">
        <v>1.4026230924734401E-4</v>
      </c>
      <c r="W33" s="81">
        <v>1.1220984739787601E-2</v>
      </c>
    </row>
    <row r="34" spans="1:23" x14ac:dyDescent="0.2">
      <c r="B34" s="56" t="s">
        <v>234</v>
      </c>
      <c r="C34" s="78">
        <v>5549</v>
      </c>
      <c r="D34" s="79">
        <v>-3.3756696000000003E-2</v>
      </c>
      <c r="E34" s="79">
        <v>1.376789E-2</v>
      </c>
      <c r="F34" s="79">
        <v>1.4244576E-2</v>
      </c>
      <c r="G34" s="79">
        <v>0.33676334378181799</v>
      </c>
      <c r="H34" s="80">
        <v>1</v>
      </c>
      <c r="I34" s="79">
        <v>2.0966419360030498E-2</v>
      </c>
      <c r="J34" s="79">
        <v>1.3712818340680199E-2</v>
      </c>
      <c r="K34" s="79">
        <v>0.12633318293772899</v>
      </c>
      <c r="L34" s="79">
        <v>0.64438349441390497</v>
      </c>
      <c r="M34" s="80">
        <v>1</v>
      </c>
      <c r="N34" s="81">
        <v>7.8413610053152297E-2</v>
      </c>
      <c r="O34" s="81">
        <v>1.3581252479500599E-2</v>
      </c>
      <c r="P34" s="81">
        <v>8.1986799188786307E-9</v>
      </c>
      <c r="Q34" s="81">
        <v>1.6514483836598399E-7</v>
      </c>
      <c r="R34" s="82">
        <v>1.0404124817057E-5</v>
      </c>
      <c r="S34" s="79">
        <v>3.7879865912770198E-2</v>
      </c>
      <c r="T34" s="79">
        <v>1.35908287115016E-2</v>
      </c>
      <c r="U34" s="79">
        <v>5.3360213789107498E-3</v>
      </c>
      <c r="V34" s="79">
        <v>1.6277430600571501E-2</v>
      </c>
      <c r="W34" s="79">
        <v>1</v>
      </c>
    </row>
    <row r="35" spans="1:23" x14ac:dyDescent="0.2">
      <c r="B35" s="56" t="s">
        <v>313</v>
      </c>
      <c r="C35" s="78">
        <v>5556</v>
      </c>
      <c r="D35" s="79">
        <v>-1.4383951000000001E-2</v>
      </c>
      <c r="E35" s="79">
        <v>1.3513314E-2</v>
      </c>
      <c r="F35" s="79">
        <v>0.28718221300000002</v>
      </c>
      <c r="G35" s="79">
        <v>0.83014630591571803</v>
      </c>
      <c r="H35" s="80">
        <v>1</v>
      </c>
      <c r="I35" s="79">
        <v>4.9514468533387399E-3</v>
      </c>
      <c r="J35" s="79">
        <v>1.3470107414728901E-2</v>
      </c>
      <c r="K35" s="79">
        <v>0.71319510785470197</v>
      </c>
      <c r="L35" s="79">
        <v>0.93981785240666305</v>
      </c>
      <c r="M35" s="80">
        <v>1</v>
      </c>
      <c r="N35" s="81">
        <v>0.10295639057018</v>
      </c>
      <c r="O35" s="81">
        <v>1.33024437621545E-2</v>
      </c>
      <c r="P35" s="81">
        <v>1.18224154832232E-14</v>
      </c>
      <c r="Q35" s="81">
        <v>1.01458824778681E-12</v>
      </c>
      <c r="R35" s="82">
        <v>1.5002645248210201E-11</v>
      </c>
      <c r="S35" s="81">
        <v>5.6817594296246797E-2</v>
      </c>
      <c r="T35" s="81">
        <v>1.3317413375499699E-2</v>
      </c>
      <c r="U35" s="81">
        <v>2.02030531362881E-5</v>
      </c>
      <c r="V35" s="81">
        <v>2.61608922754588E-4</v>
      </c>
      <c r="W35" s="81">
        <v>2.5637674429949599E-2</v>
      </c>
    </row>
    <row r="36" spans="1:23" x14ac:dyDescent="0.2">
      <c r="B36" s="56" t="s">
        <v>314</v>
      </c>
      <c r="C36" s="78">
        <v>5556</v>
      </c>
      <c r="D36" s="79">
        <v>-2.6336828E-2</v>
      </c>
      <c r="E36" s="79">
        <v>1.3534513999999999E-2</v>
      </c>
      <c r="F36" s="79">
        <v>5.1718390000000003E-2</v>
      </c>
      <c r="G36" s="79">
        <v>0.466596342</v>
      </c>
      <c r="H36" s="80">
        <v>1</v>
      </c>
      <c r="I36" s="79">
        <v>5.9037221262466704E-3</v>
      </c>
      <c r="J36" s="79">
        <v>1.349322744135E-2</v>
      </c>
      <c r="K36" s="79">
        <v>0.661743072476497</v>
      </c>
      <c r="L36" s="79">
        <v>0.92790271709687799</v>
      </c>
      <c r="M36" s="80">
        <v>1</v>
      </c>
      <c r="N36" s="81">
        <v>0.10308364754945901</v>
      </c>
      <c r="O36" s="81">
        <v>1.33218179732455E-2</v>
      </c>
      <c r="P36" s="81">
        <v>1.19927688863689E-14</v>
      </c>
      <c r="Q36" s="81">
        <v>1.01458824778681E-12</v>
      </c>
      <c r="R36" s="82">
        <v>1.5218823716802099E-11</v>
      </c>
      <c r="S36" s="81">
        <v>5.6671487300356198E-2</v>
      </c>
      <c r="T36" s="81">
        <v>1.33415422985307E-2</v>
      </c>
      <c r="U36" s="81">
        <v>2.1957004216682101E-5</v>
      </c>
      <c r="V36" s="81">
        <v>2.76031299539344E-4</v>
      </c>
      <c r="W36" s="81">
        <v>2.7863438350969601E-2</v>
      </c>
    </row>
    <row r="37" spans="1:23" x14ac:dyDescent="0.2">
      <c r="B37" s="56" t="s">
        <v>1993</v>
      </c>
      <c r="C37" s="78">
        <v>5517</v>
      </c>
      <c r="D37" s="79">
        <v>-1.1457780000000001E-2</v>
      </c>
      <c r="E37" s="79">
        <v>1.3775511000000001E-2</v>
      </c>
      <c r="F37" s="79">
        <v>0.40558621500000003</v>
      </c>
      <c r="G37" s="79">
        <v>0.88261195738869902</v>
      </c>
      <c r="H37" s="80">
        <v>1</v>
      </c>
      <c r="I37" s="79">
        <v>-3.86622972216598E-2</v>
      </c>
      <c r="J37" s="79">
        <v>1.37488425868591E-2</v>
      </c>
      <c r="K37" s="79">
        <v>4.9402844202414099E-3</v>
      </c>
      <c r="L37" s="79">
        <v>0.238166276214551</v>
      </c>
      <c r="M37" s="80">
        <v>1</v>
      </c>
      <c r="N37" s="79">
        <v>-2.94577973384848E-2</v>
      </c>
      <c r="O37" s="79">
        <v>1.36082457123495E-2</v>
      </c>
      <c r="P37" s="79">
        <v>3.04533753896447E-2</v>
      </c>
      <c r="Q37" s="79">
        <v>5.8376636509757003E-2</v>
      </c>
      <c r="R37" s="80">
        <v>1</v>
      </c>
      <c r="S37" s="79">
        <v>-2.58664951927405E-2</v>
      </c>
      <c r="T37" s="79">
        <v>1.35911795337705E-2</v>
      </c>
      <c r="U37" s="79">
        <v>5.7068871166157699E-2</v>
      </c>
      <c r="V37" s="79">
        <v>0.10372462669351</v>
      </c>
      <c r="W37" s="79">
        <v>1</v>
      </c>
    </row>
    <row r="38" spans="1:23" x14ac:dyDescent="0.2">
      <c r="B38" s="56" t="s">
        <v>1994</v>
      </c>
      <c r="C38" s="78">
        <v>5510</v>
      </c>
      <c r="D38" s="79">
        <v>-1.8244699999999999E-2</v>
      </c>
      <c r="E38" s="79">
        <v>1.2665061E-2</v>
      </c>
      <c r="F38" s="79">
        <v>0.149772929</v>
      </c>
      <c r="G38" s="79">
        <v>0.67644481499999998</v>
      </c>
      <c r="H38" s="80">
        <v>1</v>
      </c>
      <c r="I38" s="79">
        <v>2.1904746627017999E-2</v>
      </c>
      <c r="J38" s="79">
        <v>1.27270876763277E-2</v>
      </c>
      <c r="K38" s="79">
        <v>8.5290176392255196E-2</v>
      </c>
      <c r="L38" s="79">
        <v>0.59811020064394504</v>
      </c>
      <c r="M38" s="80">
        <v>1</v>
      </c>
      <c r="N38" s="81">
        <v>7.18758008558497E-2</v>
      </c>
      <c r="O38" s="81">
        <v>1.2512249933143E-2</v>
      </c>
      <c r="P38" s="81">
        <v>9.7588796428186202E-9</v>
      </c>
      <c r="Q38" s="81">
        <v>1.9052335794979701E-7</v>
      </c>
      <c r="R38" s="82">
        <v>1.23840182667368E-5</v>
      </c>
      <c r="S38" s="81">
        <v>5.9716376306969202E-2</v>
      </c>
      <c r="T38" s="81">
        <v>1.2515365427990701E-2</v>
      </c>
      <c r="U38" s="81">
        <v>1.8801475315226E-6</v>
      </c>
      <c r="V38" s="81">
        <v>4.5882831105811199E-5</v>
      </c>
      <c r="W38" s="81">
        <v>2.3859072175021799E-3</v>
      </c>
    </row>
    <row r="39" spans="1:23" x14ac:dyDescent="0.2">
      <c r="B39" s="83" t="s">
        <v>2232</v>
      </c>
      <c r="C39" s="78"/>
      <c r="D39" s="79"/>
      <c r="E39" s="79"/>
      <c r="F39" s="79"/>
      <c r="G39" s="79"/>
      <c r="H39" s="80"/>
      <c r="I39" s="79"/>
      <c r="J39" s="79"/>
      <c r="K39" s="79"/>
      <c r="L39" s="79"/>
      <c r="M39" s="80"/>
      <c r="N39" s="79"/>
      <c r="O39" s="79"/>
      <c r="P39" s="79"/>
      <c r="Q39" s="79"/>
      <c r="R39" s="80"/>
      <c r="S39" s="79"/>
      <c r="T39" s="79"/>
      <c r="U39" s="79"/>
      <c r="V39" s="79"/>
      <c r="W39" s="79"/>
    </row>
    <row r="40" spans="1:23" x14ac:dyDescent="0.2">
      <c r="A40" s="69"/>
      <c r="B40" s="84" t="s">
        <v>2233</v>
      </c>
      <c r="C40" s="78">
        <v>5543</v>
      </c>
      <c r="D40" s="79">
        <v>0.99342578334504128</v>
      </c>
      <c r="E40" s="79">
        <v>6.9577023000000002E-2</v>
      </c>
      <c r="F40" s="79">
        <v>0.92447345400000003</v>
      </c>
      <c r="G40" s="79">
        <v>0.991673151733656</v>
      </c>
      <c r="H40" s="80">
        <v>1</v>
      </c>
      <c r="I40" s="79">
        <v>1.0871688201404319</v>
      </c>
      <c r="J40" s="79">
        <v>7.0001112683402603E-2</v>
      </c>
      <c r="K40" s="79">
        <v>0.232502691450231</v>
      </c>
      <c r="L40" s="79">
        <v>0.73717954403955399</v>
      </c>
      <c r="M40" s="80">
        <v>1</v>
      </c>
      <c r="N40" s="79">
        <v>1.12096257883749</v>
      </c>
      <c r="O40" s="79">
        <v>6.97181826859396E-2</v>
      </c>
      <c r="P40" s="79">
        <v>0.101453478966432</v>
      </c>
      <c r="Q40" s="79">
        <v>0.159140253162425</v>
      </c>
      <c r="R40" s="80">
        <v>1</v>
      </c>
      <c r="S40" s="79">
        <v>1.1109763293010599</v>
      </c>
      <c r="T40" s="79">
        <v>6.8855572677448296E-2</v>
      </c>
      <c r="U40" s="79">
        <v>0.12641200296257099</v>
      </c>
      <c r="V40" s="79">
        <v>0.19634863128458099</v>
      </c>
      <c r="W40" s="79">
        <v>1</v>
      </c>
    </row>
    <row r="41" spans="1:23" x14ac:dyDescent="0.2">
      <c r="A41" s="69"/>
      <c r="B41" s="84" t="s">
        <v>3922</v>
      </c>
      <c r="C41" s="78">
        <v>5298</v>
      </c>
      <c r="D41" s="79">
        <v>-3.5049289999999999E-3</v>
      </c>
      <c r="E41" s="79">
        <v>7.2678040000000001E-3</v>
      </c>
      <c r="F41" s="79">
        <v>0.62969680299999997</v>
      </c>
      <c r="G41" s="79">
        <v>0.97330723874177805</v>
      </c>
      <c r="H41" s="80">
        <v>1</v>
      </c>
      <c r="I41" s="79">
        <v>1.7870258510278E-2</v>
      </c>
      <c r="J41" s="79">
        <v>7.4472258557461198E-3</v>
      </c>
      <c r="K41" s="79">
        <v>1.6531450240634901E-2</v>
      </c>
      <c r="L41" s="79">
        <v>0.41909202640396798</v>
      </c>
      <c r="M41" s="80">
        <v>1</v>
      </c>
      <c r="N41" s="81">
        <v>-3.5590787262379402E-2</v>
      </c>
      <c r="O41" s="81">
        <v>7.2349090441943898E-3</v>
      </c>
      <c r="P41" s="81">
        <v>9.6499879520445093E-7</v>
      </c>
      <c r="Q41" s="81">
        <v>1.12347107441693E-5</v>
      </c>
      <c r="R41" s="82">
        <v>1.22458347111445E-3</v>
      </c>
      <c r="S41" s="79">
        <v>-1.7561432855780702E-2</v>
      </c>
      <c r="T41" s="79">
        <v>7.2896090322980599E-3</v>
      </c>
      <c r="U41" s="79">
        <v>1.6111275276796899E-2</v>
      </c>
      <c r="V41" s="79">
        <v>3.7105641245472401E-2</v>
      </c>
      <c r="W41" s="79">
        <v>1</v>
      </c>
    </row>
    <row r="42" spans="1:23" x14ac:dyDescent="0.2">
      <c r="A42" s="69"/>
      <c r="B42" s="84" t="s">
        <v>3924</v>
      </c>
      <c r="C42" s="78">
        <v>5556</v>
      </c>
      <c r="D42" s="79">
        <v>-4.3158509999999999E-3</v>
      </c>
      <c r="E42" s="79">
        <v>8.2091769999999998E-3</v>
      </c>
      <c r="F42" s="79">
        <v>0.599093549</v>
      </c>
      <c r="G42" s="79">
        <v>0.95727586527067698</v>
      </c>
      <c r="H42" s="80">
        <v>1</v>
      </c>
      <c r="I42" s="79">
        <v>-1.8375680197987101E-2</v>
      </c>
      <c r="J42" s="79">
        <v>8.2046215773347708E-3</v>
      </c>
      <c r="K42" s="79">
        <v>2.51516508262585E-2</v>
      </c>
      <c r="L42" s="79">
        <v>0.45891948479274403</v>
      </c>
      <c r="M42" s="80">
        <v>1</v>
      </c>
      <c r="N42" s="79">
        <v>-3.5544857613949701E-3</v>
      </c>
      <c r="O42" s="79">
        <v>8.1357931216353308E-3</v>
      </c>
      <c r="P42" s="79">
        <v>0.66220472652206097</v>
      </c>
      <c r="Q42" s="79">
        <v>0.73335493971508803</v>
      </c>
      <c r="R42" s="80">
        <v>1</v>
      </c>
      <c r="S42" s="79">
        <v>-1.8327337290783299E-2</v>
      </c>
      <c r="T42" s="79">
        <v>8.1067385517811508E-3</v>
      </c>
      <c r="U42" s="79">
        <v>2.3813301455197299E-2</v>
      </c>
      <c r="V42" s="79">
        <v>5.0197806555889297E-2</v>
      </c>
      <c r="W42" s="79">
        <v>1</v>
      </c>
    </row>
    <row r="43" spans="1:23" x14ac:dyDescent="0.2">
      <c r="A43" s="69"/>
      <c r="B43" s="84" t="s">
        <v>2234</v>
      </c>
      <c r="C43" s="78">
        <v>5545</v>
      </c>
      <c r="D43" s="79">
        <v>0.93114751160236897</v>
      </c>
      <c r="E43" s="79">
        <v>0.10744118599999999</v>
      </c>
      <c r="F43" s="79">
        <v>0.50671043500000001</v>
      </c>
      <c r="G43" s="79">
        <v>0.92884339055395704</v>
      </c>
      <c r="H43" s="80">
        <v>1</v>
      </c>
      <c r="I43" s="79">
        <v>1.0527015089630958</v>
      </c>
      <c r="J43" s="79">
        <v>0.106172964058608</v>
      </c>
      <c r="K43" s="79">
        <v>0.62857296823869302</v>
      </c>
      <c r="L43" s="79">
        <v>0.91965825061269202</v>
      </c>
      <c r="M43" s="80">
        <v>1</v>
      </c>
      <c r="N43" s="79">
        <v>1.3934051136963701</v>
      </c>
      <c r="O43" s="79">
        <v>0.108112940846897</v>
      </c>
      <c r="P43" s="79">
        <v>2.1509694113257599E-3</v>
      </c>
      <c r="Q43" s="79">
        <v>6.6413143138014299E-3</v>
      </c>
      <c r="R43" s="80">
        <v>1</v>
      </c>
      <c r="S43" s="79">
        <v>1.2736721875530173</v>
      </c>
      <c r="T43" s="79">
        <v>0.10764380793126101</v>
      </c>
      <c r="U43" s="79">
        <v>2.46230651903716E-2</v>
      </c>
      <c r="V43" s="79">
        <v>5.1562161264986098E-2</v>
      </c>
      <c r="W43" s="79">
        <v>1</v>
      </c>
    </row>
    <row r="44" spans="1:23" x14ac:dyDescent="0.2">
      <c r="A44" s="69"/>
      <c r="B44" s="84" t="s">
        <v>2235</v>
      </c>
      <c r="C44" s="78">
        <v>5555</v>
      </c>
      <c r="D44" s="79">
        <v>0.97083178366738576</v>
      </c>
      <c r="E44" s="79">
        <v>0.16382643699999999</v>
      </c>
      <c r="F44" s="79">
        <v>0.85660963000000001</v>
      </c>
      <c r="G44" s="79">
        <v>0.98552821438803295</v>
      </c>
      <c r="H44" s="80">
        <v>1</v>
      </c>
      <c r="I44" s="79">
        <v>0.9626761286049238</v>
      </c>
      <c r="J44" s="79">
        <v>0.162690445468651</v>
      </c>
      <c r="K44" s="79">
        <v>0.81513446270053203</v>
      </c>
      <c r="L44" s="79">
        <v>0.962237798294861</v>
      </c>
      <c r="M44" s="80">
        <v>1</v>
      </c>
      <c r="N44" s="79">
        <v>1.3336660191531762</v>
      </c>
      <c r="O44" s="79">
        <v>0.164340788389328</v>
      </c>
      <c r="P44" s="79">
        <v>7.9767012962048495E-2</v>
      </c>
      <c r="Q44" s="79">
        <v>0.12994138568528801</v>
      </c>
      <c r="R44" s="80">
        <v>1</v>
      </c>
      <c r="S44" s="79">
        <v>1.5625742586138218</v>
      </c>
      <c r="T44" s="79">
        <v>0.164515071303965</v>
      </c>
      <c r="U44" s="79">
        <v>6.6670699729145001E-3</v>
      </c>
      <c r="V44" s="79">
        <v>1.91848340036927E-2</v>
      </c>
      <c r="W44" s="79">
        <v>1</v>
      </c>
    </row>
    <row r="45" spans="1:23" x14ac:dyDescent="0.2">
      <c r="A45" s="69"/>
      <c r="B45" s="84" t="s">
        <v>2236</v>
      </c>
      <c r="C45" s="78">
        <v>5548</v>
      </c>
      <c r="D45" s="79">
        <v>0.89892039393770395</v>
      </c>
      <c r="E45" s="79">
        <v>9.6546462999999999E-2</v>
      </c>
      <c r="F45" s="79">
        <v>0.26971220699999998</v>
      </c>
      <c r="G45" s="79">
        <v>0.82078783688755996</v>
      </c>
      <c r="H45" s="80">
        <v>1</v>
      </c>
      <c r="I45" s="79">
        <v>1.0432598214577913</v>
      </c>
      <c r="J45" s="79">
        <v>9.5223797371406405E-2</v>
      </c>
      <c r="K45" s="79">
        <v>0.65650444767314498</v>
      </c>
      <c r="L45" s="79">
        <v>0.92464388912011197</v>
      </c>
      <c r="M45" s="80">
        <v>1</v>
      </c>
      <c r="N45" s="79">
        <v>1.3957577438874158</v>
      </c>
      <c r="O45" s="79">
        <v>9.63041733757459E-2</v>
      </c>
      <c r="P45" s="79">
        <v>5.3550719342863699E-4</v>
      </c>
      <c r="Q45" s="79">
        <v>2.2651954282031299E-3</v>
      </c>
      <c r="R45" s="80">
        <v>0.67955862846093995</v>
      </c>
      <c r="S45" s="79">
        <v>1.2924547068598549</v>
      </c>
      <c r="T45" s="79">
        <v>9.5195539344126806E-2</v>
      </c>
      <c r="U45" s="79">
        <v>7.0407928074288102E-3</v>
      </c>
      <c r="V45" s="79">
        <v>1.9931626496268701E-2</v>
      </c>
      <c r="W45" s="79">
        <v>1</v>
      </c>
    </row>
    <row r="46" spans="1:23" x14ac:dyDescent="0.2">
      <c r="A46" s="69"/>
      <c r="B46" s="84" t="s">
        <v>2237</v>
      </c>
      <c r="C46" s="78">
        <v>5550</v>
      </c>
      <c r="D46" s="79">
        <v>0.91148953591557136</v>
      </c>
      <c r="E46" s="79">
        <v>0.13949324799999999</v>
      </c>
      <c r="F46" s="79">
        <v>0.50645336799999996</v>
      </c>
      <c r="G46" s="79">
        <v>0.92884339055395704</v>
      </c>
      <c r="H46" s="80">
        <v>1</v>
      </c>
      <c r="I46" s="79">
        <v>0.9321105537948452</v>
      </c>
      <c r="J46" s="79">
        <v>0.13875388094621199</v>
      </c>
      <c r="K46" s="79">
        <v>0.61237918891544596</v>
      </c>
      <c r="L46" s="79">
        <v>0.91965825061269202</v>
      </c>
      <c r="M46" s="80">
        <v>1</v>
      </c>
      <c r="N46" s="79">
        <v>1.2277170255988394</v>
      </c>
      <c r="O46" s="79">
        <v>0.13784028335630599</v>
      </c>
      <c r="P46" s="79">
        <v>0.13665520722602301</v>
      </c>
      <c r="Q46" s="79">
        <v>0.20258815183390599</v>
      </c>
      <c r="R46" s="80">
        <v>1</v>
      </c>
      <c r="S46" s="79">
        <v>1.3036743103687203</v>
      </c>
      <c r="T46" s="79">
        <v>0.13839329411357401</v>
      </c>
      <c r="U46" s="79">
        <v>5.5341996927941998E-2</v>
      </c>
      <c r="V46" s="79">
        <v>0.10119451599648201</v>
      </c>
      <c r="W46" s="79">
        <v>1</v>
      </c>
    </row>
    <row r="47" spans="1:23" x14ac:dyDescent="0.2">
      <c r="A47" s="69"/>
      <c r="B47" s="84" t="s">
        <v>2238</v>
      </c>
      <c r="C47" s="78">
        <v>5552</v>
      </c>
      <c r="D47" s="79">
        <v>0.97817817061193879</v>
      </c>
      <c r="E47" s="79">
        <v>0.11884244400000001</v>
      </c>
      <c r="F47" s="79">
        <v>0.85271694799999997</v>
      </c>
      <c r="G47" s="79">
        <v>0.98552821438803295</v>
      </c>
      <c r="H47" s="80">
        <v>1</v>
      </c>
      <c r="I47" s="79">
        <v>1.0783948086781618</v>
      </c>
      <c r="J47" s="79">
        <v>0.118691853377345</v>
      </c>
      <c r="K47" s="79">
        <v>0.52485534485580598</v>
      </c>
      <c r="L47" s="79">
        <v>0.89949384911956998</v>
      </c>
      <c r="M47" s="80">
        <v>1</v>
      </c>
      <c r="N47" s="79">
        <v>1.1892355084272201</v>
      </c>
      <c r="O47" s="79">
        <v>0.11774757066938001</v>
      </c>
      <c r="P47" s="79">
        <v>0.14105242176305399</v>
      </c>
      <c r="Q47" s="79">
        <v>0.208376627726793</v>
      </c>
      <c r="R47" s="80">
        <v>1</v>
      </c>
      <c r="S47" s="79">
        <v>1.3029476476488631</v>
      </c>
      <c r="T47" s="79">
        <v>0.11944127102133099</v>
      </c>
      <c r="U47" s="79">
        <v>2.6721756143948099E-2</v>
      </c>
      <c r="V47" s="79">
        <v>5.49593331388495E-2</v>
      </c>
      <c r="W47" s="79">
        <v>1</v>
      </c>
    </row>
    <row r="48" spans="1:23" x14ac:dyDescent="0.2">
      <c r="A48" s="69"/>
      <c r="B48" s="84" t="s">
        <v>2239</v>
      </c>
      <c r="C48" s="78">
        <v>5550</v>
      </c>
      <c r="D48" s="79">
        <v>0.99369067490938157</v>
      </c>
      <c r="E48" s="79">
        <v>9.4395834999999997E-2</v>
      </c>
      <c r="F48" s="79">
        <v>0.94654129099999995</v>
      </c>
      <c r="G48" s="79">
        <v>0.991673151733656</v>
      </c>
      <c r="H48" s="80">
        <v>1</v>
      </c>
      <c r="I48" s="79">
        <v>1.054578192270708</v>
      </c>
      <c r="J48" s="79">
        <v>9.4596644522853504E-2</v>
      </c>
      <c r="K48" s="79">
        <v>0.57427768862787199</v>
      </c>
      <c r="L48" s="79">
        <v>0.911324282187712</v>
      </c>
      <c r="M48" s="80">
        <v>1</v>
      </c>
      <c r="N48" s="79">
        <v>1.2479944682248389</v>
      </c>
      <c r="O48" s="79">
        <v>9.3812006266112399E-2</v>
      </c>
      <c r="P48" s="79">
        <v>1.8200761355620002E-2</v>
      </c>
      <c r="Q48" s="79">
        <v>3.8430559334911497E-2</v>
      </c>
      <c r="R48" s="80">
        <v>1</v>
      </c>
      <c r="S48" s="79">
        <v>1.3295337068009432</v>
      </c>
      <c r="T48" s="79">
        <v>9.5501436377420104E-2</v>
      </c>
      <c r="U48" s="79">
        <v>2.8595110319688498E-3</v>
      </c>
      <c r="V48" s="79">
        <v>1.0127981421547401E-2</v>
      </c>
      <c r="W48" s="79">
        <v>1</v>
      </c>
    </row>
    <row r="49" spans="1:23" x14ac:dyDescent="0.2">
      <c r="A49" s="69"/>
      <c r="B49" s="84" t="s">
        <v>2240</v>
      </c>
      <c r="C49" s="78">
        <v>5556</v>
      </c>
      <c r="D49" s="79">
        <v>1.0529571330826795</v>
      </c>
      <c r="E49" s="79">
        <v>6.4371208999999999E-2</v>
      </c>
      <c r="F49" s="79">
        <v>0.42276134900000001</v>
      </c>
      <c r="G49" s="79">
        <v>0.89158896436589397</v>
      </c>
      <c r="H49" s="80">
        <v>1</v>
      </c>
      <c r="I49" s="79">
        <v>0.9425643331689898</v>
      </c>
      <c r="J49" s="79">
        <v>6.4710675858901903E-2</v>
      </c>
      <c r="K49" s="79">
        <v>0.36067181148168198</v>
      </c>
      <c r="L49" s="79">
        <v>0.81642974499659005</v>
      </c>
      <c r="M49" s="80">
        <v>1</v>
      </c>
      <c r="N49" s="79">
        <v>0.92996272123970858</v>
      </c>
      <c r="O49" s="79">
        <v>6.3445093471628605E-2</v>
      </c>
      <c r="P49" s="79">
        <v>0.25243026073062902</v>
      </c>
      <c r="Q49" s="79">
        <v>0.332246338675731</v>
      </c>
      <c r="R49" s="80">
        <v>1</v>
      </c>
      <c r="S49" s="79">
        <v>0.94962840250112368</v>
      </c>
      <c r="T49" s="79">
        <v>6.3714567907330794E-2</v>
      </c>
      <c r="U49" s="79">
        <v>0.41725741609089501</v>
      </c>
      <c r="V49" s="79">
        <v>0.50621382506629597</v>
      </c>
      <c r="W49" s="79">
        <v>1</v>
      </c>
    </row>
    <row r="50" spans="1:23" x14ac:dyDescent="0.2">
      <c r="A50" s="69"/>
      <c r="B50" s="84" t="s">
        <v>3940</v>
      </c>
      <c r="C50" s="78">
        <v>5543</v>
      </c>
      <c r="D50" s="79">
        <v>3.8729390000000002E-3</v>
      </c>
      <c r="E50" s="79">
        <v>5.674803E-3</v>
      </c>
      <c r="F50" s="79">
        <v>0.49506235399999998</v>
      </c>
      <c r="G50" s="79">
        <v>0.92884339055395704</v>
      </c>
      <c r="H50" s="80">
        <v>1</v>
      </c>
      <c r="I50" s="79">
        <v>-4.0247000258489801E-3</v>
      </c>
      <c r="J50" s="79">
        <v>5.8372348678928402E-3</v>
      </c>
      <c r="K50" s="79">
        <v>0.49064149588803102</v>
      </c>
      <c r="L50" s="79">
        <v>0.88409893028921704</v>
      </c>
      <c r="M50" s="80">
        <v>1</v>
      </c>
      <c r="N50" s="79">
        <v>-8.7664672392716702E-3</v>
      </c>
      <c r="O50" s="79">
        <v>5.6682351464210504E-3</v>
      </c>
      <c r="P50" s="79">
        <v>0.122211722464571</v>
      </c>
      <c r="Q50" s="79">
        <v>0.183751985553958</v>
      </c>
      <c r="R50" s="80">
        <v>1</v>
      </c>
      <c r="S50" s="79">
        <v>-1.6861832427645398E-2</v>
      </c>
      <c r="T50" s="79">
        <v>5.6546532925498202E-3</v>
      </c>
      <c r="U50" s="79">
        <v>2.9193182680447701E-3</v>
      </c>
      <c r="V50" s="79">
        <v>1.02905968948578E-2</v>
      </c>
      <c r="W50" s="79">
        <v>1</v>
      </c>
    </row>
    <row r="51" spans="1:23" x14ac:dyDescent="0.2">
      <c r="A51" s="69"/>
      <c r="B51" s="84" t="s">
        <v>3942</v>
      </c>
      <c r="C51" s="78">
        <v>5554</v>
      </c>
      <c r="D51" s="79">
        <v>2.5876300000000001E-3</v>
      </c>
      <c r="E51" s="79">
        <v>9.2157820000000005E-3</v>
      </c>
      <c r="F51" s="79">
        <v>0.77890278599999996</v>
      </c>
      <c r="G51" s="79">
        <v>0.98545101377932998</v>
      </c>
      <c r="H51" s="80">
        <v>1</v>
      </c>
      <c r="I51" s="79">
        <v>-1.86650130441329E-2</v>
      </c>
      <c r="J51" s="79">
        <v>9.3675054829365206E-3</v>
      </c>
      <c r="K51" s="79">
        <v>4.6426244081338199E-2</v>
      </c>
      <c r="L51" s="79">
        <v>0.53217113930985405</v>
      </c>
      <c r="M51" s="80">
        <v>1</v>
      </c>
      <c r="N51" s="81">
        <v>-3.7874968450803598E-2</v>
      </c>
      <c r="O51" s="81">
        <v>9.1758301645822292E-3</v>
      </c>
      <c r="P51" s="81">
        <v>3.7946063132144497E-5</v>
      </c>
      <c r="Q51" s="81">
        <v>2.58890075885437E-4</v>
      </c>
      <c r="R51" s="82">
        <v>4.8153554114691403E-2</v>
      </c>
      <c r="S51" s="79">
        <v>-3.6887282462441197E-2</v>
      </c>
      <c r="T51" s="79">
        <v>9.1663056974754398E-3</v>
      </c>
      <c r="U51" s="79">
        <v>5.8990884547407098E-5</v>
      </c>
      <c r="V51" s="79">
        <v>5.3471023207613997E-4</v>
      </c>
      <c r="W51" s="79">
        <v>7.48594324906596E-2</v>
      </c>
    </row>
    <row r="52" spans="1:23" x14ac:dyDescent="0.2">
      <c r="A52" s="69"/>
      <c r="B52" s="84" t="s">
        <v>3944</v>
      </c>
      <c r="C52" s="78">
        <v>5257</v>
      </c>
      <c r="D52" s="79">
        <v>-2.1030020000000001E-3</v>
      </c>
      <c r="E52" s="79">
        <v>9.7095199999999993E-3</v>
      </c>
      <c r="F52" s="79">
        <v>0.82854555600000002</v>
      </c>
      <c r="G52" s="79">
        <v>0.98545101377932998</v>
      </c>
      <c r="H52" s="80">
        <v>1</v>
      </c>
      <c r="I52" s="79">
        <v>1.4403495106358299E-3</v>
      </c>
      <c r="J52" s="79">
        <v>9.9097143456056292E-3</v>
      </c>
      <c r="K52" s="79">
        <v>0.88444874028570697</v>
      </c>
      <c r="L52" s="79">
        <v>0.97573578102632397</v>
      </c>
      <c r="M52" s="80">
        <v>1</v>
      </c>
      <c r="N52" s="79">
        <v>-1.7874260550896599E-2</v>
      </c>
      <c r="O52" s="79">
        <v>9.6316028443180993E-3</v>
      </c>
      <c r="P52" s="79">
        <v>6.3609239109811394E-2</v>
      </c>
      <c r="Q52" s="79">
        <v>0.108203920147923</v>
      </c>
      <c r="R52" s="80">
        <v>1</v>
      </c>
      <c r="S52" s="79">
        <v>-8.2346700967459597E-3</v>
      </c>
      <c r="T52" s="79">
        <v>9.6964524365961893E-3</v>
      </c>
      <c r="U52" s="79">
        <v>0.39583068283852102</v>
      </c>
      <c r="V52" s="79">
        <v>0.48513162161258799</v>
      </c>
      <c r="W52" s="79">
        <v>1</v>
      </c>
    </row>
    <row r="53" spans="1:23" x14ac:dyDescent="0.2">
      <c r="A53" s="69"/>
      <c r="B53" s="84" t="s">
        <v>2241</v>
      </c>
      <c r="C53" s="78">
        <v>611</v>
      </c>
      <c r="D53" s="79">
        <v>0.86657088591497167</v>
      </c>
      <c r="E53" s="79">
        <v>0.129577831</v>
      </c>
      <c r="F53" s="79">
        <v>0.26906642800000002</v>
      </c>
      <c r="G53" s="79">
        <v>0.82078783688755996</v>
      </c>
      <c r="H53" s="80">
        <v>1</v>
      </c>
      <c r="I53" s="79">
        <v>0.93510999901917402</v>
      </c>
      <c r="J53" s="79">
        <v>0.13080851464861701</v>
      </c>
      <c r="K53" s="79">
        <v>0.60802435680442901</v>
      </c>
      <c r="L53" s="79">
        <v>0.91965825061269202</v>
      </c>
      <c r="M53" s="80">
        <v>1</v>
      </c>
      <c r="N53" s="79">
        <v>1.0356383823470765</v>
      </c>
      <c r="O53" s="79">
        <v>0.127800434336446</v>
      </c>
      <c r="P53" s="79">
        <v>0.784080339618766</v>
      </c>
      <c r="Q53" s="79">
        <v>0.824356214561901</v>
      </c>
      <c r="R53" s="80">
        <v>1</v>
      </c>
      <c r="S53" s="79">
        <v>1.1008549241054146</v>
      </c>
      <c r="T53" s="79">
        <v>0.13132903221661299</v>
      </c>
      <c r="U53" s="79">
        <v>0.464381314107778</v>
      </c>
      <c r="V53" s="79">
        <v>0.55126275734590302</v>
      </c>
      <c r="W53" s="79">
        <v>1</v>
      </c>
    </row>
    <row r="54" spans="1:23" x14ac:dyDescent="0.2">
      <c r="A54" s="69"/>
      <c r="B54" s="84" t="s">
        <v>2242</v>
      </c>
      <c r="C54" s="78">
        <v>4938</v>
      </c>
      <c r="D54" s="79">
        <v>0.96206505679209198</v>
      </c>
      <c r="E54" s="79">
        <v>7.4540318999999994E-2</v>
      </c>
      <c r="F54" s="79">
        <v>0.60388443700000005</v>
      </c>
      <c r="G54" s="79">
        <v>0.959110576411765</v>
      </c>
      <c r="H54" s="80">
        <v>1</v>
      </c>
      <c r="I54" s="79">
        <v>1.1102821489136971</v>
      </c>
      <c r="J54" s="79">
        <v>7.4413139939405001E-2</v>
      </c>
      <c r="K54" s="79">
        <v>0.159766841354304</v>
      </c>
      <c r="L54" s="79">
        <v>0.68034940160608004</v>
      </c>
      <c r="M54" s="80">
        <v>1</v>
      </c>
      <c r="N54" s="79">
        <v>1.2831033110760401</v>
      </c>
      <c r="O54" s="79">
        <v>7.41496785219702E-2</v>
      </c>
      <c r="P54" s="79">
        <v>7.7416464299612405E-4</v>
      </c>
      <c r="Q54" s="79">
        <v>2.9680209424836298E-3</v>
      </c>
      <c r="R54" s="80">
        <v>0.98241493196208096</v>
      </c>
      <c r="S54" s="81">
        <v>1.3957552697162046</v>
      </c>
      <c r="T54" s="81">
        <v>7.5548121918154201E-2</v>
      </c>
      <c r="U54" s="81">
        <v>1.0168755639263001E-5</v>
      </c>
      <c r="V54" s="81">
        <v>1.5547169766535801E-4</v>
      </c>
      <c r="W54" s="81">
        <v>1.2904150906224701E-2</v>
      </c>
    </row>
    <row r="55" spans="1:23" x14ac:dyDescent="0.2">
      <c r="A55" s="69"/>
      <c r="B55" s="84" t="s">
        <v>2243</v>
      </c>
      <c r="C55" s="78">
        <v>5545</v>
      </c>
      <c r="D55" s="79">
        <v>1.0737864132877573</v>
      </c>
      <c r="E55" s="79">
        <v>7.3687502000000002E-2</v>
      </c>
      <c r="F55" s="79">
        <v>0.33398321199999997</v>
      </c>
      <c r="G55" s="79">
        <v>0.85579729232661295</v>
      </c>
      <c r="H55" s="80">
        <v>1</v>
      </c>
      <c r="I55" s="79">
        <v>1.0459945291952721</v>
      </c>
      <c r="J55" s="79">
        <v>7.2733747785785799E-2</v>
      </c>
      <c r="K55" s="79">
        <v>0.53640606234787502</v>
      </c>
      <c r="L55" s="79">
        <v>0.90084380243459306</v>
      </c>
      <c r="M55" s="80">
        <v>1</v>
      </c>
      <c r="N55" s="79">
        <v>1.2275255716156086</v>
      </c>
      <c r="O55" s="79">
        <v>7.3547302245881199E-2</v>
      </c>
      <c r="P55" s="79">
        <v>5.3144751839872004E-3</v>
      </c>
      <c r="Q55" s="79">
        <v>1.39326335200741E-2</v>
      </c>
      <c r="R55" s="80">
        <v>1</v>
      </c>
      <c r="S55" s="79">
        <v>1.1418048834693693</v>
      </c>
      <c r="T55" s="79">
        <v>7.3028191206626403E-2</v>
      </c>
      <c r="U55" s="79">
        <v>6.9389181753790594E-2</v>
      </c>
      <c r="V55" s="79">
        <v>0.120954494018627</v>
      </c>
      <c r="W55" s="79">
        <v>1</v>
      </c>
    </row>
    <row r="56" spans="1:23" x14ac:dyDescent="0.2">
      <c r="A56" s="69"/>
      <c r="B56" s="84" t="s">
        <v>2244</v>
      </c>
      <c r="C56" s="78">
        <v>5535</v>
      </c>
      <c r="D56" s="79">
        <v>0.97250438743347034</v>
      </c>
      <c r="E56" s="79">
        <v>5.4347002999999998E-2</v>
      </c>
      <c r="F56" s="79">
        <v>0.60794257799999996</v>
      </c>
      <c r="G56" s="79">
        <v>0.96049373783807201</v>
      </c>
      <c r="H56" s="80">
        <v>1</v>
      </c>
      <c r="I56" s="79">
        <v>0.97437969806320968</v>
      </c>
      <c r="J56" s="79">
        <v>5.4072952216338899E-2</v>
      </c>
      <c r="K56" s="79">
        <v>0.63123790656997703</v>
      </c>
      <c r="L56" s="79">
        <v>0.91965825061269202</v>
      </c>
      <c r="M56" s="80">
        <v>1</v>
      </c>
      <c r="N56" s="79">
        <v>0.95765967405287344</v>
      </c>
      <c r="O56" s="79">
        <v>5.3494003068298102E-2</v>
      </c>
      <c r="P56" s="79">
        <v>0.41866395795184203</v>
      </c>
      <c r="Q56" s="79">
        <v>0.50452081383778002</v>
      </c>
      <c r="R56" s="80">
        <v>1</v>
      </c>
      <c r="S56" s="79">
        <v>0.98717005803949309</v>
      </c>
      <c r="T56" s="79">
        <v>5.34092612050781E-2</v>
      </c>
      <c r="U56" s="79">
        <v>0.80895549291473501</v>
      </c>
      <c r="V56" s="79">
        <v>0.846997553460766</v>
      </c>
      <c r="W56" s="79">
        <v>1</v>
      </c>
    </row>
    <row r="57" spans="1:23" x14ac:dyDescent="0.2">
      <c r="A57" s="69"/>
      <c r="B57" s="84" t="s">
        <v>3954</v>
      </c>
      <c r="C57" s="78">
        <v>4925</v>
      </c>
      <c r="D57" s="79">
        <v>-6.6006909999999997E-3</v>
      </c>
      <c r="E57" s="79">
        <v>6.5955049999999998E-3</v>
      </c>
      <c r="F57" s="79">
        <v>0.31713523999999998</v>
      </c>
      <c r="G57" s="79">
        <v>0.85138679101263204</v>
      </c>
      <c r="H57" s="80">
        <v>1</v>
      </c>
      <c r="I57" s="79">
        <v>-4.0599611004414901E-3</v>
      </c>
      <c r="J57" s="79">
        <v>6.7597925150696299E-3</v>
      </c>
      <c r="K57" s="79">
        <v>0.548214696798898</v>
      </c>
      <c r="L57" s="79">
        <v>0.90501293121999904</v>
      </c>
      <c r="M57" s="80">
        <v>1</v>
      </c>
      <c r="N57" s="79">
        <v>-6.73380333015214E-3</v>
      </c>
      <c r="O57" s="79">
        <v>6.5398713663324896E-3</v>
      </c>
      <c r="P57" s="79">
        <v>0.30338223617318699</v>
      </c>
      <c r="Q57" s="79">
        <v>0.38667710807621097</v>
      </c>
      <c r="R57" s="80">
        <v>1</v>
      </c>
      <c r="S57" s="79">
        <v>-1.25308448845576E-2</v>
      </c>
      <c r="T57" s="79">
        <v>6.5318004526909298E-3</v>
      </c>
      <c r="U57" s="79">
        <v>5.5295614800933798E-2</v>
      </c>
      <c r="V57" s="79">
        <v>0.10119451599648201</v>
      </c>
      <c r="W57" s="79">
        <v>1</v>
      </c>
    </row>
    <row r="58" spans="1:23" x14ac:dyDescent="0.2">
      <c r="A58" s="69"/>
      <c r="B58" s="84" t="s">
        <v>3956</v>
      </c>
      <c r="C58" s="78">
        <v>4933</v>
      </c>
      <c r="D58" s="79">
        <v>2.7854986000000002E-2</v>
      </c>
      <c r="E58" s="79">
        <v>8.7465790000000009E-3</v>
      </c>
      <c r="F58" s="79">
        <v>1.4763599999999999E-3</v>
      </c>
      <c r="G58" s="79">
        <v>0.12494161575</v>
      </c>
      <c r="H58" s="80">
        <v>1</v>
      </c>
      <c r="I58" s="79">
        <v>1.57903449693787E-2</v>
      </c>
      <c r="J58" s="79">
        <v>8.9529986576851496E-3</v>
      </c>
      <c r="K58" s="79">
        <v>7.7961575223049001E-2</v>
      </c>
      <c r="L58" s="79">
        <v>0.59186625016599403</v>
      </c>
      <c r="M58" s="80">
        <v>1</v>
      </c>
      <c r="N58" s="81">
        <v>-3.6809764347260299E-2</v>
      </c>
      <c r="O58" s="81">
        <v>8.6627273344593303E-3</v>
      </c>
      <c r="P58" s="81">
        <v>2.26644261068017E-5</v>
      </c>
      <c r="Q58" s="81">
        <v>1.7119736148530601E-4</v>
      </c>
      <c r="R58" s="82">
        <v>2.87611567295314E-2</v>
      </c>
      <c r="S58" s="79">
        <v>-3.1310104563187599E-2</v>
      </c>
      <c r="T58" s="79">
        <v>8.6990005764791198E-3</v>
      </c>
      <c r="U58" s="79">
        <v>3.28747924708927E-4</v>
      </c>
      <c r="V58" s="79">
        <v>1.94262640747517E-3</v>
      </c>
      <c r="W58" s="79">
        <v>0.417181116455628</v>
      </c>
    </row>
    <row r="59" spans="1:23" x14ac:dyDescent="0.2">
      <c r="A59" s="69"/>
      <c r="B59" s="84" t="s">
        <v>3958</v>
      </c>
      <c r="C59" s="78">
        <v>4685</v>
      </c>
      <c r="D59" s="79">
        <v>2.173079E-2</v>
      </c>
      <c r="E59" s="79">
        <v>1.2308464999999999E-2</v>
      </c>
      <c r="F59" s="79">
        <v>7.7572905999999997E-2</v>
      </c>
      <c r="G59" s="79">
        <v>0.56615521903448296</v>
      </c>
      <c r="H59" s="80">
        <v>1</v>
      </c>
      <c r="I59" s="79">
        <v>2.5635983871908099E-2</v>
      </c>
      <c r="J59" s="79">
        <v>1.2492376468227E-2</v>
      </c>
      <c r="K59" s="79">
        <v>4.0234114648022699E-2</v>
      </c>
      <c r="L59" s="79">
        <v>0.50307562413000395</v>
      </c>
      <c r="M59" s="80">
        <v>1</v>
      </c>
      <c r="N59" s="79">
        <v>-4.8126970990209399E-2</v>
      </c>
      <c r="O59" s="79">
        <v>1.2207411536765401E-2</v>
      </c>
      <c r="P59" s="79">
        <v>8.2416549138498798E-5</v>
      </c>
      <c r="Q59" s="79">
        <v>4.9803143265121403E-4</v>
      </c>
      <c r="R59" s="80">
        <v>0.104586600856755</v>
      </c>
      <c r="S59" s="79">
        <v>-3.03113441869153E-2</v>
      </c>
      <c r="T59" s="79">
        <v>1.226239421325E-2</v>
      </c>
      <c r="U59" s="79">
        <v>1.34923103120244E-2</v>
      </c>
      <c r="V59" s="79">
        <v>3.24012917268931E-2</v>
      </c>
      <c r="W59" s="79">
        <v>1</v>
      </c>
    </row>
    <row r="60" spans="1:23" x14ac:dyDescent="0.2">
      <c r="A60" s="69"/>
      <c r="B60" s="84" t="s">
        <v>2245</v>
      </c>
      <c r="C60" s="78">
        <v>4883</v>
      </c>
      <c r="D60" s="79">
        <v>1.039784517527083</v>
      </c>
      <c r="E60" s="79">
        <v>6.7178059999999998E-2</v>
      </c>
      <c r="F60" s="79">
        <v>0.56141057100000002</v>
      </c>
      <c r="G60" s="79">
        <v>0.94612219734263003</v>
      </c>
      <c r="H60" s="80">
        <v>1</v>
      </c>
      <c r="I60" s="79">
        <v>0.97373689856923895</v>
      </c>
      <c r="J60" s="79">
        <v>6.7768254656359397E-2</v>
      </c>
      <c r="K60" s="79">
        <v>0.69452425313227495</v>
      </c>
      <c r="L60" s="79">
        <v>0.9363531347706</v>
      </c>
      <c r="M60" s="80">
        <v>1</v>
      </c>
      <c r="N60" s="79">
        <v>0.98632251426760142</v>
      </c>
      <c r="O60" s="79">
        <v>6.6778751715339105E-2</v>
      </c>
      <c r="P60" s="79">
        <v>0.83661005808106104</v>
      </c>
      <c r="Q60" s="79">
        <v>0.86949890557319098</v>
      </c>
      <c r="R60" s="80">
        <v>1</v>
      </c>
      <c r="S60" s="79">
        <v>0.86265338048738915</v>
      </c>
      <c r="T60" s="79">
        <v>6.78822652502203E-2</v>
      </c>
      <c r="U60" s="79">
        <v>2.9521675598696999E-2</v>
      </c>
      <c r="V60" s="79">
        <v>5.9940810135594401E-2</v>
      </c>
      <c r="W60" s="79">
        <v>1</v>
      </c>
    </row>
    <row r="61" spans="1:23" x14ac:dyDescent="0.2">
      <c r="A61" s="69"/>
      <c r="B61" s="56" t="s">
        <v>613</v>
      </c>
      <c r="C61" s="78">
        <v>5547</v>
      </c>
      <c r="D61" s="79">
        <v>4.4377319999999998E-3</v>
      </c>
      <c r="E61" s="79">
        <v>6.3043309999999998E-3</v>
      </c>
      <c r="F61" s="79">
        <v>0.48160622400000003</v>
      </c>
      <c r="G61" s="79">
        <v>0.92599742159999998</v>
      </c>
      <c r="H61" s="80">
        <v>1</v>
      </c>
      <c r="I61" s="79">
        <v>-1.4108399889989499E-3</v>
      </c>
      <c r="J61" s="79">
        <v>6.4754135517249298E-3</v>
      </c>
      <c r="K61" s="79">
        <v>0.82755748558373399</v>
      </c>
      <c r="L61" s="79">
        <v>0.96435925321305904</v>
      </c>
      <c r="M61" s="80">
        <v>1</v>
      </c>
      <c r="N61" s="79">
        <v>-4.3544672488578899E-3</v>
      </c>
      <c r="O61" s="79">
        <v>6.2971269563532901E-3</v>
      </c>
      <c r="P61" s="79">
        <v>0.489369045143977</v>
      </c>
      <c r="Q61" s="79">
        <v>0.56985429963666501</v>
      </c>
      <c r="R61" s="80">
        <v>1</v>
      </c>
      <c r="S61" s="79">
        <v>8.7526163133201697E-3</v>
      </c>
      <c r="T61" s="79">
        <v>6.2856301571166196E-3</v>
      </c>
      <c r="U61" s="79">
        <v>0.16400456017773099</v>
      </c>
      <c r="V61" s="79">
        <v>0.24172100681247499</v>
      </c>
      <c r="W61" s="79">
        <v>1</v>
      </c>
    </row>
    <row r="62" spans="1:23" x14ac:dyDescent="0.2">
      <c r="A62" s="69"/>
      <c r="B62" s="56" t="s">
        <v>612</v>
      </c>
      <c r="C62" s="78">
        <v>2124</v>
      </c>
      <c r="D62" s="79">
        <v>4.3857890000000002E-3</v>
      </c>
      <c r="E62" s="79">
        <v>2.0102986999999999E-2</v>
      </c>
      <c r="F62" s="79">
        <v>0.82732295099999997</v>
      </c>
      <c r="G62" s="79">
        <v>0.98545101377932998</v>
      </c>
      <c r="H62" s="80">
        <v>1</v>
      </c>
      <c r="I62" s="79">
        <v>5.1356065130042997E-3</v>
      </c>
      <c r="J62" s="79">
        <v>1.9598882602681701E-2</v>
      </c>
      <c r="K62" s="79">
        <v>0.79332431957440397</v>
      </c>
      <c r="L62" s="79">
        <v>0.95970310918962698</v>
      </c>
      <c r="M62" s="80">
        <v>1</v>
      </c>
      <c r="N62" s="79">
        <v>-4.3053730965321299E-3</v>
      </c>
      <c r="O62" s="79">
        <v>1.9526461609030901E-2</v>
      </c>
      <c r="P62" s="79">
        <v>0.82551434949723901</v>
      </c>
      <c r="Q62" s="79">
        <v>0.86078694290221602</v>
      </c>
      <c r="R62" s="80">
        <v>1</v>
      </c>
      <c r="S62" s="79">
        <v>1.3962491036422499E-2</v>
      </c>
      <c r="T62" s="79">
        <v>1.9578993440773899E-2</v>
      </c>
      <c r="U62" s="79">
        <v>0.47585062671525502</v>
      </c>
      <c r="V62" s="79">
        <v>0.56224808687305305</v>
      </c>
      <c r="W62" s="79">
        <v>1</v>
      </c>
    </row>
    <row r="63" spans="1:23" x14ac:dyDescent="0.2">
      <c r="A63" s="69"/>
      <c r="B63" s="56" t="s">
        <v>1996</v>
      </c>
      <c r="C63" s="78">
        <v>5505</v>
      </c>
      <c r="D63" s="79">
        <v>4.0054019999999999E-3</v>
      </c>
      <c r="E63" s="79">
        <v>8.7288069999999999E-3</v>
      </c>
      <c r="F63" s="79">
        <v>0.646372155</v>
      </c>
      <c r="G63" s="79">
        <v>0.98233085592215597</v>
      </c>
      <c r="H63" s="80">
        <v>1</v>
      </c>
      <c r="I63" s="79">
        <v>-7.1332108684614998E-3</v>
      </c>
      <c r="J63" s="79">
        <v>8.8808342361019893E-3</v>
      </c>
      <c r="K63" s="79">
        <v>0.42193463127638298</v>
      </c>
      <c r="L63" s="79">
        <v>0.85260357816835997</v>
      </c>
      <c r="M63" s="80">
        <v>1</v>
      </c>
      <c r="N63" s="79">
        <v>-2.9463451653841299E-2</v>
      </c>
      <c r="O63" s="79">
        <v>8.6786463471843992E-3</v>
      </c>
      <c r="P63" s="79">
        <v>6.9865582473191998E-4</v>
      </c>
      <c r="Q63" s="79">
        <v>2.7279822817994001E-3</v>
      </c>
      <c r="R63" s="80">
        <v>0.88659424158480604</v>
      </c>
      <c r="S63" s="79">
        <v>-8.2728234350722199E-3</v>
      </c>
      <c r="T63" s="79">
        <v>8.6889370009803207E-3</v>
      </c>
      <c r="U63" s="79">
        <v>0.34114493995645001</v>
      </c>
      <c r="V63" s="79">
        <v>0.43508837065802503</v>
      </c>
      <c r="W63" s="79">
        <v>1</v>
      </c>
    </row>
    <row r="64" spans="1:23" x14ac:dyDescent="0.2">
      <c r="A64" s="69"/>
      <c r="B64" s="56" t="s">
        <v>1997</v>
      </c>
      <c r="C64" s="78">
        <v>5443</v>
      </c>
      <c r="D64" s="79">
        <v>-4.1533760000000003E-3</v>
      </c>
      <c r="E64" s="79">
        <v>1.0915889999999999E-2</v>
      </c>
      <c r="F64" s="79">
        <v>0.70360428600000002</v>
      </c>
      <c r="G64" s="79">
        <v>0.98545101377932998</v>
      </c>
      <c r="H64" s="80">
        <v>1</v>
      </c>
      <c r="I64" s="79">
        <v>-5.3352408044585204E-3</v>
      </c>
      <c r="J64" s="79">
        <v>1.09998925793366E-2</v>
      </c>
      <c r="K64" s="79">
        <v>0.627684916554485</v>
      </c>
      <c r="L64" s="79">
        <v>0.91965825061269202</v>
      </c>
      <c r="M64" s="80">
        <v>1</v>
      </c>
      <c r="N64" s="79">
        <v>-1.56004665251229E-2</v>
      </c>
      <c r="O64" s="79">
        <v>1.08525534186326E-2</v>
      </c>
      <c r="P64" s="79">
        <v>0.15066202080935501</v>
      </c>
      <c r="Q64" s="79">
        <v>0.21975874069778301</v>
      </c>
      <c r="R64" s="80">
        <v>1</v>
      </c>
      <c r="S64" s="79">
        <v>-2.15430720167976E-3</v>
      </c>
      <c r="T64" s="79">
        <v>1.0849124981843599E-2</v>
      </c>
      <c r="U64" s="79">
        <v>0.842610068880566</v>
      </c>
      <c r="V64" s="79">
        <v>0.87645847339453098</v>
      </c>
      <c r="W64" s="79">
        <v>1</v>
      </c>
    </row>
    <row r="65" spans="1:23" x14ac:dyDescent="0.2">
      <c r="A65" s="69"/>
      <c r="B65" s="84" t="s">
        <v>2246</v>
      </c>
      <c r="C65" s="78">
        <v>2560</v>
      </c>
      <c r="D65" s="79">
        <v>0.92202573284944367</v>
      </c>
      <c r="E65" s="79">
        <v>7.5789777000000003E-2</v>
      </c>
      <c r="F65" s="79">
        <v>0.28410242400000002</v>
      </c>
      <c r="G65" s="79">
        <v>0.82879534725517201</v>
      </c>
      <c r="H65" s="80">
        <v>1</v>
      </c>
      <c r="I65" s="79">
        <v>0.95799119163164015</v>
      </c>
      <c r="J65" s="79">
        <v>7.3464599155704899E-2</v>
      </c>
      <c r="K65" s="79">
        <v>0.55909787841801395</v>
      </c>
      <c r="L65" s="79">
        <v>0.90984167995158605</v>
      </c>
      <c r="M65" s="80">
        <v>1</v>
      </c>
      <c r="N65" s="79">
        <v>1.0063255795824133</v>
      </c>
      <c r="O65" s="79">
        <v>7.5389334399019695E-2</v>
      </c>
      <c r="P65" s="79">
        <v>0.93334168058294498</v>
      </c>
      <c r="Q65" s="79">
        <v>0.94525985048663796</v>
      </c>
      <c r="R65" s="80">
        <v>1</v>
      </c>
      <c r="S65" s="79">
        <v>1.026417762099413</v>
      </c>
      <c r="T65" s="79">
        <v>7.4865601667786996E-2</v>
      </c>
      <c r="U65" s="79">
        <v>0.72762341612929204</v>
      </c>
      <c r="V65" s="79">
        <v>0.78117945437231096</v>
      </c>
      <c r="W65" s="79">
        <v>1</v>
      </c>
    </row>
    <row r="66" spans="1:23" x14ac:dyDescent="0.2">
      <c r="A66" s="69"/>
      <c r="B66" s="84" t="s">
        <v>2247</v>
      </c>
      <c r="C66" s="78">
        <v>2402</v>
      </c>
      <c r="D66" s="79">
        <v>0.97206722440763393</v>
      </c>
      <c r="E66" s="79">
        <v>6.5311777000000001E-2</v>
      </c>
      <c r="F66" s="79">
        <v>0.66445517600000004</v>
      </c>
      <c r="G66" s="79">
        <v>0.98545101377932998</v>
      </c>
      <c r="H66" s="80">
        <v>1</v>
      </c>
      <c r="I66" s="79">
        <v>0.9726345850110707</v>
      </c>
      <c r="J66" s="79">
        <v>6.3118130214580195E-2</v>
      </c>
      <c r="K66" s="79">
        <v>0.66022578179910396</v>
      </c>
      <c r="L66" s="79">
        <v>0.92679924458303398</v>
      </c>
      <c r="M66" s="80">
        <v>1</v>
      </c>
      <c r="N66" s="79">
        <v>0.95159833605734101</v>
      </c>
      <c r="O66" s="79">
        <v>6.4266068540731996E-2</v>
      </c>
      <c r="P66" s="79">
        <v>0.44012507927628097</v>
      </c>
      <c r="Q66" s="79">
        <v>0.52344772783655202</v>
      </c>
      <c r="R66" s="80">
        <v>1</v>
      </c>
      <c r="S66" s="79">
        <v>0.96926271958783339</v>
      </c>
      <c r="T66" s="79">
        <v>6.3550355471267403E-2</v>
      </c>
      <c r="U66" s="79">
        <v>0.62324443920285999</v>
      </c>
      <c r="V66" s="79">
        <v>0.69134370047939597</v>
      </c>
      <c r="W66" s="79">
        <v>1</v>
      </c>
    </row>
    <row r="67" spans="1:23" x14ac:dyDescent="0.2">
      <c r="A67" s="70"/>
      <c r="B67" s="83" t="s">
        <v>2248</v>
      </c>
      <c r="C67" s="78"/>
      <c r="D67" s="79"/>
      <c r="E67" s="79"/>
      <c r="F67" s="79"/>
      <c r="G67" s="79"/>
      <c r="H67" s="80"/>
      <c r="I67" s="79"/>
      <c r="J67" s="79"/>
      <c r="K67" s="79"/>
      <c r="L67" s="79"/>
      <c r="M67" s="80"/>
      <c r="N67" s="79"/>
      <c r="O67" s="79"/>
      <c r="P67" s="79"/>
      <c r="Q67" s="79"/>
      <c r="R67" s="80"/>
      <c r="S67" s="79"/>
      <c r="T67" s="79"/>
      <c r="U67" s="79"/>
      <c r="V67" s="79"/>
      <c r="W67" s="79"/>
    </row>
    <row r="68" spans="1:23" x14ac:dyDescent="0.2">
      <c r="A68" s="69"/>
      <c r="B68" s="84" t="s">
        <v>2250</v>
      </c>
      <c r="C68" s="78">
        <v>1521</v>
      </c>
      <c r="D68" s="79">
        <v>1.0408409685509146</v>
      </c>
      <c r="E68" s="79">
        <v>6.3954911000000003E-2</v>
      </c>
      <c r="F68" s="79">
        <v>0.53138431200000003</v>
      </c>
      <c r="G68" s="79">
        <v>0.93839135459751</v>
      </c>
      <c r="H68" s="80">
        <v>1</v>
      </c>
      <c r="I68" s="79">
        <v>0.97331652600015783</v>
      </c>
      <c r="J68" s="79">
        <v>6.3126840906311599E-2</v>
      </c>
      <c r="K68" s="79">
        <v>0.66833223046652801</v>
      </c>
      <c r="L68" s="79">
        <v>0.92967939975467695</v>
      </c>
      <c r="M68" s="80">
        <v>1</v>
      </c>
      <c r="N68" s="79">
        <v>1.0752730440532752</v>
      </c>
      <c r="O68" s="79">
        <v>6.1853542893906703E-2</v>
      </c>
      <c r="P68" s="79">
        <v>0.24066345536406</v>
      </c>
      <c r="Q68" s="79">
        <v>0.31912426839811098</v>
      </c>
      <c r="R68" s="80">
        <v>1</v>
      </c>
      <c r="S68" s="79">
        <v>1.0423625577251725</v>
      </c>
      <c r="T68" s="79">
        <v>6.2654280196987294E-2</v>
      </c>
      <c r="U68" s="79">
        <v>0.50784139184015697</v>
      </c>
      <c r="V68" s="79">
        <v>0.59341687499554296</v>
      </c>
      <c r="W68" s="79">
        <v>1</v>
      </c>
    </row>
    <row r="69" spans="1:23" x14ac:dyDescent="0.2">
      <c r="A69" s="69"/>
      <c r="B69" s="84" t="s">
        <v>3973</v>
      </c>
      <c r="C69" s="78">
        <v>1147</v>
      </c>
      <c r="D69" s="79">
        <v>1.7581155000000001E-2</v>
      </c>
      <c r="E69" s="79">
        <v>2.9342146999999999E-2</v>
      </c>
      <c r="F69" s="79">
        <v>0.54917612699999996</v>
      </c>
      <c r="G69" s="79">
        <v>0.94233160000673799</v>
      </c>
      <c r="H69" s="80">
        <v>1</v>
      </c>
      <c r="I69" s="79">
        <v>3.3167617035721103E-2</v>
      </c>
      <c r="J69" s="79">
        <v>2.90929806775229E-2</v>
      </c>
      <c r="K69" s="79">
        <v>0.25451769977120098</v>
      </c>
      <c r="L69" s="79">
        <v>0.75316534960692805</v>
      </c>
      <c r="M69" s="80">
        <v>1</v>
      </c>
      <c r="N69" s="79">
        <v>-1.64938153371696E-2</v>
      </c>
      <c r="O69" s="79">
        <v>2.88936052623581E-2</v>
      </c>
      <c r="P69" s="79">
        <v>0.56821727001078504</v>
      </c>
      <c r="Q69" s="79">
        <v>0.64669750281945004</v>
      </c>
      <c r="R69" s="80">
        <v>1</v>
      </c>
      <c r="S69" s="79">
        <v>-2.75449977153856E-2</v>
      </c>
      <c r="T69" s="79">
        <v>2.9065196570920201E-2</v>
      </c>
      <c r="U69" s="79">
        <v>0.34348826238920499</v>
      </c>
      <c r="V69" s="79">
        <v>0.437637153586246</v>
      </c>
      <c r="W69" s="79">
        <v>1</v>
      </c>
    </row>
    <row r="70" spans="1:23" x14ac:dyDescent="0.2">
      <c r="A70" s="69"/>
      <c r="B70" s="84" t="s">
        <v>2251</v>
      </c>
      <c r="C70" s="78">
        <v>5554</v>
      </c>
      <c r="D70" s="79">
        <v>1.0416226670540241</v>
      </c>
      <c r="E70" s="79">
        <v>4.0071954E-2</v>
      </c>
      <c r="F70" s="79">
        <v>0.30883803199999998</v>
      </c>
      <c r="G70" s="79">
        <v>0.85008618545806502</v>
      </c>
      <c r="H70" s="80">
        <v>1</v>
      </c>
      <c r="I70" s="79">
        <v>1.0351619941372117</v>
      </c>
      <c r="J70" s="79">
        <v>3.9826911251124003E-2</v>
      </c>
      <c r="K70" s="79">
        <v>0.38555694077331798</v>
      </c>
      <c r="L70" s="79">
        <v>0.340967520375549</v>
      </c>
      <c r="M70" s="80">
        <v>1</v>
      </c>
      <c r="N70" s="79">
        <v>1.0320746192652261</v>
      </c>
      <c r="O70" s="79">
        <v>3.9365739491995198E-2</v>
      </c>
      <c r="P70" s="79">
        <v>0.422558147407187</v>
      </c>
      <c r="Q70" s="79">
        <v>0.50827136403765005</v>
      </c>
      <c r="R70" s="80">
        <v>1</v>
      </c>
      <c r="S70" s="79">
        <v>1.0437875201942517</v>
      </c>
      <c r="T70" s="79">
        <v>3.9336800004280303E-2</v>
      </c>
      <c r="U70" s="79">
        <v>0.27595025691459701</v>
      </c>
      <c r="V70" s="79">
        <v>0.36745107662604798</v>
      </c>
      <c r="W70" s="79">
        <v>1</v>
      </c>
    </row>
    <row r="71" spans="1:23" x14ac:dyDescent="0.2">
      <c r="A71" s="69"/>
      <c r="B71" s="84" t="s">
        <v>102</v>
      </c>
      <c r="C71" s="78">
        <v>2496</v>
      </c>
      <c r="D71" s="79">
        <v>1.4620290000000001E-3</v>
      </c>
      <c r="E71" s="79">
        <v>1.6986665000000001E-2</v>
      </c>
      <c r="F71" s="79">
        <v>0.93141855799999995</v>
      </c>
      <c r="G71" s="79">
        <v>0.991673151733656</v>
      </c>
      <c r="H71" s="80">
        <v>1</v>
      </c>
      <c r="I71" s="79">
        <v>-4.3373372984522401E-2</v>
      </c>
      <c r="J71" s="79">
        <v>1.68724276700895E-2</v>
      </c>
      <c r="K71" s="79">
        <v>1.02102173162103E-2</v>
      </c>
      <c r="L71" s="79">
        <v>0.340967520375549</v>
      </c>
      <c r="M71" s="80">
        <v>1</v>
      </c>
      <c r="N71" s="79">
        <v>-1.66695268048184E-2</v>
      </c>
      <c r="O71" s="79">
        <v>1.6794602115580801E-2</v>
      </c>
      <c r="P71" s="79">
        <v>0.32102813525479301</v>
      </c>
      <c r="Q71" s="79">
        <v>0.40413239114773902</v>
      </c>
      <c r="R71" s="80">
        <v>1</v>
      </c>
      <c r="S71" s="79">
        <v>-1.5474106789846599E-2</v>
      </c>
      <c r="T71" s="79">
        <v>1.68576477865327E-2</v>
      </c>
      <c r="U71" s="79">
        <v>0.35874830901945898</v>
      </c>
      <c r="V71" s="79">
        <v>0.45119088617016201</v>
      </c>
      <c r="W71" s="79">
        <v>1</v>
      </c>
    </row>
    <row r="72" spans="1:23" x14ac:dyDescent="0.2">
      <c r="A72" s="69"/>
      <c r="B72" s="84" t="s">
        <v>2252</v>
      </c>
      <c r="C72" s="78">
        <v>3986</v>
      </c>
      <c r="D72" s="79">
        <v>0.96463935295929537</v>
      </c>
      <c r="E72" s="79">
        <v>3.9691125000000001E-2</v>
      </c>
      <c r="F72" s="79">
        <v>0.36439181900000001</v>
      </c>
      <c r="G72" s="79">
        <v>0.880152082540541</v>
      </c>
      <c r="H72" s="80">
        <v>1</v>
      </c>
      <c r="I72" s="79">
        <v>0.96179218300123925</v>
      </c>
      <c r="J72" s="79">
        <v>3.9970840558046797E-2</v>
      </c>
      <c r="K72" s="79">
        <v>0.32974261891467999</v>
      </c>
      <c r="L72" s="79">
        <v>0.79366538468944703</v>
      </c>
      <c r="M72" s="80">
        <v>1</v>
      </c>
      <c r="N72" s="79">
        <v>1.0943594872836255</v>
      </c>
      <c r="O72" s="79">
        <v>3.9957527833552102E-2</v>
      </c>
      <c r="P72" s="79">
        <v>2.4031371690355501E-2</v>
      </c>
      <c r="Q72" s="79">
        <v>4.8024898700883702E-2</v>
      </c>
      <c r="R72" s="80">
        <v>1</v>
      </c>
      <c r="S72" s="79">
        <v>1.0360708115431982</v>
      </c>
      <c r="T72" s="79">
        <v>3.9350513382974198E-2</v>
      </c>
      <c r="U72" s="79">
        <v>0.36784942503356999</v>
      </c>
      <c r="V72" s="79">
        <v>0.45990238459862098</v>
      </c>
      <c r="W72" s="79">
        <v>1</v>
      </c>
    </row>
    <row r="73" spans="1:23" x14ac:dyDescent="0.2">
      <c r="A73" s="69"/>
      <c r="B73" s="84" t="s">
        <v>2253</v>
      </c>
      <c r="C73" s="78">
        <v>5554</v>
      </c>
      <c r="D73" s="79">
        <v>1.0519748866238334</v>
      </c>
      <c r="E73" s="79">
        <v>4.1514062999999997E-2</v>
      </c>
      <c r="F73" s="79">
        <v>0.22226327000000001</v>
      </c>
      <c r="G73" s="79">
        <v>0.74224234113157905</v>
      </c>
      <c r="H73" s="80">
        <v>1</v>
      </c>
      <c r="I73" s="79">
        <v>1.0286491734810761</v>
      </c>
      <c r="J73" s="79">
        <v>4.1177738059603099E-2</v>
      </c>
      <c r="K73" s="79">
        <v>0.492735602967662</v>
      </c>
      <c r="L73" s="79">
        <v>0.88441510631678</v>
      </c>
      <c r="M73" s="80">
        <v>1</v>
      </c>
      <c r="N73" s="79">
        <v>1.0584511067573443</v>
      </c>
      <c r="O73" s="79">
        <v>4.09147784816834E-2</v>
      </c>
      <c r="P73" s="79">
        <v>0.16501125216538401</v>
      </c>
      <c r="Q73" s="79">
        <v>0.23634230135199999</v>
      </c>
      <c r="R73" s="80">
        <v>1</v>
      </c>
      <c r="S73" s="79">
        <v>1.0441894049052276</v>
      </c>
      <c r="T73" s="79">
        <v>4.0782856513433802E-2</v>
      </c>
      <c r="U73" s="79">
        <v>0.289021158203703</v>
      </c>
      <c r="V73" s="79">
        <v>0.38165228903277698</v>
      </c>
      <c r="W73" s="79">
        <v>1</v>
      </c>
    </row>
    <row r="74" spans="1:23" x14ac:dyDescent="0.2">
      <c r="A74" s="69"/>
      <c r="B74" s="84" t="s">
        <v>103</v>
      </c>
      <c r="C74" s="78">
        <v>4406</v>
      </c>
      <c r="D74" s="79">
        <v>7.7339119999999999E-3</v>
      </c>
      <c r="E74" s="79">
        <v>1.4306871000000001E-2</v>
      </c>
      <c r="F74" s="79">
        <v>0.58883213199999995</v>
      </c>
      <c r="G74" s="79">
        <v>0.95350818012595395</v>
      </c>
      <c r="H74" s="80">
        <v>1</v>
      </c>
      <c r="I74" s="79">
        <v>-2.4626060628671301E-2</v>
      </c>
      <c r="J74" s="79">
        <v>1.4421043508006199E-2</v>
      </c>
      <c r="K74" s="79">
        <v>8.7778796605718898E-2</v>
      </c>
      <c r="L74" s="79">
        <v>0.59811020064394504</v>
      </c>
      <c r="M74" s="80">
        <v>1</v>
      </c>
      <c r="N74" s="81">
        <v>-7.0318898864565105E-2</v>
      </c>
      <c r="O74" s="81">
        <v>1.42719856348175E-2</v>
      </c>
      <c r="P74" s="81">
        <v>8.68060615957603E-7</v>
      </c>
      <c r="Q74" s="81">
        <v>1.01997122375018E-5</v>
      </c>
      <c r="R74" s="82">
        <v>1.1015689216502E-3</v>
      </c>
      <c r="S74" s="81">
        <v>-6.0610053929503603E-2</v>
      </c>
      <c r="T74" s="81">
        <v>1.42653365945481E-2</v>
      </c>
      <c r="U74" s="81">
        <v>2.1969394210775201E-5</v>
      </c>
      <c r="V74" s="81">
        <v>2.76031299539344E-4</v>
      </c>
      <c r="W74" s="81">
        <v>2.78791612534737E-2</v>
      </c>
    </row>
    <row r="75" spans="1:23" x14ac:dyDescent="0.2">
      <c r="A75" s="69"/>
      <c r="B75" s="84" t="s">
        <v>1987</v>
      </c>
      <c r="C75" s="78">
        <v>160</v>
      </c>
      <c r="D75" s="79">
        <v>-0.101620908</v>
      </c>
      <c r="E75" s="79">
        <v>7.6410755999999996E-2</v>
      </c>
      <c r="F75" s="79">
        <v>0.18562008199999999</v>
      </c>
      <c r="G75" s="79">
        <v>0.71779241653915704</v>
      </c>
      <c r="H75" s="80">
        <v>1</v>
      </c>
      <c r="I75" s="79">
        <v>6.1670879127569501E-2</v>
      </c>
      <c r="J75" s="79">
        <v>8.0878978188393694E-2</v>
      </c>
      <c r="K75" s="79">
        <v>0.44699211372050401</v>
      </c>
      <c r="L75" s="79">
        <v>0.86998925201122601</v>
      </c>
      <c r="M75" s="80">
        <v>1</v>
      </c>
      <c r="N75" s="79">
        <v>1.63386421859535E-2</v>
      </c>
      <c r="O75" s="79">
        <v>7.2537364670777593E-2</v>
      </c>
      <c r="P75" s="79">
        <v>0.82232146197570699</v>
      </c>
      <c r="Q75" s="79">
        <v>0.85816277569668797</v>
      </c>
      <c r="R75" s="80">
        <v>1</v>
      </c>
      <c r="S75" s="79">
        <v>6.4840798729435004E-2</v>
      </c>
      <c r="T75" s="79">
        <v>7.2183589832536199E-2</v>
      </c>
      <c r="U75" s="79">
        <v>0.37076095277237398</v>
      </c>
      <c r="V75" s="79">
        <v>0.46172291370769603</v>
      </c>
      <c r="W75" s="79">
        <v>1</v>
      </c>
    </row>
    <row r="76" spans="1:23" x14ac:dyDescent="0.2">
      <c r="A76" s="69"/>
      <c r="B76" s="84" t="s">
        <v>2254</v>
      </c>
      <c r="C76" s="78">
        <v>5554</v>
      </c>
      <c r="D76" s="79">
        <v>1.0129794562983052</v>
      </c>
      <c r="E76" s="79">
        <v>3.8205809E-2</v>
      </c>
      <c r="F76" s="79">
        <v>0.73571071600000004</v>
      </c>
      <c r="G76" s="79">
        <v>0.98545101377932998</v>
      </c>
      <c r="H76" s="80">
        <v>1</v>
      </c>
      <c r="I76" s="79">
        <v>1.0024019859463527</v>
      </c>
      <c r="J76" s="79">
        <v>3.7993268955286E-2</v>
      </c>
      <c r="K76" s="79">
        <v>0.94965060456892703</v>
      </c>
      <c r="L76" s="79">
        <v>0.98536926999016194</v>
      </c>
      <c r="M76" s="80">
        <v>1</v>
      </c>
      <c r="N76" s="79">
        <v>0.976001333737893</v>
      </c>
      <c r="O76" s="79">
        <v>3.7599844293592498E-2</v>
      </c>
      <c r="P76" s="79">
        <v>0.51824789410344896</v>
      </c>
      <c r="Q76" s="79">
        <v>0.59786961601570598</v>
      </c>
      <c r="R76" s="80">
        <v>1</v>
      </c>
      <c r="S76" s="79">
        <v>1.0092503134418676</v>
      </c>
      <c r="T76" s="79">
        <v>3.7639761791909698E-2</v>
      </c>
      <c r="U76" s="79">
        <v>0.80674341872626198</v>
      </c>
      <c r="V76" s="79">
        <v>0.84538183184444804</v>
      </c>
      <c r="W76" s="79">
        <v>1</v>
      </c>
    </row>
    <row r="77" spans="1:23" x14ac:dyDescent="0.2">
      <c r="A77" s="69"/>
      <c r="B77" s="56" t="s">
        <v>104</v>
      </c>
      <c r="C77" s="78">
        <v>3899</v>
      </c>
      <c r="D77" s="79">
        <v>-1.4854882E-2</v>
      </c>
      <c r="E77" s="79">
        <v>1.3949056E-2</v>
      </c>
      <c r="F77" s="79">
        <v>0.28700482500000002</v>
      </c>
      <c r="G77" s="79">
        <v>0.83014630591571803</v>
      </c>
      <c r="H77" s="80">
        <v>1</v>
      </c>
      <c r="I77" s="79">
        <v>-3.2128936980072097E-2</v>
      </c>
      <c r="J77" s="79">
        <v>1.40100387450444E-2</v>
      </c>
      <c r="K77" s="79">
        <v>2.1909957454341801E-2</v>
      </c>
      <c r="L77" s="79">
        <v>0.43443337514937103</v>
      </c>
      <c r="M77" s="80">
        <v>1</v>
      </c>
      <c r="N77" s="79">
        <v>-3.29258631477959E-2</v>
      </c>
      <c r="O77" s="79">
        <v>1.41076522936297E-2</v>
      </c>
      <c r="P77" s="79">
        <v>1.9674764178339001E-2</v>
      </c>
      <c r="Q77" s="79">
        <v>4.1132249987334703E-2</v>
      </c>
      <c r="R77" s="80">
        <v>1</v>
      </c>
      <c r="S77" s="79">
        <v>-2.772969917385E-2</v>
      </c>
      <c r="T77" s="79">
        <v>1.3885034646482001E-2</v>
      </c>
      <c r="U77" s="79">
        <v>4.5913182916174203E-2</v>
      </c>
      <c r="V77" s="79">
        <v>8.7663148570598107E-2</v>
      </c>
      <c r="W77" s="79">
        <v>1</v>
      </c>
    </row>
    <row r="78" spans="1:23" x14ac:dyDescent="0.2">
      <c r="A78" s="69"/>
      <c r="B78" s="56" t="s">
        <v>1988</v>
      </c>
      <c r="C78" s="78">
        <v>120</v>
      </c>
      <c r="D78" s="79">
        <v>0.138672452</v>
      </c>
      <c r="E78" s="79">
        <v>9.5345834000000004E-2</v>
      </c>
      <c r="F78" s="79">
        <v>0.14884807</v>
      </c>
      <c r="G78" s="79">
        <v>0.67644481499999998</v>
      </c>
      <c r="H78" s="80">
        <v>1</v>
      </c>
      <c r="I78" s="79">
        <v>6.9618854079746398E-2</v>
      </c>
      <c r="J78" s="79">
        <v>8.9914059403884194E-2</v>
      </c>
      <c r="K78" s="79">
        <v>0.44058314613740901</v>
      </c>
      <c r="L78" s="79">
        <v>0.86970662028650003</v>
      </c>
      <c r="M78" s="80">
        <v>1</v>
      </c>
      <c r="N78" s="79">
        <v>0.192569157951056</v>
      </c>
      <c r="O78" s="79">
        <v>8.7239376191978094E-2</v>
      </c>
      <c r="P78" s="79">
        <v>2.97194027936705E-2</v>
      </c>
      <c r="Q78" s="79">
        <v>5.7055858010844E-2</v>
      </c>
      <c r="R78" s="80">
        <v>1</v>
      </c>
      <c r="S78" s="79">
        <v>0.13873130303702499</v>
      </c>
      <c r="T78" s="79">
        <v>8.5588624187466794E-2</v>
      </c>
      <c r="U78" s="79">
        <v>0.108046215850431</v>
      </c>
      <c r="V78" s="79">
        <v>0.174156574726924</v>
      </c>
      <c r="W78" s="79">
        <v>1</v>
      </c>
    </row>
    <row r="79" spans="1:23" x14ac:dyDescent="0.2">
      <c r="A79" s="69"/>
      <c r="B79" s="56" t="s">
        <v>87</v>
      </c>
      <c r="C79" s="78">
        <v>5148</v>
      </c>
      <c r="D79" s="79">
        <v>-2.1111029999999999E-2</v>
      </c>
      <c r="E79" s="79">
        <v>1.4347466999999999E-2</v>
      </c>
      <c r="F79" s="79">
        <v>0.141248812</v>
      </c>
      <c r="G79" s="79">
        <v>0.67132862332584298</v>
      </c>
      <c r="H79" s="80">
        <v>1</v>
      </c>
      <c r="I79" s="79">
        <v>-5.2975406015763303E-3</v>
      </c>
      <c r="J79" s="79">
        <v>1.42270110989134E-2</v>
      </c>
      <c r="K79" s="79">
        <v>0.70964380442812103</v>
      </c>
      <c r="L79" s="79">
        <v>0.93958156138094695</v>
      </c>
      <c r="M79" s="80">
        <v>1</v>
      </c>
      <c r="N79" s="79">
        <v>-3.45537491339869E-2</v>
      </c>
      <c r="O79" s="79">
        <v>1.4143093268862299E-2</v>
      </c>
      <c r="P79" s="79">
        <v>1.45969087479422E-2</v>
      </c>
      <c r="Q79" s="79">
        <v>3.2383701400592102E-2</v>
      </c>
      <c r="R79" s="80">
        <v>1</v>
      </c>
      <c r="S79" s="79">
        <v>-2.0347674854005501E-2</v>
      </c>
      <c r="T79" s="79">
        <v>1.41159642568436E-2</v>
      </c>
      <c r="U79" s="79">
        <v>0.14952165603022899</v>
      </c>
      <c r="V79" s="79">
        <v>0.22375351592259499</v>
      </c>
      <c r="W79" s="79">
        <v>1</v>
      </c>
    </row>
    <row r="80" spans="1:23" x14ac:dyDescent="0.2">
      <c r="A80" s="69"/>
      <c r="B80" s="56" t="s">
        <v>88</v>
      </c>
      <c r="C80" s="78">
        <v>3873</v>
      </c>
      <c r="D80" s="79">
        <v>-2.5340077999999999E-2</v>
      </c>
      <c r="E80" s="79">
        <v>1.6563979E-2</v>
      </c>
      <c r="F80" s="79">
        <v>0.126154038</v>
      </c>
      <c r="G80" s="79">
        <v>0.65626131345967698</v>
      </c>
      <c r="H80" s="80">
        <v>1</v>
      </c>
      <c r="I80" s="79">
        <v>-9.7206410954077394E-3</v>
      </c>
      <c r="J80" s="79">
        <v>1.6361087638517301E-2</v>
      </c>
      <c r="K80" s="79">
        <v>0.55246506621131097</v>
      </c>
      <c r="L80" s="79">
        <v>0.90695752784237205</v>
      </c>
      <c r="M80" s="80">
        <v>1</v>
      </c>
      <c r="N80" s="79">
        <v>-7.3599723790574298E-3</v>
      </c>
      <c r="O80" s="79">
        <v>1.6423149896069699E-2</v>
      </c>
      <c r="P80" s="79">
        <v>0.65407680661734502</v>
      </c>
      <c r="Q80" s="79">
        <v>0.72745264469536397</v>
      </c>
      <c r="R80" s="80">
        <v>1</v>
      </c>
      <c r="S80" s="79">
        <v>-1.1427618107206401E-2</v>
      </c>
      <c r="T80" s="79">
        <v>1.6260788354266399E-2</v>
      </c>
      <c r="U80" s="79">
        <v>0.48224743849343998</v>
      </c>
      <c r="V80" s="79">
        <v>0.56913759074043702</v>
      </c>
      <c r="W80" s="79">
        <v>1</v>
      </c>
    </row>
    <row r="81" spans="1:23" x14ac:dyDescent="0.2">
      <c r="A81" s="69"/>
      <c r="B81" s="56" t="s">
        <v>89</v>
      </c>
      <c r="C81" s="78">
        <v>5248</v>
      </c>
      <c r="D81" s="79">
        <v>2.4581770000000002E-3</v>
      </c>
      <c r="E81" s="79">
        <v>1.4151785E-2</v>
      </c>
      <c r="F81" s="79">
        <v>0.86210789899999996</v>
      </c>
      <c r="G81" s="79">
        <v>0.98737809010017996</v>
      </c>
      <c r="H81" s="80">
        <v>1</v>
      </c>
      <c r="I81" s="79">
        <v>7.7457908530399102E-3</v>
      </c>
      <c r="J81" s="79">
        <v>1.40457058691231E-2</v>
      </c>
      <c r="K81" s="79">
        <v>0.58133715734310698</v>
      </c>
      <c r="L81" s="79">
        <v>0.91342751815810697</v>
      </c>
      <c r="M81" s="80">
        <v>1</v>
      </c>
      <c r="N81" s="79">
        <v>-4.81138644056541E-2</v>
      </c>
      <c r="O81" s="79">
        <v>1.3967306691974201E-2</v>
      </c>
      <c r="P81" s="79">
        <v>5.7651882592227495E-4</v>
      </c>
      <c r="Q81" s="79">
        <v>2.3743217832514398E-3</v>
      </c>
      <c r="R81" s="80">
        <v>0.73160239009536698</v>
      </c>
      <c r="S81" s="79">
        <v>-9.0402664618009498E-3</v>
      </c>
      <c r="T81" s="79">
        <v>1.39662665179533E-2</v>
      </c>
      <c r="U81" s="79">
        <v>0.51747331210062597</v>
      </c>
      <c r="V81" s="79">
        <v>0.60190067191172703</v>
      </c>
      <c r="W81" s="79">
        <v>1</v>
      </c>
    </row>
    <row r="82" spans="1:23" x14ac:dyDescent="0.2">
      <c r="A82" s="69"/>
      <c r="B82" s="56" t="s">
        <v>90</v>
      </c>
      <c r="C82" s="78">
        <v>3861</v>
      </c>
      <c r="D82" s="79">
        <v>-2.3312741000000001E-2</v>
      </c>
      <c r="E82" s="79">
        <v>1.6509775000000001E-2</v>
      </c>
      <c r="F82" s="79">
        <v>0.158020042</v>
      </c>
      <c r="G82" s="79">
        <v>0.68875530511224503</v>
      </c>
      <c r="H82" s="80">
        <v>1</v>
      </c>
      <c r="I82" s="79">
        <v>1.7130598842392401E-3</v>
      </c>
      <c r="J82" s="79">
        <v>1.63850383105816E-2</v>
      </c>
      <c r="K82" s="79">
        <v>0.916738547043493</v>
      </c>
      <c r="L82" s="79">
        <v>0.981200184300273</v>
      </c>
      <c r="M82" s="80">
        <v>1</v>
      </c>
      <c r="N82" s="79">
        <v>-2.1849664525183301E-2</v>
      </c>
      <c r="O82" s="79">
        <v>1.6425392207697301E-2</v>
      </c>
      <c r="P82" s="79">
        <v>0.18352402747716101</v>
      </c>
      <c r="Q82" s="79">
        <v>0.25762388370411199</v>
      </c>
      <c r="R82" s="80">
        <v>1</v>
      </c>
      <c r="S82" s="79">
        <v>-2.4998880937661502E-2</v>
      </c>
      <c r="T82" s="79">
        <v>1.61726844366336E-2</v>
      </c>
      <c r="U82" s="79">
        <v>0.122253110762791</v>
      </c>
      <c r="V82" s="79">
        <v>0.191766622444971</v>
      </c>
      <c r="W82" s="79">
        <v>1</v>
      </c>
    </row>
    <row r="83" spans="1:23" x14ac:dyDescent="0.2">
      <c r="A83" s="69"/>
      <c r="B83" s="56" t="s">
        <v>91</v>
      </c>
      <c r="C83" s="78">
        <v>5292</v>
      </c>
      <c r="D83" s="79">
        <v>-3.8345842999999998E-2</v>
      </c>
      <c r="E83" s="79">
        <v>1.4188775000000001E-2</v>
      </c>
      <c r="F83" s="79">
        <v>6.9043569999999999E-3</v>
      </c>
      <c r="G83" s="79">
        <v>0.24769039949999999</v>
      </c>
      <c r="H83" s="80">
        <v>1</v>
      </c>
      <c r="I83" s="79">
        <v>2.1464802865273601E-2</v>
      </c>
      <c r="J83" s="79">
        <v>1.4058819295057701E-2</v>
      </c>
      <c r="K83" s="79">
        <v>0.126878011714123</v>
      </c>
      <c r="L83" s="79">
        <v>0.64438349441390497</v>
      </c>
      <c r="M83" s="80">
        <v>1</v>
      </c>
      <c r="N83" s="79">
        <v>-1.8531021990021199E-2</v>
      </c>
      <c r="O83" s="79">
        <v>1.3975743780497299E-2</v>
      </c>
      <c r="P83" s="79">
        <v>0.18491981437562499</v>
      </c>
      <c r="Q83" s="79">
        <v>0.259296402699081</v>
      </c>
      <c r="R83" s="80">
        <v>1</v>
      </c>
      <c r="S83" s="79">
        <v>-4.7493111978093902E-4</v>
      </c>
      <c r="T83" s="79">
        <v>1.3973608320957299E-2</v>
      </c>
      <c r="U83" s="79">
        <v>0.972888297670506</v>
      </c>
      <c r="V83" s="79">
        <v>0.97828466699197503</v>
      </c>
      <c r="W83" s="79">
        <v>1</v>
      </c>
    </row>
    <row r="84" spans="1:23" x14ac:dyDescent="0.2">
      <c r="A84" s="69"/>
      <c r="B84" s="56" t="s">
        <v>92</v>
      </c>
      <c r="C84" s="78">
        <v>3920</v>
      </c>
      <c r="D84" s="79">
        <v>-1.6776701000000002E-2</v>
      </c>
      <c r="E84" s="79">
        <v>1.6349235E-2</v>
      </c>
      <c r="F84" s="79">
        <v>0.30488643399999998</v>
      </c>
      <c r="G84" s="79">
        <v>0.84661025108533905</v>
      </c>
      <c r="H84" s="80">
        <v>1</v>
      </c>
      <c r="I84" s="79">
        <v>-2.65490252807755E-2</v>
      </c>
      <c r="J84" s="79">
        <v>1.6205614882508601E-2</v>
      </c>
      <c r="K84" s="79">
        <v>0.10144786005348</v>
      </c>
      <c r="L84" s="79">
        <v>0.61793044758930804</v>
      </c>
      <c r="M84" s="80">
        <v>1</v>
      </c>
      <c r="N84" s="79">
        <v>2.0322058981704001E-3</v>
      </c>
      <c r="O84" s="79">
        <v>1.62415100022393E-2</v>
      </c>
      <c r="P84" s="79">
        <v>0.90043166658886897</v>
      </c>
      <c r="Q84" s="79">
        <v>0.920747610718191</v>
      </c>
      <c r="R84" s="80">
        <v>1</v>
      </c>
      <c r="S84" s="79">
        <v>-7.1716931202360596E-3</v>
      </c>
      <c r="T84" s="79">
        <v>1.6045413246598E-2</v>
      </c>
      <c r="U84" s="79">
        <v>0.65492715512377797</v>
      </c>
      <c r="V84" s="79">
        <v>0.722069991183383</v>
      </c>
      <c r="W84" s="79">
        <v>1</v>
      </c>
    </row>
    <row r="85" spans="1:23" x14ac:dyDescent="0.2">
      <c r="A85" s="69"/>
      <c r="B85" s="56" t="s">
        <v>86</v>
      </c>
      <c r="C85" s="78">
        <v>5492</v>
      </c>
      <c r="D85" s="79">
        <v>-8.3395120000000003E-3</v>
      </c>
      <c r="E85" s="79">
        <v>1.3757254E-2</v>
      </c>
      <c r="F85" s="79">
        <v>0.544413602</v>
      </c>
      <c r="G85" s="79">
        <v>0.94233160000673799</v>
      </c>
      <c r="H85" s="80">
        <v>1</v>
      </c>
      <c r="I85" s="79">
        <v>1.7200468175503199E-2</v>
      </c>
      <c r="J85" s="79">
        <v>1.36591009402865E-2</v>
      </c>
      <c r="K85" s="79">
        <v>0.20798722896056501</v>
      </c>
      <c r="L85" s="79">
        <v>0.72311176315330705</v>
      </c>
      <c r="M85" s="80">
        <v>1</v>
      </c>
      <c r="N85" s="79">
        <v>3.95937461301357E-2</v>
      </c>
      <c r="O85" s="79">
        <v>1.35533696923826E-2</v>
      </c>
      <c r="P85" s="79">
        <v>3.4997397567819201E-3</v>
      </c>
      <c r="Q85" s="79">
        <v>1.0049112058454299E-2</v>
      </c>
      <c r="R85" s="80">
        <v>1</v>
      </c>
      <c r="S85" s="79">
        <v>4.2047729698599698E-2</v>
      </c>
      <c r="T85" s="79">
        <v>1.35352151844675E-2</v>
      </c>
      <c r="U85" s="79">
        <v>1.9025690103704699E-3</v>
      </c>
      <c r="V85" s="79">
        <v>7.4288002281849997E-3</v>
      </c>
      <c r="W85" s="79">
        <v>1</v>
      </c>
    </row>
    <row r="86" spans="1:23" x14ac:dyDescent="0.2">
      <c r="A86" s="69"/>
      <c r="B86" s="56" t="s">
        <v>1981</v>
      </c>
      <c r="C86" s="78">
        <v>5494</v>
      </c>
      <c r="D86" s="79">
        <v>1.9694137E-2</v>
      </c>
      <c r="E86" s="79">
        <v>1.3121974999999999E-2</v>
      </c>
      <c r="F86" s="79">
        <v>0.13346898700000001</v>
      </c>
      <c r="G86" s="79">
        <v>0.656481180244186</v>
      </c>
      <c r="H86" s="80">
        <v>1</v>
      </c>
      <c r="I86" s="79">
        <v>8.9208897023148794E-3</v>
      </c>
      <c r="J86" s="79">
        <v>1.3228273442874999E-2</v>
      </c>
      <c r="K86" s="79">
        <v>0.50010470188133604</v>
      </c>
      <c r="L86" s="79">
        <v>0.88650784260657001</v>
      </c>
      <c r="M86" s="80">
        <v>1</v>
      </c>
      <c r="N86" s="79">
        <v>1.3879785872276401E-2</v>
      </c>
      <c r="O86" s="79">
        <v>1.3017182037374699E-2</v>
      </c>
      <c r="P86" s="79">
        <v>0.28636318903598601</v>
      </c>
      <c r="Q86" s="79">
        <v>0.36706554230976401</v>
      </c>
      <c r="R86" s="80">
        <v>1</v>
      </c>
      <c r="S86" s="79">
        <v>1.33461302283484E-2</v>
      </c>
      <c r="T86" s="79">
        <v>1.30087877182807E-2</v>
      </c>
      <c r="U86" s="79">
        <v>0.30498131791080701</v>
      </c>
      <c r="V86" s="79">
        <v>0.398580115786626</v>
      </c>
      <c r="W86" s="79">
        <v>1</v>
      </c>
    </row>
    <row r="87" spans="1:23" x14ac:dyDescent="0.2">
      <c r="A87" s="69"/>
      <c r="B87" s="56" t="s">
        <v>1982</v>
      </c>
      <c r="C87" s="78">
        <v>5497</v>
      </c>
      <c r="D87" s="79">
        <v>2.2342987000000002E-2</v>
      </c>
      <c r="E87" s="79">
        <v>1.3843859999999999E-2</v>
      </c>
      <c r="F87" s="79">
        <v>0.106621143</v>
      </c>
      <c r="G87" s="79">
        <v>0.61501013848636399</v>
      </c>
      <c r="H87" s="80">
        <v>1</v>
      </c>
      <c r="I87" s="79">
        <v>-2.20040591390064E-3</v>
      </c>
      <c r="J87" s="79">
        <v>1.37424346425864E-2</v>
      </c>
      <c r="K87" s="79">
        <v>0.87279696890408098</v>
      </c>
      <c r="L87" s="79">
        <v>0.97241383102658396</v>
      </c>
      <c r="M87" s="80">
        <v>1</v>
      </c>
      <c r="N87" s="79">
        <v>1.8747417306949201E-2</v>
      </c>
      <c r="O87" s="79">
        <v>1.3633969798813299E-2</v>
      </c>
      <c r="P87" s="79">
        <v>0.169196121051366</v>
      </c>
      <c r="Q87" s="79">
        <v>0.241790402718675</v>
      </c>
      <c r="R87" s="80">
        <v>1</v>
      </c>
      <c r="S87" s="79">
        <v>2.1315927736656401E-2</v>
      </c>
      <c r="T87" s="79">
        <v>1.3652278472102399E-2</v>
      </c>
      <c r="U87" s="79">
        <v>0.118521171755917</v>
      </c>
      <c r="V87" s="79">
        <v>0.186604673645482</v>
      </c>
      <c r="W87" s="79">
        <v>1</v>
      </c>
    </row>
    <row r="88" spans="1:23" x14ac:dyDescent="0.2">
      <c r="A88" s="69"/>
      <c r="B88" s="56" t="s">
        <v>1983</v>
      </c>
      <c r="C88" s="78">
        <v>5487</v>
      </c>
      <c r="D88" s="79">
        <v>-4.1031389999999996E-3</v>
      </c>
      <c r="E88" s="79">
        <v>1.4019817E-2</v>
      </c>
      <c r="F88" s="79">
        <v>0.76978843200000002</v>
      </c>
      <c r="G88" s="79">
        <v>0.98545101377932998</v>
      </c>
      <c r="H88" s="80">
        <v>1</v>
      </c>
      <c r="I88" s="79">
        <v>2.1514081788758799E-3</v>
      </c>
      <c r="J88" s="79">
        <v>1.3979409371223399E-2</v>
      </c>
      <c r="K88" s="79">
        <v>0.87769606793184896</v>
      </c>
      <c r="L88" s="79">
        <v>0.97274786917512301</v>
      </c>
      <c r="M88" s="80">
        <v>1</v>
      </c>
      <c r="N88" s="79">
        <v>4.5997527582105201E-2</v>
      </c>
      <c r="O88" s="79">
        <v>1.3835274796481899E-2</v>
      </c>
      <c r="P88" s="79">
        <v>8.9155366732684299E-4</v>
      </c>
      <c r="Q88" s="79">
        <v>3.2698890284328401E-3</v>
      </c>
      <c r="R88" s="80">
        <v>1</v>
      </c>
      <c r="S88" s="79">
        <v>3.9077657630956497E-2</v>
      </c>
      <c r="T88" s="79">
        <v>1.38386440343078E-2</v>
      </c>
      <c r="U88" s="79">
        <v>4.7640783558596401E-3</v>
      </c>
      <c r="V88" s="79">
        <v>1.48540919744125E-2</v>
      </c>
      <c r="W88" s="79">
        <v>1</v>
      </c>
    </row>
    <row r="89" spans="1:23" x14ac:dyDescent="0.2">
      <c r="A89" s="69"/>
      <c r="B89" s="56" t="s">
        <v>1984</v>
      </c>
      <c r="C89" s="78">
        <v>5484</v>
      </c>
      <c r="D89" s="79">
        <v>6.0894950000000003E-3</v>
      </c>
      <c r="E89" s="79">
        <v>1.3821137000000001E-2</v>
      </c>
      <c r="F89" s="79">
        <v>0.65952649799999996</v>
      </c>
      <c r="G89" s="79">
        <v>0.98545101377932998</v>
      </c>
      <c r="H89" s="80">
        <v>1</v>
      </c>
      <c r="I89" s="79">
        <v>-6.92028838371364E-3</v>
      </c>
      <c r="J89" s="79">
        <v>1.3729822034763599E-2</v>
      </c>
      <c r="K89" s="79">
        <v>0.61426020241727297</v>
      </c>
      <c r="L89" s="79">
        <v>0.91965825061269202</v>
      </c>
      <c r="M89" s="80">
        <v>1</v>
      </c>
      <c r="N89" s="79">
        <v>3.00366409412678E-2</v>
      </c>
      <c r="O89" s="79">
        <v>1.3602415770148099E-2</v>
      </c>
      <c r="P89" s="79">
        <v>2.72765704320698E-2</v>
      </c>
      <c r="Q89" s="79">
        <v>5.3088907788798399E-2</v>
      </c>
      <c r="R89" s="80">
        <v>1</v>
      </c>
      <c r="S89" s="79">
        <v>3.5247902902394102E-2</v>
      </c>
      <c r="T89" s="79">
        <v>1.36251395113042E-2</v>
      </c>
      <c r="U89" s="79">
        <v>9.7098142988097397E-3</v>
      </c>
      <c r="V89" s="79">
        <v>2.5642736111351001E-2</v>
      </c>
      <c r="W89" s="79">
        <v>1</v>
      </c>
    </row>
    <row r="90" spans="1:23" x14ac:dyDescent="0.2">
      <c r="A90" s="69"/>
      <c r="B90" s="56" t="s">
        <v>1985</v>
      </c>
      <c r="C90" s="78">
        <v>5498</v>
      </c>
      <c r="D90" s="79">
        <v>-7.0375790000000004E-3</v>
      </c>
      <c r="E90" s="79">
        <v>1.3762498E-2</v>
      </c>
      <c r="F90" s="79">
        <v>0.60912387700000004</v>
      </c>
      <c r="G90" s="79">
        <v>0.96049373783807201</v>
      </c>
      <c r="H90" s="80">
        <v>1</v>
      </c>
      <c r="I90" s="79">
        <v>-8.3915672981421906E-3</v>
      </c>
      <c r="J90" s="79">
        <v>1.3653772768210001E-2</v>
      </c>
      <c r="K90" s="79">
        <v>0.53885211122676102</v>
      </c>
      <c r="L90" s="79">
        <v>0.90092665236727199</v>
      </c>
      <c r="M90" s="80">
        <v>1</v>
      </c>
      <c r="N90" s="79">
        <v>-8.8260874433665395E-3</v>
      </c>
      <c r="O90" s="79">
        <v>1.3544965916528E-2</v>
      </c>
      <c r="P90" s="79">
        <v>0.514683787134528</v>
      </c>
      <c r="Q90" s="79">
        <v>0.59538170088761699</v>
      </c>
      <c r="R90" s="80">
        <v>1</v>
      </c>
      <c r="S90" s="79">
        <v>2.0479837636553401E-2</v>
      </c>
      <c r="T90" s="79">
        <v>1.35684653217545E-2</v>
      </c>
      <c r="U90" s="79">
        <v>0.13127253000597</v>
      </c>
      <c r="V90" s="79">
        <v>0.20315224460680001</v>
      </c>
      <c r="W90" s="79">
        <v>1</v>
      </c>
    </row>
    <row r="91" spans="1:23" x14ac:dyDescent="0.2">
      <c r="A91" s="69"/>
      <c r="B91" s="56" t="s">
        <v>1986</v>
      </c>
      <c r="C91" s="78">
        <v>5497</v>
      </c>
      <c r="D91" s="79">
        <v>-1.0766606E-2</v>
      </c>
      <c r="E91" s="79">
        <v>1.3407462E-2</v>
      </c>
      <c r="F91" s="79">
        <v>0.421994017</v>
      </c>
      <c r="G91" s="79">
        <v>0.89158896436589397</v>
      </c>
      <c r="H91" s="80">
        <v>1</v>
      </c>
      <c r="I91" s="79">
        <v>1.7230411880382001E-2</v>
      </c>
      <c r="J91" s="79">
        <v>1.3332179810965499E-2</v>
      </c>
      <c r="K91" s="79">
        <v>0.19628024453079801</v>
      </c>
      <c r="L91" s="79">
        <v>0.71347894824854996</v>
      </c>
      <c r="M91" s="80">
        <v>1</v>
      </c>
      <c r="N91" s="81">
        <v>6.8889396307901501E-2</v>
      </c>
      <c r="O91" s="81">
        <v>1.3196805813242E-2</v>
      </c>
      <c r="P91" s="81">
        <v>1.8588015803081401E-7</v>
      </c>
      <c r="Q91" s="81">
        <v>2.6528670206446101E-6</v>
      </c>
      <c r="R91" s="82">
        <v>2.3588192054110299E-4</v>
      </c>
      <c r="S91" s="81">
        <v>7.7747266436759194E-2</v>
      </c>
      <c r="T91" s="81">
        <v>1.31867773433049E-2</v>
      </c>
      <c r="U91" s="81">
        <v>3.96633540093537E-9</v>
      </c>
      <c r="V91" s="81">
        <v>2.7962664576594402E-7</v>
      </c>
      <c r="W91" s="81">
        <v>5.03327962378698E-6</v>
      </c>
    </row>
    <row r="92" spans="1:23" x14ac:dyDescent="0.2">
      <c r="A92" s="69"/>
      <c r="B92" s="56" t="s">
        <v>1989</v>
      </c>
      <c r="C92" s="78">
        <v>5552</v>
      </c>
      <c r="D92" s="79">
        <v>2.4007210000000002E-3</v>
      </c>
      <c r="E92" s="79">
        <v>1.3786046E-2</v>
      </c>
      <c r="F92" s="79">
        <v>0.86176151199999995</v>
      </c>
      <c r="G92" s="79">
        <v>0.98737809010017996</v>
      </c>
      <c r="H92" s="80">
        <v>1</v>
      </c>
      <c r="I92" s="79">
        <v>1.0884034775302501E-4</v>
      </c>
      <c r="J92" s="79">
        <v>1.3711103352365899E-2</v>
      </c>
      <c r="K92" s="79">
        <v>0.99366669601105495</v>
      </c>
      <c r="L92" s="79">
        <v>0.99523523065353503</v>
      </c>
      <c r="M92" s="80">
        <v>1</v>
      </c>
      <c r="N92" s="79">
        <v>4.3748149357436698E-2</v>
      </c>
      <c r="O92" s="79">
        <v>1.36088577127782E-2</v>
      </c>
      <c r="P92" s="79">
        <v>1.31449004448315E-3</v>
      </c>
      <c r="Q92" s="79">
        <v>4.4129308636220001E-3</v>
      </c>
      <c r="R92" s="80">
        <v>1</v>
      </c>
      <c r="S92" s="79">
        <v>5.1267525301844197E-2</v>
      </c>
      <c r="T92" s="79">
        <v>1.3582044396623499E-2</v>
      </c>
      <c r="U92" s="79">
        <v>1.6211974081508201E-4</v>
      </c>
      <c r="V92" s="79">
        <v>1.1557862421030299E-3</v>
      </c>
      <c r="W92" s="79">
        <v>0.205729951094339</v>
      </c>
    </row>
    <row r="93" spans="1:23" x14ac:dyDescent="0.2">
      <c r="A93" s="69"/>
      <c r="B93" s="56" t="s">
        <v>84</v>
      </c>
      <c r="C93" s="78">
        <v>5552</v>
      </c>
      <c r="D93" s="79">
        <v>1.7236528000000001E-2</v>
      </c>
      <c r="E93" s="79">
        <v>1.3654684E-2</v>
      </c>
      <c r="F93" s="79">
        <v>0.206889762</v>
      </c>
      <c r="G93" s="79">
        <v>0.73748064038764105</v>
      </c>
      <c r="H93" s="80">
        <v>1</v>
      </c>
      <c r="I93" s="79">
        <v>6.3241814267117396E-3</v>
      </c>
      <c r="J93" s="79">
        <v>1.35609939128287E-2</v>
      </c>
      <c r="K93" s="79">
        <v>0.64098335322883104</v>
      </c>
      <c r="L93" s="79">
        <v>0.920144655257225</v>
      </c>
      <c r="M93" s="80">
        <v>1</v>
      </c>
      <c r="N93" s="79">
        <v>2.07350485525636E-3</v>
      </c>
      <c r="O93" s="79">
        <v>1.3474807692669901E-2</v>
      </c>
      <c r="P93" s="79">
        <v>0.87771007135345303</v>
      </c>
      <c r="Q93" s="79">
        <v>0.90333664277983095</v>
      </c>
      <c r="R93" s="80">
        <v>1</v>
      </c>
      <c r="S93" s="79">
        <v>-7.7099322390785504E-3</v>
      </c>
      <c r="T93" s="79">
        <v>1.34733757175181E-2</v>
      </c>
      <c r="U93" s="79">
        <v>0.56718692469561904</v>
      </c>
      <c r="V93" s="79">
        <v>0.64436903083146002</v>
      </c>
      <c r="W93" s="79">
        <v>1</v>
      </c>
    </row>
    <row r="94" spans="1:23" x14ac:dyDescent="0.2">
      <c r="A94" s="69"/>
      <c r="B94" s="56" t="s">
        <v>85</v>
      </c>
      <c r="C94" s="78">
        <v>5554</v>
      </c>
      <c r="D94" s="79">
        <v>4.3188690000000004E-3</v>
      </c>
      <c r="E94" s="79">
        <v>1.3815453E-2</v>
      </c>
      <c r="F94" s="79">
        <v>0.75458944500000003</v>
      </c>
      <c r="G94" s="79">
        <v>0.98545101377932998</v>
      </c>
      <c r="H94" s="80">
        <v>1</v>
      </c>
      <c r="I94" s="79">
        <v>-5.8958619399486802E-3</v>
      </c>
      <c r="J94" s="79">
        <v>1.37328690531748E-2</v>
      </c>
      <c r="K94" s="79">
        <v>0.66770666985426996</v>
      </c>
      <c r="L94" s="79">
        <v>0.92967939975467695</v>
      </c>
      <c r="M94" s="80">
        <v>1</v>
      </c>
      <c r="N94" s="79">
        <v>2.7327468663732001E-2</v>
      </c>
      <c r="O94" s="79">
        <v>1.3638833670984099E-2</v>
      </c>
      <c r="P94" s="79">
        <v>4.5164846712900698E-2</v>
      </c>
      <c r="Q94" s="79">
        <v>8.1181572915964603E-2</v>
      </c>
      <c r="R94" s="80">
        <v>1</v>
      </c>
      <c r="S94" s="79">
        <v>-4.3849020841631101E-3</v>
      </c>
      <c r="T94" s="79">
        <v>1.36307579003026E-2</v>
      </c>
      <c r="U94" s="79">
        <v>0.74770026547378798</v>
      </c>
      <c r="V94" s="79">
        <v>0.79867982902881896</v>
      </c>
      <c r="W94" s="79">
        <v>1</v>
      </c>
    </row>
    <row r="95" spans="1:23" x14ac:dyDescent="0.2">
      <c r="A95" s="69"/>
      <c r="B95" s="56" t="s">
        <v>93</v>
      </c>
      <c r="C95" s="78">
        <v>5257</v>
      </c>
      <c r="D95" s="79">
        <v>-1.125668E-3</v>
      </c>
      <c r="E95" s="79">
        <v>1.1249389E-2</v>
      </c>
      <c r="F95" s="79">
        <v>0.92029880500000005</v>
      </c>
      <c r="G95" s="79">
        <v>0.991673151733656</v>
      </c>
      <c r="H95" s="80">
        <v>1</v>
      </c>
      <c r="I95" s="79">
        <v>-9.6306040064824093E-3</v>
      </c>
      <c r="J95" s="79">
        <v>1.1412562444547299E-2</v>
      </c>
      <c r="K95" s="79">
        <v>0.398804011317691</v>
      </c>
      <c r="L95" s="79">
        <v>0.83369555356615399</v>
      </c>
      <c r="M95" s="80">
        <v>1</v>
      </c>
      <c r="N95" s="79">
        <v>-2.25408599932733E-2</v>
      </c>
      <c r="O95" s="79">
        <v>1.1235311863154299E-2</v>
      </c>
      <c r="P95" s="79">
        <v>4.4907463777372501E-2</v>
      </c>
      <c r="Q95" s="79">
        <v>8.0935409587335805E-2</v>
      </c>
      <c r="R95" s="80">
        <v>1</v>
      </c>
      <c r="S95" s="79">
        <v>-3.1778743501873402E-2</v>
      </c>
      <c r="T95" s="79">
        <v>1.1142626123115101E-2</v>
      </c>
      <c r="U95" s="79">
        <v>4.37045783204931E-3</v>
      </c>
      <c r="V95" s="79">
        <v>1.38307007203755E-2</v>
      </c>
      <c r="W95" s="79">
        <v>1</v>
      </c>
    </row>
    <row r="96" spans="1:23" x14ac:dyDescent="0.2">
      <c r="A96" s="69"/>
      <c r="B96" s="56" t="s">
        <v>94</v>
      </c>
      <c r="C96" s="78">
        <v>5203</v>
      </c>
      <c r="D96" s="79">
        <v>5.159861E-3</v>
      </c>
      <c r="E96" s="79">
        <v>1.2341364000000001E-2</v>
      </c>
      <c r="F96" s="79">
        <v>0.67590061599999995</v>
      </c>
      <c r="G96" s="79">
        <v>0.98545101377932998</v>
      </c>
      <c r="H96" s="80">
        <v>1</v>
      </c>
      <c r="I96" s="79">
        <v>3.2632269125382703E-2</v>
      </c>
      <c r="J96" s="79">
        <v>1.2461185736536901E-2</v>
      </c>
      <c r="K96" s="79">
        <v>8.8586132971139007E-3</v>
      </c>
      <c r="L96" s="79">
        <v>0.330634713942281</v>
      </c>
      <c r="M96" s="80">
        <v>1</v>
      </c>
      <c r="N96" s="81">
        <v>5.7718477774761898E-2</v>
      </c>
      <c r="O96" s="81">
        <v>1.2262667113826901E-2</v>
      </c>
      <c r="P96" s="81">
        <v>2.6017577548439202E-6</v>
      </c>
      <c r="Q96" s="81">
        <v>2.5997091266904999E-5</v>
      </c>
      <c r="R96" s="82">
        <v>3.3016305908969302E-3</v>
      </c>
      <c r="S96" s="81">
        <v>5.6188605505517901E-2</v>
      </c>
      <c r="T96" s="81">
        <v>1.21772176454729E-2</v>
      </c>
      <c r="U96" s="81">
        <v>4.0685957808577003E-6</v>
      </c>
      <c r="V96" s="81">
        <v>8.0672625717319093E-5</v>
      </c>
      <c r="W96" s="81">
        <v>5.1630480459084202E-3</v>
      </c>
    </row>
    <row r="97" spans="1:23" x14ac:dyDescent="0.2">
      <c r="A97" s="69"/>
      <c r="B97" s="56" t="s">
        <v>95</v>
      </c>
      <c r="C97" s="78">
        <v>5133</v>
      </c>
      <c r="D97" s="79">
        <v>1.59399E-3</v>
      </c>
      <c r="E97" s="79">
        <v>1.3323312E-2</v>
      </c>
      <c r="F97" s="79">
        <v>0.90477446699999997</v>
      </c>
      <c r="G97" s="79">
        <v>0.991673151733656</v>
      </c>
      <c r="H97" s="80">
        <v>1</v>
      </c>
      <c r="I97" s="79">
        <v>2.5671034430183402E-2</v>
      </c>
      <c r="J97" s="79">
        <v>1.3419365277583801E-2</v>
      </c>
      <c r="K97" s="79">
        <v>5.5812626041045997E-2</v>
      </c>
      <c r="L97" s="79">
        <v>0.56477779537004102</v>
      </c>
      <c r="M97" s="80">
        <v>1</v>
      </c>
      <c r="N97" s="79">
        <v>2.5171915364195802E-2</v>
      </c>
      <c r="O97" s="79">
        <v>1.32651037741916E-2</v>
      </c>
      <c r="P97" s="79">
        <v>5.7813402565147699E-2</v>
      </c>
      <c r="Q97" s="79">
        <v>0.100225693791219</v>
      </c>
      <c r="R97" s="80">
        <v>1</v>
      </c>
      <c r="S97" s="79">
        <v>3.2386865215085298E-2</v>
      </c>
      <c r="T97" s="79">
        <v>1.31603487995761E-2</v>
      </c>
      <c r="U97" s="79">
        <v>1.3894853960996699E-2</v>
      </c>
      <c r="V97" s="79">
        <v>3.3143927963354899E-2</v>
      </c>
      <c r="W97" s="79">
        <v>1</v>
      </c>
    </row>
    <row r="98" spans="1:23" x14ac:dyDescent="0.2">
      <c r="A98" s="69"/>
      <c r="B98" s="56" t="s">
        <v>96</v>
      </c>
      <c r="C98" s="78">
        <v>5134</v>
      </c>
      <c r="D98" s="79">
        <v>-1.1214918000000001E-2</v>
      </c>
      <c r="E98" s="79">
        <v>1.3071113000000001E-2</v>
      </c>
      <c r="F98" s="79">
        <v>0.39094533300000001</v>
      </c>
      <c r="G98" s="79">
        <v>0.88261195738869902</v>
      </c>
      <c r="H98" s="80">
        <v>1</v>
      </c>
      <c r="I98" s="79">
        <v>-5.6950086061085996E-3</v>
      </c>
      <c r="J98" s="79">
        <v>1.3156085703037499E-2</v>
      </c>
      <c r="K98" s="79">
        <v>0.66512304833221303</v>
      </c>
      <c r="L98" s="79">
        <v>0.92967939975467695</v>
      </c>
      <c r="M98" s="80">
        <v>1</v>
      </c>
      <c r="N98" s="81">
        <v>6.3270083207388694E-2</v>
      </c>
      <c r="O98" s="81">
        <v>1.2978343351694401E-2</v>
      </c>
      <c r="P98" s="81">
        <v>1.1277391374647401E-6</v>
      </c>
      <c r="Q98" s="81">
        <v>1.2777687191453199E-5</v>
      </c>
      <c r="R98" s="82">
        <v>1.4311009654427601E-3</v>
      </c>
      <c r="S98" s="79">
        <v>2.1066688403666999E-2</v>
      </c>
      <c r="T98" s="79">
        <v>1.2938874714493599E-2</v>
      </c>
      <c r="U98" s="79">
        <v>0.103562256959631</v>
      </c>
      <c r="V98" s="79">
        <v>0.16827209229420201</v>
      </c>
      <c r="W98" s="79">
        <v>1</v>
      </c>
    </row>
    <row r="99" spans="1:23" x14ac:dyDescent="0.2">
      <c r="A99" s="69"/>
      <c r="B99" s="56" t="s">
        <v>97</v>
      </c>
      <c r="C99" s="78">
        <v>5133</v>
      </c>
      <c r="D99" s="79">
        <v>-1.3052655999999999E-2</v>
      </c>
      <c r="E99" s="79">
        <v>1.4100463000000001E-2</v>
      </c>
      <c r="F99" s="79">
        <v>0.35465153199999999</v>
      </c>
      <c r="G99" s="79">
        <v>0.87466935069364204</v>
      </c>
      <c r="H99" s="80">
        <v>1</v>
      </c>
      <c r="I99" s="79">
        <v>-4.0932824009655804E-3</v>
      </c>
      <c r="J99" s="79">
        <v>1.4121860805628699E-2</v>
      </c>
      <c r="K99" s="79">
        <v>0.77193951322033605</v>
      </c>
      <c r="L99" s="79">
        <v>0.95389133514851498</v>
      </c>
      <c r="M99" s="80">
        <v>1</v>
      </c>
      <c r="N99" s="79">
        <v>2.13112350632878E-2</v>
      </c>
      <c r="O99" s="79">
        <v>1.40237444324691E-2</v>
      </c>
      <c r="P99" s="79">
        <v>0.12866073216276799</v>
      </c>
      <c r="Q99" s="79">
        <v>0.19208290484064999</v>
      </c>
      <c r="R99" s="80">
        <v>1</v>
      </c>
      <c r="S99" s="79">
        <v>-1.5714308974380399E-2</v>
      </c>
      <c r="T99" s="79">
        <v>1.3928038167459999E-2</v>
      </c>
      <c r="U99" s="79">
        <v>0.259267900801253</v>
      </c>
      <c r="V99" s="79">
        <v>0.35038441545984</v>
      </c>
      <c r="W99" s="79">
        <v>1</v>
      </c>
    </row>
    <row r="100" spans="1:23" x14ac:dyDescent="0.2">
      <c r="A100" s="69"/>
      <c r="B100" s="56" t="s">
        <v>98</v>
      </c>
      <c r="C100" s="78">
        <v>4265</v>
      </c>
      <c r="D100" s="79">
        <v>-7.052376E-3</v>
      </c>
      <c r="E100" s="79">
        <v>7.5311650000000003E-3</v>
      </c>
      <c r="F100" s="79">
        <v>0.34911440300000002</v>
      </c>
      <c r="G100" s="79">
        <v>0.87195504610588204</v>
      </c>
      <c r="H100" s="80">
        <v>1</v>
      </c>
      <c r="I100" s="79">
        <v>-5.9675030807572402E-3</v>
      </c>
      <c r="J100" s="79">
        <v>7.5460151775446002E-3</v>
      </c>
      <c r="K100" s="79">
        <v>0.42910183213953301</v>
      </c>
      <c r="L100" s="79">
        <v>0.85888048104900205</v>
      </c>
      <c r="M100" s="80">
        <v>1</v>
      </c>
      <c r="N100" s="79">
        <v>7.6313821876109996E-3</v>
      </c>
      <c r="O100" s="79">
        <v>7.4338827022899503E-3</v>
      </c>
      <c r="P100" s="79">
        <v>0.30468968061164597</v>
      </c>
      <c r="Q100" s="79">
        <v>0.38781464864210502</v>
      </c>
      <c r="R100" s="80">
        <v>1</v>
      </c>
      <c r="S100" s="79">
        <v>-6.1376287279114698E-3</v>
      </c>
      <c r="T100" s="79">
        <v>7.3536469040420402E-3</v>
      </c>
      <c r="U100" s="79">
        <v>0.403975233048736</v>
      </c>
      <c r="V100" s="79">
        <v>0.49292747186427499</v>
      </c>
      <c r="W100" s="79">
        <v>1</v>
      </c>
    </row>
    <row r="101" spans="1:23" x14ac:dyDescent="0.2">
      <c r="A101" s="69"/>
      <c r="B101" s="56" t="s">
        <v>99</v>
      </c>
      <c r="C101" s="78">
        <v>1905</v>
      </c>
      <c r="D101" s="79">
        <v>-2.6523419999999999E-2</v>
      </c>
      <c r="E101" s="79">
        <v>2.2617894999999999E-2</v>
      </c>
      <c r="F101" s="79">
        <v>0.24108745300000001</v>
      </c>
      <c r="G101" s="79">
        <v>0.77257570165909095</v>
      </c>
      <c r="H101" s="80">
        <v>1</v>
      </c>
      <c r="I101" s="79">
        <v>1.4165521143636501E-2</v>
      </c>
      <c r="J101" s="79">
        <v>2.28854915175161E-2</v>
      </c>
      <c r="K101" s="79">
        <v>0.53601137710855995</v>
      </c>
      <c r="L101" s="79">
        <v>0.90084380243459306</v>
      </c>
      <c r="M101" s="80">
        <v>1</v>
      </c>
      <c r="N101" s="79">
        <v>1.0094165294954801E-2</v>
      </c>
      <c r="O101" s="79">
        <v>2.2131517434314501E-2</v>
      </c>
      <c r="P101" s="79">
        <v>0.64837468740202597</v>
      </c>
      <c r="Q101" s="79">
        <v>0.72364773818220895</v>
      </c>
      <c r="R101" s="80">
        <v>1</v>
      </c>
      <c r="S101" s="79">
        <v>8.1105817626988003E-3</v>
      </c>
      <c r="T101" s="79">
        <v>2.18111272182646E-2</v>
      </c>
      <c r="U101" s="79">
        <v>0.710044768905567</v>
      </c>
      <c r="V101" s="79">
        <v>0.76684835041801203</v>
      </c>
      <c r="W101" s="79">
        <v>1</v>
      </c>
    </row>
    <row r="102" spans="1:23" x14ac:dyDescent="0.2">
      <c r="A102" s="69"/>
      <c r="B102" s="56" t="s">
        <v>100</v>
      </c>
      <c r="C102" s="78">
        <v>1873</v>
      </c>
      <c r="D102" s="79">
        <v>-4.7112600000000001E-3</v>
      </c>
      <c r="E102" s="79">
        <v>2.3895486000000001E-2</v>
      </c>
      <c r="F102" s="79">
        <v>0.843723102</v>
      </c>
      <c r="G102" s="79">
        <v>0.98552821438803295</v>
      </c>
      <c r="H102" s="80">
        <v>1</v>
      </c>
      <c r="I102" s="79">
        <v>2.3245673396183102E-2</v>
      </c>
      <c r="J102" s="79">
        <v>2.4133911824546401E-2</v>
      </c>
      <c r="K102" s="79">
        <v>0.33557514333546701</v>
      </c>
      <c r="L102" s="79">
        <v>0.79448667330728995</v>
      </c>
      <c r="M102" s="80">
        <v>1</v>
      </c>
      <c r="N102" s="79">
        <v>-9.3768979685080294E-5</v>
      </c>
      <c r="O102" s="79">
        <v>2.3482995412716801E-2</v>
      </c>
      <c r="P102" s="79">
        <v>0.99681443748457599</v>
      </c>
      <c r="Q102" s="79">
        <v>0.99687248516150995</v>
      </c>
      <c r="R102" s="80">
        <v>1</v>
      </c>
      <c r="S102" s="79">
        <v>-2.8800227985124299E-2</v>
      </c>
      <c r="T102" s="79">
        <v>2.32235794293786E-2</v>
      </c>
      <c r="U102" s="79">
        <v>0.21508470668716201</v>
      </c>
      <c r="V102" s="79">
        <v>0.300266768741484</v>
      </c>
      <c r="W102" s="79">
        <v>1</v>
      </c>
    </row>
    <row r="103" spans="1:23" x14ac:dyDescent="0.2">
      <c r="A103" s="69"/>
      <c r="B103" s="56" t="s">
        <v>101</v>
      </c>
      <c r="C103" s="78">
        <v>2120</v>
      </c>
      <c r="D103" s="79">
        <v>-5.9369929999999998E-3</v>
      </c>
      <c r="E103" s="79">
        <v>2.0405514999999999E-2</v>
      </c>
      <c r="F103" s="79">
        <v>0.77112234700000004</v>
      </c>
      <c r="G103" s="79">
        <v>0.98545101377932998</v>
      </c>
      <c r="H103" s="80">
        <v>1</v>
      </c>
      <c r="I103" s="79">
        <v>-1.25641938874141E-2</v>
      </c>
      <c r="J103" s="79">
        <v>2.0367115582990501E-2</v>
      </c>
      <c r="K103" s="79">
        <v>0.53738278837114795</v>
      </c>
      <c r="L103" s="79">
        <v>0.90084380243459306</v>
      </c>
      <c r="M103" s="80">
        <v>1</v>
      </c>
      <c r="N103" s="79">
        <v>4.5289039318176502E-2</v>
      </c>
      <c r="O103" s="79">
        <v>1.9963645522943399E-2</v>
      </c>
      <c r="P103" s="79">
        <v>2.34078680680848E-2</v>
      </c>
      <c r="Q103" s="79">
        <v>4.72540503666092E-2</v>
      </c>
      <c r="R103" s="80">
        <v>1</v>
      </c>
      <c r="S103" s="79">
        <v>3.80509510667262E-2</v>
      </c>
      <c r="T103" s="79">
        <v>1.9583351403816299E-2</v>
      </c>
      <c r="U103" s="79">
        <v>5.2169058223016797E-2</v>
      </c>
      <c r="V103" s="79">
        <v>9.6929040827245003E-2</v>
      </c>
      <c r="W103" s="79">
        <v>1</v>
      </c>
    </row>
    <row r="104" spans="1:23" x14ac:dyDescent="0.2">
      <c r="A104" s="69"/>
      <c r="B104" s="84" t="s">
        <v>2255</v>
      </c>
      <c r="C104" s="78">
        <v>5555</v>
      </c>
      <c r="D104" s="79">
        <v>1.0103739865217662</v>
      </c>
      <c r="E104" s="79">
        <v>3.4125226000000002E-2</v>
      </c>
      <c r="F104" s="79">
        <v>0.76232307899999996</v>
      </c>
      <c r="G104" s="79">
        <v>0.98545101377932998</v>
      </c>
      <c r="H104" s="80">
        <v>1</v>
      </c>
      <c r="I104" s="79">
        <v>1.0082890815000964</v>
      </c>
      <c r="J104" s="79">
        <v>3.3823841330949601E-2</v>
      </c>
      <c r="K104" s="79">
        <v>0.80718735032813205</v>
      </c>
      <c r="L104" s="79">
        <v>0.96211732726388599</v>
      </c>
      <c r="M104" s="80">
        <v>1</v>
      </c>
      <c r="N104" s="79">
        <v>1.0958068928432692</v>
      </c>
      <c r="O104" s="79">
        <v>3.3612912722337303E-2</v>
      </c>
      <c r="P104" s="79">
        <v>6.4907820021528799E-3</v>
      </c>
      <c r="Q104" s="79">
        <v>1.6647066164875001E-2</v>
      </c>
      <c r="R104" s="80">
        <v>1</v>
      </c>
      <c r="S104" s="79">
        <v>1.0270737833086698</v>
      </c>
      <c r="T104" s="79">
        <v>3.35171931303926E-2</v>
      </c>
      <c r="U104" s="79">
        <v>0.42544117242770502</v>
      </c>
      <c r="V104" s="79">
        <v>0.51417604553405505</v>
      </c>
      <c r="W104" s="79">
        <v>1</v>
      </c>
    </row>
    <row r="105" spans="1:23" x14ac:dyDescent="0.2">
      <c r="A105" s="69"/>
      <c r="B105" s="84" t="s">
        <v>2256</v>
      </c>
      <c r="C105" s="78">
        <v>5555</v>
      </c>
      <c r="D105" s="79">
        <v>0.94116471331243468</v>
      </c>
      <c r="E105" s="79">
        <v>3.2507371E-2</v>
      </c>
      <c r="F105" s="79">
        <v>6.2134560999999998E-2</v>
      </c>
      <c r="G105" s="79">
        <v>0.50823687530769202</v>
      </c>
      <c r="H105" s="80">
        <v>1</v>
      </c>
      <c r="I105" s="79">
        <v>1.0293859841924473</v>
      </c>
      <c r="J105" s="79">
        <v>3.2270588200481398E-2</v>
      </c>
      <c r="K105" s="79">
        <v>0.36945812809786999</v>
      </c>
      <c r="L105" s="79">
        <v>0.81825890508292898</v>
      </c>
      <c r="M105" s="80">
        <v>1</v>
      </c>
      <c r="N105" s="79">
        <v>1.0407281053107371</v>
      </c>
      <c r="O105" s="79">
        <v>3.21197869783049E-2</v>
      </c>
      <c r="P105" s="79">
        <v>0.213917465577247</v>
      </c>
      <c r="Q105" s="79">
        <v>0.29002271775376798</v>
      </c>
      <c r="R105" s="80">
        <v>1</v>
      </c>
      <c r="S105" s="79">
        <v>1.0932437520321423</v>
      </c>
      <c r="T105" s="79">
        <v>3.2130883159462102E-2</v>
      </c>
      <c r="U105" s="79">
        <v>5.5275732856623697E-3</v>
      </c>
      <c r="V105" s="79">
        <v>1.67810777500133E-2</v>
      </c>
      <c r="W105" s="79">
        <v>1</v>
      </c>
    </row>
    <row r="106" spans="1:23" x14ac:dyDescent="0.2">
      <c r="A106" s="69"/>
      <c r="B106" s="84" t="s">
        <v>2257</v>
      </c>
      <c r="C106" s="78">
        <v>5555</v>
      </c>
      <c r="D106" s="79">
        <v>0.96022053110575833</v>
      </c>
      <c r="E106" s="79">
        <v>6.0789079000000003E-2</v>
      </c>
      <c r="F106" s="79">
        <v>0.50428905999999996</v>
      </c>
      <c r="G106" s="79">
        <v>0.92884339055395704</v>
      </c>
      <c r="H106" s="80">
        <v>1</v>
      </c>
      <c r="I106" s="79">
        <v>1.0717258146972475</v>
      </c>
      <c r="J106" s="79">
        <v>6.07769905553514E-2</v>
      </c>
      <c r="K106" s="79">
        <v>0.25439262922981098</v>
      </c>
      <c r="L106" s="79">
        <v>0.75316534960692805</v>
      </c>
      <c r="M106" s="80">
        <v>1</v>
      </c>
      <c r="N106" s="79">
        <v>1.1254761299744247</v>
      </c>
      <c r="O106" s="79">
        <v>6.0439864969894397E-2</v>
      </c>
      <c r="P106" s="79">
        <v>5.0492843186935199E-2</v>
      </c>
      <c r="Q106" s="79">
        <v>8.9461332011459796E-2</v>
      </c>
      <c r="R106" s="80">
        <v>1</v>
      </c>
      <c r="S106" s="79">
        <v>1.0381369625991614</v>
      </c>
      <c r="T106" s="79">
        <v>5.9556838882718101E-2</v>
      </c>
      <c r="U106" s="79">
        <v>0.52971766735866199</v>
      </c>
      <c r="V106" s="79">
        <v>0.61165761590367795</v>
      </c>
      <c r="W106" s="79">
        <v>1</v>
      </c>
    </row>
    <row r="107" spans="1:23" x14ac:dyDescent="0.2">
      <c r="A107" s="69"/>
      <c r="B107" s="84" t="s">
        <v>2258</v>
      </c>
      <c r="C107" s="78">
        <v>5555</v>
      </c>
      <c r="D107" s="79">
        <v>1.1507951520405111</v>
      </c>
      <c r="E107" s="79">
        <v>9.1547328999999997E-2</v>
      </c>
      <c r="F107" s="79">
        <v>0.12497716</v>
      </c>
      <c r="G107" s="79">
        <v>0.65626131345967698</v>
      </c>
      <c r="H107" s="80">
        <v>1</v>
      </c>
      <c r="I107" s="79">
        <v>1.0805079418180839</v>
      </c>
      <c r="J107" s="79">
        <v>9.0585243176990501E-2</v>
      </c>
      <c r="K107" s="79">
        <v>0.39266810561426702</v>
      </c>
      <c r="L107" s="79">
        <v>0.83369555356615399</v>
      </c>
      <c r="M107" s="80">
        <v>1</v>
      </c>
      <c r="N107" s="79">
        <v>1.2242251330500604</v>
      </c>
      <c r="O107" s="79">
        <v>8.9284184861302199E-2</v>
      </c>
      <c r="P107" s="79">
        <v>2.3458148005909701E-2</v>
      </c>
      <c r="Q107" s="79">
        <v>4.72540503666092E-2</v>
      </c>
      <c r="R107" s="80">
        <v>1</v>
      </c>
      <c r="S107" s="79">
        <v>0.98972498311418899</v>
      </c>
      <c r="T107" s="79">
        <v>9.0149530156091701E-2</v>
      </c>
      <c r="U107" s="79">
        <v>0.908788266761412</v>
      </c>
      <c r="V107" s="79">
        <v>0.93532223075444598</v>
      </c>
      <c r="W107" s="79">
        <v>1</v>
      </c>
    </row>
    <row r="108" spans="1:23" x14ac:dyDescent="0.2">
      <c r="A108" s="69"/>
      <c r="B108" s="84" t="s">
        <v>2259</v>
      </c>
      <c r="C108" s="78">
        <v>5555</v>
      </c>
      <c r="D108" s="79">
        <v>1.025247996366103</v>
      </c>
      <c r="E108" s="79">
        <v>8.8525580000000006E-2</v>
      </c>
      <c r="F108" s="79">
        <v>0.77820062099999998</v>
      </c>
      <c r="G108" s="79">
        <v>0.98545101377932998</v>
      </c>
      <c r="H108" s="80">
        <v>1</v>
      </c>
      <c r="I108" s="79">
        <v>1.1104626751435118</v>
      </c>
      <c r="J108" s="79">
        <v>8.8774755934397695E-2</v>
      </c>
      <c r="K108" s="79">
        <v>0.23789924278779701</v>
      </c>
      <c r="L108" s="79">
        <v>0.74312835742433903</v>
      </c>
      <c r="M108" s="80">
        <v>1</v>
      </c>
      <c r="N108" s="79">
        <v>1.0637022251111257</v>
      </c>
      <c r="O108" s="79">
        <v>8.7967398328337096E-2</v>
      </c>
      <c r="P108" s="79">
        <v>0.48266232986609903</v>
      </c>
      <c r="Q108" s="79">
        <v>0.56347607782896003</v>
      </c>
      <c r="R108" s="80">
        <v>1</v>
      </c>
      <c r="S108" s="79">
        <v>1.0720566575242041</v>
      </c>
      <c r="T108" s="79">
        <v>8.6539595157962307E-2</v>
      </c>
      <c r="U108" s="79">
        <v>0.42138977485161999</v>
      </c>
      <c r="V108" s="79">
        <v>0.51073889616686297</v>
      </c>
      <c r="W108" s="79">
        <v>1</v>
      </c>
    </row>
    <row r="109" spans="1:23" x14ac:dyDescent="0.2">
      <c r="A109" s="69"/>
      <c r="B109" s="84" t="s">
        <v>2260</v>
      </c>
      <c r="C109" s="78">
        <v>5555</v>
      </c>
      <c r="D109" s="79">
        <v>1.0100620392836048</v>
      </c>
      <c r="E109" s="79">
        <v>4.2994424000000003E-2</v>
      </c>
      <c r="F109" s="79">
        <v>0.81586881200000005</v>
      </c>
      <c r="G109" s="79">
        <v>0.98545101377932998</v>
      </c>
      <c r="H109" s="80">
        <v>1</v>
      </c>
      <c r="I109" s="79">
        <v>1.061517559236679</v>
      </c>
      <c r="J109" s="79">
        <v>4.2879424173923597E-2</v>
      </c>
      <c r="K109" s="79">
        <v>0.16384200760096601</v>
      </c>
      <c r="L109" s="79">
        <v>0.68954673194581495</v>
      </c>
      <c r="M109" s="80">
        <v>1</v>
      </c>
      <c r="N109" s="79">
        <v>1.0944533658400177</v>
      </c>
      <c r="O109" s="79">
        <v>4.2563184865621502E-2</v>
      </c>
      <c r="P109" s="79">
        <v>3.3964305622384797E-2</v>
      </c>
      <c r="Q109" s="79">
        <v>6.3664259726449499E-2</v>
      </c>
      <c r="R109" s="80">
        <v>1</v>
      </c>
      <c r="S109" s="79">
        <v>1.0070504770309914</v>
      </c>
      <c r="T109" s="79">
        <v>4.2307293766643599E-2</v>
      </c>
      <c r="U109" s="79">
        <v>0.86810620890467405</v>
      </c>
      <c r="V109" s="79">
        <v>0.89709021099351105</v>
      </c>
      <c r="W109" s="79">
        <v>1</v>
      </c>
    </row>
    <row r="110" spans="1:23" x14ac:dyDescent="0.2">
      <c r="A110" s="69"/>
      <c r="B110" s="84" t="s">
        <v>2261</v>
      </c>
      <c r="C110" s="78">
        <v>5555</v>
      </c>
      <c r="D110" s="79">
        <v>1.0119412228593023</v>
      </c>
      <c r="E110" s="79">
        <v>3.1089955999999998E-2</v>
      </c>
      <c r="F110" s="79">
        <v>0.70260150899999996</v>
      </c>
      <c r="G110" s="79">
        <v>0.98545101377932998</v>
      </c>
      <c r="H110" s="80">
        <v>1</v>
      </c>
      <c r="I110" s="79">
        <v>1.0605966016598547</v>
      </c>
      <c r="J110" s="79">
        <v>3.09823759525455E-2</v>
      </c>
      <c r="K110" s="79">
        <v>5.7581242427352602E-2</v>
      </c>
      <c r="L110" s="79">
        <v>0.56643873364581798</v>
      </c>
      <c r="M110" s="80">
        <v>1</v>
      </c>
      <c r="N110" s="79">
        <v>1.0741513144339323</v>
      </c>
      <c r="O110" s="79">
        <v>3.0757432580781299E-2</v>
      </c>
      <c r="P110" s="79">
        <v>2.0037487224469099E-2</v>
      </c>
      <c r="Q110" s="79">
        <v>4.1752990620445497E-2</v>
      </c>
      <c r="R110" s="80">
        <v>1</v>
      </c>
      <c r="S110" s="79">
        <v>1.1026903508019923</v>
      </c>
      <c r="T110" s="79">
        <v>3.0789034214019E-2</v>
      </c>
      <c r="U110" s="79">
        <v>1.4987367728004799E-3</v>
      </c>
      <c r="V110" s="79">
        <v>6.2562400154072698E-3</v>
      </c>
      <c r="W110" s="79">
        <v>1</v>
      </c>
    </row>
    <row r="111" spans="1:23" x14ac:dyDescent="0.2">
      <c r="A111" s="69"/>
      <c r="B111" s="84" t="s">
        <v>2262</v>
      </c>
      <c r="C111" s="78">
        <v>5555</v>
      </c>
      <c r="D111" s="79">
        <v>0.9818974930228882</v>
      </c>
      <c r="E111" s="79">
        <v>5.3902103999999999E-2</v>
      </c>
      <c r="F111" s="79">
        <v>0.73467193500000005</v>
      </c>
      <c r="G111" s="79">
        <v>0.98545101377932998</v>
      </c>
      <c r="H111" s="80">
        <v>1</v>
      </c>
      <c r="I111" s="79">
        <v>0.95169044371164546</v>
      </c>
      <c r="J111" s="79">
        <v>5.3796096697923401E-2</v>
      </c>
      <c r="K111" s="79">
        <v>0.35734887472433802</v>
      </c>
      <c r="L111" s="79">
        <v>0.814139536849524</v>
      </c>
      <c r="M111" s="80">
        <v>1</v>
      </c>
      <c r="N111" s="79">
        <v>1.0723477874813503</v>
      </c>
      <c r="O111" s="79">
        <v>5.3437279635303703E-2</v>
      </c>
      <c r="P111" s="79">
        <v>0.19116241732858399</v>
      </c>
      <c r="Q111" s="79">
        <v>0.26570110360347599</v>
      </c>
      <c r="R111" s="80">
        <v>1</v>
      </c>
      <c r="S111" s="79">
        <v>1.0207247376002482</v>
      </c>
      <c r="T111" s="79">
        <v>5.3258310983012098E-2</v>
      </c>
      <c r="U111" s="79">
        <v>0.700119836795565</v>
      </c>
      <c r="V111" s="79">
        <v>0.759745316187176</v>
      </c>
      <c r="W111" s="79">
        <v>1</v>
      </c>
    </row>
    <row r="112" spans="1:23" x14ac:dyDescent="0.2">
      <c r="A112" s="69"/>
      <c r="B112" s="84" t="s">
        <v>2263</v>
      </c>
      <c r="C112" s="78">
        <v>5555</v>
      </c>
      <c r="D112" s="79">
        <v>1.0168588501284803</v>
      </c>
      <c r="E112" s="79">
        <v>2.9014477E-2</v>
      </c>
      <c r="F112" s="79">
        <v>0.56447592800000002</v>
      </c>
      <c r="G112" s="79">
        <v>0.94626149621136102</v>
      </c>
      <c r="H112" s="80">
        <v>1</v>
      </c>
      <c r="I112" s="79">
        <v>1.0692358527429027</v>
      </c>
      <c r="J112" s="79">
        <v>2.88511274377347E-2</v>
      </c>
      <c r="K112" s="79">
        <v>2.0322844130145099E-2</v>
      </c>
      <c r="L112" s="79">
        <v>0.41909202640396798</v>
      </c>
      <c r="M112" s="80">
        <v>1</v>
      </c>
      <c r="N112" s="79">
        <v>0.97738556875166072</v>
      </c>
      <c r="O112" s="79">
        <v>2.86569405883591E-2</v>
      </c>
      <c r="P112" s="79">
        <v>0.424752631133614</v>
      </c>
      <c r="Q112" s="79">
        <v>0.51042716752704198</v>
      </c>
      <c r="R112" s="80">
        <v>1</v>
      </c>
      <c r="S112" s="79">
        <v>1.0170728320128752</v>
      </c>
      <c r="T112" s="79">
        <v>2.8622368302606199E-2</v>
      </c>
      <c r="U112" s="79">
        <v>0.55421826074597602</v>
      </c>
      <c r="V112" s="79">
        <v>0.63532337207465495</v>
      </c>
      <c r="W112" s="79">
        <v>1</v>
      </c>
    </row>
    <row r="113" spans="1:23" x14ac:dyDescent="0.2">
      <c r="A113" s="69"/>
      <c r="B113" s="84" t="s">
        <v>2264</v>
      </c>
      <c r="C113" s="78">
        <v>5555</v>
      </c>
      <c r="D113" s="79">
        <v>0.99735660394054348</v>
      </c>
      <c r="E113" s="79">
        <v>8.7905095000000003E-2</v>
      </c>
      <c r="F113" s="79">
        <v>0.97597865399999995</v>
      </c>
      <c r="G113" s="79">
        <v>0.992299742561502</v>
      </c>
      <c r="H113" s="80">
        <v>1</v>
      </c>
      <c r="I113" s="79">
        <v>0.97891693030080695</v>
      </c>
      <c r="J113" s="79">
        <v>8.7827186767989895E-2</v>
      </c>
      <c r="K113" s="79">
        <v>0.80830102498333001</v>
      </c>
      <c r="L113" s="79">
        <v>0.96211732726388599</v>
      </c>
      <c r="M113" s="80">
        <v>1</v>
      </c>
      <c r="N113" s="79">
        <v>0.99548188440927765</v>
      </c>
      <c r="O113" s="79">
        <v>8.7235000457116296E-2</v>
      </c>
      <c r="P113" s="79">
        <v>0.95860055004227795</v>
      </c>
      <c r="Q113" s="79">
        <v>0.96775186794244294</v>
      </c>
      <c r="R113" s="80">
        <v>1</v>
      </c>
      <c r="S113" s="79">
        <v>0.88773790990184653</v>
      </c>
      <c r="T113" s="79">
        <v>8.8787799659621205E-2</v>
      </c>
      <c r="U113" s="79">
        <v>0.179868215311837</v>
      </c>
      <c r="V113" s="79">
        <v>0.26026541075338799</v>
      </c>
      <c r="W113" s="79">
        <v>1</v>
      </c>
    </row>
    <row r="114" spans="1:23" x14ac:dyDescent="0.2">
      <c r="A114" s="70"/>
      <c r="B114" s="83" t="s">
        <v>2265</v>
      </c>
      <c r="C114" s="78"/>
      <c r="D114" s="79"/>
      <c r="E114" s="79"/>
      <c r="F114" s="79"/>
      <c r="G114" s="79"/>
      <c r="H114" s="80"/>
      <c r="I114" s="79"/>
      <c r="J114" s="79"/>
      <c r="K114" s="79"/>
      <c r="L114" s="79"/>
      <c r="M114" s="80"/>
      <c r="N114" s="79"/>
      <c r="O114" s="79"/>
      <c r="P114" s="79"/>
      <c r="Q114" s="79"/>
      <c r="R114" s="80"/>
      <c r="S114" s="79"/>
      <c r="T114" s="79"/>
      <c r="U114" s="79"/>
      <c r="V114" s="79"/>
      <c r="W114" s="79"/>
    </row>
    <row r="115" spans="1:23" x14ac:dyDescent="0.2">
      <c r="A115" s="69"/>
      <c r="B115" s="56" t="s">
        <v>185</v>
      </c>
      <c r="C115" s="78">
        <v>5255</v>
      </c>
      <c r="D115" s="79">
        <v>-1.0218956E-2</v>
      </c>
      <c r="E115" s="79">
        <v>1.4229054999999999E-2</v>
      </c>
      <c r="F115" s="79">
        <v>0.47268304999999999</v>
      </c>
      <c r="G115" s="79">
        <v>0.92424466941448402</v>
      </c>
      <c r="H115" s="80">
        <v>1</v>
      </c>
      <c r="I115" s="79">
        <v>9.7512634317135395E-3</v>
      </c>
      <c r="J115" s="79">
        <v>1.4185699433875E-2</v>
      </c>
      <c r="K115" s="79">
        <v>0.49186276184727101</v>
      </c>
      <c r="L115" s="79">
        <v>0.88409893028921704</v>
      </c>
      <c r="M115" s="80">
        <v>1</v>
      </c>
      <c r="N115" s="79">
        <v>-4.7297394632067703E-2</v>
      </c>
      <c r="O115" s="79">
        <v>1.40921871600545E-2</v>
      </c>
      <c r="P115" s="79">
        <v>7.9598914101558602E-4</v>
      </c>
      <c r="Q115" s="79">
        <v>3.0152543879068002E-3</v>
      </c>
      <c r="R115" s="80">
        <v>1</v>
      </c>
      <c r="S115" s="79">
        <v>-1.39013246694333E-2</v>
      </c>
      <c r="T115" s="79">
        <v>1.40508998347011E-2</v>
      </c>
      <c r="U115" s="79">
        <v>0.32253801398548099</v>
      </c>
      <c r="V115" s="79">
        <v>0.41469173226704698</v>
      </c>
      <c r="W115" s="79">
        <v>1</v>
      </c>
    </row>
    <row r="116" spans="1:23" x14ac:dyDescent="0.2">
      <c r="A116" s="69"/>
      <c r="B116" s="56" t="s">
        <v>186</v>
      </c>
      <c r="C116" s="78">
        <v>5255</v>
      </c>
      <c r="D116" s="79">
        <v>-2.0554036000000001E-2</v>
      </c>
      <c r="E116" s="79">
        <v>1.4102452999999999E-2</v>
      </c>
      <c r="F116" s="79">
        <v>0.14504712</v>
      </c>
      <c r="G116" s="79">
        <v>0.67644481499999998</v>
      </c>
      <c r="H116" s="80">
        <v>1</v>
      </c>
      <c r="I116" s="79">
        <v>1.56121684064458E-2</v>
      </c>
      <c r="J116" s="79">
        <v>1.4063594382032901E-2</v>
      </c>
      <c r="K116" s="79">
        <v>0.26700500775207098</v>
      </c>
      <c r="L116" s="79">
        <v>0.75970707362640799</v>
      </c>
      <c r="M116" s="80">
        <v>1</v>
      </c>
      <c r="N116" s="79">
        <v>-5.0535165297685002E-2</v>
      </c>
      <c r="O116" s="79">
        <v>1.39710022365972E-2</v>
      </c>
      <c r="P116" s="79">
        <v>3.0085018947009301E-4</v>
      </c>
      <c r="Q116" s="79">
        <v>1.45717133754789E-3</v>
      </c>
      <c r="R116" s="80">
        <v>0.38177889043754798</v>
      </c>
      <c r="S116" s="79">
        <v>-1.52130437204708E-2</v>
      </c>
      <c r="T116" s="79">
        <v>1.39314494464346E-2</v>
      </c>
      <c r="U116" s="79">
        <v>0.27488913878660098</v>
      </c>
      <c r="V116" s="79">
        <v>0.366807904437641</v>
      </c>
      <c r="W116" s="79">
        <v>1</v>
      </c>
    </row>
    <row r="117" spans="1:23" x14ac:dyDescent="0.2">
      <c r="A117" s="69"/>
      <c r="B117" s="56" t="s">
        <v>187</v>
      </c>
      <c r="C117" s="78">
        <v>5254</v>
      </c>
      <c r="D117" s="79">
        <v>-2.2113016999999999E-2</v>
      </c>
      <c r="E117" s="79">
        <v>1.4233696000000001E-2</v>
      </c>
      <c r="F117" s="79">
        <v>0.120350927</v>
      </c>
      <c r="G117" s="79">
        <v>0.64989500580000004</v>
      </c>
      <c r="H117" s="80">
        <v>1</v>
      </c>
      <c r="I117" s="79">
        <v>-1.0451981650427201E-2</v>
      </c>
      <c r="J117" s="79">
        <v>1.4197176052652E-2</v>
      </c>
      <c r="K117" s="79">
        <v>0.46164325941062401</v>
      </c>
      <c r="L117" s="79">
        <v>0.87326336285163797</v>
      </c>
      <c r="M117" s="80">
        <v>1</v>
      </c>
      <c r="N117" s="79">
        <v>-3.2695073554805998E-2</v>
      </c>
      <c r="O117" s="79">
        <v>1.4108293456811799E-2</v>
      </c>
      <c r="P117" s="79">
        <v>2.05207261170272E-2</v>
      </c>
      <c r="Q117" s="79">
        <v>4.2282818121429602E-2</v>
      </c>
      <c r="R117" s="80">
        <v>1</v>
      </c>
      <c r="S117" s="79">
        <v>-3.8363913535392598E-2</v>
      </c>
      <c r="T117" s="79">
        <v>1.40508451191108E-2</v>
      </c>
      <c r="U117" s="79">
        <v>6.3487272918663802E-3</v>
      </c>
      <c r="V117" s="79">
        <v>1.8571224750356701E-2</v>
      </c>
      <c r="W117" s="79">
        <v>1</v>
      </c>
    </row>
    <row r="118" spans="1:23" x14ac:dyDescent="0.2">
      <c r="A118" s="69"/>
      <c r="B118" s="56" t="s">
        <v>188</v>
      </c>
      <c r="C118" s="78">
        <v>5254</v>
      </c>
      <c r="D118" s="79">
        <v>-2.5767096999999999E-2</v>
      </c>
      <c r="E118" s="79">
        <v>1.416104E-2</v>
      </c>
      <c r="F118" s="79">
        <v>6.8885060999999997E-2</v>
      </c>
      <c r="G118" s="79">
        <v>0.53301916103048796</v>
      </c>
      <c r="H118" s="80">
        <v>1</v>
      </c>
      <c r="I118" s="79">
        <v>2.8191698693614499E-3</v>
      </c>
      <c r="J118" s="79">
        <v>1.41120966804942E-2</v>
      </c>
      <c r="K118" s="79">
        <v>0.84166918057468598</v>
      </c>
      <c r="L118" s="79">
        <v>0.96921795839317304</v>
      </c>
      <c r="M118" s="80">
        <v>1</v>
      </c>
      <c r="N118" s="79">
        <v>-4.65418877229265E-2</v>
      </c>
      <c r="O118" s="79">
        <v>1.4015596257442701E-2</v>
      </c>
      <c r="P118" s="79">
        <v>9.0460266982107199E-4</v>
      </c>
      <c r="Q118" s="79">
        <v>3.30818670894219E-3</v>
      </c>
      <c r="R118" s="80">
        <v>1</v>
      </c>
      <c r="S118" s="79">
        <v>-6.77354176608954E-3</v>
      </c>
      <c r="T118" s="79">
        <v>1.3983560792470999E-2</v>
      </c>
      <c r="U118" s="79">
        <v>0.62812876275597995</v>
      </c>
      <c r="V118" s="79">
        <v>0.69615318771820001</v>
      </c>
      <c r="W118" s="79">
        <v>1</v>
      </c>
    </row>
    <row r="119" spans="1:23" x14ac:dyDescent="0.2">
      <c r="A119" s="69"/>
      <c r="B119" s="56" t="s">
        <v>189</v>
      </c>
      <c r="C119" s="78">
        <v>5254</v>
      </c>
      <c r="D119" s="79">
        <v>6.6012370000000003E-3</v>
      </c>
      <c r="E119" s="79">
        <v>1.4190346E-2</v>
      </c>
      <c r="F119" s="79">
        <v>0.64181466499999995</v>
      </c>
      <c r="G119" s="79">
        <v>0.98128049383734905</v>
      </c>
      <c r="H119" s="80">
        <v>1</v>
      </c>
      <c r="I119" s="79">
        <v>3.5039143865421502E-3</v>
      </c>
      <c r="J119" s="79">
        <v>1.4142575485493299E-2</v>
      </c>
      <c r="K119" s="79">
        <v>0.80433347713574599</v>
      </c>
      <c r="L119" s="79">
        <v>0.96211732726388599</v>
      </c>
      <c r="M119" s="80">
        <v>1</v>
      </c>
      <c r="N119" s="79">
        <v>-3.03493479370982E-2</v>
      </c>
      <c r="O119" s="79">
        <v>1.40588641642475E-2</v>
      </c>
      <c r="P119" s="79">
        <v>3.09202285729714E-2</v>
      </c>
      <c r="Q119" s="79">
        <v>5.90699378097456E-2</v>
      </c>
      <c r="R119" s="80">
        <v>1</v>
      </c>
      <c r="S119" s="79">
        <v>-1.8547700250961099E-2</v>
      </c>
      <c r="T119" s="79">
        <v>1.4012121954046599E-2</v>
      </c>
      <c r="U119" s="79">
        <v>0.18566842600910399</v>
      </c>
      <c r="V119" s="79">
        <v>0.26774230977903701</v>
      </c>
      <c r="W119" s="79">
        <v>1</v>
      </c>
    </row>
    <row r="120" spans="1:23" x14ac:dyDescent="0.2">
      <c r="A120" s="69"/>
      <c r="B120" s="56" t="s">
        <v>180</v>
      </c>
      <c r="C120" s="78">
        <v>5548</v>
      </c>
      <c r="D120" s="79">
        <v>7.9691789999999998E-3</v>
      </c>
      <c r="E120" s="79">
        <v>1.3796633000000001E-2</v>
      </c>
      <c r="F120" s="79">
        <v>0.56354735899999997</v>
      </c>
      <c r="G120" s="79">
        <v>0.94626149621136102</v>
      </c>
      <c r="H120" s="80">
        <v>1</v>
      </c>
      <c r="I120" s="79">
        <v>1.20959336200795E-3</v>
      </c>
      <c r="J120" s="79">
        <v>1.37168384864048E-2</v>
      </c>
      <c r="K120" s="79">
        <v>0.92973460021467902</v>
      </c>
      <c r="L120" s="79">
        <v>0.981200184300273</v>
      </c>
      <c r="M120" s="80">
        <v>1</v>
      </c>
      <c r="N120" s="79">
        <v>-1.7219401929785799E-2</v>
      </c>
      <c r="O120" s="79">
        <v>1.36312706430216E-2</v>
      </c>
      <c r="P120" s="79">
        <v>0.20656468394208699</v>
      </c>
      <c r="Q120" s="79">
        <v>0.28277301394013898</v>
      </c>
      <c r="R120" s="80">
        <v>1</v>
      </c>
      <c r="S120" s="79">
        <v>-5.6094220328683098E-3</v>
      </c>
      <c r="T120" s="79">
        <v>1.3618305282615701E-2</v>
      </c>
      <c r="U120" s="79">
        <v>0.68042748899549899</v>
      </c>
      <c r="V120" s="79">
        <v>0.74500645688980904</v>
      </c>
      <c r="W120" s="79">
        <v>1</v>
      </c>
    </row>
    <row r="121" spans="1:23" x14ac:dyDescent="0.2">
      <c r="A121" s="69"/>
      <c r="B121" s="56" t="s">
        <v>181</v>
      </c>
      <c r="C121" s="78">
        <v>5547</v>
      </c>
      <c r="D121" s="79">
        <v>-1.1770568E-2</v>
      </c>
      <c r="E121" s="79">
        <v>1.3744792E-2</v>
      </c>
      <c r="F121" s="79">
        <v>0.39183573500000002</v>
      </c>
      <c r="G121" s="79">
        <v>0.88261195738869902</v>
      </c>
      <c r="H121" s="80">
        <v>1</v>
      </c>
      <c r="I121" s="79">
        <v>-4.2754254842880699E-3</v>
      </c>
      <c r="J121" s="79">
        <v>1.36552893574854E-2</v>
      </c>
      <c r="K121" s="79">
        <v>0.75422023616879796</v>
      </c>
      <c r="L121" s="79">
        <v>0.95292321760430299</v>
      </c>
      <c r="M121" s="80">
        <v>1</v>
      </c>
      <c r="N121" s="79">
        <v>-4.22861044187543E-2</v>
      </c>
      <c r="O121" s="79">
        <v>1.35607001900683E-2</v>
      </c>
      <c r="P121" s="79">
        <v>1.8293600176647799E-3</v>
      </c>
      <c r="Q121" s="79">
        <v>5.8181901313699401E-3</v>
      </c>
      <c r="R121" s="80">
        <v>1</v>
      </c>
      <c r="S121" s="79">
        <v>-3.6078223254913597E-2</v>
      </c>
      <c r="T121" s="79">
        <v>1.3556861473302101E-2</v>
      </c>
      <c r="U121" s="79">
        <v>7.8094871824028796E-3</v>
      </c>
      <c r="V121" s="79">
        <v>2.1685425020720499E-2</v>
      </c>
      <c r="W121" s="79">
        <v>1</v>
      </c>
    </row>
    <row r="122" spans="1:23" x14ac:dyDescent="0.2">
      <c r="A122" s="69"/>
      <c r="B122" s="56" t="s">
        <v>182</v>
      </c>
      <c r="C122" s="78">
        <v>5546</v>
      </c>
      <c r="D122" s="79">
        <v>5.5390719999999999E-3</v>
      </c>
      <c r="E122" s="79">
        <v>1.3878713000000001E-2</v>
      </c>
      <c r="F122" s="79">
        <v>0.68983170100000002</v>
      </c>
      <c r="G122" s="79">
        <v>0.98545101377932998</v>
      </c>
      <c r="H122" s="80">
        <v>1</v>
      </c>
      <c r="I122" s="79">
        <v>-4.5091860593840403E-3</v>
      </c>
      <c r="J122" s="79">
        <v>1.37947604721753E-2</v>
      </c>
      <c r="K122" s="79">
        <v>0.74377437187409701</v>
      </c>
      <c r="L122" s="79">
        <v>0.95175527893917999</v>
      </c>
      <c r="M122" s="80">
        <v>1</v>
      </c>
      <c r="N122" s="79">
        <v>-2.7874276682727999E-2</v>
      </c>
      <c r="O122" s="79">
        <v>1.36951077423129E-2</v>
      </c>
      <c r="P122" s="79">
        <v>4.18669933589065E-2</v>
      </c>
      <c r="Q122" s="79">
        <v>7.6335078408695897E-2</v>
      </c>
      <c r="R122" s="80">
        <v>1</v>
      </c>
      <c r="S122" s="79">
        <v>-3.6020039220913901E-3</v>
      </c>
      <c r="T122" s="79">
        <v>1.36915413617452E-2</v>
      </c>
      <c r="U122" s="79">
        <v>0.792497425781996</v>
      </c>
      <c r="V122" s="79">
        <v>0.83547021074226302</v>
      </c>
      <c r="W122" s="79">
        <v>1</v>
      </c>
    </row>
    <row r="123" spans="1:23" x14ac:dyDescent="0.2">
      <c r="A123" s="69"/>
      <c r="B123" s="56" t="s">
        <v>183</v>
      </c>
      <c r="C123" s="78">
        <v>5547</v>
      </c>
      <c r="D123" s="79">
        <v>5.0800029999999996E-3</v>
      </c>
      <c r="E123" s="79">
        <v>1.3762280999999999E-2</v>
      </c>
      <c r="F123" s="79">
        <v>0.71204974399999998</v>
      </c>
      <c r="G123" s="79">
        <v>0.98545101377932998</v>
      </c>
      <c r="H123" s="80">
        <v>1</v>
      </c>
      <c r="I123" s="79">
        <v>-6.8791050108978902E-3</v>
      </c>
      <c r="J123" s="79">
        <v>1.36623190019427E-2</v>
      </c>
      <c r="K123" s="79">
        <v>0.61462824537499405</v>
      </c>
      <c r="L123" s="79">
        <v>0.91965825061269202</v>
      </c>
      <c r="M123" s="80">
        <v>1</v>
      </c>
      <c r="N123" s="79">
        <v>-3.2694961191773599E-2</v>
      </c>
      <c r="O123" s="79">
        <v>1.35644215237317E-2</v>
      </c>
      <c r="P123" s="79">
        <v>1.5972996469156699E-2</v>
      </c>
      <c r="Q123" s="79">
        <v>3.5068741382975499E-2</v>
      </c>
      <c r="R123" s="80">
        <v>1</v>
      </c>
      <c r="S123" s="79">
        <v>-7.02473138520313E-3</v>
      </c>
      <c r="T123" s="79">
        <v>1.35723729444782E-2</v>
      </c>
      <c r="U123" s="79">
        <v>0.60477670162292696</v>
      </c>
      <c r="V123" s="79">
        <v>0.67617765141805697</v>
      </c>
      <c r="W123" s="79">
        <v>1</v>
      </c>
    </row>
    <row r="124" spans="1:23" x14ac:dyDescent="0.2">
      <c r="A124" s="69"/>
      <c r="B124" s="56" t="s">
        <v>184</v>
      </c>
      <c r="C124" s="78">
        <v>5545</v>
      </c>
      <c r="D124" s="79">
        <v>1.7200160999999999E-2</v>
      </c>
      <c r="E124" s="79">
        <v>1.3890456000000001E-2</v>
      </c>
      <c r="F124" s="79">
        <v>0.21567096199999999</v>
      </c>
      <c r="G124" s="79">
        <v>0.74224234113157905</v>
      </c>
      <c r="H124" s="80">
        <v>1</v>
      </c>
      <c r="I124" s="79">
        <v>-1.8884428498987499E-2</v>
      </c>
      <c r="J124" s="79">
        <v>1.38137169931695E-2</v>
      </c>
      <c r="K124" s="79">
        <v>0.171660535637534</v>
      </c>
      <c r="L124" s="79">
        <v>0.69548531020629201</v>
      </c>
      <c r="M124" s="80">
        <v>1</v>
      </c>
      <c r="N124" s="79">
        <v>-3.4468020837658597E-2</v>
      </c>
      <c r="O124" s="79">
        <v>1.3721715982008E-2</v>
      </c>
      <c r="P124" s="79">
        <v>1.2037477887009601E-2</v>
      </c>
      <c r="Q124" s="79">
        <v>2.7723338364092898E-2</v>
      </c>
      <c r="R124" s="80">
        <v>1</v>
      </c>
      <c r="S124" s="79">
        <v>-2.3197977189901301E-2</v>
      </c>
      <c r="T124" s="79">
        <v>1.37082336240826E-2</v>
      </c>
      <c r="U124" s="79">
        <v>9.0655066726533506E-2</v>
      </c>
      <c r="V124" s="79">
        <v>0.15137010483680399</v>
      </c>
      <c r="W124" s="79">
        <v>1</v>
      </c>
    </row>
    <row r="125" spans="1:23" x14ac:dyDescent="0.2">
      <c r="A125" s="69"/>
      <c r="B125" s="56" t="s">
        <v>192</v>
      </c>
      <c r="C125" s="78">
        <v>5255</v>
      </c>
      <c r="D125" s="79">
        <v>-1.8731830000000001E-2</v>
      </c>
      <c r="E125" s="79">
        <v>1.4219392000000001E-2</v>
      </c>
      <c r="F125" s="79">
        <v>0.187783429</v>
      </c>
      <c r="G125" s="79">
        <v>0.71779241653915704</v>
      </c>
      <c r="H125" s="80">
        <v>1</v>
      </c>
      <c r="I125" s="79">
        <v>4.8724005470033201E-3</v>
      </c>
      <c r="J125" s="79">
        <v>1.41921356334578E-2</v>
      </c>
      <c r="K125" s="79">
        <v>0.73137460330271098</v>
      </c>
      <c r="L125" s="79">
        <v>0.94665651256802896</v>
      </c>
      <c r="M125" s="80">
        <v>1</v>
      </c>
      <c r="N125" s="79">
        <v>-5.6314114439231101E-2</v>
      </c>
      <c r="O125" s="79">
        <v>1.40910207754825E-2</v>
      </c>
      <c r="P125" s="79">
        <v>6.5227241474134502E-5</v>
      </c>
      <c r="Q125" s="79">
        <v>4.1386684715338302E-4</v>
      </c>
      <c r="R125" s="80">
        <v>8.2773369430676702E-2</v>
      </c>
      <c r="S125" s="79">
        <v>-2.6681061422716201E-2</v>
      </c>
      <c r="T125" s="79">
        <v>1.40454317692784E-2</v>
      </c>
      <c r="U125" s="79">
        <v>5.7539570293974801E-2</v>
      </c>
      <c r="V125" s="79">
        <v>0.10406941636124301</v>
      </c>
      <c r="W125" s="79">
        <v>1</v>
      </c>
    </row>
    <row r="126" spans="1:23" x14ac:dyDescent="0.2">
      <c r="A126" s="69"/>
      <c r="B126" s="56" t="s">
        <v>191</v>
      </c>
      <c r="C126" s="78">
        <v>5547</v>
      </c>
      <c r="D126" s="79">
        <v>7.6600059999999996E-3</v>
      </c>
      <c r="E126" s="79">
        <v>1.385553E-2</v>
      </c>
      <c r="F126" s="79">
        <v>0.58039067600000005</v>
      </c>
      <c r="G126" s="79">
        <v>0.95350818012595395</v>
      </c>
      <c r="H126" s="80">
        <v>1</v>
      </c>
      <c r="I126" s="79">
        <v>-1.10190030787926E-2</v>
      </c>
      <c r="J126" s="79">
        <v>1.37860891304221E-2</v>
      </c>
      <c r="K126" s="79">
        <v>0.42416196144947399</v>
      </c>
      <c r="L126" s="79">
        <v>0.85302936462659695</v>
      </c>
      <c r="M126" s="80">
        <v>1</v>
      </c>
      <c r="N126" s="79">
        <v>-4.42763267602704E-2</v>
      </c>
      <c r="O126" s="79">
        <v>1.36854929974258E-2</v>
      </c>
      <c r="P126" s="79">
        <v>1.22280098170101E-3</v>
      </c>
      <c r="Q126" s="79">
        <v>4.1160064874763399E-3</v>
      </c>
      <c r="R126" s="80">
        <v>1</v>
      </c>
      <c r="S126" s="79">
        <v>-2.24560741436611E-2</v>
      </c>
      <c r="T126" s="79">
        <v>1.36757400400248E-2</v>
      </c>
      <c r="U126" s="79">
        <v>0.10064184061784701</v>
      </c>
      <c r="V126" s="79">
        <v>0.164101695253072</v>
      </c>
      <c r="W126" s="79">
        <v>1</v>
      </c>
    </row>
    <row r="127" spans="1:23" x14ac:dyDescent="0.2">
      <c r="A127" s="69"/>
      <c r="B127" s="84" t="s">
        <v>2266</v>
      </c>
      <c r="C127" s="78">
        <v>5556</v>
      </c>
      <c r="D127" s="79">
        <v>0.99974462761308047</v>
      </c>
      <c r="E127" s="79">
        <v>5.6993561999999998E-2</v>
      </c>
      <c r="F127" s="79">
        <v>0.99642445899999998</v>
      </c>
      <c r="G127" s="79">
        <v>0.99642445899999998</v>
      </c>
      <c r="H127" s="80">
        <v>1</v>
      </c>
      <c r="I127" s="79">
        <v>1.0370548166549214</v>
      </c>
      <c r="J127" s="79">
        <v>5.62276670627153E-2</v>
      </c>
      <c r="K127" s="79">
        <v>0.51756877566743797</v>
      </c>
      <c r="L127" s="79">
        <v>0.89848806610393805</v>
      </c>
      <c r="M127" s="80">
        <v>1</v>
      </c>
      <c r="N127" s="79">
        <v>1.1133854802812873</v>
      </c>
      <c r="O127" s="79">
        <v>5.59162628134552E-2</v>
      </c>
      <c r="P127" s="79">
        <v>5.4753772948873999E-2</v>
      </c>
      <c r="Q127" s="79">
        <v>9.5705975030469806E-2</v>
      </c>
      <c r="R127" s="80">
        <v>1</v>
      </c>
      <c r="S127" s="79">
        <v>1.0676368478094689</v>
      </c>
      <c r="T127" s="79">
        <v>5.57597462102358E-2</v>
      </c>
      <c r="U127" s="79">
        <v>0.24049768819016301</v>
      </c>
      <c r="V127" s="79">
        <v>0.32816297453044802</v>
      </c>
      <c r="W127" s="79">
        <v>1</v>
      </c>
    </row>
    <row r="128" spans="1:23" x14ac:dyDescent="0.2">
      <c r="A128" s="69"/>
      <c r="B128" s="84" t="s">
        <v>2267</v>
      </c>
      <c r="C128" s="78">
        <v>5555</v>
      </c>
      <c r="D128" s="79">
        <v>1.0094254271829441</v>
      </c>
      <c r="E128" s="79">
        <v>4.0914662999999997E-2</v>
      </c>
      <c r="F128" s="79">
        <v>0.81864424899999999</v>
      </c>
      <c r="G128" s="79">
        <v>0.98545101377932998</v>
      </c>
      <c r="H128" s="80">
        <v>1</v>
      </c>
      <c r="I128" s="79">
        <v>1.0615661522401489</v>
      </c>
      <c r="J128" s="79">
        <v>4.0839719165439603E-2</v>
      </c>
      <c r="K128" s="79">
        <v>0.14348874906602499</v>
      </c>
      <c r="L128" s="79">
        <v>0.65956690204113599</v>
      </c>
      <c r="M128" s="80">
        <v>1</v>
      </c>
      <c r="N128" s="79">
        <v>1.0954775654117155</v>
      </c>
      <c r="O128" s="79">
        <v>4.0285381313992299E-2</v>
      </c>
      <c r="P128" s="79">
        <v>2.3598098521481901E-2</v>
      </c>
      <c r="Q128" s="79">
        <v>4.7449289915367197E-2</v>
      </c>
      <c r="R128" s="80">
        <v>1</v>
      </c>
      <c r="S128" s="79">
        <v>1.0669832363951846</v>
      </c>
      <c r="T128" s="79">
        <v>4.0355842240836402E-2</v>
      </c>
      <c r="U128" s="79">
        <v>0.10814450818346399</v>
      </c>
      <c r="V128" s="79">
        <v>0.174156574726924</v>
      </c>
      <c r="W128" s="79">
        <v>1</v>
      </c>
    </row>
    <row r="129" spans="1:23" x14ac:dyDescent="0.2">
      <c r="A129" s="69"/>
      <c r="B129" s="84" t="s">
        <v>2268</v>
      </c>
      <c r="C129" s="78">
        <v>5556</v>
      </c>
      <c r="D129" s="79">
        <v>0.99198980794404434</v>
      </c>
      <c r="E129" s="79">
        <v>6.4199480000000003E-2</v>
      </c>
      <c r="F129" s="79">
        <v>0.90030761299999995</v>
      </c>
      <c r="G129" s="79">
        <v>0.991673151733656</v>
      </c>
      <c r="H129" s="80">
        <v>1</v>
      </c>
      <c r="I129" s="79">
        <v>1.0464337764582745</v>
      </c>
      <c r="J129" s="79">
        <v>6.3671023808351906E-2</v>
      </c>
      <c r="K129" s="79">
        <v>0.47593770120976198</v>
      </c>
      <c r="L129" s="79">
        <v>0.87548946656965998</v>
      </c>
      <c r="M129" s="80">
        <v>1</v>
      </c>
      <c r="N129" s="79">
        <v>1.0968569917632998</v>
      </c>
      <c r="O129" s="79">
        <v>6.34513220421737E-2</v>
      </c>
      <c r="P129" s="79">
        <v>0.145115364160296</v>
      </c>
      <c r="Q129" s="79">
        <v>0.21264595510325099</v>
      </c>
      <c r="R129" s="80">
        <v>1</v>
      </c>
      <c r="S129" s="79">
        <v>1.1925357251241608</v>
      </c>
      <c r="T129" s="79">
        <v>6.4129556203848401E-2</v>
      </c>
      <c r="U129" s="79">
        <v>6.0377993457156904E-3</v>
      </c>
      <c r="V129" s="79">
        <v>1.7948172943849899E-2</v>
      </c>
      <c r="W129" s="79">
        <v>1</v>
      </c>
    </row>
    <row r="130" spans="1:23" x14ac:dyDescent="0.2">
      <c r="A130" s="69"/>
      <c r="B130" s="84" t="s">
        <v>2269</v>
      </c>
      <c r="C130" s="78">
        <v>5556</v>
      </c>
      <c r="D130" s="79">
        <v>1.0191919169242443</v>
      </c>
      <c r="E130" s="79">
        <v>4.0505158999999999E-2</v>
      </c>
      <c r="F130" s="79">
        <v>0.63883749899999998</v>
      </c>
      <c r="G130" s="79">
        <v>0.97908790607608698</v>
      </c>
      <c r="H130" s="80">
        <v>1</v>
      </c>
      <c r="I130" s="79">
        <v>1.0323020105731493</v>
      </c>
      <c r="J130" s="79">
        <v>4.0330017417409603E-2</v>
      </c>
      <c r="K130" s="79">
        <v>0.43053404531562101</v>
      </c>
      <c r="L130" s="79">
        <v>0.86039008426066599</v>
      </c>
      <c r="M130" s="80">
        <v>1</v>
      </c>
      <c r="N130" s="79">
        <v>1.0712825490475781</v>
      </c>
      <c r="O130" s="79">
        <v>3.9962706858752403E-2</v>
      </c>
      <c r="P130" s="79">
        <v>8.48847659382235E-2</v>
      </c>
      <c r="Q130" s="79">
        <v>0.13635287085519701</v>
      </c>
      <c r="R130" s="80">
        <v>1</v>
      </c>
      <c r="S130" s="79">
        <v>1.0841570969900798</v>
      </c>
      <c r="T130" s="79">
        <v>3.9912444153624702E-2</v>
      </c>
      <c r="U130" s="79">
        <v>4.2918544619724601E-2</v>
      </c>
      <c r="V130" s="79">
        <v>8.3023830979314803E-2</v>
      </c>
      <c r="W130" s="79">
        <v>1</v>
      </c>
    </row>
    <row r="131" spans="1:23" x14ac:dyDescent="0.2">
      <c r="A131" s="69"/>
      <c r="B131" s="84" t="s">
        <v>2270</v>
      </c>
      <c r="C131" s="78">
        <v>5556</v>
      </c>
      <c r="D131" s="79">
        <v>1.0442695470860637</v>
      </c>
      <c r="E131" s="79">
        <v>4.9378127000000001E-2</v>
      </c>
      <c r="F131" s="79">
        <v>0.38034336899999999</v>
      </c>
      <c r="G131" s="79">
        <v>0.880152082540541</v>
      </c>
      <c r="H131" s="80">
        <v>1</v>
      </c>
      <c r="I131" s="79">
        <v>1.0625137384335657</v>
      </c>
      <c r="J131" s="79">
        <v>4.89330565670483E-2</v>
      </c>
      <c r="K131" s="79">
        <v>0.21527364748397301</v>
      </c>
      <c r="L131" s="79">
        <v>0.73459417908661795</v>
      </c>
      <c r="M131" s="80">
        <v>1</v>
      </c>
      <c r="N131" s="79">
        <v>1.0577852373471572</v>
      </c>
      <c r="O131" s="79">
        <v>4.8582660310950598E-2</v>
      </c>
      <c r="P131" s="79">
        <v>0.247548424037215</v>
      </c>
      <c r="Q131" s="79">
        <v>0.32723872834174</v>
      </c>
      <c r="R131" s="80">
        <v>1</v>
      </c>
      <c r="S131" s="79">
        <v>1.0391731155692798</v>
      </c>
      <c r="T131" s="79">
        <v>4.8420583319661398E-2</v>
      </c>
      <c r="U131" s="79">
        <v>0.42744347674998701</v>
      </c>
      <c r="V131" s="79">
        <v>0.51602098051698597</v>
      </c>
      <c r="W131" s="79">
        <v>1</v>
      </c>
    </row>
    <row r="132" spans="1:23" x14ac:dyDescent="0.2">
      <c r="A132" s="69"/>
      <c r="B132" s="84" t="s">
        <v>2271</v>
      </c>
      <c r="C132" s="78">
        <v>5556</v>
      </c>
      <c r="D132" s="79">
        <v>1.0061789635209597</v>
      </c>
      <c r="E132" s="79">
        <v>7.4728639999999999E-2</v>
      </c>
      <c r="F132" s="79">
        <v>0.93430403100000003</v>
      </c>
      <c r="G132" s="79">
        <v>0.991673151733656</v>
      </c>
      <c r="H132" s="80">
        <v>1</v>
      </c>
      <c r="I132" s="79">
        <v>1.0136431787469748</v>
      </c>
      <c r="J132" s="79">
        <v>7.4606335632749404E-2</v>
      </c>
      <c r="K132" s="79">
        <v>0.85587100231117397</v>
      </c>
      <c r="L132" s="79">
        <v>0.96964513668720897</v>
      </c>
      <c r="M132" s="80">
        <v>1</v>
      </c>
      <c r="N132" s="79">
        <v>1.0830421438491211</v>
      </c>
      <c r="O132" s="79">
        <v>7.4226599373130295E-2</v>
      </c>
      <c r="P132" s="79">
        <v>0.28249364866170301</v>
      </c>
      <c r="Q132" s="79">
        <v>0.36357448291247602</v>
      </c>
      <c r="R132" s="80">
        <v>1</v>
      </c>
      <c r="S132" s="79">
        <v>1.1016550025100658</v>
      </c>
      <c r="T132" s="79">
        <v>7.4146671621916904E-2</v>
      </c>
      <c r="U132" s="79">
        <v>0.19165327793638701</v>
      </c>
      <c r="V132" s="79">
        <v>0.273882893807742</v>
      </c>
      <c r="W132" s="79">
        <v>1</v>
      </c>
    </row>
    <row r="133" spans="1:23" x14ac:dyDescent="0.2">
      <c r="A133" s="69"/>
      <c r="B133" s="84" t="s">
        <v>2272</v>
      </c>
      <c r="C133" s="78">
        <v>5556</v>
      </c>
      <c r="D133" s="79">
        <v>0.96727575569701718</v>
      </c>
      <c r="E133" s="79">
        <v>5.5596569999999998E-2</v>
      </c>
      <c r="F133" s="79">
        <v>0.54954101899999996</v>
      </c>
      <c r="G133" s="79">
        <v>0.94233160000673799</v>
      </c>
      <c r="H133" s="80">
        <v>1</v>
      </c>
      <c r="I133" s="79">
        <v>1.0160521574101542</v>
      </c>
      <c r="J133" s="79">
        <v>5.5140930757923298E-2</v>
      </c>
      <c r="K133" s="79">
        <v>0.77273466708642502</v>
      </c>
      <c r="L133" s="79">
        <v>0.95389133514851498</v>
      </c>
      <c r="M133" s="80">
        <v>1</v>
      </c>
      <c r="N133" s="79">
        <v>1.1118140926257347</v>
      </c>
      <c r="O133" s="79">
        <v>5.4336292584672402E-2</v>
      </c>
      <c r="P133" s="79">
        <v>5.1094511148577902E-2</v>
      </c>
      <c r="Q133" s="79">
        <v>9.0179324961815494E-2</v>
      </c>
      <c r="R133" s="80">
        <v>1</v>
      </c>
      <c r="S133" s="79">
        <v>1.0237718269419918</v>
      </c>
      <c r="T133" s="79">
        <v>5.4503475879779703E-2</v>
      </c>
      <c r="U133" s="79">
        <v>0.66643263872745295</v>
      </c>
      <c r="V133" s="79">
        <v>0.73348050177375401</v>
      </c>
      <c r="W133" s="79">
        <v>1</v>
      </c>
    </row>
    <row r="134" spans="1:23" x14ac:dyDescent="0.2">
      <c r="A134" s="69"/>
      <c r="B134" s="84" t="s">
        <v>2273</v>
      </c>
      <c r="C134" s="78">
        <v>5556</v>
      </c>
      <c r="D134" s="79">
        <v>1.0045163902861376</v>
      </c>
      <c r="E134" s="79">
        <v>6.1101965000000001E-2</v>
      </c>
      <c r="F134" s="79">
        <v>0.941209933</v>
      </c>
      <c r="G134" s="79">
        <v>0.991673151733656</v>
      </c>
      <c r="H134" s="80">
        <v>1</v>
      </c>
      <c r="I134" s="79">
        <v>0.98234363047925644</v>
      </c>
      <c r="J134" s="79">
        <v>6.0078193641693901E-2</v>
      </c>
      <c r="K134" s="79">
        <v>0.76683659675979099</v>
      </c>
      <c r="L134" s="79">
        <v>0.95389133514851498</v>
      </c>
      <c r="M134" s="80">
        <v>1</v>
      </c>
      <c r="N134" s="79">
        <v>1.1633411162427647</v>
      </c>
      <c r="O134" s="79">
        <v>6.0572817877073998E-2</v>
      </c>
      <c r="P134" s="79">
        <v>1.2498207954707999E-2</v>
      </c>
      <c r="Q134" s="79">
        <v>2.8525586141231001E-2</v>
      </c>
      <c r="R134" s="80">
        <v>1</v>
      </c>
      <c r="S134" s="79">
        <v>1.0611693738092252</v>
      </c>
      <c r="T134" s="79">
        <v>5.9760345376657698E-2</v>
      </c>
      <c r="U134" s="79">
        <v>0.32046977562455098</v>
      </c>
      <c r="V134" s="79">
        <v>0.41245045158981303</v>
      </c>
      <c r="W134" s="79">
        <v>1</v>
      </c>
    </row>
    <row r="135" spans="1:23" x14ac:dyDescent="0.2">
      <c r="A135" s="69"/>
      <c r="B135" s="84" t="s">
        <v>2274</v>
      </c>
      <c r="C135" s="78">
        <v>5552</v>
      </c>
      <c r="D135" s="79">
        <v>0.98783845074047039</v>
      </c>
      <c r="E135" s="79">
        <v>4.0489663000000002E-2</v>
      </c>
      <c r="F135" s="79">
        <v>0.76249716400000001</v>
      </c>
      <c r="G135" s="79">
        <v>0.98545101377932998</v>
      </c>
      <c r="H135" s="80">
        <v>1</v>
      </c>
      <c r="I135" s="79">
        <v>1.0415543997792254</v>
      </c>
      <c r="J135" s="79">
        <v>4.0369136891321697E-2</v>
      </c>
      <c r="K135" s="79">
        <v>0.31319145383917302</v>
      </c>
      <c r="L135" s="79">
        <v>0.78754770700353705</v>
      </c>
      <c r="M135" s="80">
        <v>1</v>
      </c>
      <c r="N135" s="79">
        <v>1.017222770551216</v>
      </c>
      <c r="O135" s="79">
        <v>4.01522816843334E-2</v>
      </c>
      <c r="P135" s="79">
        <v>0.67062934957822096</v>
      </c>
      <c r="Q135" s="79">
        <v>0.73618394862868697</v>
      </c>
      <c r="R135" s="80">
        <v>1</v>
      </c>
      <c r="S135" s="79">
        <v>1.0115853315594849</v>
      </c>
      <c r="T135" s="79">
        <v>3.9945991146795798E-2</v>
      </c>
      <c r="U135" s="79">
        <v>0.773072917970963</v>
      </c>
      <c r="V135" s="79">
        <v>0.81882197531162004</v>
      </c>
      <c r="W135" s="79">
        <v>1</v>
      </c>
    </row>
    <row r="136" spans="1:23" x14ac:dyDescent="0.2">
      <c r="A136" s="69"/>
      <c r="B136" s="84" t="s">
        <v>197</v>
      </c>
      <c r="C136" s="78">
        <v>5556</v>
      </c>
      <c r="D136" s="79">
        <v>2.1900320000000002E-3</v>
      </c>
      <c r="E136" s="79">
        <v>1.1437156E-2</v>
      </c>
      <c r="F136" s="79">
        <v>0.84815704199999997</v>
      </c>
      <c r="G136" s="79">
        <v>0.98552821438803295</v>
      </c>
      <c r="H136" s="80">
        <v>1</v>
      </c>
      <c r="I136" s="79">
        <v>1.25238726760207E-2</v>
      </c>
      <c r="J136" s="79">
        <v>1.15480584924606E-2</v>
      </c>
      <c r="K136" s="79">
        <v>0.27821073883664699</v>
      </c>
      <c r="L136" s="79">
        <v>0.76694710984058201</v>
      </c>
      <c r="M136" s="80">
        <v>1</v>
      </c>
      <c r="N136" s="79">
        <v>2.9508906357516001E-2</v>
      </c>
      <c r="O136" s="79">
        <v>1.13606875439854E-2</v>
      </c>
      <c r="P136" s="79">
        <v>9.4286698251755709E-3</v>
      </c>
      <c r="Q136" s="79">
        <v>2.2490567684488299E-2</v>
      </c>
      <c r="R136" s="80">
        <v>1</v>
      </c>
      <c r="S136" s="79">
        <v>1.9439879113323899E-2</v>
      </c>
      <c r="T136" s="79">
        <v>1.1339917196347001E-2</v>
      </c>
      <c r="U136" s="79">
        <v>8.6558657662969996E-2</v>
      </c>
      <c r="V136" s="79">
        <v>0.145680287233831</v>
      </c>
      <c r="W136" s="79">
        <v>1</v>
      </c>
    </row>
    <row r="137" spans="1:23" x14ac:dyDescent="0.2">
      <c r="A137" s="69"/>
      <c r="B137" s="84" t="s">
        <v>196</v>
      </c>
      <c r="C137" s="78">
        <v>5549</v>
      </c>
      <c r="D137" s="79">
        <v>-3.5741989000000002E-2</v>
      </c>
      <c r="E137" s="79">
        <v>1.3756620000000001E-2</v>
      </c>
      <c r="F137" s="79">
        <v>9.3982549999999995E-3</v>
      </c>
      <c r="G137" s="79">
        <v>0.27905605116279097</v>
      </c>
      <c r="H137" s="80">
        <v>1</v>
      </c>
      <c r="I137" s="79">
        <v>-3.79320242550088E-3</v>
      </c>
      <c r="J137" s="79">
        <v>1.3698246131589599E-2</v>
      </c>
      <c r="K137" s="79">
        <v>0.78185895623121604</v>
      </c>
      <c r="L137" s="79">
        <v>0.95813246455571699</v>
      </c>
      <c r="M137" s="80">
        <v>1</v>
      </c>
      <c r="N137" s="79">
        <v>4.8511010054632799E-2</v>
      </c>
      <c r="O137" s="79">
        <v>1.35948027376128E-2</v>
      </c>
      <c r="P137" s="79">
        <v>3.6244309398303002E-4</v>
      </c>
      <c r="Q137" s="79">
        <v>1.67925620166436E-3</v>
      </c>
      <c r="R137" s="80">
        <v>0.45994028626446498</v>
      </c>
      <c r="S137" s="79">
        <v>4.9373875950332997E-2</v>
      </c>
      <c r="T137" s="79">
        <v>1.35676558818942E-2</v>
      </c>
      <c r="U137" s="79">
        <v>2.7621637138305601E-4</v>
      </c>
      <c r="V137" s="79">
        <v>1.7102756179286701E-3</v>
      </c>
      <c r="W137" s="79">
        <v>0.350518575285098</v>
      </c>
    </row>
    <row r="138" spans="1:23" x14ac:dyDescent="0.2">
      <c r="A138" s="69"/>
      <c r="B138" s="84" t="s">
        <v>2275</v>
      </c>
      <c r="C138" s="78">
        <v>5549</v>
      </c>
      <c r="D138" s="79">
        <v>0.9676472918763539</v>
      </c>
      <c r="E138" s="79">
        <v>3.3473025000000003E-2</v>
      </c>
      <c r="F138" s="79">
        <v>0.325848003</v>
      </c>
      <c r="G138" s="79">
        <v>0.85579729232661295</v>
      </c>
      <c r="H138" s="80">
        <v>1</v>
      </c>
      <c r="I138" s="79">
        <v>1.0019915873835321</v>
      </c>
      <c r="J138" s="79">
        <v>3.3314373369856098E-2</v>
      </c>
      <c r="K138" s="79">
        <v>0.952376910968186</v>
      </c>
      <c r="L138" s="79">
        <v>0.98719988166166295</v>
      </c>
      <c r="M138" s="80">
        <v>1</v>
      </c>
      <c r="N138" s="79">
        <v>1.0746343597856058</v>
      </c>
      <c r="O138" s="79">
        <v>3.3105146271300498E-2</v>
      </c>
      <c r="P138" s="79">
        <v>2.9682717271903001E-2</v>
      </c>
      <c r="Q138" s="79">
        <v>5.7055858010844E-2</v>
      </c>
      <c r="R138" s="80">
        <v>1</v>
      </c>
      <c r="S138" s="79">
        <v>1.1155042772904615</v>
      </c>
      <c r="T138" s="79">
        <v>3.3214242034680597E-2</v>
      </c>
      <c r="U138" s="79">
        <v>9.9847954775108194E-4</v>
      </c>
      <c r="V138" s="79">
        <v>4.4929880549581403E-3</v>
      </c>
      <c r="W138" s="79">
        <v>1</v>
      </c>
    </row>
    <row r="139" spans="1:23" x14ac:dyDescent="0.2">
      <c r="A139" s="69"/>
      <c r="B139" s="84" t="s">
        <v>2276</v>
      </c>
      <c r="C139" s="78">
        <v>5549</v>
      </c>
      <c r="D139" s="79">
        <v>0.97724700503538076</v>
      </c>
      <c r="E139" s="79">
        <v>2.9926673000000001E-2</v>
      </c>
      <c r="F139" s="79">
        <v>0.44184911500000001</v>
      </c>
      <c r="G139" s="79">
        <v>0.90534684568218304</v>
      </c>
      <c r="H139" s="80">
        <v>1</v>
      </c>
      <c r="I139" s="79">
        <v>1.0227600163733832</v>
      </c>
      <c r="J139" s="79">
        <v>2.9761826240463699E-2</v>
      </c>
      <c r="K139" s="79">
        <v>0.44954987143199898</v>
      </c>
      <c r="L139" s="79">
        <v>0.87326336285163797</v>
      </c>
      <c r="M139" s="80">
        <v>1</v>
      </c>
      <c r="N139" s="79">
        <v>1.0819162068270889</v>
      </c>
      <c r="O139" s="79">
        <v>2.9577079996134799E-2</v>
      </c>
      <c r="P139" s="79">
        <v>7.7681408198008303E-3</v>
      </c>
      <c r="Q139" s="79">
        <v>1.9104206783580002E-2</v>
      </c>
      <c r="R139" s="80">
        <v>1</v>
      </c>
      <c r="S139" s="79">
        <v>1.119631124133089</v>
      </c>
      <c r="T139" s="79">
        <v>2.96796808971839E-2</v>
      </c>
      <c r="U139" s="79">
        <v>1.4049555785607701E-4</v>
      </c>
      <c r="V139" s="79">
        <v>1.0294470033920099E-3</v>
      </c>
      <c r="W139" s="79">
        <v>0.178288862919362</v>
      </c>
    </row>
    <row r="140" spans="1:23" x14ac:dyDescent="0.2">
      <c r="A140" s="69"/>
      <c r="B140" s="84" t="s">
        <v>2277</v>
      </c>
      <c r="C140" s="78">
        <v>5549</v>
      </c>
      <c r="D140" s="79">
        <v>0.93387817488732039</v>
      </c>
      <c r="E140" s="79">
        <v>4.4723476999999998E-2</v>
      </c>
      <c r="F140" s="79">
        <v>0.126114372</v>
      </c>
      <c r="G140" s="79">
        <v>0.65626131345967698</v>
      </c>
      <c r="H140" s="80">
        <v>1</v>
      </c>
      <c r="I140" s="79">
        <v>1.018002687511373</v>
      </c>
      <c r="J140" s="79">
        <v>4.4529284611288598E-2</v>
      </c>
      <c r="K140" s="79">
        <v>0.68864640528573295</v>
      </c>
      <c r="L140" s="79">
        <v>0.93616360447106906</v>
      </c>
      <c r="M140" s="80">
        <v>1</v>
      </c>
      <c r="N140" s="79">
        <v>1.1392842433513009</v>
      </c>
      <c r="O140" s="79">
        <v>4.43165973533741E-2</v>
      </c>
      <c r="P140" s="79">
        <v>3.25606511911919E-3</v>
      </c>
      <c r="Q140" s="79">
        <v>9.4999054667602601E-3</v>
      </c>
      <c r="R140" s="80">
        <v>1</v>
      </c>
      <c r="S140" s="79">
        <v>1.109705725700596</v>
      </c>
      <c r="T140" s="79">
        <v>4.4273070413782499E-2</v>
      </c>
      <c r="U140" s="79">
        <v>1.87129441719751E-2</v>
      </c>
      <c r="V140" s="79">
        <v>4.1587961741219599E-2</v>
      </c>
      <c r="W140" s="79">
        <v>1</v>
      </c>
    </row>
    <row r="141" spans="1:23" x14ac:dyDescent="0.2">
      <c r="A141" s="69"/>
      <c r="B141" s="84" t="s">
        <v>2278</v>
      </c>
      <c r="C141" s="78">
        <v>5549</v>
      </c>
      <c r="D141" s="79">
        <v>0.95508922552174813</v>
      </c>
      <c r="E141" s="79">
        <v>2.8844304000000001E-2</v>
      </c>
      <c r="F141" s="79">
        <v>0.11114824</v>
      </c>
      <c r="G141" s="79">
        <v>0.63249828053811696</v>
      </c>
      <c r="H141" s="80">
        <v>1</v>
      </c>
      <c r="I141" s="79">
        <v>0.95225238015728675</v>
      </c>
      <c r="J141" s="79">
        <v>2.8635065919832201E-2</v>
      </c>
      <c r="K141" s="79">
        <v>8.7529596871368104E-2</v>
      </c>
      <c r="L141" s="79">
        <v>0.59811020064394504</v>
      </c>
      <c r="M141" s="80">
        <v>1</v>
      </c>
      <c r="N141" s="79">
        <v>1.0108080484446225</v>
      </c>
      <c r="O141" s="79">
        <v>2.8461961667705302E-2</v>
      </c>
      <c r="P141" s="79">
        <v>0.70565409354067199</v>
      </c>
      <c r="Q141" s="79">
        <v>0.76145837134618399</v>
      </c>
      <c r="R141" s="80">
        <v>1</v>
      </c>
      <c r="S141" s="79">
        <v>1.0067181802980536</v>
      </c>
      <c r="T141" s="79">
        <v>2.8435664029846201E-2</v>
      </c>
      <c r="U141" s="79">
        <v>0.81384483194105395</v>
      </c>
      <c r="V141" s="79">
        <v>0.850715891048762</v>
      </c>
      <c r="W141" s="79">
        <v>1</v>
      </c>
    </row>
    <row r="142" spans="1:23" x14ac:dyDescent="0.2">
      <c r="A142" s="69"/>
      <c r="B142" s="84" t="s">
        <v>2279</v>
      </c>
      <c r="C142" s="78">
        <v>5549</v>
      </c>
      <c r="D142" s="79">
        <v>0.95976291170075645</v>
      </c>
      <c r="E142" s="79">
        <v>3.6240241999999999E-2</v>
      </c>
      <c r="F142" s="79">
        <v>0.25711231400000001</v>
      </c>
      <c r="G142" s="79">
        <v>0.80165977018673196</v>
      </c>
      <c r="H142" s="80">
        <v>1</v>
      </c>
      <c r="I142" s="79">
        <v>0.99746275523039019</v>
      </c>
      <c r="J142" s="79">
        <v>3.6135118375981497E-2</v>
      </c>
      <c r="K142" s="79">
        <v>0.94395113348670501</v>
      </c>
      <c r="L142" s="79">
        <v>0.98413841952088998</v>
      </c>
      <c r="M142" s="80">
        <v>1</v>
      </c>
      <c r="N142" s="79">
        <v>1.1257008460942564</v>
      </c>
      <c r="O142" s="79">
        <v>3.5946635199179497E-2</v>
      </c>
      <c r="P142" s="79">
        <v>9.8795965719502697E-4</v>
      </c>
      <c r="Q142" s="79">
        <v>3.4922585096949601E-3</v>
      </c>
      <c r="R142" s="80">
        <v>1</v>
      </c>
      <c r="S142" s="79">
        <v>1.1209264902909601</v>
      </c>
      <c r="T142" s="79">
        <v>3.5968881558575201E-2</v>
      </c>
      <c r="U142" s="79">
        <v>1.5049291670517701E-3</v>
      </c>
      <c r="V142" s="79">
        <v>6.26149217373343E-3</v>
      </c>
      <c r="W142" s="79">
        <v>1</v>
      </c>
    </row>
    <row r="143" spans="1:23" x14ac:dyDescent="0.2">
      <c r="A143" s="69"/>
      <c r="B143" s="84" t="s">
        <v>2280</v>
      </c>
      <c r="C143" s="78">
        <v>5549</v>
      </c>
      <c r="D143" s="79">
        <v>0.95598532449042606</v>
      </c>
      <c r="E143" s="79">
        <v>3.5236020999999999E-2</v>
      </c>
      <c r="F143" s="79">
        <v>0.201438799</v>
      </c>
      <c r="G143" s="79">
        <v>0.73455699980172395</v>
      </c>
      <c r="H143" s="80">
        <v>1</v>
      </c>
      <c r="I143" s="79">
        <v>0.99968380882665464</v>
      </c>
      <c r="J143" s="79">
        <v>3.5066757284736398E-2</v>
      </c>
      <c r="K143" s="79">
        <v>0.99280456625452496</v>
      </c>
      <c r="L143" s="79">
        <v>0.99523523065353503</v>
      </c>
      <c r="M143" s="80">
        <v>1</v>
      </c>
      <c r="N143" s="79">
        <v>1.0674724519690004</v>
      </c>
      <c r="O143" s="79">
        <v>3.4920615098877297E-2</v>
      </c>
      <c r="P143" s="79">
        <v>6.1515202405572997E-2</v>
      </c>
      <c r="Q143" s="79">
        <v>0.10506432281651699</v>
      </c>
      <c r="R143" s="80">
        <v>1</v>
      </c>
      <c r="S143" s="79">
        <v>1.0418800683604816</v>
      </c>
      <c r="T143" s="79">
        <v>3.4930184031387999E-2</v>
      </c>
      <c r="U143" s="79">
        <v>0.24017947820492899</v>
      </c>
      <c r="V143" s="79">
        <v>0.32808154773095299</v>
      </c>
      <c r="W143" s="79">
        <v>1</v>
      </c>
    </row>
    <row r="144" spans="1:23" x14ac:dyDescent="0.2">
      <c r="A144" s="69"/>
      <c r="B144" s="84" t="s">
        <v>2281</v>
      </c>
      <c r="C144" s="78">
        <v>5549</v>
      </c>
      <c r="D144" s="79">
        <v>0.91695657807553466</v>
      </c>
      <c r="E144" s="79">
        <v>5.0044455000000002E-2</v>
      </c>
      <c r="F144" s="79">
        <v>8.3208961999999997E-2</v>
      </c>
      <c r="G144" s="79">
        <v>0.58990040658100595</v>
      </c>
      <c r="H144" s="80">
        <v>1</v>
      </c>
      <c r="I144" s="79">
        <v>0.97900632758169659</v>
      </c>
      <c r="J144" s="79">
        <v>4.99237590406637E-2</v>
      </c>
      <c r="K144" s="79">
        <v>0.67084287226758699</v>
      </c>
      <c r="L144" s="79">
        <v>0.92967939975467695</v>
      </c>
      <c r="M144" s="80">
        <v>1</v>
      </c>
      <c r="N144" s="79">
        <v>1.0461547198935548</v>
      </c>
      <c r="O144" s="79">
        <v>4.9524481996401297E-2</v>
      </c>
      <c r="P144" s="79">
        <v>0.36224784676821897</v>
      </c>
      <c r="Q144" s="79">
        <v>0.44804338942385002</v>
      </c>
      <c r="R144" s="80">
        <v>1</v>
      </c>
      <c r="S144" s="79">
        <v>1.0387341119879725</v>
      </c>
      <c r="T144" s="79">
        <v>4.9614266676909102E-2</v>
      </c>
      <c r="U144" s="79">
        <v>0.44369736811425498</v>
      </c>
      <c r="V144" s="79">
        <v>0.53268870400850499</v>
      </c>
      <c r="W144" s="79">
        <v>1</v>
      </c>
    </row>
    <row r="145" spans="1:23" x14ac:dyDescent="0.2">
      <c r="A145" s="69"/>
      <c r="B145" s="84" t="s">
        <v>2282</v>
      </c>
      <c r="C145" s="78">
        <v>5549</v>
      </c>
      <c r="D145" s="79">
        <v>0.9131805438662205</v>
      </c>
      <c r="E145" s="79">
        <v>3.4564175000000003E-2</v>
      </c>
      <c r="F145" s="79">
        <v>8.598339E-3</v>
      </c>
      <c r="G145" s="79">
        <v>0.27443051369999999</v>
      </c>
      <c r="H145" s="80">
        <v>1</v>
      </c>
      <c r="I145" s="79">
        <v>1.0038944268181569</v>
      </c>
      <c r="J145" s="79">
        <v>3.4289035905471797E-2</v>
      </c>
      <c r="K145" s="79">
        <v>0.90974843234609104</v>
      </c>
      <c r="L145" s="79">
        <v>0.981200184300273</v>
      </c>
      <c r="M145" s="80">
        <v>1</v>
      </c>
      <c r="N145" s="79">
        <v>1.1156164753938984</v>
      </c>
      <c r="O145" s="79">
        <v>3.4214168983580803E-2</v>
      </c>
      <c r="P145" s="79">
        <v>1.38521339870318E-3</v>
      </c>
      <c r="Q145" s="79">
        <v>4.6258836919850898E-3</v>
      </c>
      <c r="R145" s="80">
        <v>1</v>
      </c>
      <c r="S145" s="79">
        <v>1.0303950308299794</v>
      </c>
      <c r="T145" s="79">
        <v>3.4069482438209897E-2</v>
      </c>
      <c r="U145" s="79">
        <v>0.37947800954956201</v>
      </c>
      <c r="V145" s="79">
        <v>0.46935438023235299</v>
      </c>
      <c r="W145" s="79">
        <v>1</v>
      </c>
    </row>
    <row r="146" spans="1:23" x14ac:dyDescent="0.2">
      <c r="A146" s="69"/>
      <c r="B146" s="84" t="s">
        <v>2283</v>
      </c>
      <c r="C146" s="78">
        <v>5549</v>
      </c>
      <c r="D146" s="79">
        <v>0.95959116405980771</v>
      </c>
      <c r="E146" s="79">
        <v>3.2583798999999997E-2</v>
      </c>
      <c r="F146" s="79">
        <v>0.20554750899999999</v>
      </c>
      <c r="G146" s="79">
        <v>0.73748064038764105</v>
      </c>
      <c r="H146" s="80">
        <v>1</v>
      </c>
      <c r="I146" s="79">
        <v>1.0089963544941976</v>
      </c>
      <c r="J146" s="79">
        <v>3.2398159742516898E-2</v>
      </c>
      <c r="K146" s="79">
        <v>0.78221058572082203</v>
      </c>
      <c r="L146" s="79">
        <v>0.95813246455571699</v>
      </c>
      <c r="M146" s="80">
        <v>1</v>
      </c>
      <c r="N146" s="79">
        <v>1.0556015464721926</v>
      </c>
      <c r="O146" s="79">
        <v>3.2167063231357998E-2</v>
      </c>
      <c r="P146" s="79">
        <v>9.2533939699345799E-2</v>
      </c>
      <c r="Q146" s="79">
        <v>0.14605170333143</v>
      </c>
      <c r="R146" s="80">
        <v>1</v>
      </c>
      <c r="S146" s="79">
        <v>1.0517292389558663</v>
      </c>
      <c r="T146" s="79">
        <v>3.2195347086113803E-2</v>
      </c>
      <c r="U146" s="79">
        <v>0.11721931125693499</v>
      </c>
      <c r="V146" s="79">
        <v>0.185475443871634</v>
      </c>
      <c r="W146" s="79">
        <v>1</v>
      </c>
    </row>
    <row r="147" spans="1:23" x14ac:dyDescent="0.2">
      <c r="A147" s="69"/>
      <c r="B147" s="56" t="s">
        <v>201</v>
      </c>
      <c r="C147" s="78">
        <v>5551</v>
      </c>
      <c r="D147" s="79">
        <v>3.0483132999999999E-2</v>
      </c>
      <c r="E147" s="79">
        <v>1.3806142E-2</v>
      </c>
      <c r="F147" s="79">
        <v>2.729171E-2</v>
      </c>
      <c r="G147" s="79">
        <v>0.38058439549450601</v>
      </c>
      <c r="H147" s="80">
        <v>1</v>
      </c>
      <c r="I147" s="79">
        <v>4.8316274212237501E-3</v>
      </c>
      <c r="J147" s="79">
        <v>1.3744968687739299E-2</v>
      </c>
      <c r="K147" s="79">
        <v>0.72521285957411297</v>
      </c>
      <c r="L147" s="79">
        <v>0.94469845151544796</v>
      </c>
      <c r="M147" s="80">
        <v>1</v>
      </c>
      <c r="N147" s="81">
        <v>-6.25952310657302E-2</v>
      </c>
      <c r="O147" s="81">
        <v>1.3632111351292499E-2</v>
      </c>
      <c r="P147" s="81">
        <v>4.4996480575019299E-6</v>
      </c>
      <c r="Q147" s="81">
        <v>4.22966917405181E-5</v>
      </c>
      <c r="R147" s="82">
        <v>5.7100533849699497E-3</v>
      </c>
      <c r="S147" s="79">
        <v>-3.4629975132031698E-2</v>
      </c>
      <c r="T147" s="79">
        <v>1.36222528504794E-2</v>
      </c>
      <c r="U147" s="79">
        <v>1.1045585106552E-2</v>
      </c>
      <c r="V147" s="79">
        <v>2.79777395213862E-2</v>
      </c>
      <c r="W147" s="79">
        <v>1</v>
      </c>
    </row>
    <row r="148" spans="1:23" x14ac:dyDescent="0.2">
      <c r="A148" s="69"/>
      <c r="B148" s="56" t="s">
        <v>198</v>
      </c>
      <c r="C148" s="78">
        <v>5553</v>
      </c>
      <c r="D148" s="79">
        <v>-1.9589070000000002E-3</v>
      </c>
      <c r="E148" s="79">
        <v>1.2677701E-2</v>
      </c>
      <c r="F148" s="79">
        <v>0.87720927400000004</v>
      </c>
      <c r="G148" s="79">
        <v>0.99037239208718897</v>
      </c>
      <c r="H148" s="80">
        <v>1</v>
      </c>
      <c r="I148" s="79">
        <v>-2.25543556328319E-2</v>
      </c>
      <c r="J148" s="79">
        <v>1.27278643253844E-2</v>
      </c>
      <c r="K148" s="79">
        <v>7.6447241944808203E-2</v>
      </c>
      <c r="L148" s="79">
        <v>0.58457505778108598</v>
      </c>
      <c r="M148" s="80">
        <v>1</v>
      </c>
      <c r="N148" s="79">
        <v>-3.4060407378582999E-2</v>
      </c>
      <c r="O148" s="79">
        <v>1.25775894380371E-2</v>
      </c>
      <c r="P148" s="79">
        <v>6.7917259350561403E-3</v>
      </c>
      <c r="Q148" s="79">
        <v>1.72719443117961E-2</v>
      </c>
      <c r="R148" s="80">
        <v>1</v>
      </c>
      <c r="S148" s="79">
        <v>-3.2070264849224199E-2</v>
      </c>
      <c r="T148" s="79">
        <v>1.25443050794108E-2</v>
      </c>
      <c r="U148" s="79">
        <v>1.06007073867807E-2</v>
      </c>
      <c r="V148" s="79">
        <v>2.7066997331639302E-2</v>
      </c>
      <c r="W148" s="79">
        <v>1</v>
      </c>
    </row>
    <row r="149" spans="1:23" x14ac:dyDescent="0.2">
      <c r="A149" s="69"/>
      <c r="B149" s="56" t="s">
        <v>199</v>
      </c>
      <c r="C149" s="78">
        <v>5546</v>
      </c>
      <c r="D149" s="79">
        <v>5.3145570000000001E-3</v>
      </c>
      <c r="E149" s="79">
        <v>1.2702679E-2</v>
      </c>
      <c r="F149" s="79">
        <v>0.67568671599999997</v>
      </c>
      <c r="G149" s="79">
        <v>0.98545101377932998</v>
      </c>
      <c r="H149" s="80">
        <v>1</v>
      </c>
      <c r="I149" s="79">
        <v>-1.8325528247986099E-3</v>
      </c>
      <c r="J149" s="79">
        <v>1.27479727894279E-2</v>
      </c>
      <c r="K149" s="79">
        <v>0.88570158743512795</v>
      </c>
      <c r="L149" s="79">
        <v>0.97573578102632397</v>
      </c>
      <c r="M149" s="80">
        <v>1</v>
      </c>
      <c r="N149" s="79">
        <v>-2.9641854944984999E-2</v>
      </c>
      <c r="O149" s="79">
        <v>1.26223912981192E-2</v>
      </c>
      <c r="P149" s="79">
        <v>1.88948884167769E-2</v>
      </c>
      <c r="Q149" s="79">
        <v>3.9567018813349702E-2</v>
      </c>
      <c r="R149" s="80">
        <v>1</v>
      </c>
      <c r="S149" s="79">
        <v>-1.37341016491059E-2</v>
      </c>
      <c r="T149" s="79">
        <v>1.2566104932601199E-2</v>
      </c>
      <c r="U149" s="79">
        <v>0.27446882980953502</v>
      </c>
      <c r="V149" s="79">
        <v>0.36663257371399999</v>
      </c>
      <c r="W149" s="79">
        <v>1</v>
      </c>
    </row>
    <row r="150" spans="1:23" x14ac:dyDescent="0.2">
      <c r="A150" s="69"/>
      <c r="B150" s="56" t="s">
        <v>200</v>
      </c>
      <c r="C150" s="78">
        <v>5545</v>
      </c>
      <c r="D150" s="79">
        <v>-4.0806419999999998E-3</v>
      </c>
      <c r="E150" s="79">
        <v>1.2179974E-2</v>
      </c>
      <c r="F150" s="79">
        <v>0.73761871899999998</v>
      </c>
      <c r="G150" s="79">
        <v>0.98545101377932998</v>
      </c>
      <c r="H150" s="80">
        <v>1</v>
      </c>
      <c r="I150" s="79">
        <v>-1.68454838660601E-2</v>
      </c>
      <c r="J150" s="79">
        <v>1.2260451903253301E-2</v>
      </c>
      <c r="K150" s="79">
        <v>0.16951614715911101</v>
      </c>
      <c r="L150" s="79">
        <v>0.69169128856884798</v>
      </c>
      <c r="M150" s="80">
        <v>1</v>
      </c>
      <c r="N150" s="79">
        <v>-1.9365349961941E-2</v>
      </c>
      <c r="O150" s="79">
        <v>1.20949806671356E-2</v>
      </c>
      <c r="P150" s="79">
        <v>0.109421721188332</v>
      </c>
      <c r="Q150" s="79">
        <v>0.16925648649802499</v>
      </c>
      <c r="R150" s="80">
        <v>1</v>
      </c>
      <c r="S150" s="79">
        <v>-6.9471958424516698E-3</v>
      </c>
      <c r="T150" s="79">
        <v>1.20644916795032E-2</v>
      </c>
      <c r="U150" s="79">
        <v>0.56475242092251299</v>
      </c>
      <c r="V150" s="79">
        <v>0.64275410058355997</v>
      </c>
      <c r="W150" s="79">
        <v>1</v>
      </c>
    </row>
    <row r="151" spans="1:23" x14ac:dyDescent="0.2">
      <c r="A151" s="69"/>
      <c r="B151" s="56" t="s">
        <v>202</v>
      </c>
      <c r="C151" s="78">
        <v>5553</v>
      </c>
      <c r="D151" s="79">
        <v>9.8074300000000007E-4</v>
      </c>
      <c r="E151" s="79">
        <v>1.2240005999999999E-2</v>
      </c>
      <c r="F151" s="79">
        <v>0.93614049099999996</v>
      </c>
      <c r="G151" s="79">
        <v>0.991673151733656</v>
      </c>
      <c r="H151" s="80">
        <v>1</v>
      </c>
      <c r="I151" s="79">
        <v>-1.47399749699457E-2</v>
      </c>
      <c r="J151" s="79">
        <v>1.23090955580365E-2</v>
      </c>
      <c r="K151" s="79">
        <v>0.231176586519132</v>
      </c>
      <c r="L151" s="79">
        <v>0.73709318666527301</v>
      </c>
      <c r="M151" s="80">
        <v>1</v>
      </c>
      <c r="N151" s="79">
        <v>-2.8605447773375401E-2</v>
      </c>
      <c r="O151" s="79">
        <v>1.2151227003524201E-2</v>
      </c>
      <c r="P151" s="79">
        <v>1.8607989767224001E-2</v>
      </c>
      <c r="Q151" s="79">
        <v>3.9095263269217299E-2</v>
      </c>
      <c r="R151" s="80">
        <v>1</v>
      </c>
      <c r="S151" s="79">
        <v>-1.64725385494198E-2</v>
      </c>
      <c r="T151" s="79">
        <v>1.2123638896743E-2</v>
      </c>
      <c r="U151" s="79">
        <v>0.17430338763964301</v>
      </c>
      <c r="V151" s="79">
        <v>0.25321900073620102</v>
      </c>
      <c r="W151" s="79">
        <v>1</v>
      </c>
    </row>
    <row r="152" spans="1:23" x14ac:dyDescent="0.2">
      <c r="A152" s="69"/>
      <c r="B152" s="56" t="s">
        <v>204</v>
      </c>
      <c r="C152" s="78">
        <v>5552</v>
      </c>
      <c r="D152" s="79">
        <v>1.125678E-3</v>
      </c>
      <c r="E152" s="79">
        <v>1.3597026999999999E-2</v>
      </c>
      <c r="F152" s="79">
        <v>0.93402300199999999</v>
      </c>
      <c r="G152" s="79">
        <v>0.991673151733656</v>
      </c>
      <c r="H152" s="80">
        <v>1</v>
      </c>
      <c r="I152" s="79">
        <v>-8.8516518299363006E-3</v>
      </c>
      <c r="J152" s="79">
        <v>1.349827849074E-2</v>
      </c>
      <c r="K152" s="79">
        <v>0.51200831987102702</v>
      </c>
      <c r="L152" s="79">
        <v>0.89454937074195695</v>
      </c>
      <c r="M152" s="80">
        <v>1</v>
      </c>
      <c r="N152" s="79">
        <v>-2.1412445593822799E-2</v>
      </c>
      <c r="O152" s="79">
        <v>1.3416016101233301E-2</v>
      </c>
      <c r="P152" s="79">
        <v>0.110545078361748</v>
      </c>
      <c r="Q152" s="79">
        <v>0.17024478694303199</v>
      </c>
      <c r="R152" s="80">
        <v>1</v>
      </c>
      <c r="S152" s="79">
        <v>-2.9273053749271999E-2</v>
      </c>
      <c r="T152" s="79">
        <v>1.3404023944082501E-2</v>
      </c>
      <c r="U152" s="79">
        <v>2.9015851819283699E-2</v>
      </c>
      <c r="V152" s="79">
        <v>5.9102914861430197E-2</v>
      </c>
      <c r="W152" s="79">
        <v>1</v>
      </c>
    </row>
    <row r="153" spans="1:23" x14ac:dyDescent="0.2">
      <c r="A153" s="69"/>
      <c r="B153" s="56" t="s">
        <v>205</v>
      </c>
      <c r="C153" s="78">
        <v>5551</v>
      </c>
      <c r="D153" s="79">
        <v>2.1810620000000001E-3</v>
      </c>
      <c r="E153" s="79">
        <v>1.3633266E-2</v>
      </c>
      <c r="F153" s="79">
        <v>0.87290230099999999</v>
      </c>
      <c r="G153" s="79">
        <v>0.98902948211517905</v>
      </c>
      <c r="H153" s="80">
        <v>1</v>
      </c>
      <c r="I153" s="79">
        <v>-1.02308847125597E-2</v>
      </c>
      <c r="J153" s="79">
        <v>1.3547797194334099E-2</v>
      </c>
      <c r="K153" s="79">
        <v>0.45018177154653699</v>
      </c>
      <c r="L153" s="79">
        <v>0.87326336285163797</v>
      </c>
      <c r="M153" s="80">
        <v>1</v>
      </c>
      <c r="N153" s="79">
        <v>-3.7768523765242E-2</v>
      </c>
      <c r="O153" s="79">
        <v>1.3456287597556099E-2</v>
      </c>
      <c r="P153" s="79">
        <v>5.0230733104685401E-3</v>
      </c>
      <c r="Q153" s="79">
        <v>1.33632705052088E-2</v>
      </c>
      <c r="R153" s="80">
        <v>1</v>
      </c>
      <c r="S153" s="79">
        <v>-1.6763375097921002E-2</v>
      </c>
      <c r="T153" s="79">
        <v>1.3447050087841601E-2</v>
      </c>
      <c r="U153" s="79">
        <v>0.21259252632654799</v>
      </c>
      <c r="V153" s="79">
        <v>0.29744202415478399</v>
      </c>
      <c r="W153" s="79">
        <v>1</v>
      </c>
    </row>
    <row r="154" spans="1:23" x14ac:dyDescent="0.2">
      <c r="A154" s="69"/>
      <c r="B154" s="56" t="s">
        <v>206</v>
      </c>
      <c r="C154" s="78">
        <v>5552</v>
      </c>
      <c r="D154" s="79">
        <v>-1.038379E-2</v>
      </c>
      <c r="E154" s="79">
        <v>1.3750518E-2</v>
      </c>
      <c r="F154" s="79">
        <v>0.45018879699999997</v>
      </c>
      <c r="G154" s="79">
        <v>0.90969678884235705</v>
      </c>
      <c r="H154" s="80">
        <v>1</v>
      </c>
      <c r="I154" s="79">
        <v>-2.1200591760154302E-3</v>
      </c>
      <c r="J154" s="79">
        <v>1.36771138677961E-2</v>
      </c>
      <c r="K154" s="79">
        <v>0.87682115011592898</v>
      </c>
      <c r="L154" s="79">
        <v>0.97274786917512301</v>
      </c>
      <c r="M154" s="80">
        <v>1</v>
      </c>
      <c r="N154" s="79">
        <v>-4.8041950881269703E-2</v>
      </c>
      <c r="O154" s="79">
        <v>1.35747431152928E-2</v>
      </c>
      <c r="P154" s="79">
        <v>4.0501739728312402E-4</v>
      </c>
      <c r="Q154" s="79">
        <v>1.8097432294094499E-3</v>
      </c>
      <c r="R154" s="80">
        <v>0.51396707715228396</v>
      </c>
      <c r="S154" s="79">
        <v>-2.7191579444202599E-2</v>
      </c>
      <c r="T154" s="79">
        <v>1.3562555256613099E-2</v>
      </c>
      <c r="U154" s="79">
        <v>4.5024488714384699E-2</v>
      </c>
      <c r="V154" s="79">
        <v>8.6438844445619001E-2</v>
      </c>
      <c r="W154" s="79">
        <v>1</v>
      </c>
    </row>
    <row r="155" spans="1:23" x14ac:dyDescent="0.2">
      <c r="A155" s="69"/>
      <c r="B155" s="56" t="s">
        <v>207</v>
      </c>
      <c r="C155" s="78">
        <v>5552</v>
      </c>
      <c r="D155" s="79">
        <v>5.7222080000000003E-3</v>
      </c>
      <c r="E155" s="79">
        <v>1.3663524999999999E-2</v>
      </c>
      <c r="F155" s="79">
        <v>0.67538370999999997</v>
      </c>
      <c r="G155" s="79">
        <v>0.98545101377932998</v>
      </c>
      <c r="H155" s="80">
        <v>1</v>
      </c>
      <c r="I155" s="79">
        <v>2.37420640925902E-2</v>
      </c>
      <c r="J155" s="79">
        <v>1.35734734810648E-2</v>
      </c>
      <c r="K155" s="79">
        <v>8.0324737825343703E-2</v>
      </c>
      <c r="L155" s="79">
        <v>0.59186625016599403</v>
      </c>
      <c r="M155" s="80">
        <v>1</v>
      </c>
      <c r="N155" s="79">
        <v>-4.9177469043335302E-2</v>
      </c>
      <c r="O155" s="79">
        <v>1.3476736124144901E-2</v>
      </c>
      <c r="P155" s="79">
        <v>2.6581834044935102E-4</v>
      </c>
      <c r="Q155" s="79">
        <v>1.3176698204305701E-3</v>
      </c>
      <c r="R155" s="80">
        <v>0.337323474030226</v>
      </c>
      <c r="S155" s="79">
        <v>7.8949686059896895E-3</v>
      </c>
      <c r="T155" s="79">
        <v>1.34753086996481E-2</v>
      </c>
      <c r="U155" s="79">
        <v>0.55797894234615097</v>
      </c>
      <c r="V155" s="79">
        <v>0.63848086369455903</v>
      </c>
      <c r="W155" s="79">
        <v>1</v>
      </c>
    </row>
    <row r="156" spans="1:23" x14ac:dyDescent="0.2">
      <c r="A156" s="69"/>
      <c r="B156" s="56" t="s">
        <v>208</v>
      </c>
      <c r="C156" s="78">
        <v>5552</v>
      </c>
      <c r="D156" s="79">
        <v>1.6127656000000001E-2</v>
      </c>
      <c r="E156" s="79">
        <v>1.3899922E-2</v>
      </c>
      <c r="F156" s="79">
        <v>0.245990071</v>
      </c>
      <c r="G156" s="79">
        <v>0.78040350024750005</v>
      </c>
      <c r="H156" s="80">
        <v>1</v>
      </c>
      <c r="I156" s="79">
        <v>-1.70236352769217E-2</v>
      </c>
      <c r="J156" s="79">
        <v>1.3852232757994E-2</v>
      </c>
      <c r="K156" s="79">
        <v>0.219146009965003</v>
      </c>
      <c r="L156" s="79">
        <v>0.73459417908661795</v>
      </c>
      <c r="M156" s="80">
        <v>1</v>
      </c>
      <c r="N156" s="79">
        <v>-4.5865090096839103E-2</v>
      </c>
      <c r="O156" s="79">
        <v>1.3743891437175E-2</v>
      </c>
      <c r="P156" s="79">
        <v>8.5221026984546005E-4</v>
      </c>
      <c r="Q156" s="79">
        <v>3.1714217959938102E-3</v>
      </c>
      <c r="R156" s="80">
        <v>1</v>
      </c>
      <c r="S156" s="79">
        <v>-2.6565871817564299E-2</v>
      </c>
      <c r="T156" s="79">
        <v>1.37171547856274E-2</v>
      </c>
      <c r="U156" s="79">
        <v>5.2835157859791697E-2</v>
      </c>
      <c r="V156" s="79">
        <v>9.7691472154575604E-2</v>
      </c>
      <c r="W156" s="79">
        <v>1</v>
      </c>
    </row>
    <row r="157" spans="1:23" x14ac:dyDescent="0.2">
      <c r="A157" s="69"/>
      <c r="B157" s="56" t="s">
        <v>209</v>
      </c>
      <c r="C157" s="78">
        <v>5552</v>
      </c>
      <c r="D157" s="79">
        <v>4.543526E-3</v>
      </c>
      <c r="E157" s="79">
        <v>1.3550680000000001E-2</v>
      </c>
      <c r="F157" s="79">
        <v>0.73741305300000004</v>
      </c>
      <c r="G157" s="79">
        <v>0.98545101377932998</v>
      </c>
      <c r="H157" s="80">
        <v>1</v>
      </c>
      <c r="I157" s="79">
        <v>1.5120601933411E-3</v>
      </c>
      <c r="J157" s="79">
        <v>1.3482823184360501E-2</v>
      </c>
      <c r="K157" s="79">
        <v>0.91071103394458397</v>
      </c>
      <c r="L157" s="79">
        <v>0.981200184300273</v>
      </c>
      <c r="M157" s="80">
        <v>1</v>
      </c>
      <c r="N157" s="81">
        <v>-7.48993828439211E-2</v>
      </c>
      <c r="O157" s="81">
        <v>1.33586129867599E-2</v>
      </c>
      <c r="P157" s="81">
        <v>2.1660040617868299E-8</v>
      </c>
      <c r="Q157" s="81">
        <v>4.0421458153051303E-7</v>
      </c>
      <c r="R157" s="82">
        <v>2.7486591544074901E-5</v>
      </c>
      <c r="S157" s="79">
        <v>-2.7884087225117201E-2</v>
      </c>
      <c r="T157" s="79">
        <v>1.33673793187049E-2</v>
      </c>
      <c r="U157" s="79">
        <v>3.7028232132702101E-2</v>
      </c>
      <c r="V157" s="79">
        <v>7.2850893916897599E-2</v>
      </c>
      <c r="W157" s="79">
        <v>1</v>
      </c>
    </row>
    <row r="158" spans="1:23" x14ac:dyDescent="0.2">
      <c r="A158" s="69"/>
      <c r="B158" s="56" t="s">
        <v>119</v>
      </c>
      <c r="C158" s="78">
        <v>5544</v>
      </c>
      <c r="D158" s="79">
        <v>1.3340263999999999E-2</v>
      </c>
      <c r="E158" s="79">
        <v>1.3785952000000001E-2</v>
      </c>
      <c r="F158" s="79">
        <v>0.33325348300000002</v>
      </c>
      <c r="G158" s="79">
        <v>0.85579729232661295</v>
      </c>
      <c r="H158" s="80">
        <v>1</v>
      </c>
      <c r="I158" s="79">
        <v>1.0035067164248099E-2</v>
      </c>
      <c r="J158" s="79">
        <v>1.37060032143578E-2</v>
      </c>
      <c r="K158" s="79">
        <v>0.46410053260231199</v>
      </c>
      <c r="L158" s="79">
        <v>0.87326336285163797</v>
      </c>
      <c r="M158" s="80">
        <v>1</v>
      </c>
      <c r="N158" s="79">
        <v>-3.5666584774799698E-2</v>
      </c>
      <c r="O158" s="79">
        <v>1.3621244898180399E-2</v>
      </c>
      <c r="P158" s="79">
        <v>8.8586399813503896E-3</v>
      </c>
      <c r="Q158" s="79">
        <v>2.1371889993029702E-2</v>
      </c>
      <c r="R158" s="80">
        <v>1</v>
      </c>
      <c r="S158" s="79">
        <v>-1.20734600892764E-2</v>
      </c>
      <c r="T158" s="79">
        <v>1.3598485001172099E-2</v>
      </c>
      <c r="U158" s="79">
        <v>0.37466047331687302</v>
      </c>
      <c r="V158" s="79">
        <v>0.464417023580807</v>
      </c>
      <c r="W158" s="79">
        <v>1</v>
      </c>
    </row>
    <row r="159" spans="1:23" x14ac:dyDescent="0.2">
      <c r="A159" s="69"/>
      <c r="B159" s="56" t="s">
        <v>122</v>
      </c>
      <c r="C159" s="78">
        <v>5550</v>
      </c>
      <c r="D159" s="79">
        <v>3.6682656000000001E-2</v>
      </c>
      <c r="E159" s="79">
        <v>1.3603051E-2</v>
      </c>
      <c r="F159" s="79">
        <v>7.0266779999999997E-3</v>
      </c>
      <c r="G159" s="79">
        <v>0.24769039949999999</v>
      </c>
      <c r="H159" s="80">
        <v>1</v>
      </c>
      <c r="I159" s="79">
        <v>5.7380132999035501E-3</v>
      </c>
      <c r="J159" s="79">
        <v>1.3527721907261699E-2</v>
      </c>
      <c r="K159" s="79">
        <v>0.67146181890406098</v>
      </c>
      <c r="L159" s="79">
        <v>0.92967939975467695</v>
      </c>
      <c r="M159" s="80">
        <v>1</v>
      </c>
      <c r="N159" s="79">
        <v>-4.2513660972009898E-2</v>
      </c>
      <c r="O159" s="79">
        <v>1.34379316572137E-2</v>
      </c>
      <c r="P159" s="79">
        <v>1.5668169175354499E-3</v>
      </c>
      <c r="Q159" s="79">
        <v>5.1290208936174602E-3</v>
      </c>
      <c r="R159" s="80">
        <v>1</v>
      </c>
      <c r="S159" s="79">
        <v>-3.1824852480657403E-2</v>
      </c>
      <c r="T159" s="79">
        <v>1.3419365011869499E-2</v>
      </c>
      <c r="U159" s="79">
        <v>1.7749345384140299E-2</v>
      </c>
      <c r="V159" s="79">
        <v>3.9936027114315702E-2</v>
      </c>
      <c r="W159" s="79">
        <v>1</v>
      </c>
    </row>
    <row r="160" spans="1:23" x14ac:dyDescent="0.2">
      <c r="A160" s="69"/>
      <c r="B160" s="56" t="s">
        <v>120</v>
      </c>
      <c r="C160" s="78">
        <v>5543</v>
      </c>
      <c r="D160" s="79">
        <v>-5.654264E-3</v>
      </c>
      <c r="E160" s="79">
        <v>1.3765628E-2</v>
      </c>
      <c r="F160" s="79">
        <v>0.68127074399999998</v>
      </c>
      <c r="G160" s="79">
        <v>0.98545101377932998</v>
      </c>
      <c r="H160" s="80">
        <v>1</v>
      </c>
      <c r="I160" s="79">
        <v>1.21053686739664E-2</v>
      </c>
      <c r="J160" s="79">
        <v>1.36827504739198E-2</v>
      </c>
      <c r="K160" s="79">
        <v>0.37634955019177002</v>
      </c>
      <c r="L160" s="79">
        <v>0.82335395559380298</v>
      </c>
      <c r="M160" s="80">
        <v>1</v>
      </c>
      <c r="N160" s="79">
        <v>3.1265355885698801E-4</v>
      </c>
      <c r="O160" s="79">
        <v>1.3601623144534201E-2</v>
      </c>
      <c r="P160" s="79">
        <v>0.981661923082911</v>
      </c>
      <c r="Q160" s="79">
        <v>0.98476599240491203</v>
      </c>
      <c r="R160" s="80">
        <v>1</v>
      </c>
      <c r="S160" s="79">
        <v>-5.6102227290663401E-3</v>
      </c>
      <c r="T160" s="79">
        <v>1.35762626363242E-2</v>
      </c>
      <c r="U160" s="79">
        <v>0.67944925436776904</v>
      </c>
      <c r="V160" s="79">
        <v>0.74457780983825494</v>
      </c>
      <c r="W160" s="79">
        <v>1</v>
      </c>
    </row>
    <row r="161" spans="1:23" x14ac:dyDescent="0.2">
      <c r="A161" s="69"/>
      <c r="B161" s="56" t="s">
        <v>123</v>
      </c>
      <c r="C161" s="78">
        <v>5550</v>
      </c>
      <c r="D161" s="79">
        <v>2.2934090000000002E-3</v>
      </c>
      <c r="E161" s="79">
        <v>1.3698561999999999E-2</v>
      </c>
      <c r="F161" s="79">
        <v>0.86704635699999999</v>
      </c>
      <c r="G161" s="79">
        <v>0.98755445668576602</v>
      </c>
      <c r="H161" s="80">
        <v>1</v>
      </c>
      <c r="I161" s="79">
        <v>6.9107149529813398E-3</v>
      </c>
      <c r="J161" s="79">
        <v>1.3607159313436401E-2</v>
      </c>
      <c r="K161" s="79">
        <v>0.61156400473576</v>
      </c>
      <c r="L161" s="79">
        <v>0.91965825061269202</v>
      </c>
      <c r="M161" s="80">
        <v>1</v>
      </c>
      <c r="N161" s="79">
        <v>-1.1923733714103E-2</v>
      </c>
      <c r="O161" s="79">
        <v>1.35212222954547E-2</v>
      </c>
      <c r="P161" s="79">
        <v>0.37789757670113899</v>
      </c>
      <c r="Q161" s="79">
        <v>0.46199617036006302</v>
      </c>
      <c r="R161" s="80">
        <v>1</v>
      </c>
      <c r="S161" s="79">
        <v>1.67663034270754E-3</v>
      </c>
      <c r="T161" s="79">
        <v>1.35025116917742E-2</v>
      </c>
      <c r="U161" s="79">
        <v>0.90118411842969504</v>
      </c>
      <c r="V161" s="79">
        <v>0.92900296205303301</v>
      </c>
      <c r="W161" s="79">
        <v>1</v>
      </c>
    </row>
    <row r="162" spans="1:23" x14ac:dyDescent="0.2">
      <c r="A162" s="69"/>
      <c r="B162" s="56" t="s">
        <v>121</v>
      </c>
      <c r="C162" s="78">
        <v>5539</v>
      </c>
      <c r="D162" s="79">
        <v>-1.3931505E-2</v>
      </c>
      <c r="E162" s="79">
        <v>1.3710183000000001E-2</v>
      </c>
      <c r="F162" s="79">
        <v>0.30960826000000002</v>
      </c>
      <c r="G162" s="79">
        <v>0.85008618545806502</v>
      </c>
      <c r="H162" s="80">
        <v>1</v>
      </c>
      <c r="I162" s="79">
        <v>2.26240064640107E-2</v>
      </c>
      <c r="J162" s="79">
        <v>1.3633402860537699E-2</v>
      </c>
      <c r="K162" s="79">
        <v>9.7084979165434293E-2</v>
      </c>
      <c r="L162" s="79">
        <v>0.60990514139077301</v>
      </c>
      <c r="M162" s="80">
        <v>1</v>
      </c>
      <c r="N162" s="79">
        <v>-1.24014521339583E-2</v>
      </c>
      <c r="O162" s="79">
        <v>1.35536390366721E-2</v>
      </c>
      <c r="P162" s="79">
        <v>0.36023916878009399</v>
      </c>
      <c r="Q162" s="79">
        <v>0.44599366359213599</v>
      </c>
      <c r="R162" s="80">
        <v>1</v>
      </c>
      <c r="S162" s="79">
        <v>4.8721677267510996E-3</v>
      </c>
      <c r="T162" s="79">
        <v>1.35234651823696E-2</v>
      </c>
      <c r="U162" s="79">
        <v>0.718655985529982</v>
      </c>
      <c r="V162" s="79">
        <v>0.77482960546945401</v>
      </c>
      <c r="W162" s="79">
        <v>1</v>
      </c>
    </row>
    <row r="163" spans="1:23" x14ac:dyDescent="0.2">
      <c r="A163" s="69"/>
      <c r="B163" s="56" t="s">
        <v>124</v>
      </c>
      <c r="C163" s="78">
        <v>5550</v>
      </c>
      <c r="D163" s="79">
        <v>-2.1240590000000002E-3</v>
      </c>
      <c r="E163" s="79">
        <v>1.3636493E-2</v>
      </c>
      <c r="F163" s="79">
        <v>0.87622602999999999</v>
      </c>
      <c r="G163" s="79">
        <v>0.99014321644701697</v>
      </c>
      <c r="H163" s="80">
        <v>1</v>
      </c>
      <c r="I163" s="79">
        <v>8.3605741131744793E-3</v>
      </c>
      <c r="J163" s="79">
        <v>1.3549180104643699E-2</v>
      </c>
      <c r="K163" s="79">
        <v>0.53722682920729903</v>
      </c>
      <c r="L163" s="79">
        <v>0.90084380243459306</v>
      </c>
      <c r="M163" s="80">
        <v>1</v>
      </c>
      <c r="N163" s="79">
        <v>-3.1216097936870899E-2</v>
      </c>
      <c r="O163" s="79">
        <v>1.34670144057939E-2</v>
      </c>
      <c r="P163" s="79">
        <v>2.0490494861303301E-2</v>
      </c>
      <c r="Q163" s="79">
        <v>4.2282818121429602E-2</v>
      </c>
      <c r="R163" s="80">
        <v>1</v>
      </c>
      <c r="S163" s="79">
        <v>1.24037171068238E-2</v>
      </c>
      <c r="T163" s="79">
        <v>1.3449119247656099E-2</v>
      </c>
      <c r="U163" s="79">
        <v>0.35643101366538998</v>
      </c>
      <c r="V163" s="79">
        <v>0.449166788819642</v>
      </c>
      <c r="W163" s="79">
        <v>1</v>
      </c>
    </row>
    <row r="164" spans="1:23" x14ac:dyDescent="0.2">
      <c r="A164" s="69"/>
      <c r="B164" s="56" t="s">
        <v>203</v>
      </c>
      <c r="C164" s="78">
        <v>5547</v>
      </c>
      <c r="D164" s="79">
        <v>-2.8081809999999999E-3</v>
      </c>
      <c r="E164" s="79">
        <v>1.3691994000000001E-2</v>
      </c>
      <c r="F164" s="79">
        <v>0.83750456799999995</v>
      </c>
      <c r="G164" s="79">
        <v>0.98552821438803295</v>
      </c>
      <c r="H164" s="80">
        <v>1</v>
      </c>
      <c r="I164" s="79">
        <v>1.75598902082768E-2</v>
      </c>
      <c r="J164" s="79">
        <v>1.36175620637648E-2</v>
      </c>
      <c r="K164" s="79">
        <v>0.197280138340588</v>
      </c>
      <c r="L164" s="79">
        <v>0.71347894824854996</v>
      </c>
      <c r="M164" s="80">
        <v>1</v>
      </c>
      <c r="N164" s="79">
        <v>-1.9866036700820201E-2</v>
      </c>
      <c r="O164" s="79">
        <v>1.35370037564313E-2</v>
      </c>
      <c r="P164" s="79">
        <v>0.14229028065812199</v>
      </c>
      <c r="Q164" s="79">
        <v>0.209473742639393</v>
      </c>
      <c r="R164" s="80">
        <v>1</v>
      </c>
      <c r="S164" s="79">
        <v>-4.8455682320853004E-3</v>
      </c>
      <c r="T164" s="79">
        <v>1.35056003853302E-2</v>
      </c>
      <c r="U164" s="79">
        <v>0.71977240316424596</v>
      </c>
      <c r="V164" s="79">
        <v>0.775374515802571</v>
      </c>
      <c r="W164" s="79">
        <v>1</v>
      </c>
    </row>
    <row r="165" spans="1:23" x14ac:dyDescent="0.2">
      <c r="A165" s="69"/>
      <c r="B165" s="56" t="s">
        <v>190</v>
      </c>
      <c r="C165" s="78">
        <v>5550</v>
      </c>
      <c r="D165" s="79">
        <v>1.6232694999999998E-2</v>
      </c>
      <c r="E165" s="79">
        <v>1.3536065999999999E-2</v>
      </c>
      <c r="F165" s="79">
        <v>0.23049725800000001</v>
      </c>
      <c r="G165" s="79">
        <v>0.75581659018604697</v>
      </c>
      <c r="H165" s="80">
        <v>1</v>
      </c>
      <c r="I165" s="79">
        <v>9.1662156621953907E-3</v>
      </c>
      <c r="J165" s="79">
        <v>1.3458968284181199E-2</v>
      </c>
      <c r="K165" s="79">
        <v>0.49587095671665898</v>
      </c>
      <c r="L165" s="79">
        <v>0.88650784260657001</v>
      </c>
      <c r="M165" s="80">
        <v>1</v>
      </c>
      <c r="N165" s="79">
        <v>-3.8870919422299401E-2</v>
      </c>
      <c r="O165" s="79">
        <v>1.33715908561183E-2</v>
      </c>
      <c r="P165" s="79">
        <v>3.6647973654889E-3</v>
      </c>
      <c r="Q165" s="79">
        <v>1.04040891651128E-2</v>
      </c>
      <c r="R165" s="80">
        <v>1</v>
      </c>
      <c r="S165" s="79">
        <v>-6.3173599340703799E-3</v>
      </c>
      <c r="T165" s="79">
        <v>1.3352445340403699E-2</v>
      </c>
      <c r="U165" s="79">
        <v>0.636144530147983</v>
      </c>
      <c r="V165" s="79">
        <v>0.70258260118171501</v>
      </c>
      <c r="W165" s="79">
        <v>1</v>
      </c>
    </row>
    <row r="166" spans="1:23" x14ac:dyDescent="0.2">
      <c r="A166" s="69"/>
      <c r="B166" s="56" t="s">
        <v>149</v>
      </c>
      <c r="C166" s="78">
        <v>5296</v>
      </c>
      <c r="D166" s="79">
        <v>7.1699190000000003E-3</v>
      </c>
      <c r="E166" s="79">
        <v>7.8717830000000003E-3</v>
      </c>
      <c r="F166" s="79">
        <v>0.36252164399999998</v>
      </c>
      <c r="G166" s="79">
        <v>0.880152082540541</v>
      </c>
      <c r="H166" s="80">
        <v>1</v>
      </c>
      <c r="I166" s="79">
        <v>-1.17856925889544E-3</v>
      </c>
      <c r="J166" s="79">
        <v>8.0733735516942597E-3</v>
      </c>
      <c r="K166" s="79">
        <v>0.88395324151476296</v>
      </c>
      <c r="L166" s="79">
        <v>0.97573578102632397</v>
      </c>
      <c r="M166" s="80">
        <v>1</v>
      </c>
      <c r="N166" s="79">
        <v>1.06115558013454E-2</v>
      </c>
      <c r="O166" s="79">
        <v>7.8398217911484908E-3</v>
      </c>
      <c r="P166" s="79">
        <v>0.17607425231263399</v>
      </c>
      <c r="Q166" s="79">
        <v>0.249930901772631</v>
      </c>
      <c r="R166" s="80">
        <v>1</v>
      </c>
      <c r="S166" s="79">
        <v>1.2069828189261099E-2</v>
      </c>
      <c r="T166" s="79">
        <v>7.8540772442383198E-3</v>
      </c>
      <c r="U166" s="79">
        <v>0.124549839756701</v>
      </c>
      <c r="V166" s="79">
        <v>0.194408052461567</v>
      </c>
      <c r="W166" s="79">
        <v>1</v>
      </c>
    </row>
    <row r="167" spans="1:23" x14ac:dyDescent="0.2">
      <c r="A167" s="69"/>
      <c r="B167" s="56" t="s">
        <v>146</v>
      </c>
      <c r="C167" s="78">
        <v>5296</v>
      </c>
      <c r="D167" s="79">
        <v>-1.0635293000000001E-2</v>
      </c>
      <c r="E167" s="79">
        <v>1.2086578000000001E-2</v>
      </c>
      <c r="F167" s="79">
        <v>0.37894665199999999</v>
      </c>
      <c r="G167" s="79">
        <v>0.880152082540541</v>
      </c>
      <c r="H167" s="80">
        <v>1</v>
      </c>
      <c r="I167" s="79">
        <v>-1.36545881986045E-2</v>
      </c>
      <c r="J167" s="79">
        <v>1.21275602168253E-2</v>
      </c>
      <c r="K167" s="79">
        <v>0.26025993945416698</v>
      </c>
      <c r="L167" s="79">
        <v>0.75316534960692805</v>
      </c>
      <c r="M167" s="80">
        <v>1</v>
      </c>
      <c r="N167" s="79">
        <v>2.22190113761946E-2</v>
      </c>
      <c r="O167" s="79">
        <v>1.19381238921091E-2</v>
      </c>
      <c r="P167" s="79">
        <v>6.2783194805642206E-2</v>
      </c>
      <c r="Q167" s="79">
        <v>0.10694211303135601</v>
      </c>
      <c r="R167" s="80">
        <v>1</v>
      </c>
      <c r="S167" s="79">
        <v>8.1041556443405393E-3</v>
      </c>
      <c r="T167" s="79">
        <v>1.1943242292807099E-2</v>
      </c>
      <c r="U167" s="79">
        <v>0.49745389354349601</v>
      </c>
      <c r="V167" s="79">
        <v>0.58288918827949798</v>
      </c>
      <c r="W167" s="79">
        <v>1</v>
      </c>
    </row>
    <row r="168" spans="1:23" x14ac:dyDescent="0.2">
      <c r="A168" s="69"/>
      <c r="B168" s="56" t="s">
        <v>138</v>
      </c>
      <c r="C168" s="78">
        <v>5296</v>
      </c>
      <c r="D168" s="79">
        <v>1.081837E-3</v>
      </c>
      <c r="E168" s="79">
        <v>8.7611430000000007E-3</v>
      </c>
      <c r="F168" s="79">
        <v>0.90173965</v>
      </c>
      <c r="G168" s="79">
        <v>0.991673151733656</v>
      </c>
      <c r="H168" s="80">
        <v>1</v>
      </c>
      <c r="I168" s="79">
        <v>1.23162397660707E-2</v>
      </c>
      <c r="J168" s="79">
        <v>8.9480019965634695E-3</v>
      </c>
      <c r="K168" s="79">
        <v>0.16884951140818799</v>
      </c>
      <c r="L168" s="79">
        <v>0.69119364508706604</v>
      </c>
      <c r="M168" s="80">
        <v>1</v>
      </c>
      <c r="N168" s="79">
        <v>-1.0420227929362201E-2</v>
      </c>
      <c r="O168" s="79">
        <v>8.7097510993559193E-3</v>
      </c>
      <c r="P168" s="79">
        <v>0.231699047722986</v>
      </c>
      <c r="Q168" s="79">
        <v>0.31015410502159202</v>
      </c>
      <c r="R168" s="80">
        <v>1</v>
      </c>
      <c r="S168" s="79">
        <v>-1.7573546050955301E-2</v>
      </c>
      <c r="T168" s="79">
        <v>8.7300419113396002E-3</v>
      </c>
      <c r="U168" s="79">
        <v>4.4257821716999497E-2</v>
      </c>
      <c r="V168" s="79">
        <v>8.5095720846776302E-2</v>
      </c>
      <c r="W168" s="79">
        <v>1</v>
      </c>
    </row>
    <row r="169" spans="1:23" x14ac:dyDescent="0.2">
      <c r="A169" s="69"/>
      <c r="B169" s="56" t="s">
        <v>137</v>
      </c>
      <c r="C169" s="78">
        <v>5296</v>
      </c>
      <c r="D169" s="79">
        <v>2.0185979999999999E-3</v>
      </c>
      <c r="E169" s="79">
        <v>9.0613570000000008E-3</v>
      </c>
      <c r="F169" s="79">
        <v>0.82373871600000004</v>
      </c>
      <c r="G169" s="79">
        <v>0.98545101377932998</v>
      </c>
      <c r="H169" s="80">
        <v>1</v>
      </c>
      <c r="I169" s="79">
        <v>-1.05804620926896E-2</v>
      </c>
      <c r="J169" s="79">
        <v>9.2487955004664502E-3</v>
      </c>
      <c r="K169" s="79">
        <v>0.25276692492799302</v>
      </c>
      <c r="L169" s="79">
        <v>0.75316534960692805</v>
      </c>
      <c r="M169" s="80">
        <v>1</v>
      </c>
      <c r="N169" s="79">
        <v>5.8480568259772396E-3</v>
      </c>
      <c r="O169" s="79">
        <v>9.0006903120695893E-3</v>
      </c>
      <c r="P169" s="79">
        <v>0.51594160392933497</v>
      </c>
      <c r="Q169" s="79">
        <v>0.59629316519701803</v>
      </c>
      <c r="R169" s="80">
        <v>1</v>
      </c>
      <c r="S169" s="79">
        <v>1.38501740736971E-2</v>
      </c>
      <c r="T169" s="79">
        <v>9.0218722643554908E-3</v>
      </c>
      <c r="U169" s="79">
        <v>0.124903140870052</v>
      </c>
      <c r="V169" s="79">
        <v>0.194551607499684</v>
      </c>
      <c r="W169" s="79">
        <v>1</v>
      </c>
    </row>
    <row r="170" spans="1:23" x14ac:dyDescent="0.2">
      <c r="A170" s="69"/>
      <c r="B170" s="56" t="s">
        <v>145</v>
      </c>
      <c r="C170" s="78">
        <v>5296</v>
      </c>
      <c r="D170" s="79">
        <v>-2.2543300000000001E-4</v>
      </c>
      <c r="E170" s="79">
        <v>8.2265729999999992E-3</v>
      </c>
      <c r="F170" s="79">
        <v>0.97814168999999995</v>
      </c>
      <c r="G170" s="79">
        <v>0.992299742561502</v>
      </c>
      <c r="H170" s="80">
        <v>1</v>
      </c>
      <c r="I170" s="79">
        <v>-3.0446862616170401E-3</v>
      </c>
      <c r="J170" s="79">
        <v>8.4254186638023192E-3</v>
      </c>
      <c r="K170" s="79">
        <v>0.71786832438501103</v>
      </c>
      <c r="L170" s="79">
        <v>0.94020026790226197</v>
      </c>
      <c r="M170" s="80">
        <v>1</v>
      </c>
      <c r="N170" s="79">
        <v>-2.3303370663896299E-3</v>
      </c>
      <c r="O170" s="79">
        <v>8.1760935061510401E-3</v>
      </c>
      <c r="P170" s="79">
        <v>0.77566610641632405</v>
      </c>
      <c r="Q170" s="79">
        <v>0.81822135414988795</v>
      </c>
      <c r="R170" s="80">
        <v>1</v>
      </c>
      <c r="S170" s="79">
        <v>3.6780279250226198E-4</v>
      </c>
      <c r="T170" s="79">
        <v>8.1995404362719699E-3</v>
      </c>
      <c r="U170" s="79">
        <v>0.96422709989204503</v>
      </c>
      <c r="V170" s="79">
        <v>0.97343213187192101</v>
      </c>
      <c r="W170" s="79">
        <v>1</v>
      </c>
    </row>
    <row r="171" spans="1:23" x14ac:dyDescent="0.2">
      <c r="A171" s="69"/>
      <c r="B171" s="56" t="s">
        <v>142</v>
      </c>
      <c r="C171" s="78">
        <v>5296</v>
      </c>
      <c r="D171" s="79">
        <v>1.045144E-3</v>
      </c>
      <c r="E171" s="79">
        <v>4.7116600000000003E-3</v>
      </c>
      <c r="F171" s="79">
        <v>0.82448830200000001</v>
      </c>
      <c r="G171" s="79">
        <v>0.98545101377932998</v>
      </c>
      <c r="H171" s="80">
        <v>1</v>
      </c>
      <c r="I171" s="79">
        <v>5.6488530712677197E-3</v>
      </c>
      <c r="J171" s="79">
        <v>4.8466737075425403E-3</v>
      </c>
      <c r="K171" s="79">
        <v>0.244017002096756</v>
      </c>
      <c r="L171" s="79">
        <v>0.74977621225371305</v>
      </c>
      <c r="M171" s="80">
        <v>1</v>
      </c>
      <c r="N171" s="79">
        <v>-9.4841519207785E-3</v>
      </c>
      <c r="O171" s="79">
        <v>4.7016194208080401E-3</v>
      </c>
      <c r="P171" s="79">
        <v>4.3876892850252501E-2</v>
      </c>
      <c r="Q171" s="79">
        <v>7.95821088086381E-2</v>
      </c>
      <c r="R171" s="80">
        <v>1</v>
      </c>
      <c r="S171" s="79">
        <v>-7.5959774935700896E-3</v>
      </c>
      <c r="T171" s="79">
        <v>4.7111580780384897E-3</v>
      </c>
      <c r="U171" s="79">
        <v>0.10712699375771401</v>
      </c>
      <c r="V171" s="79">
        <v>0.17295694030348499</v>
      </c>
      <c r="W171" s="79">
        <v>1</v>
      </c>
    </row>
    <row r="172" spans="1:23" x14ac:dyDescent="0.2">
      <c r="A172" s="69"/>
      <c r="B172" s="56" t="s">
        <v>141</v>
      </c>
      <c r="C172" s="78">
        <v>5296</v>
      </c>
      <c r="D172" s="79">
        <v>1.0911723999999999E-2</v>
      </c>
      <c r="E172" s="79">
        <v>7.8761040000000001E-3</v>
      </c>
      <c r="F172" s="79">
        <v>0.16611991200000001</v>
      </c>
      <c r="G172" s="79">
        <v>0.69550973380327896</v>
      </c>
      <c r="H172" s="80">
        <v>1</v>
      </c>
      <c r="I172" s="79">
        <v>-7.3471380160056101E-4</v>
      </c>
      <c r="J172" s="79">
        <v>8.0781908764919006E-3</v>
      </c>
      <c r="K172" s="79">
        <v>0.92754302479449802</v>
      </c>
      <c r="L172" s="79">
        <v>0.981200184300273</v>
      </c>
      <c r="M172" s="80">
        <v>1</v>
      </c>
      <c r="N172" s="79">
        <v>1.01731022856887E-2</v>
      </c>
      <c r="O172" s="79">
        <v>7.8491018248236302E-3</v>
      </c>
      <c r="P172" s="79">
        <v>0.19513354952060599</v>
      </c>
      <c r="Q172" s="79">
        <v>0.26974343610201401</v>
      </c>
      <c r="R172" s="80">
        <v>1</v>
      </c>
      <c r="S172" s="79">
        <v>1.2064943275938701E-2</v>
      </c>
      <c r="T172" s="79">
        <v>7.8592501067053702E-3</v>
      </c>
      <c r="U172" s="79">
        <v>0.124948431924541</v>
      </c>
      <c r="V172" s="79">
        <v>0.194551607499684</v>
      </c>
      <c r="W172" s="79">
        <v>1</v>
      </c>
    </row>
    <row r="173" spans="1:23" x14ac:dyDescent="0.2">
      <c r="A173" s="69"/>
      <c r="B173" s="56" t="s">
        <v>140</v>
      </c>
      <c r="C173" s="78">
        <v>5296</v>
      </c>
      <c r="D173" s="79">
        <v>3.9960949999999999E-3</v>
      </c>
      <c r="E173" s="79">
        <v>8.1331029999999992E-3</v>
      </c>
      <c r="F173" s="79">
        <v>0.62324521300000002</v>
      </c>
      <c r="G173" s="79">
        <v>0.97058889595588205</v>
      </c>
      <c r="H173" s="80">
        <v>1</v>
      </c>
      <c r="I173" s="79">
        <v>1.1915491900733001E-2</v>
      </c>
      <c r="J173" s="79">
        <v>8.2987246030421305E-3</v>
      </c>
      <c r="K173" s="79">
        <v>0.15120864823795699</v>
      </c>
      <c r="L173" s="79">
        <v>0.66470888806839401</v>
      </c>
      <c r="M173" s="80">
        <v>1</v>
      </c>
      <c r="N173" s="79">
        <v>-2.33360879181603E-2</v>
      </c>
      <c r="O173" s="79">
        <v>8.0928198840082392E-3</v>
      </c>
      <c r="P173" s="79">
        <v>3.9759058751598596E-3</v>
      </c>
      <c r="Q173" s="79">
        <v>1.10888451770942E-2</v>
      </c>
      <c r="R173" s="80">
        <v>1</v>
      </c>
      <c r="S173" s="79">
        <v>-2.2343199785494702E-2</v>
      </c>
      <c r="T173" s="79">
        <v>8.0999050671949693E-3</v>
      </c>
      <c r="U173" s="79">
        <v>5.8620640266084803E-3</v>
      </c>
      <c r="V173" s="79">
        <v>1.7550840441179799E-2</v>
      </c>
      <c r="W173" s="79">
        <v>1</v>
      </c>
    </row>
    <row r="174" spans="1:23" x14ac:dyDescent="0.2">
      <c r="A174" s="69"/>
      <c r="B174" s="56" t="s">
        <v>144</v>
      </c>
      <c r="C174" s="78">
        <v>5296</v>
      </c>
      <c r="D174" s="79">
        <v>-4.9780980000000002E-3</v>
      </c>
      <c r="E174" s="79">
        <v>5.907944E-3</v>
      </c>
      <c r="F174" s="79">
        <v>0.39957718800000003</v>
      </c>
      <c r="G174" s="79">
        <v>0.88261195738869902</v>
      </c>
      <c r="H174" s="80">
        <v>1</v>
      </c>
      <c r="I174" s="79">
        <v>6.7614933370881104E-3</v>
      </c>
      <c r="J174" s="79">
        <v>6.0585579565375003E-3</v>
      </c>
      <c r="K174" s="79">
        <v>0.26457716034672402</v>
      </c>
      <c r="L174" s="79">
        <v>0.75619012720719103</v>
      </c>
      <c r="M174" s="80">
        <v>1</v>
      </c>
      <c r="N174" s="79">
        <v>-1.18209339469678E-2</v>
      </c>
      <c r="O174" s="79">
        <v>5.8910103084823303E-3</v>
      </c>
      <c r="P174" s="79">
        <v>4.4964116437408802E-2</v>
      </c>
      <c r="Q174" s="79">
        <v>8.0935409587335805E-2</v>
      </c>
      <c r="R174" s="80">
        <v>1</v>
      </c>
      <c r="S174" s="79">
        <v>-1.4857772726996E-2</v>
      </c>
      <c r="T174" s="79">
        <v>5.9004974798262701E-3</v>
      </c>
      <c r="U174" s="79">
        <v>1.189892771724E-2</v>
      </c>
      <c r="V174" s="79">
        <v>2.94341896163305E-2</v>
      </c>
      <c r="W174" s="79">
        <v>1</v>
      </c>
    </row>
    <row r="175" spans="1:23" x14ac:dyDescent="0.2">
      <c r="A175" s="69"/>
      <c r="B175" s="56" t="s">
        <v>151</v>
      </c>
      <c r="C175" s="78">
        <v>5296</v>
      </c>
      <c r="D175" s="79">
        <v>6.485907E-3</v>
      </c>
      <c r="E175" s="79">
        <v>5.876193E-3</v>
      </c>
      <c r="F175" s="79">
        <v>0.26993518700000002</v>
      </c>
      <c r="G175" s="79">
        <v>0.82078783688755996</v>
      </c>
      <c r="H175" s="80">
        <v>1</v>
      </c>
      <c r="I175" s="79">
        <v>7.7616735312064202E-3</v>
      </c>
      <c r="J175" s="79">
        <v>6.06785714030554E-3</v>
      </c>
      <c r="K175" s="79">
        <v>0.20110280109815601</v>
      </c>
      <c r="L175" s="79">
        <v>0.72004265416220203</v>
      </c>
      <c r="M175" s="80">
        <v>1</v>
      </c>
      <c r="N175" s="79">
        <v>-1.91871743936593E-3</v>
      </c>
      <c r="O175" s="79">
        <v>5.8553872804421201E-3</v>
      </c>
      <c r="P175" s="79">
        <v>0.74321118938347197</v>
      </c>
      <c r="Q175" s="79">
        <v>0.79455349564248201</v>
      </c>
      <c r="R175" s="80">
        <v>1</v>
      </c>
      <c r="S175" s="79">
        <v>7.3146305980822902E-3</v>
      </c>
      <c r="T175" s="79">
        <v>5.8775341276398E-3</v>
      </c>
      <c r="U175" s="79">
        <v>0.213569956845759</v>
      </c>
      <c r="V175" s="79">
        <v>0.29848047933619798</v>
      </c>
      <c r="W175" s="79">
        <v>1</v>
      </c>
    </row>
    <row r="176" spans="1:23" x14ac:dyDescent="0.2">
      <c r="A176" s="69"/>
      <c r="B176" s="56" t="s">
        <v>153</v>
      </c>
      <c r="C176" s="78">
        <v>5296</v>
      </c>
      <c r="D176" s="79">
        <v>7.4369739999999998E-3</v>
      </c>
      <c r="E176" s="79">
        <v>5.9485190000000002E-3</v>
      </c>
      <c r="F176" s="79">
        <v>0.21147934600000001</v>
      </c>
      <c r="G176" s="79">
        <v>0.74224234113157905</v>
      </c>
      <c r="H176" s="80">
        <v>1</v>
      </c>
      <c r="I176" s="79">
        <v>3.0066146329873001E-3</v>
      </c>
      <c r="J176" s="79">
        <v>6.1476496513592199E-3</v>
      </c>
      <c r="K176" s="79">
        <v>0.62488664687499695</v>
      </c>
      <c r="L176" s="79">
        <v>0.91965825061269202</v>
      </c>
      <c r="M176" s="80">
        <v>1</v>
      </c>
      <c r="N176" s="79">
        <v>-1.23636956865602E-2</v>
      </c>
      <c r="O176" s="79">
        <v>5.9149333104586404E-3</v>
      </c>
      <c r="P176" s="79">
        <v>3.6817244822438797E-2</v>
      </c>
      <c r="Q176" s="79">
        <v>6.8505987800109705E-2</v>
      </c>
      <c r="R176" s="80">
        <v>1</v>
      </c>
      <c r="S176" s="79">
        <v>-2.5063217234727402E-3</v>
      </c>
      <c r="T176" s="79">
        <v>5.9573448014330699E-3</v>
      </c>
      <c r="U176" s="79">
        <v>0.67404529150896098</v>
      </c>
      <c r="V176" s="79">
        <v>0.73993380183812396</v>
      </c>
      <c r="W176" s="79">
        <v>1</v>
      </c>
    </row>
    <row r="177" spans="1:23" x14ac:dyDescent="0.2">
      <c r="A177" s="69"/>
      <c r="B177" s="56" t="s">
        <v>152</v>
      </c>
      <c r="C177" s="78">
        <v>5296</v>
      </c>
      <c r="D177" s="79">
        <v>4.3104149999999997E-3</v>
      </c>
      <c r="E177" s="79">
        <v>6.4645880000000003E-3</v>
      </c>
      <c r="F177" s="79">
        <v>0.50504545099999998</v>
      </c>
      <c r="G177" s="79">
        <v>0.92884339055395704</v>
      </c>
      <c r="H177" s="80">
        <v>1</v>
      </c>
      <c r="I177" s="79">
        <v>2.1724618358014598E-3</v>
      </c>
      <c r="J177" s="79">
        <v>6.6664682823487304E-3</v>
      </c>
      <c r="K177" s="79">
        <v>0.744570745227356</v>
      </c>
      <c r="L177" s="79">
        <v>0.95175527893917999</v>
      </c>
      <c r="M177" s="80">
        <v>1</v>
      </c>
      <c r="N177" s="79">
        <v>1.26012692928269E-2</v>
      </c>
      <c r="O177" s="79">
        <v>6.4382595451864099E-3</v>
      </c>
      <c r="P177" s="79">
        <v>5.0546710049028103E-2</v>
      </c>
      <c r="Q177" s="79">
        <v>8.9461332011459796E-2</v>
      </c>
      <c r="R177" s="80">
        <v>1</v>
      </c>
      <c r="S177" s="79">
        <v>-1.1082883952027501E-3</v>
      </c>
      <c r="T177" s="79">
        <v>6.4649857580899098E-3</v>
      </c>
      <c r="U177" s="79">
        <v>0.86391462532365704</v>
      </c>
      <c r="V177" s="79">
        <v>0.89494502819242505</v>
      </c>
      <c r="W177" s="79">
        <v>1</v>
      </c>
    </row>
    <row r="178" spans="1:23" x14ac:dyDescent="0.2">
      <c r="A178" s="69"/>
      <c r="B178" s="56" t="s">
        <v>155</v>
      </c>
      <c r="C178" s="78">
        <v>5296</v>
      </c>
      <c r="D178" s="79">
        <v>1.7614E-3</v>
      </c>
      <c r="E178" s="79">
        <v>5.23238E-3</v>
      </c>
      <c r="F178" s="79">
        <v>0.73645024999999997</v>
      </c>
      <c r="G178" s="79">
        <v>0.98545101377932998</v>
      </c>
      <c r="H178" s="80">
        <v>1</v>
      </c>
      <c r="I178" s="79">
        <v>-2.5290505713974499E-3</v>
      </c>
      <c r="J178" s="79">
        <v>5.3934400691902501E-3</v>
      </c>
      <c r="K178" s="79">
        <v>0.63921259245260997</v>
      </c>
      <c r="L178" s="79">
        <v>0.91965825061269202</v>
      </c>
      <c r="M178" s="80">
        <v>1</v>
      </c>
      <c r="N178" s="79">
        <v>1.7338071820067601E-2</v>
      </c>
      <c r="O178" s="79">
        <v>5.2309153971204303E-3</v>
      </c>
      <c r="P178" s="79">
        <v>9.4460179255206E-4</v>
      </c>
      <c r="Q178" s="79">
        <v>3.3957497868231301E-3</v>
      </c>
      <c r="R178" s="80">
        <v>1</v>
      </c>
      <c r="S178" s="79">
        <v>1.16865702619643E-2</v>
      </c>
      <c r="T178" s="79">
        <v>5.2414580915716401E-3</v>
      </c>
      <c r="U178" s="79">
        <v>2.5949527573086901E-2</v>
      </c>
      <c r="V178" s="79">
        <v>5.3719331957989003E-2</v>
      </c>
      <c r="W178" s="79">
        <v>1</v>
      </c>
    </row>
    <row r="179" spans="1:23" x14ac:dyDescent="0.2">
      <c r="A179" s="69"/>
      <c r="B179" s="56" t="s">
        <v>148</v>
      </c>
      <c r="C179" s="78">
        <v>5296</v>
      </c>
      <c r="D179" s="79">
        <v>6.5481890000000003E-3</v>
      </c>
      <c r="E179" s="79">
        <v>6.5338499999999999E-3</v>
      </c>
      <c r="F179" s="79">
        <v>0.31644515499999998</v>
      </c>
      <c r="G179" s="79">
        <v>0.85138679101263204</v>
      </c>
      <c r="H179" s="80">
        <v>1</v>
      </c>
      <c r="I179" s="79">
        <v>-2.7963345144135501E-3</v>
      </c>
      <c r="J179" s="79">
        <v>6.7329405476831703E-3</v>
      </c>
      <c r="K179" s="79">
        <v>0.67797565528992998</v>
      </c>
      <c r="L179" s="79">
        <v>0.93057850825384603</v>
      </c>
      <c r="M179" s="80">
        <v>1</v>
      </c>
      <c r="N179" s="79">
        <v>4.7834085450812504E-3</v>
      </c>
      <c r="O179" s="79">
        <v>6.5185885145801897E-3</v>
      </c>
      <c r="P179" s="79">
        <v>0.46320159235596098</v>
      </c>
      <c r="Q179" s="79">
        <v>0.54527163330214701</v>
      </c>
      <c r="R179" s="80">
        <v>1</v>
      </c>
      <c r="S179" s="79">
        <v>3.74946547764977E-3</v>
      </c>
      <c r="T179" s="79">
        <v>6.5373859474381702E-3</v>
      </c>
      <c r="U179" s="79">
        <v>0.56637984157339205</v>
      </c>
      <c r="V179" s="79">
        <v>0.64402869082135705</v>
      </c>
      <c r="W179" s="79">
        <v>1</v>
      </c>
    </row>
    <row r="180" spans="1:23" x14ac:dyDescent="0.2">
      <c r="A180" s="69"/>
      <c r="B180" s="56" t="s">
        <v>143</v>
      </c>
      <c r="C180" s="78">
        <v>5296</v>
      </c>
      <c r="D180" s="79">
        <v>-9.5011950000000005E-3</v>
      </c>
      <c r="E180" s="79">
        <v>6.9695570000000004E-3</v>
      </c>
      <c r="F180" s="79">
        <v>0.173001551</v>
      </c>
      <c r="G180" s="79">
        <v>0.70136321922857203</v>
      </c>
      <c r="H180" s="80">
        <v>1</v>
      </c>
      <c r="I180" s="79">
        <v>2.2349355760198498E-3</v>
      </c>
      <c r="J180" s="79">
        <v>7.1511748477932104E-3</v>
      </c>
      <c r="K180" s="79">
        <v>0.754679143965583</v>
      </c>
      <c r="L180" s="79">
        <v>0.95292321760430299</v>
      </c>
      <c r="M180" s="80">
        <v>1</v>
      </c>
      <c r="N180" s="79">
        <v>-1.12261694204087E-2</v>
      </c>
      <c r="O180" s="79">
        <v>6.9410627123311901E-3</v>
      </c>
      <c r="P180" s="79">
        <v>0.105997929241523</v>
      </c>
      <c r="Q180" s="79">
        <v>0.165450642321639</v>
      </c>
      <c r="R180" s="80">
        <v>1</v>
      </c>
      <c r="S180" s="79">
        <v>-1.16231014764151E-2</v>
      </c>
      <c r="T180" s="79">
        <v>6.9607487793655297E-3</v>
      </c>
      <c r="U180" s="79">
        <v>9.5151364536175495E-2</v>
      </c>
      <c r="V180" s="79">
        <v>0.15722276249532099</v>
      </c>
      <c r="W180" s="79">
        <v>1</v>
      </c>
    </row>
    <row r="181" spans="1:23" x14ac:dyDescent="0.2">
      <c r="A181" s="69"/>
      <c r="B181" s="56" t="s">
        <v>150</v>
      </c>
      <c r="C181" s="78">
        <v>5296</v>
      </c>
      <c r="D181" s="79">
        <v>-6.1906490000000003E-3</v>
      </c>
      <c r="E181" s="79">
        <v>6.7786360000000002E-3</v>
      </c>
      <c r="F181" s="79">
        <v>0.36128200799999999</v>
      </c>
      <c r="G181" s="79">
        <v>0.880152082540541</v>
      </c>
      <c r="H181" s="80">
        <v>1</v>
      </c>
      <c r="I181" s="79">
        <v>-5.1670885428787804E-3</v>
      </c>
      <c r="J181" s="79">
        <v>6.9826784665483702E-3</v>
      </c>
      <c r="K181" s="79">
        <v>0.459440932585711</v>
      </c>
      <c r="L181" s="79">
        <v>0.87326336285163797</v>
      </c>
      <c r="M181" s="80">
        <v>1</v>
      </c>
      <c r="N181" s="79">
        <v>2.0964342284524799E-3</v>
      </c>
      <c r="O181" s="79">
        <v>6.7585982425131504E-3</v>
      </c>
      <c r="P181" s="79">
        <v>0.756469378828727</v>
      </c>
      <c r="Q181" s="79">
        <v>0.80398629960942603</v>
      </c>
      <c r="R181" s="80">
        <v>1</v>
      </c>
      <c r="S181" s="79">
        <v>3.3795479160584099E-6</v>
      </c>
      <c r="T181" s="79">
        <v>6.7790321535341402E-3</v>
      </c>
      <c r="U181" s="79">
        <v>0.99960230886674795</v>
      </c>
      <c r="V181" s="79">
        <v>0.99960230886674795</v>
      </c>
      <c r="W181" s="79">
        <v>1</v>
      </c>
    </row>
    <row r="182" spans="1:23" x14ac:dyDescent="0.2">
      <c r="A182" s="69"/>
      <c r="B182" s="56" t="s">
        <v>147</v>
      </c>
      <c r="C182" s="78">
        <v>5296</v>
      </c>
      <c r="D182" s="79">
        <v>-5.6317290000000002E-3</v>
      </c>
      <c r="E182" s="79">
        <v>7.7222970000000004E-3</v>
      </c>
      <c r="F182" s="79">
        <v>0.46593860599999998</v>
      </c>
      <c r="G182" s="79">
        <v>0.91708779931578899</v>
      </c>
      <c r="H182" s="80">
        <v>1</v>
      </c>
      <c r="I182" s="79">
        <v>-7.6384117026707899E-3</v>
      </c>
      <c r="J182" s="79">
        <v>7.9114078755732498E-3</v>
      </c>
      <c r="K182" s="79">
        <v>0.33443891788046898</v>
      </c>
      <c r="L182" s="79">
        <v>0.79366538468944703</v>
      </c>
      <c r="M182" s="80">
        <v>1</v>
      </c>
      <c r="N182" s="79">
        <v>1.37074437258247E-2</v>
      </c>
      <c r="O182" s="79">
        <v>7.6900805032539604E-3</v>
      </c>
      <c r="P182" s="79">
        <v>7.4861593818403196E-2</v>
      </c>
      <c r="Q182" s="79">
        <v>0.123536232191877</v>
      </c>
      <c r="R182" s="80">
        <v>1</v>
      </c>
      <c r="S182" s="79">
        <v>1.3473160371271199E-2</v>
      </c>
      <c r="T182" s="79">
        <v>7.7054957412202897E-3</v>
      </c>
      <c r="U182" s="79">
        <v>8.0566653553422796E-2</v>
      </c>
      <c r="V182" s="79">
        <v>0.13704970959690799</v>
      </c>
      <c r="W182" s="79">
        <v>1</v>
      </c>
    </row>
    <row r="183" spans="1:23" x14ac:dyDescent="0.2">
      <c r="A183" s="69"/>
      <c r="B183" s="56" t="s">
        <v>139</v>
      </c>
      <c r="C183" s="78">
        <v>5296</v>
      </c>
      <c r="D183" s="79">
        <v>-6.8407600000000004E-4</v>
      </c>
      <c r="E183" s="79">
        <v>6.8861679999999998E-3</v>
      </c>
      <c r="F183" s="79">
        <v>0.92088291099999997</v>
      </c>
      <c r="G183" s="79">
        <v>0.991673151733656</v>
      </c>
      <c r="H183" s="80">
        <v>1</v>
      </c>
      <c r="I183" s="79">
        <v>1.2878416316785501E-2</v>
      </c>
      <c r="J183" s="79">
        <v>7.08238781028191E-3</v>
      </c>
      <c r="K183" s="79">
        <v>6.9223630893124097E-2</v>
      </c>
      <c r="L183" s="79">
        <v>0.57459637698370203</v>
      </c>
      <c r="M183" s="80">
        <v>1</v>
      </c>
      <c r="N183" s="79">
        <v>-2.1029797769424102E-3</v>
      </c>
      <c r="O183" s="79">
        <v>6.8543564663761198E-3</v>
      </c>
      <c r="P183" s="79">
        <v>0.75903603252021201</v>
      </c>
      <c r="Q183" s="79">
        <v>0.80558187281103599</v>
      </c>
      <c r="R183" s="80">
        <v>1</v>
      </c>
      <c r="S183" s="79">
        <v>-1.1469026347577601E-2</v>
      </c>
      <c r="T183" s="79">
        <v>6.8827945153215903E-3</v>
      </c>
      <c r="U183" s="79">
        <v>9.5879176444597897E-2</v>
      </c>
      <c r="V183" s="79">
        <v>0.15801386351713601</v>
      </c>
      <c r="W183" s="79">
        <v>1</v>
      </c>
    </row>
    <row r="184" spans="1:23" x14ac:dyDescent="0.2">
      <c r="A184" s="69"/>
      <c r="B184" s="56" t="s">
        <v>154</v>
      </c>
      <c r="C184" s="78">
        <v>5296</v>
      </c>
      <c r="D184" s="79">
        <v>9.3917100000000004E-4</v>
      </c>
      <c r="E184" s="79">
        <v>6.1783330000000003E-3</v>
      </c>
      <c r="F184" s="79">
        <v>0.87920069999999995</v>
      </c>
      <c r="G184" s="79">
        <v>0.99085762726465298</v>
      </c>
      <c r="H184" s="80">
        <v>1</v>
      </c>
      <c r="I184" s="79">
        <v>-1.0055365198323601E-2</v>
      </c>
      <c r="J184" s="79">
        <v>6.3469015955390003E-3</v>
      </c>
      <c r="K184" s="79">
        <v>0.11334208902769299</v>
      </c>
      <c r="L184" s="79">
        <v>0.62424045135977002</v>
      </c>
      <c r="M184" s="80">
        <v>1</v>
      </c>
      <c r="N184" s="81">
        <v>2.70963654958477E-2</v>
      </c>
      <c r="O184" s="81">
        <v>6.1465266536816898E-3</v>
      </c>
      <c r="P184" s="81">
        <v>1.11980670246281E-5</v>
      </c>
      <c r="Q184" s="81">
        <v>9.4735647028353699E-5</v>
      </c>
      <c r="R184" s="82">
        <v>1.42103470542531E-2</v>
      </c>
      <c r="S184" s="79">
        <v>1.03295966298166E-2</v>
      </c>
      <c r="T184" s="79">
        <v>6.1729460972883704E-3</v>
      </c>
      <c r="U184" s="79">
        <v>9.4474334269322599E-2</v>
      </c>
      <c r="V184" s="79">
        <v>0.15651165820857799</v>
      </c>
      <c r="W184" s="79">
        <v>1</v>
      </c>
    </row>
    <row r="185" spans="1:23" x14ac:dyDescent="0.2">
      <c r="A185" s="69"/>
      <c r="B185" s="56" t="s">
        <v>127</v>
      </c>
      <c r="C185" s="78">
        <v>5296</v>
      </c>
      <c r="D185" s="79">
        <v>-5.6268020000000002E-3</v>
      </c>
      <c r="E185" s="79">
        <v>3.554485E-3</v>
      </c>
      <c r="F185" s="79">
        <v>0.11376507499999999</v>
      </c>
      <c r="G185" s="79">
        <v>0.63598185099118898</v>
      </c>
      <c r="H185" s="80">
        <v>1</v>
      </c>
      <c r="I185" s="79">
        <v>1.1457019994388299E-3</v>
      </c>
      <c r="J185" s="79">
        <v>3.7017826998116199E-3</v>
      </c>
      <c r="K185" s="79">
        <v>0.75701078228816798</v>
      </c>
      <c r="L185" s="79">
        <v>0.95389133514851498</v>
      </c>
      <c r="M185" s="80">
        <v>1</v>
      </c>
      <c r="N185" s="79">
        <v>2.1035194599694101E-3</v>
      </c>
      <c r="O185" s="79">
        <v>3.5675010754645398E-3</v>
      </c>
      <c r="P185" s="79">
        <v>0.55557993198011701</v>
      </c>
      <c r="Q185" s="79">
        <v>0.634020623815439</v>
      </c>
      <c r="R185" s="80">
        <v>1</v>
      </c>
      <c r="S185" s="79">
        <v>-1.00617082377814E-4</v>
      </c>
      <c r="T185" s="79">
        <v>3.5773650541999998E-3</v>
      </c>
      <c r="U185" s="79">
        <v>0.97756772394336</v>
      </c>
      <c r="V185" s="79">
        <v>0.98221175113548997</v>
      </c>
      <c r="W185" s="79">
        <v>1</v>
      </c>
    </row>
    <row r="186" spans="1:23" x14ac:dyDescent="0.2">
      <c r="A186" s="69"/>
      <c r="B186" s="56" t="s">
        <v>135</v>
      </c>
      <c r="C186" s="78">
        <v>5296</v>
      </c>
      <c r="D186" s="79">
        <v>-1.66806E-4</v>
      </c>
      <c r="E186" s="79">
        <v>1.6935279999999999E-3</v>
      </c>
      <c r="F186" s="79">
        <v>0.92155725099999997</v>
      </c>
      <c r="G186" s="79">
        <v>0.991673151733656</v>
      </c>
      <c r="H186" s="80">
        <v>1</v>
      </c>
      <c r="I186" s="79">
        <v>1.7297318641953999E-3</v>
      </c>
      <c r="J186" s="79">
        <v>1.7526495726035601E-3</v>
      </c>
      <c r="K186" s="79">
        <v>0.32390271721639802</v>
      </c>
      <c r="L186" s="79">
        <v>0.79366538468944703</v>
      </c>
      <c r="M186" s="80">
        <v>1</v>
      </c>
      <c r="N186" s="79">
        <v>-6.2603110708636602E-4</v>
      </c>
      <c r="O186" s="79">
        <v>1.6900535374189799E-3</v>
      </c>
      <c r="P186" s="79">
        <v>0.71114290512134304</v>
      </c>
      <c r="Q186" s="79">
        <v>0.76542862306953696</v>
      </c>
      <c r="R186" s="80">
        <v>1</v>
      </c>
      <c r="S186" s="79">
        <v>1.3863611423928E-3</v>
      </c>
      <c r="T186" s="79">
        <v>1.6962329217183401E-3</v>
      </c>
      <c r="U186" s="79">
        <v>0.413930821561587</v>
      </c>
      <c r="V186" s="79">
        <v>0.50318787270026399</v>
      </c>
      <c r="W186" s="79">
        <v>1</v>
      </c>
    </row>
    <row r="187" spans="1:23" x14ac:dyDescent="0.2">
      <c r="A187" s="69"/>
      <c r="B187" s="56" t="s">
        <v>133</v>
      </c>
      <c r="C187" s="78">
        <v>5296</v>
      </c>
      <c r="D187" s="79">
        <v>-2.90981E-4</v>
      </c>
      <c r="E187" s="79">
        <v>1.4549400000000001E-3</v>
      </c>
      <c r="F187" s="79">
        <v>0.84152400199999999</v>
      </c>
      <c r="G187" s="79">
        <v>0.98552821438803295</v>
      </c>
      <c r="H187" s="80">
        <v>1</v>
      </c>
      <c r="I187" s="79">
        <v>1.2305985577154501E-3</v>
      </c>
      <c r="J187" s="79">
        <v>1.5062627596511701E-3</v>
      </c>
      <c r="K187" s="79">
        <v>0.41411877527324797</v>
      </c>
      <c r="L187" s="79">
        <v>0.84624271468881096</v>
      </c>
      <c r="M187" s="80">
        <v>1</v>
      </c>
      <c r="N187" s="79">
        <v>-1.3203869488780399E-3</v>
      </c>
      <c r="O187" s="79">
        <v>1.45157789901967E-3</v>
      </c>
      <c r="P187" s="79">
        <v>0.363230702103505</v>
      </c>
      <c r="Q187" s="79">
        <v>0.44882157835379499</v>
      </c>
      <c r="R187" s="80">
        <v>1</v>
      </c>
      <c r="S187" s="79">
        <v>1.0754813894377701E-3</v>
      </c>
      <c r="T187" s="79">
        <v>1.45761186345908E-3</v>
      </c>
      <c r="U187" s="79">
        <v>0.46077802787882</v>
      </c>
      <c r="V187" s="79">
        <v>0.54801060672748103</v>
      </c>
      <c r="W187" s="79">
        <v>1</v>
      </c>
    </row>
    <row r="188" spans="1:23" x14ac:dyDescent="0.2">
      <c r="A188" s="69"/>
      <c r="B188" s="56" t="s">
        <v>132</v>
      </c>
      <c r="C188" s="78">
        <v>5296</v>
      </c>
      <c r="D188" s="79">
        <v>-2.0174200000000001E-4</v>
      </c>
      <c r="E188" s="79">
        <v>1.609561E-3</v>
      </c>
      <c r="F188" s="79">
        <v>0.90027895999999996</v>
      </c>
      <c r="G188" s="79">
        <v>0.991673151733656</v>
      </c>
      <c r="H188" s="80">
        <v>1</v>
      </c>
      <c r="I188" s="79">
        <v>1.62867943507944E-3</v>
      </c>
      <c r="J188" s="79">
        <v>1.6659696843689901E-3</v>
      </c>
      <c r="K188" s="79">
        <v>0.328485671130332</v>
      </c>
      <c r="L188" s="79">
        <v>0.79366538468944703</v>
      </c>
      <c r="M188" s="80">
        <v>1</v>
      </c>
      <c r="N188" s="79">
        <v>-7.6305023396087198E-4</v>
      </c>
      <c r="O188" s="79">
        <v>1.6062573296655E-3</v>
      </c>
      <c r="P188" s="79">
        <v>0.63485059406632705</v>
      </c>
      <c r="Q188" s="79">
        <v>0.71206428696181601</v>
      </c>
      <c r="R188" s="80">
        <v>1</v>
      </c>
      <c r="S188" s="79">
        <v>1.3192795034412501E-3</v>
      </c>
      <c r="T188" s="79">
        <v>1.6122348554485999E-3</v>
      </c>
      <c r="U188" s="79">
        <v>0.41337517880921898</v>
      </c>
      <c r="V188" s="79">
        <v>0.50318787270026399</v>
      </c>
      <c r="W188" s="79">
        <v>1</v>
      </c>
    </row>
    <row r="189" spans="1:23" x14ac:dyDescent="0.2">
      <c r="A189" s="69"/>
      <c r="B189" s="56" t="s">
        <v>136</v>
      </c>
      <c r="C189" s="78">
        <v>5296</v>
      </c>
      <c r="D189" s="79">
        <v>-2.7757839999999999E-3</v>
      </c>
      <c r="E189" s="79">
        <v>1.84564E-3</v>
      </c>
      <c r="F189" s="79">
        <v>0.132803069</v>
      </c>
      <c r="G189" s="79">
        <v>0.656481180244186</v>
      </c>
      <c r="H189" s="80">
        <v>1</v>
      </c>
      <c r="I189" s="79">
        <v>9.1308940177058995E-4</v>
      </c>
      <c r="J189" s="79">
        <v>1.89616511133263E-3</v>
      </c>
      <c r="K189" s="79">
        <v>0.63019645624046605</v>
      </c>
      <c r="L189" s="79">
        <v>0.91965825061269202</v>
      </c>
      <c r="M189" s="80">
        <v>1</v>
      </c>
      <c r="N189" s="79">
        <v>-2.2556838699640601E-3</v>
      </c>
      <c r="O189" s="79">
        <v>1.8362754247539801E-3</v>
      </c>
      <c r="P189" s="79">
        <v>0.21948772160314001</v>
      </c>
      <c r="Q189" s="79">
        <v>0.29662398159146403</v>
      </c>
      <c r="R189" s="80">
        <v>1</v>
      </c>
      <c r="S189" s="79">
        <v>-1.0671004174519401E-3</v>
      </c>
      <c r="T189" s="79">
        <v>1.8433604226900399E-3</v>
      </c>
      <c r="U189" s="79">
        <v>0.56275016828147195</v>
      </c>
      <c r="V189" s="79">
        <v>0.641626202649765</v>
      </c>
      <c r="W189" s="79">
        <v>1</v>
      </c>
    </row>
    <row r="190" spans="1:23" x14ac:dyDescent="0.2">
      <c r="A190" s="69"/>
      <c r="B190" s="56" t="s">
        <v>126</v>
      </c>
      <c r="C190" s="78">
        <v>4045</v>
      </c>
      <c r="D190" s="79">
        <v>5.9720980000000003E-3</v>
      </c>
      <c r="E190" s="79">
        <v>3.0402749999999998E-3</v>
      </c>
      <c r="F190" s="79">
        <v>4.9563309E-2</v>
      </c>
      <c r="G190" s="79">
        <v>0.45705541734782601</v>
      </c>
      <c r="H190" s="80">
        <v>1</v>
      </c>
      <c r="I190" s="79">
        <v>1.3661655999923201E-3</v>
      </c>
      <c r="J190" s="79">
        <v>3.0557661917514699E-3</v>
      </c>
      <c r="K190" s="79">
        <v>0.65484344935816396</v>
      </c>
      <c r="L190" s="79">
        <v>0.92464388912011197</v>
      </c>
      <c r="M190" s="80">
        <v>1</v>
      </c>
      <c r="N190" s="79">
        <v>1.38648864455656E-3</v>
      </c>
      <c r="O190" s="79">
        <v>2.9682384888692001E-3</v>
      </c>
      <c r="P190" s="79">
        <v>0.64044858312527198</v>
      </c>
      <c r="Q190" s="79">
        <v>0.71606101496561203</v>
      </c>
      <c r="R190" s="80">
        <v>1</v>
      </c>
      <c r="S190" s="79">
        <v>1.9139130501103999E-3</v>
      </c>
      <c r="T190" s="79">
        <v>2.9774359276764401E-3</v>
      </c>
      <c r="U190" s="79">
        <v>0.52038817385578895</v>
      </c>
      <c r="V190" s="79">
        <v>0.604183524815184</v>
      </c>
      <c r="W190" s="79">
        <v>1</v>
      </c>
    </row>
    <row r="191" spans="1:23" x14ac:dyDescent="0.2">
      <c r="A191" s="69"/>
      <c r="B191" s="56" t="s">
        <v>129</v>
      </c>
      <c r="C191" s="78">
        <v>5296</v>
      </c>
      <c r="D191" s="79">
        <v>1.09842E-4</v>
      </c>
      <c r="E191" s="79">
        <v>2.12648E-3</v>
      </c>
      <c r="F191" s="79">
        <v>0.95881301699999999</v>
      </c>
      <c r="G191" s="79">
        <v>0.991673151733656</v>
      </c>
      <c r="H191" s="80">
        <v>1</v>
      </c>
      <c r="I191" s="79">
        <v>2.4687862112343101E-3</v>
      </c>
      <c r="J191" s="79">
        <v>2.1935979130659699E-3</v>
      </c>
      <c r="K191" s="79">
        <v>0.26061980533869</v>
      </c>
      <c r="L191" s="79">
        <v>0.75316534960692805</v>
      </c>
      <c r="M191" s="80">
        <v>1</v>
      </c>
      <c r="N191" s="79">
        <v>-2.0493293579784901E-3</v>
      </c>
      <c r="O191" s="79">
        <v>2.1173741606727902E-3</v>
      </c>
      <c r="P191" s="79">
        <v>0.33330844747420801</v>
      </c>
      <c r="Q191" s="79">
        <v>0.41671765501947799</v>
      </c>
      <c r="R191" s="80">
        <v>1</v>
      </c>
      <c r="S191" s="79">
        <v>1.2777441679964799E-3</v>
      </c>
      <c r="T191" s="79">
        <v>2.12646574021179E-3</v>
      </c>
      <c r="U191" s="79">
        <v>0.548035786732468</v>
      </c>
      <c r="V191" s="79">
        <v>0.629943309206071</v>
      </c>
      <c r="W191" s="79">
        <v>1</v>
      </c>
    </row>
    <row r="192" spans="1:23" x14ac:dyDescent="0.2">
      <c r="A192" s="69"/>
      <c r="B192" s="56" t="s">
        <v>164</v>
      </c>
      <c r="C192" s="78">
        <v>5294</v>
      </c>
      <c r="D192" s="79">
        <v>1.1338312E-2</v>
      </c>
      <c r="E192" s="79">
        <v>7.470445E-3</v>
      </c>
      <c r="F192" s="79">
        <v>0.12928840799999999</v>
      </c>
      <c r="G192" s="79">
        <v>0.656481180244186</v>
      </c>
      <c r="H192" s="80">
        <v>1</v>
      </c>
      <c r="I192" s="79">
        <v>-3.6405436092190602E-3</v>
      </c>
      <c r="J192" s="79">
        <v>7.6667588545689903E-3</v>
      </c>
      <c r="K192" s="79">
        <v>0.634961580854698</v>
      </c>
      <c r="L192" s="79">
        <v>0.91965825061269202</v>
      </c>
      <c r="M192" s="80">
        <v>1</v>
      </c>
      <c r="N192" s="79">
        <v>-7.4991059971046196E-5</v>
      </c>
      <c r="O192" s="79">
        <v>7.4328668493680999E-3</v>
      </c>
      <c r="P192" s="79">
        <v>0.99195151578597596</v>
      </c>
      <c r="Q192" s="79">
        <v>0.99430211179494798</v>
      </c>
      <c r="R192" s="80">
        <v>1</v>
      </c>
      <c r="S192" s="79">
        <v>7.8631875107085403E-3</v>
      </c>
      <c r="T192" s="79">
        <v>7.4548222288320799E-3</v>
      </c>
      <c r="U192" s="79">
        <v>0.29169360559844598</v>
      </c>
      <c r="V192" s="79">
        <v>0.38478085811271101</v>
      </c>
      <c r="W192" s="79">
        <v>1</v>
      </c>
    </row>
    <row r="193" spans="1:23" x14ac:dyDescent="0.2">
      <c r="A193" s="69"/>
      <c r="B193" s="56" t="s">
        <v>163</v>
      </c>
      <c r="C193" s="78">
        <v>5294</v>
      </c>
      <c r="D193" s="79">
        <v>1.1081812999999999E-2</v>
      </c>
      <c r="E193" s="79">
        <v>6.4524140000000001E-3</v>
      </c>
      <c r="F193" s="79">
        <v>8.6130148000000004E-2</v>
      </c>
      <c r="G193" s="79">
        <v>0.59336855393782395</v>
      </c>
      <c r="H193" s="80">
        <v>1</v>
      </c>
      <c r="I193" s="79">
        <v>-4.2191802886204603E-3</v>
      </c>
      <c r="J193" s="79">
        <v>6.6395971931993703E-3</v>
      </c>
      <c r="K193" s="79">
        <v>0.52523636106981997</v>
      </c>
      <c r="L193" s="79">
        <v>0.89949384911956998</v>
      </c>
      <c r="M193" s="80">
        <v>1</v>
      </c>
      <c r="N193" s="79">
        <v>-4.1402341059185201E-3</v>
      </c>
      <c r="O193" s="79">
        <v>6.424423714433E-3</v>
      </c>
      <c r="P193" s="79">
        <v>0.51939312823791906</v>
      </c>
      <c r="Q193" s="79">
        <v>0.59810333914148806</v>
      </c>
      <c r="R193" s="80">
        <v>1</v>
      </c>
      <c r="S193" s="79">
        <v>5.6565442928527103E-3</v>
      </c>
      <c r="T193" s="79">
        <v>6.4471117580509503E-3</v>
      </c>
      <c r="U193" s="79">
        <v>0.380439595957271</v>
      </c>
      <c r="V193" s="79">
        <v>0.47008553775051298</v>
      </c>
      <c r="W193" s="79">
        <v>1</v>
      </c>
    </row>
    <row r="194" spans="1:23" x14ac:dyDescent="0.2">
      <c r="A194" s="69"/>
      <c r="B194" s="56" t="s">
        <v>162</v>
      </c>
      <c r="C194" s="78">
        <v>5294</v>
      </c>
      <c r="D194" s="79">
        <v>7.1582750000000004E-3</v>
      </c>
      <c r="E194" s="79">
        <v>7.2227860000000001E-3</v>
      </c>
      <c r="F194" s="79">
        <v>0.32182475599999999</v>
      </c>
      <c r="G194" s="79">
        <v>0.85438413256066903</v>
      </c>
      <c r="H194" s="80">
        <v>1</v>
      </c>
      <c r="I194" s="79">
        <v>-1.30659161583531E-3</v>
      </c>
      <c r="J194" s="79">
        <v>7.4270523725130898E-3</v>
      </c>
      <c r="K194" s="79">
        <v>0.86037858464129002</v>
      </c>
      <c r="L194" s="79">
        <v>0.96964513668720897</v>
      </c>
      <c r="M194" s="80">
        <v>1</v>
      </c>
      <c r="N194" s="79">
        <v>4.7676401568451099E-3</v>
      </c>
      <c r="O194" s="79">
        <v>7.19765248901999E-3</v>
      </c>
      <c r="P194" s="79">
        <v>0.50783064526407096</v>
      </c>
      <c r="Q194" s="79">
        <v>0.58906498065823198</v>
      </c>
      <c r="R194" s="80">
        <v>1</v>
      </c>
      <c r="S194" s="79">
        <v>9.9693463283888999E-3</v>
      </c>
      <c r="T194" s="79">
        <v>7.2155899282482098E-3</v>
      </c>
      <c r="U194" s="79">
        <v>0.167299142532287</v>
      </c>
      <c r="V194" s="79">
        <v>0.24629073303186999</v>
      </c>
      <c r="W194" s="79">
        <v>1</v>
      </c>
    </row>
    <row r="195" spans="1:23" x14ac:dyDescent="0.2">
      <c r="A195" s="69"/>
      <c r="B195" s="56" t="s">
        <v>134</v>
      </c>
      <c r="C195" s="78">
        <v>5296</v>
      </c>
      <c r="D195" s="79">
        <v>9.7130299999999997E-4</v>
      </c>
      <c r="E195" s="79">
        <v>1.8381560000000001E-3</v>
      </c>
      <c r="F195" s="79">
        <v>0.59731604400000005</v>
      </c>
      <c r="G195" s="79">
        <v>0.95703609071122298</v>
      </c>
      <c r="H195" s="80">
        <v>1</v>
      </c>
      <c r="I195" s="79">
        <v>2.19836652943791E-3</v>
      </c>
      <c r="J195" s="79">
        <v>1.89783980776242E-3</v>
      </c>
      <c r="K195" s="79">
        <v>0.246953882985707</v>
      </c>
      <c r="L195" s="79">
        <v>0.75037318131730402</v>
      </c>
      <c r="M195" s="80">
        <v>1</v>
      </c>
      <c r="N195" s="79">
        <v>-1.4804721227015801E-3</v>
      </c>
      <c r="O195" s="79">
        <v>1.8314280552784599E-3</v>
      </c>
      <c r="P195" s="79">
        <v>0.419042504164712</v>
      </c>
      <c r="Q195" s="79">
        <v>0.50452081383778002</v>
      </c>
      <c r="R195" s="80">
        <v>1</v>
      </c>
      <c r="S195" s="79">
        <v>1.8677795576428401E-3</v>
      </c>
      <c r="T195" s="79">
        <v>1.83825556465658E-3</v>
      </c>
      <c r="U195" s="79">
        <v>0.30981130135832302</v>
      </c>
      <c r="V195" s="79">
        <v>0.40281817768822897</v>
      </c>
      <c r="W195" s="79">
        <v>1</v>
      </c>
    </row>
    <row r="196" spans="1:23" x14ac:dyDescent="0.2">
      <c r="A196" s="69"/>
      <c r="B196" s="56" t="s">
        <v>157</v>
      </c>
      <c r="C196" s="78">
        <v>5296</v>
      </c>
      <c r="D196" s="79">
        <v>-1.687898E-3</v>
      </c>
      <c r="E196" s="79">
        <v>4.4524719999999999E-3</v>
      </c>
      <c r="F196" s="79">
        <v>0.704672717</v>
      </c>
      <c r="G196" s="79">
        <v>0.98545101377932998</v>
      </c>
      <c r="H196" s="80">
        <v>1</v>
      </c>
      <c r="I196" s="79">
        <v>-1.64929559213328E-3</v>
      </c>
      <c r="J196" s="79">
        <v>4.5650189300686502E-3</v>
      </c>
      <c r="K196" s="79">
        <v>0.71793070102229495</v>
      </c>
      <c r="L196" s="79">
        <v>0.94020026790226197</v>
      </c>
      <c r="M196" s="80">
        <v>1</v>
      </c>
      <c r="N196" s="79">
        <v>-6.5547270195981102E-3</v>
      </c>
      <c r="O196" s="79">
        <v>4.42275906463898E-3</v>
      </c>
      <c r="P196" s="79">
        <v>0.13853359653382999</v>
      </c>
      <c r="Q196" s="79">
        <v>0.20513317853142399</v>
      </c>
      <c r="R196" s="80">
        <v>1</v>
      </c>
      <c r="S196" s="79">
        <v>3.8272811167787001E-4</v>
      </c>
      <c r="T196" s="79">
        <v>4.4408004264282399E-3</v>
      </c>
      <c r="U196" s="79">
        <v>0.93133092570578602</v>
      </c>
      <c r="V196" s="79">
        <v>0.94879720445328497</v>
      </c>
      <c r="W196" s="79">
        <v>1</v>
      </c>
    </row>
    <row r="197" spans="1:23" x14ac:dyDescent="0.2">
      <c r="A197" s="69"/>
      <c r="B197" s="56" t="s">
        <v>130</v>
      </c>
      <c r="C197" s="78">
        <v>5296</v>
      </c>
      <c r="D197" s="79">
        <v>-5.0761600000000001E-4</v>
      </c>
      <c r="E197" s="79">
        <v>2.108487E-3</v>
      </c>
      <c r="F197" s="79">
        <v>0.80979130399999999</v>
      </c>
      <c r="G197" s="79">
        <v>0.98545101377932998</v>
      </c>
      <c r="H197" s="80">
        <v>1</v>
      </c>
      <c r="I197" s="79">
        <v>2.0074954512304898E-3</v>
      </c>
      <c r="J197" s="79">
        <v>2.1748432688035802E-3</v>
      </c>
      <c r="K197" s="79">
        <v>0.35615993018460301</v>
      </c>
      <c r="L197" s="79">
        <v>0.814139536849524</v>
      </c>
      <c r="M197" s="80">
        <v>1</v>
      </c>
      <c r="N197" s="79">
        <v>-1.3780240410912799E-3</v>
      </c>
      <c r="O197" s="79">
        <v>2.10017232916855E-3</v>
      </c>
      <c r="P197" s="79">
        <v>0.51185357530126496</v>
      </c>
      <c r="Q197" s="79">
        <v>0.59264798089170201</v>
      </c>
      <c r="R197" s="80">
        <v>1</v>
      </c>
      <c r="S197" s="79">
        <v>1.0176461009673099E-3</v>
      </c>
      <c r="T197" s="79">
        <v>2.1086077246847E-3</v>
      </c>
      <c r="U197" s="79">
        <v>0.62945612295789899</v>
      </c>
      <c r="V197" s="79">
        <v>0.69701554976751601</v>
      </c>
      <c r="W197" s="79">
        <v>1</v>
      </c>
    </row>
    <row r="198" spans="1:23" x14ac:dyDescent="0.2">
      <c r="A198" s="69"/>
      <c r="B198" s="56" t="s">
        <v>131</v>
      </c>
      <c r="C198" s="78">
        <v>5296</v>
      </c>
      <c r="D198" s="79">
        <v>-3.3783000000000001E-4</v>
      </c>
      <c r="E198" s="79">
        <v>1.3701010000000001E-3</v>
      </c>
      <c r="F198" s="79">
        <v>0.805285692</v>
      </c>
      <c r="G198" s="79">
        <v>0.98545101377932998</v>
      </c>
      <c r="H198" s="80">
        <v>1</v>
      </c>
      <c r="I198" s="79">
        <v>1.1223388702146799E-3</v>
      </c>
      <c r="J198" s="79">
        <v>1.41657219860915E-3</v>
      </c>
      <c r="K198" s="79">
        <v>0.42835882000825698</v>
      </c>
      <c r="L198" s="79">
        <v>0.85874777660423096</v>
      </c>
      <c r="M198" s="80">
        <v>1</v>
      </c>
      <c r="N198" s="79">
        <v>-4.5692705525435002E-4</v>
      </c>
      <c r="O198" s="79">
        <v>1.36659589740146E-3</v>
      </c>
      <c r="P198" s="79">
        <v>0.73817597544679003</v>
      </c>
      <c r="Q198" s="79">
        <v>0.79050237370630905</v>
      </c>
      <c r="R198" s="80">
        <v>1</v>
      </c>
      <c r="S198" s="79">
        <v>1.1654574041071999E-3</v>
      </c>
      <c r="T198" s="79">
        <v>1.37172451901193E-3</v>
      </c>
      <c r="U198" s="79">
        <v>0.39571602159941399</v>
      </c>
      <c r="V198" s="79">
        <v>0.48513162161258799</v>
      </c>
      <c r="W198" s="79">
        <v>1</v>
      </c>
    </row>
    <row r="199" spans="1:23" x14ac:dyDescent="0.2">
      <c r="A199" s="69"/>
      <c r="B199" s="56" t="s">
        <v>160</v>
      </c>
      <c r="C199" s="78">
        <v>4973</v>
      </c>
      <c r="D199" s="79">
        <v>-1.0833828E-2</v>
      </c>
      <c r="E199" s="79">
        <v>8.3675920000000001E-3</v>
      </c>
      <c r="F199" s="79">
        <v>0.19564253200000001</v>
      </c>
      <c r="G199" s="79">
        <v>0.73150371111176504</v>
      </c>
      <c r="H199" s="80">
        <v>1</v>
      </c>
      <c r="I199" s="79">
        <v>-1.16839851912331E-2</v>
      </c>
      <c r="J199" s="79">
        <v>8.6809270467651193E-3</v>
      </c>
      <c r="K199" s="79">
        <v>0.17854286751963899</v>
      </c>
      <c r="L199" s="79">
        <v>0.69688241292590103</v>
      </c>
      <c r="M199" s="80">
        <v>1</v>
      </c>
      <c r="N199" s="79">
        <v>-6.1871731996429704E-3</v>
      </c>
      <c r="O199" s="79">
        <v>8.3485851032992792E-3</v>
      </c>
      <c r="P199" s="79">
        <v>0.45876114224185799</v>
      </c>
      <c r="Q199" s="79">
        <v>0.54104822444695</v>
      </c>
      <c r="R199" s="80">
        <v>1</v>
      </c>
      <c r="S199" s="79">
        <v>-6.4181403701192297E-3</v>
      </c>
      <c r="T199" s="79">
        <v>8.5003531741989092E-3</v>
      </c>
      <c r="U199" s="79">
        <v>0.45035252760697903</v>
      </c>
      <c r="V199" s="79">
        <v>0.53864029927733903</v>
      </c>
      <c r="W199" s="79">
        <v>1</v>
      </c>
    </row>
    <row r="200" spans="1:23" x14ac:dyDescent="0.2">
      <c r="A200" s="69"/>
      <c r="B200" s="56" t="s">
        <v>158</v>
      </c>
      <c r="C200" s="78">
        <v>5296</v>
      </c>
      <c r="D200" s="79">
        <v>5.0720699999999997E-3</v>
      </c>
      <c r="E200" s="79">
        <v>2.9689730000000002E-3</v>
      </c>
      <c r="F200" s="79">
        <v>8.7823864000000001E-2</v>
      </c>
      <c r="G200" s="79">
        <v>0.59336855393782395</v>
      </c>
      <c r="H200" s="80">
        <v>1</v>
      </c>
      <c r="I200" s="79">
        <v>-1.5445623613113599E-3</v>
      </c>
      <c r="J200" s="79">
        <v>3.0669535108801701E-3</v>
      </c>
      <c r="K200" s="79">
        <v>0.61461916156438001</v>
      </c>
      <c r="L200" s="79">
        <v>0.91965825061269202</v>
      </c>
      <c r="M200" s="80">
        <v>1</v>
      </c>
      <c r="N200" s="79">
        <v>-2.7846285114649399E-4</v>
      </c>
      <c r="O200" s="79">
        <v>2.9646696507138301E-3</v>
      </c>
      <c r="P200" s="79">
        <v>0.92518213426922502</v>
      </c>
      <c r="Q200" s="79">
        <v>0.93808763691242603</v>
      </c>
      <c r="R200" s="80">
        <v>1</v>
      </c>
      <c r="S200" s="79">
        <v>1.47370293778173E-3</v>
      </c>
      <c r="T200" s="79">
        <v>2.9748083594201098E-3</v>
      </c>
      <c r="U200" s="79">
        <v>0.62040888199964495</v>
      </c>
      <c r="V200" s="79">
        <v>0.68880041229881805</v>
      </c>
      <c r="W200" s="79">
        <v>1</v>
      </c>
    </row>
    <row r="201" spans="1:23" x14ac:dyDescent="0.2">
      <c r="A201" s="69"/>
      <c r="B201" s="56" t="s">
        <v>161</v>
      </c>
      <c r="C201" s="78">
        <v>5294</v>
      </c>
      <c r="D201" s="79">
        <v>1.6190296999999999E-2</v>
      </c>
      <c r="E201" s="79">
        <v>6.3285399999999997E-3</v>
      </c>
      <c r="F201" s="79">
        <v>1.0578661E-2</v>
      </c>
      <c r="G201" s="79">
        <v>0.29999749380000001</v>
      </c>
      <c r="H201" s="80">
        <v>1</v>
      </c>
      <c r="I201" s="79">
        <v>-6.3955556785658303E-4</v>
      </c>
      <c r="J201" s="79">
        <v>6.4487214465762397E-3</v>
      </c>
      <c r="K201" s="79">
        <v>0.92100640794636301</v>
      </c>
      <c r="L201" s="79">
        <v>0.981200184300273</v>
      </c>
      <c r="M201" s="80">
        <v>1</v>
      </c>
      <c r="N201" s="79">
        <v>-1.61000955401554E-3</v>
      </c>
      <c r="O201" s="79">
        <v>6.29400157528664E-3</v>
      </c>
      <c r="P201" s="79">
        <v>0.79812574323688501</v>
      </c>
      <c r="Q201" s="79">
        <v>0.83566135987426304</v>
      </c>
      <c r="R201" s="80">
        <v>1</v>
      </c>
      <c r="S201" s="79">
        <v>7.2340693206332898E-4</v>
      </c>
      <c r="T201" s="79">
        <v>6.3052468391577498E-3</v>
      </c>
      <c r="U201" s="79">
        <v>0.90866748111181606</v>
      </c>
      <c r="V201" s="79">
        <v>0.93532223075444598</v>
      </c>
      <c r="W201" s="79">
        <v>1</v>
      </c>
    </row>
    <row r="202" spans="1:23" x14ac:dyDescent="0.2">
      <c r="A202" s="69"/>
      <c r="B202" s="56" t="s">
        <v>156</v>
      </c>
      <c r="C202" s="78">
        <v>5296</v>
      </c>
      <c r="D202" s="79">
        <v>2.0029510000000002E-3</v>
      </c>
      <c r="E202" s="79">
        <v>6.7500859999999998E-3</v>
      </c>
      <c r="F202" s="79">
        <v>0.76672298400000005</v>
      </c>
      <c r="G202" s="79">
        <v>0.98545101377932998</v>
      </c>
      <c r="H202" s="80">
        <v>1</v>
      </c>
      <c r="I202" s="79">
        <v>6.3190335604257602E-4</v>
      </c>
      <c r="J202" s="79">
        <v>6.9532884568333196E-3</v>
      </c>
      <c r="K202" s="79">
        <v>0.92760347840568502</v>
      </c>
      <c r="L202" s="79">
        <v>0.981200184300273</v>
      </c>
      <c r="M202" s="80">
        <v>1</v>
      </c>
      <c r="N202" s="79">
        <v>4.8326339651534002E-3</v>
      </c>
      <c r="O202" s="79">
        <v>6.72211983894114E-3</v>
      </c>
      <c r="P202" s="79">
        <v>0.47232750995387401</v>
      </c>
      <c r="Q202" s="79">
        <v>0.55395897424349905</v>
      </c>
      <c r="R202" s="80">
        <v>1</v>
      </c>
      <c r="S202" s="79">
        <v>7.4657320670008505E-4</v>
      </c>
      <c r="T202" s="79">
        <v>6.7461303051837996E-3</v>
      </c>
      <c r="U202" s="79">
        <v>0.91189822995702396</v>
      </c>
      <c r="V202" s="79">
        <v>0.93724429787357</v>
      </c>
      <c r="W202" s="79">
        <v>1</v>
      </c>
    </row>
    <row r="203" spans="1:23" x14ac:dyDescent="0.2">
      <c r="A203" s="69"/>
      <c r="B203" s="56" t="s">
        <v>159</v>
      </c>
      <c r="C203" s="78">
        <v>5296</v>
      </c>
      <c r="D203" s="79">
        <v>3.1176910000000001E-3</v>
      </c>
      <c r="E203" s="79">
        <v>5.2517830000000003E-3</v>
      </c>
      <c r="F203" s="79">
        <v>0.55287644499999999</v>
      </c>
      <c r="G203" s="79">
        <v>0.94301103320564506</v>
      </c>
      <c r="H203" s="80">
        <v>1</v>
      </c>
      <c r="I203" s="79">
        <v>6.5544578027374499E-3</v>
      </c>
      <c r="J203" s="79">
        <v>5.4280950315966098E-3</v>
      </c>
      <c r="K203" s="79">
        <v>0.227498433712404</v>
      </c>
      <c r="L203" s="79">
        <v>0.73459417908661795</v>
      </c>
      <c r="M203" s="80">
        <v>1</v>
      </c>
      <c r="N203" s="79">
        <v>-3.5015914446196398E-3</v>
      </c>
      <c r="O203" s="79">
        <v>5.2449821228653798E-3</v>
      </c>
      <c r="P203" s="79">
        <v>0.50452664876720499</v>
      </c>
      <c r="Q203" s="79">
        <v>0.58576790236558396</v>
      </c>
      <c r="R203" s="80">
        <v>1</v>
      </c>
      <c r="S203" s="79">
        <v>4.4678073229688299E-4</v>
      </c>
      <c r="T203" s="79">
        <v>5.2617919767800701E-3</v>
      </c>
      <c r="U203" s="79">
        <v>0.93234839555023397</v>
      </c>
      <c r="V203" s="79">
        <v>0.94879720445328497</v>
      </c>
      <c r="W203" s="79">
        <v>1</v>
      </c>
    </row>
    <row r="204" spans="1:23" x14ac:dyDescent="0.2">
      <c r="A204" s="69"/>
      <c r="B204" s="56" t="s">
        <v>128</v>
      </c>
      <c r="C204" s="78">
        <v>5296</v>
      </c>
      <c r="D204" s="79">
        <v>1.2932249E-2</v>
      </c>
      <c r="E204" s="79">
        <v>7.0072809999999998E-3</v>
      </c>
      <c r="F204" s="79">
        <v>6.5149387000000003E-2</v>
      </c>
      <c r="G204" s="79">
        <v>0.51671607564374999</v>
      </c>
      <c r="H204" s="80">
        <v>1</v>
      </c>
      <c r="I204" s="79">
        <v>5.36040435510198E-3</v>
      </c>
      <c r="J204" s="79">
        <v>7.1864141915996497E-3</v>
      </c>
      <c r="K204" s="79">
        <v>0.45583031998814599</v>
      </c>
      <c r="L204" s="79">
        <v>0.87326336285163797</v>
      </c>
      <c r="M204" s="80">
        <v>1</v>
      </c>
      <c r="N204" s="79">
        <v>4.9764591266428298E-3</v>
      </c>
      <c r="O204" s="79">
        <v>6.9666972832900702E-3</v>
      </c>
      <c r="P204" s="79">
        <v>0.475134346949033</v>
      </c>
      <c r="Q204" s="79">
        <v>0.556222773319486</v>
      </c>
      <c r="R204" s="80">
        <v>1</v>
      </c>
      <c r="S204" s="79">
        <v>7.2646157996507704E-3</v>
      </c>
      <c r="T204" s="79">
        <v>6.9868173585758697E-3</v>
      </c>
      <c r="U204" s="79">
        <v>0.29860973603553997</v>
      </c>
      <c r="V204" s="79">
        <v>0.39186737852026898</v>
      </c>
      <c r="W204" s="79">
        <v>1</v>
      </c>
    </row>
    <row r="205" spans="1:23" x14ac:dyDescent="0.2">
      <c r="A205" s="69"/>
      <c r="B205" s="56" t="s">
        <v>125</v>
      </c>
      <c r="C205" s="78">
        <v>5178</v>
      </c>
      <c r="D205" s="79">
        <v>1.3583868000000001E-2</v>
      </c>
      <c r="E205" s="79">
        <v>8.9850390000000002E-3</v>
      </c>
      <c r="F205" s="79">
        <v>0.13075815599999999</v>
      </c>
      <c r="G205" s="79">
        <v>0.656481180244186</v>
      </c>
      <c r="H205" s="80">
        <v>1</v>
      </c>
      <c r="I205" s="79">
        <v>-3.3616866504267602E-3</v>
      </c>
      <c r="J205" s="79">
        <v>9.2658662959462304E-3</v>
      </c>
      <c r="K205" s="79">
        <v>0.71679295443371505</v>
      </c>
      <c r="L205" s="79">
        <v>0.94020026790226197</v>
      </c>
      <c r="M205" s="80">
        <v>1</v>
      </c>
      <c r="N205" s="79">
        <v>-1.39589442275609E-2</v>
      </c>
      <c r="O205" s="79">
        <v>8.9500358852681906E-3</v>
      </c>
      <c r="P205" s="79">
        <v>0.119020744721361</v>
      </c>
      <c r="Q205" s="79">
        <v>0.18023547142172699</v>
      </c>
      <c r="R205" s="80">
        <v>1</v>
      </c>
      <c r="S205" s="79">
        <v>6.1033296935566301E-4</v>
      </c>
      <c r="T205" s="79">
        <v>9.0374853614818597E-3</v>
      </c>
      <c r="U205" s="79">
        <v>0.94616445936546401</v>
      </c>
      <c r="V205" s="79">
        <v>0.959011740363238</v>
      </c>
      <c r="W205" s="79">
        <v>1</v>
      </c>
    </row>
    <row r="206" spans="1:23" x14ac:dyDescent="0.2">
      <c r="A206" s="69"/>
      <c r="B206" s="56" t="s">
        <v>686</v>
      </c>
      <c r="C206" s="78">
        <v>5556</v>
      </c>
      <c r="D206" s="79">
        <v>-2.2166360000000001E-3</v>
      </c>
      <c r="E206" s="79">
        <v>1.77765E-3</v>
      </c>
      <c r="F206" s="79">
        <v>0.21246952099999999</v>
      </c>
      <c r="G206" s="79">
        <v>0.74224234113157905</v>
      </c>
      <c r="H206" s="80">
        <v>1</v>
      </c>
      <c r="I206" s="79">
        <v>-1.7554433531444E-3</v>
      </c>
      <c r="J206" s="79">
        <v>1.76487317321738E-3</v>
      </c>
      <c r="K206" s="79">
        <v>0.31994672566496701</v>
      </c>
      <c r="L206" s="79">
        <v>0.79366538468944703</v>
      </c>
      <c r="M206" s="80">
        <v>1</v>
      </c>
      <c r="N206" s="79">
        <v>3.1609174008977998E-3</v>
      </c>
      <c r="O206" s="79">
        <v>1.7547485939511101E-3</v>
      </c>
      <c r="P206" s="79">
        <v>7.1702170492476097E-2</v>
      </c>
      <c r="Q206" s="79">
        <v>0.118785971742757</v>
      </c>
      <c r="R206" s="80">
        <v>1</v>
      </c>
      <c r="S206" s="79">
        <v>-2.6970449851177998E-3</v>
      </c>
      <c r="T206" s="79">
        <v>1.7539341060916901E-3</v>
      </c>
      <c r="U206" s="79">
        <v>0.124176417961646</v>
      </c>
      <c r="V206" s="79">
        <v>0.19406388472084801</v>
      </c>
      <c r="W206" s="79">
        <v>1</v>
      </c>
    </row>
    <row r="207" spans="1:23" x14ac:dyDescent="0.2">
      <c r="A207" s="69"/>
      <c r="B207" s="84" t="s">
        <v>2284</v>
      </c>
      <c r="C207" s="78">
        <v>5476</v>
      </c>
      <c r="D207" s="79">
        <v>1.0166599364052129</v>
      </c>
      <c r="E207" s="79">
        <v>7.0566946000000005E-2</v>
      </c>
      <c r="F207" s="79">
        <v>0.81487478700000004</v>
      </c>
      <c r="G207" s="79">
        <v>0.98545101377932998</v>
      </c>
      <c r="H207" s="80">
        <v>1</v>
      </c>
      <c r="I207" s="79">
        <v>1.0613749965649419</v>
      </c>
      <c r="J207" s="79">
        <v>7.1412011038616302E-2</v>
      </c>
      <c r="K207" s="79">
        <v>0.40422088178536503</v>
      </c>
      <c r="L207" s="79">
        <v>0.83581181467964405</v>
      </c>
      <c r="M207" s="80">
        <v>1</v>
      </c>
      <c r="N207" s="79">
        <v>1.0042788126833808</v>
      </c>
      <c r="O207" s="79">
        <v>7.0208528003226703E-2</v>
      </c>
      <c r="P207" s="79">
        <v>0.95150707772652499</v>
      </c>
      <c r="Q207" s="79">
        <v>0.96212149931072499</v>
      </c>
      <c r="R207" s="80">
        <v>1</v>
      </c>
      <c r="S207" s="79">
        <v>1.1089207714612932</v>
      </c>
      <c r="T207" s="79">
        <v>7.1458080218640904E-2</v>
      </c>
      <c r="U207" s="79">
        <v>0.14794622730693899</v>
      </c>
      <c r="V207" s="79">
        <v>0.22165733465467</v>
      </c>
      <c r="W207" s="79">
        <v>1</v>
      </c>
    </row>
    <row r="208" spans="1:23" x14ac:dyDescent="0.2">
      <c r="A208" s="69"/>
      <c r="B208" s="84" t="s">
        <v>2285</v>
      </c>
      <c r="C208" s="78">
        <v>5476</v>
      </c>
      <c r="D208" s="79">
        <v>1.0559985096850739</v>
      </c>
      <c r="E208" s="79">
        <v>6.1182088000000003E-2</v>
      </c>
      <c r="F208" s="79">
        <v>0.37316128599999998</v>
      </c>
      <c r="G208" s="79">
        <v>0.880152082540541</v>
      </c>
      <c r="H208" s="80">
        <v>1</v>
      </c>
      <c r="I208" s="79">
        <v>0.97062823910949925</v>
      </c>
      <c r="J208" s="79">
        <v>6.10449863800306E-2</v>
      </c>
      <c r="K208" s="79">
        <v>0.62529697609736601</v>
      </c>
      <c r="L208" s="79">
        <v>0.91965825061269202</v>
      </c>
      <c r="M208" s="80">
        <v>1</v>
      </c>
      <c r="N208" s="79">
        <v>0.97766811984855151</v>
      </c>
      <c r="O208" s="79">
        <v>6.05515742392288E-2</v>
      </c>
      <c r="P208" s="79">
        <v>0.709157353990849</v>
      </c>
      <c r="Q208" s="79">
        <v>0.764588515050457</v>
      </c>
      <c r="R208" s="80">
        <v>1</v>
      </c>
      <c r="S208" s="79">
        <v>0.93379041758229342</v>
      </c>
      <c r="T208" s="79">
        <v>6.1687309360866797E-2</v>
      </c>
      <c r="U208" s="79">
        <v>0.266787110571854</v>
      </c>
      <c r="V208" s="79">
        <v>0.35871655135168501</v>
      </c>
      <c r="W208" s="79">
        <v>1</v>
      </c>
    </row>
    <row r="209" spans="1:23" x14ac:dyDescent="0.2">
      <c r="A209" s="69"/>
      <c r="B209" s="84" t="s">
        <v>2286</v>
      </c>
      <c r="C209" s="78">
        <v>5476</v>
      </c>
      <c r="D209" s="79">
        <v>0.73816760730344866</v>
      </c>
      <c r="E209" s="79">
        <v>0.13578421399999999</v>
      </c>
      <c r="F209" s="79">
        <v>2.5365828E-2</v>
      </c>
      <c r="G209" s="79">
        <v>0.37436086021348303</v>
      </c>
      <c r="H209" s="80">
        <v>1</v>
      </c>
      <c r="I209" s="79">
        <v>0.90582445871960504</v>
      </c>
      <c r="J209" s="79">
        <v>0.12944129993939599</v>
      </c>
      <c r="K209" s="79">
        <v>0.44479085623793402</v>
      </c>
      <c r="L209" s="79">
        <v>0.86970662028650003</v>
      </c>
      <c r="M209" s="80">
        <v>1</v>
      </c>
      <c r="N209" s="79">
        <v>1.0931869577096436</v>
      </c>
      <c r="O209" s="79">
        <v>0.128912087134679</v>
      </c>
      <c r="P209" s="79">
        <v>0.48947296028681198</v>
      </c>
      <c r="Q209" s="79">
        <v>0.56985429963666501</v>
      </c>
      <c r="R209" s="80">
        <v>1</v>
      </c>
      <c r="S209" s="79">
        <v>0.93019204320711524</v>
      </c>
      <c r="T209" s="79">
        <v>0.13229203482013699</v>
      </c>
      <c r="U209" s="79">
        <v>0.58437627557184002</v>
      </c>
      <c r="V209" s="79">
        <v>0.65575551695464795</v>
      </c>
      <c r="W209" s="79">
        <v>1</v>
      </c>
    </row>
    <row r="210" spans="1:23" x14ac:dyDescent="0.2">
      <c r="A210" s="69"/>
      <c r="B210" s="56" t="s">
        <v>166</v>
      </c>
      <c r="C210" s="78">
        <v>5556</v>
      </c>
      <c r="D210" s="79">
        <v>-1.4643100000000001E-4</v>
      </c>
      <c r="E210" s="79">
        <v>1.1917099999999999E-3</v>
      </c>
      <c r="F210" s="79">
        <v>0.90221262400000002</v>
      </c>
      <c r="G210" s="79">
        <v>0.991673151733656</v>
      </c>
      <c r="H210" s="80">
        <v>1</v>
      </c>
      <c r="I210" s="79">
        <v>-6.7430455934257597E-4</v>
      </c>
      <c r="J210" s="79">
        <v>1.2020258183732401E-3</v>
      </c>
      <c r="K210" s="79">
        <v>0.57484571869728196</v>
      </c>
      <c r="L210" s="79">
        <v>0.911324282187712</v>
      </c>
      <c r="M210" s="80">
        <v>1</v>
      </c>
      <c r="N210" s="79">
        <v>-1.84240093727666E-3</v>
      </c>
      <c r="O210" s="79">
        <v>1.1826062086247101E-3</v>
      </c>
      <c r="P210" s="79">
        <v>0.11933181019762901</v>
      </c>
      <c r="Q210" s="79">
        <v>0.180491140811432</v>
      </c>
      <c r="R210" s="80">
        <v>1</v>
      </c>
      <c r="S210" s="79">
        <v>-6.6552141468403003E-4</v>
      </c>
      <c r="T210" s="79">
        <v>1.1805370969445201E-3</v>
      </c>
      <c r="U210" s="79">
        <v>0.57295909875463003</v>
      </c>
      <c r="V210" s="79">
        <v>0.64827347575132699</v>
      </c>
      <c r="W210" s="79">
        <v>1</v>
      </c>
    </row>
    <row r="211" spans="1:23" x14ac:dyDescent="0.2">
      <c r="A211" s="69"/>
      <c r="B211" s="56" t="s">
        <v>165</v>
      </c>
      <c r="C211" s="78">
        <v>5556</v>
      </c>
      <c r="D211" s="79">
        <v>-1.9060299999999999E-4</v>
      </c>
      <c r="E211" s="79">
        <v>8.33029E-4</v>
      </c>
      <c r="F211" s="79">
        <v>0.81905526500000003</v>
      </c>
      <c r="G211" s="79">
        <v>0.98545101377932998</v>
      </c>
      <c r="H211" s="80">
        <v>1</v>
      </c>
      <c r="I211" s="79">
        <v>-9.92269479847492E-5</v>
      </c>
      <c r="J211" s="79">
        <v>8.5234667819333095E-4</v>
      </c>
      <c r="K211" s="79">
        <v>0.90734006030911796</v>
      </c>
      <c r="L211" s="79">
        <v>0.981200184300273</v>
      </c>
      <c r="M211" s="80">
        <v>1</v>
      </c>
      <c r="N211" s="79">
        <v>-1.72213130152212E-3</v>
      </c>
      <c r="O211" s="79">
        <v>8.2832864888432304E-4</v>
      </c>
      <c r="P211" s="79">
        <v>3.7808355195076998E-2</v>
      </c>
      <c r="Q211" s="79">
        <v>6.9939945688852395E-2</v>
      </c>
      <c r="R211" s="80">
        <v>1</v>
      </c>
      <c r="S211" s="79">
        <v>-7.8065257490897498E-4</v>
      </c>
      <c r="T211" s="79">
        <v>8.2930620187072503E-4</v>
      </c>
      <c r="U211" s="79">
        <v>0.34670785974917201</v>
      </c>
      <c r="V211" s="79">
        <v>0.440853981985671</v>
      </c>
      <c r="W211" s="79">
        <v>1</v>
      </c>
    </row>
    <row r="212" spans="1:23" x14ac:dyDescent="0.2">
      <c r="A212" s="69"/>
      <c r="B212" s="56" t="s">
        <v>167</v>
      </c>
      <c r="C212" s="78">
        <v>5556</v>
      </c>
      <c r="D212" s="79">
        <v>1.17E-5</v>
      </c>
      <c r="E212" s="79">
        <v>5.4325499999999997E-4</v>
      </c>
      <c r="F212" s="79">
        <v>0.98284700400000002</v>
      </c>
      <c r="G212" s="79">
        <v>0.99355472541428602</v>
      </c>
      <c r="H212" s="80">
        <v>1</v>
      </c>
      <c r="I212" s="79">
        <v>4.74035671085678E-6</v>
      </c>
      <c r="J212" s="79">
        <v>5.5971157182082502E-4</v>
      </c>
      <c r="K212" s="79">
        <v>0.99324618313028901</v>
      </c>
      <c r="L212" s="79">
        <v>0.99523523065353503</v>
      </c>
      <c r="M212" s="80">
        <v>1</v>
      </c>
      <c r="N212" s="79">
        <v>-1.0099928741027001E-3</v>
      </c>
      <c r="O212" s="79">
        <v>5.4134275244357999E-4</v>
      </c>
      <c r="P212" s="79">
        <v>6.2715259952332403E-2</v>
      </c>
      <c r="Q212" s="79">
        <v>0.10694211303135601</v>
      </c>
      <c r="R212" s="80">
        <v>1</v>
      </c>
      <c r="S212" s="79">
        <v>-6.5426195381472301E-4</v>
      </c>
      <c r="T212" s="79">
        <v>5.4263056815949395E-4</v>
      </c>
      <c r="U212" s="79">
        <v>0.22854081120532799</v>
      </c>
      <c r="V212" s="79">
        <v>0.31523727110821897</v>
      </c>
      <c r="W212" s="79">
        <v>1</v>
      </c>
    </row>
    <row r="213" spans="1:23" x14ac:dyDescent="0.2">
      <c r="A213" s="69"/>
      <c r="B213" s="56" t="s">
        <v>176</v>
      </c>
      <c r="C213" s="78">
        <v>4643</v>
      </c>
      <c r="D213" s="79">
        <v>4.4943120000000003E-3</v>
      </c>
      <c r="E213" s="79">
        <v>1.5035681E-2</v>
      </c>
      <c r="F213" s="79">
        <v>0.76502230900000001</v>
      </c>
      <c r="G213" s="79">
        <v>0.98545101377932998</v>
      </c>
      <c r="H213" s="80">
        <v>1</v>
      </c>
      <c r="I213" s="79">
        <v>-1.4528484308528201E-2</v>
      </c>
      <c r="J213" s="79">
        <v>1.4831897380767799E-2</v>
      </c>
      <c r="K213" s="79">
        <v>0.32736284149707301</v>
      </c>
      <c r="L213" s="79">
        <v>0.79366538468944703</v>
      </c>
      <c r="M213" s="80">
        <v>1</v>
      </c>
      <c r="N213" s="79">
        <v>-5.0509159972413602E-3</v>
      </c>
      <c r="O213" s="79">
        <v>1.4790360099167E-2</v>
      </c>
      <c r="P213" s="79">
        <v>0.73274229733434804</v>
      </c>
      <c r="Q213" s="79">
        <v>0.78601012283794403</v>
      </c>
      <c r="R213" s="80">
        <v>1</v>
      </c>
      <c r="S213" s="79">
        <v>-4.89770480476708E-2</v>
      </c>
      <c r="T213" s="79">
        <v>1.46469890610184E-2</v>
      </c>
      <c r="U213" s="79">
        <v>8.3286978099635805E-4</v>
      </c>
      <c r="V213" s="79">
        <v>3.8452584527832001E-3</v>
      </c>
      <c r="W213" s="79">
        <v>1</v>
      </c>
    </row>
    <row r="214" spans="1:23" x14ac:dyDescent="0.2">
      <c r="A214" s="69"/>
      <c r="B214" s="56" t="s">
        <v>177</v>
      </c>
      <c r="C214" s="78">
        <v>4644</v>
      </c>
      <c r="D214" s="79">
        <v>4.2689E-3</v>
      </c>
      <c r="E214" s="79">
        <v>1.5064608E-2</v>
      </c>
      <c r="F214" s="79">
        <v>0.77690527499999995</v>
      </c>
      <c r="G214" s="79">
        <v>0.98545101377932998</v>
      </c>
      <c r="H214" s="80">
        <v>1</v>
      </c>
      <c r="I214" s="79">
        <v>1.8727712843951499E-2</v>
      </c>
      <c r="J214" s="79">
        <v>1.4859171424813199E-2</v>
      </c>
      <c r="K214" s="79">
        <v>0.207616697595436</v>
      </c>
      <c r="L214" s="79">
        <v>0.72311176315330705</v>
      </c>
      <c r="M214" s="80">
        <v>1</v>
      </c>
      <c r="N214" s="79">
        <v>-3.2426728092427901E-2</v>
      </c>
      <c r="O214" s="79">
        <v>1.48119460401998E-2</v>
      </c>
      <c r="P214" s="79">
        <v>2.86355035688973E-2</v>
      </c>
      <c r="Q214" s="79">
        <v>5.5314232210411103E-2</v>
      </c>
      <c r="R214" s="80">
        <v>1</v>
      </c>
      <c r="S214" s="79">
        <v>-1.38492002728497E-2</v>
      </c>
      <c r="T214" s="79">
        <v>1.4690551075493399E-2</v>
      </c>
      <c r="U214" s="79">
        <v>0.34587400145009001</v>
      </c>
      <c r="V214" s="79">
        <v>0.44023481227699501</v>
      </c>
      <c r="W214" s="79">
        <v>1</v>
      </c>
    </row>
    <row r="215" spans="1:23" x14ac:dyDescent="0.2">
      <c r="A215" s="69"/>
      <c r="B215" s="56" t="s">
        <v>178</v>
      </c>
      <c r="C215" s="78">
        <v>4644</v>
      </c>
      <c r="D215" s="79">
        <v>-1.0728649E-2</v>
      </c>
      <c r="E215" s="79">
        <v>1.502144E-2</v>
      </c>
      <c r="F215" s="79">
        <v>0.47512571399999998</v>
      </c>
      <c r="G215" s="79">
        <v>0.92469797334961801</v>
      </c>
      <c r="H215" s="80">
        <v>1</v>
      </c>
      <c r="I215" s="79">
        <v>-1.87673827049042E-2</v>
      </c>
      <c r="J215" s="79">
        <v>1.48300758729129E-2</v>
      </c>
      <c r="K215" s="79">
        <v>0.205757728476995</v>
      </c>
      <c r="L215" s="79">
        <v>0.72311176315330705</v>
      </c>
      <c r="M215" s="80">
        <v>1</v>
      </c>
      <c r="N215" s="79">
        <v>1.98155103564575E-2</v>
      </c>
      <c r="O215" s="79">
        <v>1.47876355824373E-2</v>
      </c>
      <c r="P215" s="79">
        <v>0.18030937306921299</v>
      </c>
      <c r="Q215" s="79">
        <v>0.254519014933071</v>
      </c>
      <c r="R215" s="80">
        <v>1</v>
      </c>
      <c r="S215" s="79">
        <v>2.2603604614684102E-2</v>
      </c>
      <c r="T215" s="79">
        <v>1.46590752229798E-2</v>
      </c>
      <c r="U215" s="79">
        <v>0.123153362975933</v>
      </c>
      <c r="V215" s="79">
        <v>0.19294026866229499</v>
      </c>
      <c r="W215" s="79">
        <v>1</v>
      </c>
    </row>
    <row r="216" spans="1:23" x14ac:dyDescent="0.2">
      <c r="A216" s="69"/>
      <c r="B216" s="56" t="s">
        <v>179</v>
      </c>
      <c r="C216" s="78">
        <v>4643</v>
      </c>
      <c r="D216" s="79">
        <v>-3.3668119999999998E-3</v>
      </c>
      <c r="E216" s="79">
        <v>1.5022000000000001E-2</v>
      </c>
      <c r="F216" s="79">
        <v>0.82267075999999995</v>
      </c>
      <c r="G216" s="79">
        <v>0.98545101377932998</v>
      </c>
      <c r="H216" s="80">
        <v>1</v>
      </c>
      <c r="I216" s="79">
        <v>-2.3978723739840599E-2</v>
      </c>
      <c r="J216" s="79">
        <v>1.4818129388597501E-2</v>
      </c>
      <c r="K216" s="79">
        <v>0.10569668739353701</v>
      </c>
      <c r="L216" s="79">
        <v>0.62424045135977002</v>
      </c>
      <c r="M216" s="80">
        <v>1</v>
      </c>
      <c r="N216" s="79">
        <v>-1.10449616166095E-2</v>
      </c>
      <c r="O216" s="79">
        <v>1.4776280042127001E-2</v>
      </c>
      <c r="P216" s="79">
        <v>0.454816518765634</v>
      </c>
      <c r="Q216" s="79">
        <v>0.53739493697727203</v>
      </c>
      <c r="R216" s="80">
        <v>1</v>
      </c>
      <c r="S216" s="79">
        <v>2.75731855381092E-2</v>
      </c>
      <c r="T216" s="79">
        <v>1.46463816274771E-2</v>
      </c>
      <c r="U216" s="79">
        <v>5.9818319984334303E-2</v>
      </c>
      <c r="V216" s="79">
        <v>0.10736838480922201</v>
      </c>
      <c r="W216" s="79">
        <v>1</v>
      </c>
    </row>
    <row r="217" spans="1:23" x14ac:dyDescent="0.2">
      <c r="A217" s="69"/>
      <c r="B217" s="56" t="s">
        <v>168</v>
      </c>
      <c r="C217" s="78">
        <v>4644</v>
      </c>
      <c r="D217" s="79">
        <v>5.3984997999999999E-2</v>
      </c>
      <c r="E217" s="79">
        <v>1.5013337E-2</v>
      </c>
      <c r="F217" s="79">
        <v>3.2676500000000002E-4</v>
      </c>
      <c r="G217" s="79">
        <v>8.2042844142857105E-2</v>
      </c>
      <c r="H217" s="80">
        <v>0.41466478499999998</v>
      </c>
      <c r="I217" s="79">
        <v>-4.6995397593580001E-3</v>
      </c>
      <c r="J217" s="79">
        <v>1.4832369092671899E-2</v>
      </c>
      <c r="K217" s="79">
        <v>0.75137670711841997</v>
      </c>
      <c r="L217" s="79">
        <v>0.95292321760430299</v>
      </c>
      <c r="M217" s="80">
        <v>1</v>
      </c>
      <c r="N217" s="79">
        <v>-1.1013227126257099E-4</v>
      </c>
      <c r="O217" s="79">
        <v>1.4792603755680599E-2</v>
      </c>
      <c r="P217" s="79">
        <v>0.99406005430739897</v>
      </c>
      <c r="Q217" s="79">
        <v>0.99562920987852399</v>
      </c>
      <c r="R217" s="80">
        <v>1</v>
      </c>
      <c r="S217" s="79">
        <v>-7.0115977320167298E-3</v>
      </c>
      <c r="T217" s="79">
        <v>1.4664803243148001E-2</v>
      </c>
      <c r="U217" s="79">
        <v>0.63258442690813799</v>
      </c>
      <c r="V217" s="79">
        <v>0.69986890823576897</v>
      </c>
      <c r="W217" s="79">
        <v>1</v>
      </c>
    </row>
    <row r="218" spans="1:23" x14ac:dyDescent="0.2">
      <c r="A218" s="69"/>
      <c r="B218" s="56" t="s">
        <v>169</v>
      </c>
      <c r="C218" s="78">
        <v>4643</v>
      </c>
      <c r="D218" s="79">
        <v>1.1502705E-2</v>
      </c>
      <c r="E218" s="79">
        <v>1.5041445000000001E-2</v>
      </c>
      <c r="F218" s="79">
        <v>0.44446893999999998</v>
      </c>
      <c r="G218" s="79">
        <v>0.90534684568218304</v>
      </c>
      <c r="H218" s="80">
        <v>1</v>
      </c>
      <c r="I218" s="79">
        <v>-3.6727439235722499E-3</v>
      </c>
      <c r="J218" s="79">
        <v>1.4841762092082799E-2</v>
      </c>
      <c r="K218" s="79">
        <v>0.80456318320276099</v>
      </c>
      <c r="L218" s="79">
        <v>0.96211732726388599</v>
      </c>
      <c r="M218" s="80">
        <v>1</v>
      </c>
      <c r="N218" s="79">
        <v>-1.8721596854129899E-2</v>
      </c>
      <c r="O218" s="79">
        <v>1.47964259156151E-2</v>
      </c>
      <c r="P218" s="79">
        <v>0.20583547960871099</v>
      </c>
      <c r="Q218" s="79">
        <v>0.28207907518731601</v>
      </c>
      <c r="R218" s="80">
        <v>1</v>
      </c>
      <c r="S218" s="79">
        <v>-9.6485335132470793E-3</v>
      </c>
      <c r="T218" s="79">
        <v>1.4671971971142899E-2</v>
      </c>
      <c r="U218" s="79">
        <v>0.51081724809801099</v>
      </c>
      <c r="V218" s="79">
        <v>0.59634506700678602</v>
      </c>
      <c r="W218" s="79">
        <v>1</v>
      </c>
    </row>
    <row r="219" spans="1:23" x14ac:dyDescent="0.2">
      <c r="A219" s="69"/>
      <c r="B219" s="56" t="s">
        <v>170</v>
      </c>
      <c r="C219" s="78">
        <v>4643</v>
      </c>
      <c r="D219" s="79">
        <v>2.6637265E-2</v>
      </c>
      <c r="E219" s="79">
        <v>1.5018760000000001E-2</v>
      </c>
      <c r="F219" s="79">
        <v>7.6201904000000001E-2</v>
      </c>
      <c r="G219" s="79">
        <v>0.56549834021052603</v>
      </c>
      <c r="H219" s="80">
        <v>1</v>
      </c>
      <c r="I219" s="79">
        <v>-4.9134101886908902E-3</v>
      </c>
      <c r="J219" s="79">
        <v>1.4829156989229399E-2</v>
      </c>
      <c r="K219" s="79">
        <v>0.74040872200360996</v>
      </c>
      <c r="L219" s="79">
        <v>0.95161388289627002</v>
      </c>
      <c r="M219" s="80">
        <v>1</v>
      </c>
      <c r="N219" s="79">
        <v>5.9813168832779703E-3</v>
      </c>
      <c r="O219" s="79">
        <v>1.4783926316437599E-2</v>
      </c>
      <c r="P219" s="79">
        <v>0.685804922788948</v>
      </c>
      <c r="Q219" s="79">
        <v>0.74574674123322604</v>
      </c>
      <c r="R219" s="80">
        <v>1</v>
      </c>
      <c r="S219" s="79">
        <v>-1.0992750866319E-2</v>
      </c>
      <c r="T219" s="79">
        <v>1.4655914239583101E-2</v>
      </c>
      <c r="U219" s="79">
        <v>0.453262658229102</v>
      </c>
      <c r="V219" s="79">
        <v>0.54059239971121298</v>
      </c>
      <c r="W219" s="79">
        <v>1</v>
      </c>
    </row>
    <row r="220" spans="1:23" x14ac:dyDescent="0.2">
      <c r="A220" s="69"/>
      <c r="B220" s="56" t="s">
        <v>171</v>
      </c>
      <c r="C220" s="78">
        <v>4644</v>
      </c>
      <c r="D220" s="79">
        <v>-1.2446723999999999E-2</v>
      </c>
      <c r="E220" s="79">
        <v>1.5100468000000001E-2</v>
      </c>
      <c r="F220" s="79">
        <v>0.40983778900000001</v>
      </c>
      <c r="G220" s="79">
        <v>0.88449686095408198</v>
      </c>
      <c r="H220" s="80">
        <v>1</v>
      </c>
      <c r="I220" s="79">
        <v>-1.303827003443E-2</v>
      </c>
      <c r="J220" s="79">
        <v>1.4900948481988901E-2</v>
      </c>
      <c r="K220" s="79">
        <v>0.381626523179668</v>
      </c>
      <c r="L220" s="79">
        <v>0.82571589111641397</v>
      </c>
      <c r="M220" s="80">
        <v>1</v>
      </c>
      <c r="N220" s="79">
        <v>-1.9361431637776701E-2</v>
      </c>
      <c r="O220" s="79">
        <v>1.48493578738102E-2</v>
      </c>
      <c r="P220" s="79">
        <v>0.192353032634171</v>
      </c>
      <c r="Q220" s="79">
        <v>0.26681373327315</v>
      </c>
      <c r="R220" s="80">
        <v>1</v>
      </c>
      <c r="S220" s="79">
        <v>-5.3495550271697799E-2</v>
      </c>
      <c r="T220" s="79">
        <v>1.4703989117147501E-2</v>
      </c>
      <c r="U220" s="79">
        <v>2.7781968330157201E-4</v>
      </c>
      <c r="V220" s="79">
        <v>1.7102756179286701E-3</v>
      </c>
      <c r="W220" s="79">
        <v>0.352553178109695</v>
      </c>
    </row>
    <row r="221" spans="1:23" x14ac:dyDescent="0.2">
      <c r="A221" s="69"/>
      <c r="B221" s="56" t="s">
        <v>172</v>
      </c>
      <c r="C221" s="78">
        <v>4643</v>
      </c>
      <c r="D221" s="79">
        <v>4.0162569999999996E-3</v>
      </c>
      <c r="E221" s="79">
        <v>1.5022608999999999E-2</v>
      </c>
      <c r="F221" s="79">
        <v>0.78921355400000004</v>
      </c>
      <c r="G221" s="79">
        <v>0.98545101377932998</v>
      </c>
      <c r="H221" s="80">
        <v>1</v>
      </c>
      <c r="I221" s="79">
        <v>-7.8454471685421093E-3</v>
      </c>
      <c r="J221" s="79">
        <v>1.48322322810314E-2</v>
      </c>
      <c r="K221" s="79">
        <v>0.59686841309448002</v>
      </c>
      <c r="L221" s="79">
        <v>0.91965825061269202</v>
      </c>
      <c r="M221" s="80">
        <v>1</v>
      </c>
      <c r="N221" s="79">
        <v>-2.60803324306614E-2</v>
      </c>
      <c r="O221" s="79">
        <v>1.47832359553793E-2</v>
      </c>
      <c r="P221" s="79">
        <v>7.7767141519749797E-2</v>
      </c>
      <c r="Q221" s="79">
        <v>0.127666885625566</v>
      </c>
      <c r="R221" s="80">
        <v>1</v>
      </c>
      <c r="S221" s="79">
        <v>-7.7059865075870199E-3</v>
      </c>
      <c r="T221" s="79">
        <v>1.46611804748586E-2</v>
      </c>
      <c r="U221" s="79">
        <v>0.59918801655209897</v>
      </c>
      <c r="V221" s="79">
        <v>0.67111173257247503</v>
      </c>
      <c r="W221" s="79">
        <v>1</v>
      </c>
    </row>
    <row r="222" spans="1:23" x14ac:dyDescent="0.2">
      <c r="A222" s="69"/>
      <c r="B222" s="56" t="s">
        <v>173</v>
      </c>
      <c r="C222" s="78">
        <v>4643</v>
      </c>
      <c r="D222" s="79">
        <v>2.4606050000000001E-2</v>
      </c>
      <c r="E222" s="79">
        <v>1.5076022E-2</v>
      </c>
      <c r="F222" s="79">
        <v>0.102726093</v>
      </c>
      <c r="G222" s="79">
        <v>0.61409274316589901</v>
      </c>
      <c r="H222" s="80">
        <v>1</v>
      </c>
      <c r="I222" s="79">
        <v>3.31755625748571E-3</v>
      </c>
      <c r="J222" s="79">
        <v>1.4883136204944501E-2</v>
      </c>
      <c r="K222" s="79">
        <v>0.82361875916932104</v>
      </c>
      <c r="L222" s="79">
        <v>0.96329235519434897</v>
      </c>
      <c r="M222" s="80">
        <v>1</v>
      </c>
      <c r="N222" s="79">
        <v>6.1769037938399904E-3</v>
      </c>
      <c r="O222" s="79">
        <v>1.48317581135746E-2</v>
      </c>
      <c r="P222" s="79">
        <v>0.67709094393715696</v>
      </c>
      <c r="Q222" s="79">
        <v>0.740953655632133</v>
      </c>
      <c r="R222" s="80">
        <v>1</v>
      </c>
      <c r="S222" s="79">
        <v>-1.6445651077493E-2</v>
      </c>
      <c r="T222" s="79">
        <v>1.4702170525617401E-2</v>
      </c>
      <c r="U222" s="79">
        <v>0.26337918483310702</v>
      </c>
      <c r="V222" s="79">
        <v>0.35518404415856802</v>
      </c>
      <c r="W222" s="79">
        <v>1</v>
      </c>
    </row>
    <row r="223" spans="1:23" x14ac:dyDescent="0.2">
      <c r="A223" s="69"/>
      <c r="B223" s="56" t="s">
        <v>174</v>
      </c>
      <c r="C223" s="78">
        <v>4643</v>
      </c>
      <c r="D223" s="79">
        <v>1.3341142E-2</v>
      </c>
      <c r="E223" s="79">
        <v>1.5028682999999999E-2</v>
      </c>
      <c r="F223" s="79">
        <v>0.37474184399999999</v>
      </c>
      <c r="G223" s="79">
        <v>0.880152082540541</v>
      </c>
      <c r="H223" s="80">
        <v>1</v>
      </c>
      <c r="I223" s="79">
        <v>3.1385248746298401E-3</v>
      </c>
      <c r="J223" s="79">
        <v>1.4838260313752599E-2</v>
      </c>
      <c r="K223" s="79">
        <v>0.83249420592137502</v>
      </c>
      <c r="L223" s="79">
        <v>0.96739769919940799</v>
      </c>
      <c r="M223" s="80">
        <v>1</v>
      </c>
      <c r="N223" s="79">
        <v>-1.2260548714285301E-2</v>
      </c>
      <c r="O223" s="79">
        <v>1.4794982064688E-2</v>
      </c>
      <c r="P223" s="79">
        <v>0.40731894058040802</v>
      </c>
      <c r="Q223" s="79">
        <v>0.49227403390146501</v>
      </c>
      <c r="R223" s="80">
        <v>1</v>
      </c>
      <c r="S223" s="79">
        <v>-1.2209662308541099E-3</v>
      </c>
      <c r="T223" s="79">
        <v>1.4668354545926601E-2</v>
      </c>
      <c r="U223" s="79">
        <v>0.93366580356775297</v>
      </c>
      <c r="V223" s="79">
        <v>0.94937652622394098</v>
      </c>
      <c r="W223" s="79">
        <v>1</v>
      </c>
    </row>
    <row r="224" spans="1:23" x14ac:dyDescent="0.2">
      <c r="A224" s="69"/>
      <c r="B224" s="56" t="s">
        <v>175</v>
      </c>
      <c r="C224" s="78">
        <v>4643</v>
      </c>
      <c r="D224" s="79">
        <v>3.2081990000000001E-3</v>
      </c>
      <c r="E224" s="79">
        <v>1.5039589000000001E-2</v>
      </c>
      <c r="F224" s="79">
        <v>0.83108914099999998</v>
      </c>
      <c r="G224" s="79">
        <v>0.98545101377932998</v>
      </c>
      <c r="H224" s="80">
        <v>1</v>
      </c>
      <c r="I224" s="79">
        <v>-3.4511126221418499E-4</v>
      </c>
      <c r="J224" s="79">
        <v>1.48372185870573E-2</v>
      </c>
      <c r="K224" s="79">
        <v>0.98144401228973099</v>
      </c>
      <c r="L224" s="79">
        <v>0.99340446144064498</v>
      </c>
      <c r="M224" s="80">
        <v>1</v>
      </c>
      <c r="N224" s="79">
        <v>3.9653558457406401E-3</v>
      </c>
      <c r="O224" s="79">
        <v>1.4794205630748901E-2</v>
      </c>
      <c r="P224" s="79">
        <v>0.78868479206864095</v>
      </c>
      <c r="Q224" s="79">
        <v>0.82782547653854899</v>
      </c>
      <c r="R224" s="80">
        <v>1</v>
      </c>
      <c r="S224" s="79">
        <v>-5.2984847452420001E-3</v>
      </c>
      <c r="T224" s="79">
        <v>1.4668203230926E-2</v>
      </c>
      <c r="U224" s="79">
        <v>0.71794962343412005</v>
      </c>
      <c r="V224" s="79">
        <v>0.77472625181794097</v>
      </c>
      <c r="W224" s="79">
        <v>1</v>
      </c>
    </row>
    <row r="225" spans="1:23" x14ac:dyDescent="0.2">
      <c r="A225" s="69"/>
      <c r="B225" s="56" t="s">
        <v>195</v>
      </c>
      <c r="C225" s="78">
        <v>5548</v>
      </c>
      <c r="D225" s="79">
        <v>-2.2280739000000001E-2</v>
      </c>
      <c r="E225" s="79">
        <v>1.3626676000000001E-2</v>
      </c>
      <c r="F225" s="79">
        <v>0.102092268</v>
      </c>
      <c r="G225" s="79">
        <v>0.61409274316589901</v>
      </c>
      <c r="H225" s="80">
        <v>1</v>
      </c>
      <c r="I225" s="79">
        <v>-2.4936900901656602E-2</v>
      </c>
      <c r="J225" s="79">
        <v>1.3550619186833399E-2</v>
      </c>
      <c r="K225" s="79">
        <v>6.5785217007234997E-2</v>
      </c>
      <c r="L225" s="79">
        <v>0.57459637698370203</v>
      </c>
      <c r="M225" s="80">
        <v>1</v>
      </c>
      <c r="N225" s="79">
        <v>4.3567134820241597E-2</v>
      </c>
      <c r="O225" s="79">
        <v>1.3454635910924001E-2</v>
      </c>
      <c r="P225" s="79">
        <v>1.2110301510710299E-3</v>
      </c>
      <c r="Q225" s="79">
        <v>4.09812603122437E-3</v>
      </c>
      <c r="R225" s="80">
        <v>1</v>
      </c>
      <c r="S225" s="79">
        <v>4.1314265258114699E-2</v>
      </c>
      <c r="T225" s="79">
        <v>1.34361263165961E-2</v>
      </c>
      <c r="U225" s="79">
        <v>2.1169315495685398E-3</v>
      </c>
      <c r="V225" s="79">
        <v>8.0672256348422698E-3</v>
      </c>
      <c r="W225" s="79">
        <v>1</v>
      </c>
    </row>
    <row r="226" spans="1:23" x14ac:dyDescent="0.2">
      <c r="A226" s="69"/>
      <c r="B226" s="56" t="s">
        <v>194</v>
      </c>
      <c r="C226" s="78">
        <v>5548</v>
      </c>
      <c r="D226" s="79">
        <v>8.5717180000000007E-3</v>
      </c>
      <c r="E226" s="79">
        <v>1.3711279999999999E-2</v>
      </c>
      <c r="F226" s="79">
        <v>0.53189451200000004</v>
      </c>
      <c r="G226" s="79">
        <v>0.93839135459751</v>
      </c>
      <c r="H226" s="80">
        <v>1</v>
      </c>
      <c r="I226" s="79">
        <v>-2.82723267593686E-2</v>
      </c>
      <c r="J226" s="79">
        <v>1.36282728856856E-2</v>
      </c>
      <c r="K226" s="79">
        <v>3.80791198407016E-2</v>
      </c>
      <c r="L226" s="79">
        <v>0.50307562413000395</v>
      </c>
      <c r="M226" s="80">
        <v>1</v>
      </c>
      <c r="N226" s="79">
        <v>-4.1321705332616303E-2</v>
      </c>
      <c r="O226" s="79">
        <v>1.35325012430629E-2</v>
      </c>
      <c r="P226" s="79">
        <v>2.2732814700467301E-3</v>
      </c>
      <c r="Q226" s="79">
        <v>6.9681018973171503E-3</v>
      </c>
      <c r="R226" s="80">
        <v>1</v>
      </c>
      <c r="S226" s="79">
        <v>-3.7854481440860302E-2</v>
      </c>
      <c r="T226" s="79">
        <v>1.3512093160447399E-2</v>
      </c>
      <c r="U226" s="79">
        <v>5.1048852212126298E-3</v>
      </c>
      <c r="V226" s="79">
        <v>1.5647582960673499E-2</v>
      </c>
      <c r="W226" s="79">
        <v>1</v>
      </c>
    </row>
    <row r="227" spans="1:23" x14ac:dyDescent="0.2">
      <c r="A227" s="69"/>
      <c r="B227" s="56" t="s">
        <v>193</v>
      </c>
      <c r="C227" s="78">
        <v>5548</v>
      </c>
      <c r="D227" s="79">
        <v>8.9268549999999992E-3</v>
      </c>
      <c r="E227" s="79">
        <v>1.3803833999999999E-2</v>
      </c>
      <c r="F227" s="79">
        <v>0.51785871900000002</v>
      </c>
      <c r="G227" s="79">
        <v>0.93335478450424902</v>
      </c>
      <c r="H227" s="80">
        <v>1</v>
      </c>
      <c r="I227" s="79">
        <v>-2.4192966535232199E-3</v>
      </c>
      <c r="J227" s="79">
        <v>1.3731219120990399E-2</v>
      </c>
      <c r="K227" s="79">
        <v>0.86015206151754098</v>
      </c>
      <c r="L227" s="79">
        <v>0.96964513668720897</v>
      </c>
      <c r="M227" s="80">
        <v>1</v>
      </c>
      <c r="N227" s="79">
        <v>-3.3438478591105797E-2</v>
      </c>
      <c r="O227" s="79">
        <v>1.36407624681239E-2</v>
      </c>
      <c r="P227" s="79">
        <v>1.42647118896188E-2</v>
      </c>
      <c r="Q227" s="79">
        <v>3.1757753312151298E-2</v>
      </c>
      <c r="R227" s="80">
        <v>1</v>
      </c>
      <c r="S227" s="79">
        <v>-2.34982010193595E-2</v>
      </c>
      <c r="T227" s="79">
        <v>1.3620437186344E-2</v>
      </c>
      <c r="U227" s="79">
        <v>8.4548177479635306E-2</v>
      </c>
      <c r="V227" s="79">
        <v>0.14286502958942399</v>
      </c>
      <c r="W227" s="79">
        <v>1</v>
      </c>
    </row>
    <row r="228" spans="1:23" x14ac:dyDescent="0.2">
      <c r="A228" s="70"/>
      <c r="B228" s="83" t="s">
        <v>2603</v>
      </c>
      <c r="C228" s="78"/>
      <c r="D228" s="79"/>
      <c r="E228" s="79"/>
      <c r="F228" s="79"/>
      <c r="G228" s="79"/>
      <c r="H228" s="80"/>
      <c r="I228" s="79"/>
      <c r="J228" s="79"/>
      <c r="K228" s="79"/>
      <c r="L228" s="79"/>
      <c r="M228" s="80"/>
      <c r="N228" s="79"/>
      <c r="O228" s="79"/>
      <c r="P228" s="79"/>
      <c r="Q228" s="79"/>
      <c r="R228" s="80"/>
      <c r="S228" s="79"/>
      <c r="T228" s="79"/>
      <c r="U228" s="79"/>
      <c r="V228" s="79"/>
      <c r="W228" s="79"/>
    </row>
    <row r="229" spans="1:23" x14ac:dyDescent="0.2">
      <c r="A229" s="69"/>
      <c r="B229" s="56" t="s">
        <v>221</v>
      </c>
      <c r="C229" s="78">
        <v>5552</v>
      </c>
      <c r="D229" s="79">
        <v>-3.8976917E-2</v>
      </c>
      <c r="E229" s="79">
        <v>1.3410686E-2</v>
      </c>
      <c r="F229" s="79">
        <v>3.6707300000000001E-3</v>
      </c>
      <c r="G229" s="79">
        <v>0.1663627275</v>
      </c>
      <c r="H229" s="80">
        <v>1</v>
      </c>
      <c r="I229" s="79">
        <v>5.9823053218890599E-3</v>
      </c>
      <c r="J229" s="79">
        <v>1.3385999165352601E-2</v>
      </c>
      <c r="K229" s="79">
        <v>0.65495955920494398</v>
      </c>
      <c r="L229" s="79">
        <v>0.92464388912011197</v>
      </c>
      <c r="M229" s="80">
        <v>1</v>
      </c>
      <c r="N229" s="79">
        <v>3.1307901237189302E-2</v>
      </c>
      <c r="O229" s="79">
        <v>1.32788489386603E-2</v>
      </c>
      <c r="P229" s="79">
        <v>1.8422324990910101E-2</v>
      </c>
      <c r="Q229" s="79">
        <v>3.8769370503258599E-2</v>
      </c>
      <c r="R229" s="80">
        <v>1</v>
      </c>
      <c r="S229" s="79">
        <v>1.2262541E-2</v>
      </c>
      <c r="T229" s="79">
        <v>1.3253186E-2</v>
      </c>
      <c r="U229" s="79">
        <v>0.35487554799999999</v>
      </c>
      <c r="V229" s="79">
        <v>0.448883582</v>
      </c>
      <c r="W229" s="79">
        <v>1</v>
      </c>
    </row>
    <row r="230" spans="1:23" x14ac:dyDescent="0.2">
      <c r="A230" s="69"/>
      <c r="B230" s="56" t="s">
        <v>219</v>
      </c>
      <c r="C230" s="78">
        <v>5555</v>
      </c>
      <c r="D230" s="79">
        <v>-2.5182051E-2</v>
      </c>
      <c r="E230" s="79">
        <v>1.2422814000000001E-2</v>
      </c>
      <c r="F230" s="79">
        <v>4.2701990000000002E-2</v>
      </c>
      <c r="G230" s="79">
        <v>0.450921001285714</v>
      </c>
      <c r="H230" s="80">
        <v>1</v>
      </c>
      <c r="I230" s="79">
        <v>5.2591282772691504E-3</v>
      </c>
      <c r="J230" s="79">
        <v>1.2412399752804899E-2</v>
      </c>
      <c r="K230" s="79">
        <v>0.67180142598505799</v>
      </c>
      <c r="L230" s="79">
        <v>0.92967939975467695</v>
      </c>
      <c r="M230" s="80">
        <v>1</v>
      </c>
      <c r="N230" s="79">
        <v>-3.4244954785750698E-3</v>
      </c>
      <c r="O230" s="79">
        <v>1.23098212113311E-2</v>
      </c>
      <c r="P230" s="79">
        <v>0.780875260484585</v>
      </c>
      <c r="Q230" s="79">
        <v>0.82263988071373495</v>
      </c>
      <c r="R230" s="80">
        <v>1</v>
      </c>
      <c r="S230" s="79">
        <v>-1.8285089000000001E-2</v>
      </c>
      <c r="T230" s="79">
        <v>1.2273638E-2</v>
      </c>
      <c r="U230" s="79">
        <v>0.13633759200000001</v>
      </c>
      <c r="V230" s="79">
        <v>0.20811502000000001</v>
      </c>
      <c r="W230" s="79">
        <v>1</v>
      </c>
    </row>
    <row r="231" spans="1:23" x14ac:dyDescent="0.2">
      <c r="A231" s="69"/>
      <c r="B231" s="56" t="s">
        <v>220</v>
      </c>
      <c r="C231" s="78">
        <v>5554</v>
      </c>
      <c r="D231" s="79">
        <v>-3.9979353000000002E-2</v>
      </c>
      <c r="E231" s="79">
        <v>1.304723E-2</v>
      </c>
      <c r="F231" s="79">
        <v>2.1930309999999998E-3</v>
      </c>
      <c r="G231" s="79">
        <v>0.13252173042857099</v>
      </c>
      <c r="H231" s="80">
        <v>1</v>
      </c>
      <c r="I231" s="79">
        <v>1.6938720029312002E-2</v>
      </c>
      <c r="J231" s="79">
        <v>1.3048220386750299E-2</v>
      </c>
      <c r="K231" s="79">
        <v>0.194285391379827</v>
      </c>
      <c r="L231" s="79">
        <v>0.71347894824854996</v>
      </c>
      <c r="M231" s="80">
        <v>1</v>
      </c>
      <c r="N231" s="79">
        <v>3.3410493096876201E-2</v>
      </c>
      <c r="O231" s="79">
        <v>1.2930759370810599E-2</v>
      </c>
      <c r="P231" s="79">
        <v>9.7972596609627993E-3</v>
      </c>
      <c r="Q231" s="79">
        <v>2.3282251890939701E-2</v>
      </c>
      <c r="R231" s="80">
        <v>1</v>
      </c>
      <c r="S231" s="79">
        <v>9.8844610000000006E-3</v>
      </c>
      <c r="T231" s="79">
        <v>1.2901173E-2</v>
      </c>
      <c r="U231" s="79">
        <v>0.44360924800000001</v>
      </c>
      <c r="V231" s="79">
        <v>0.53268870400000001</v>
      </c>
      <c r="W231" s="79">
        <v>1</v>
      </c>
    </row>
    <row r="232" spans="1:23" x14ac:dyDescent="0.2">
      <c r="A232" s="69"/>
      <c r="B232" s="84" t="s">
        <v>2287</v>
      </c>
      <c r="C232" s="78">
        <v>5247</v>
      </c>
      <c r="D232" s="79">
        <v>1.1133834107227096</v>
      </c>
      <c r="E232" s="79">
        <v>0.114030597</v>
      </c>
      <c r="F232" s="79">
        <v>0.34625246999999998</v>
      </c>
      <c r="G232" s="79">
        <v>0.86935910161660102</v>
      </c>
      <c r="H232" s="80">
        <v>1</v>
      </c>
      <c r="I232" s="79">
        <v>1.0887651492169386</v>
      </c>
      <c r="J232" s="79">
        <v>0.11687353903092899</v>
      </c>
      <c r="K232" s="79">
        <v>0.466821930536376</v>
      </c>
      <c r="L232" s="79">
        <v>0.87326336285163797</v>
      </c>
      <c r="M232" s="80">
        <v>1</v>
      </c>
      <c r="N232" s="79">
        <v>1.0336350451849532</v>
      </c>
      <c r="O232" s="79">
        <v>0.115065120985827</v>
      </c>
      <c r="P232" s="79">
        <v>0.77372592814380603</v>
      </c>
      <c r="Q232" s="79">
        <v>0.81741637721470495</v>
      </c>
      <c r="R232" s="80">
        <v>1</v>
      </c>
      <c r="S232" s="79">
        <v>1.317523869</v>
      </c>
      <c r="T232" s="79">
        <v>0.116730006</v>
      </c>
      <c r="U232" s="79">
        <v>1.8160753000000002E-2</v>
      </c>
      <c r="V232" s="79">
        <v>4.0645493999999997E-2</v>
      </c>
      <c r="W232" s="79">
        <v>1</v>
      </c>
    </row>
    <row r="233" spans="1:23" x14ac:dyDescent="0.2">
      <c r="A233" s="69"/>
      <c r="B233" s="84" t="s">
        <v>2288</v>
      </c>
      <c r="C233" s="78">
        <v>5159</v>
      </c>
      <c r="D233" s="79">
        <v>1.0808666261712174</v>
      </c>
      <c r="E233" s="79">
        <v>9.0804519E-2</v>
      </c>
      <c r="F233" s="79">
        <v>0.39178776700000001</v>
      </c>
      <c r="G233" s="79">
        <v>0.88261195738869902</v>
      </c>
      <c r="H233" s="80">
        <v>1</v>
      </c>
      <c r="I233" s="79">
        <v>1.0938188923242145</v>
      </c>
      <c r="J233" s="79">
        <v>9.2164364275950206E-2</v>
      </c>
      <c r="K233" s="79">
        <v>0.33055752163798602</v>
      </c>
      <c r="L233" s="79">
        <v>0.79366538468944703</v>
      </c>
      <c r="M233" s="80">
        <v>1</v>
      </c>
      <c r="N233" s="79">
        <v>1.106879587698762</v>
      </c>
      <c r="O233" s="79">
        <v>9.1073602527649206E-2</v>
      </c>
      <c r="P233" s="79">
        <v>0.26486073836612301</v>
      </c>
      <c r="Q233" s="79">
        <v>0.34508036651602703</v>
      </c>
      <c r="R233" s="80">
        <v>1</v>
      </c>
      <c r="S233" s="79">
        <v>1.2867634459999999</v>
      </c>
      <c r="T233" s="79">
        <v>9.1880586E-2</v>
      </c>
      <c r="U233" s="79">
        <v>6.0675859999999998E-3</v>
      </c>
      <c r="V233" s="79">
        <v>1.7948173000000001E-2</v>
      </c>
      <c r="W233" s="79">
        <v>1</v>
      </c>
    </row>
    <row r="234" spans="1:23" x14ac:dyDescent="0.2">
      <c r="A234" s="69"/>
      <c r="B234" s="84" t="s">
        <v>685</v>
      </c>
      <c r="C234" s="78">
        <v>5433</v>
      </c>
      <c r="D234" s="79">
        <v>9.10826E-4</v>
      </c>
      <c r="E234" s="79">
        <v>1.1850003E-2</v>
      </c>
      <c r="F234" s="79">
        <v>0.93873547700000004</v>
      </c>
      <c r="G234" s="79">
        <v>0.991673151733656</v>
      </c>
      <c r="H234" s="80">
        <v>1</v>
      </c>
      <c r="I234" s="79">
        <v>-2.7647562717422101E-2</v>
      </c>
      <c r="J234" s="79">
        <v>1.18897538579098E-2</v>
      </c>
      <c r="K234" s="79">
        <v>2.0091923126386801E-2</v>
      </c>
      <c r="L234" s="79">
        <v>0.41909202640396798</v>
      </c>
      <c r="M234" s="80">
        <v>1</v>
      </c>
      <c r="N234" s="79">
        <v>-2.0367688615299601E-2</v>
      </c>
      <c r="O234" s="79">
        <v>1.17890212323637E-2</v>
      </c>
      <c r="P234" s="79">
        <v>8.4103603996810605E-2</v>
      </c>
      <c r="Q234" s="79">
        <v>0.135269294641258</v>
      </c>
      <c r="R234" s="80">
        <v>1</v>
      </c>
      <c r="S234" s="79">
        <v>-3.2137271000000002E-2</v>
      </c>
      <c r="T234" s="79">
        <v>1.1756948999999999E-2</v>
      </c>
      <c r="U234" s="79">
        <v>6.2879440000000002E-3</v>
      </c>
      <c r="V234" s="79">
        <v>1.8470835000000001E-2</v>
      </c>
      <c r="W234" s="79">
        <v>1</v>
      </c>
    </row>
    <row r="235" spans="1:23" x14ac:dyDescent="0.2">
      <c r="A235" s="69"/>
      <c r="B235" s="84" t="s">
        <v>2289</v>
      </c>
      <c r="C235" s="78">
        <v>5040</v>
      </c>
      <c r="D235" s="79">
        <v>0.95017147754238862</v>
      </c>
      <c r="E235" s="79">
        <v>3.1471111000000003E-2</v>
      </c>
      <c r="F235" s="79">
        <v>0.104350552</v>
      </c>
      <c r="G235" s="79">
        <v>0.61409274316589901</v>
      </c>
      <c r="H235" s="80">
        <v>1</v>
      </c>
      <c r="I235" s="79">
        <v>0.96077132913027996</v>
      </c>
      <c r="J235" s="79">
        <v>3.11532420739036E-2</v>
      </c>
      <c r="K235" s="79">
        <v>0.19893889400162701</v>
      </c>
      <c r="L235" s="79">
        <v>0.71719731956836597</v>
      </c>
      <c r="M235" s="80">
        <v>1</v>
      </c>
      <c r="N235" s="79">
        <v>1.0811685334378665</v>
      </c>
      <c r="O235" s="79">
        <v>3.0855229507348599E-2</v>
      </c>
      <c r="P235" s="79">
        <v>1.14287128076945E-2</v>
      </c>
      <c r="Q235" s="79">
        <v>2.6709091257761199E-2</v>
      </c>
      <c r="R235" s="80">
        <v>1</v>
      </c>
      <c r="S235" s="79">
        <v>1.037806663</v>
      </c>
      <c r="T235" s="79">
        <v>3.0725863999999999E-2</v>
      </c>
      <c r="U235" s="79">
        <v>0.22713909700000001</v>
      </c>
      <c r="V235" s="79">
        <v>0.31364473700000001</v>
      </c>
      <c r="W235" s="79">
        <v>1</v>
      </c>
    </row>
    <row r="236" spans="1:23" x14ac:dyDescent="0.2">
      <c r="A236" s="69"/>
      <c r="B236" s="84" t="s">
        <v>2249</v>
      </c>
      <c r="C236" s="78">
        <v>5534</v>
      </c>
      <c r="D236" s="79">
        <v>0.95740404408885871</v>
      </c>
      <c r="E236" s="79">
        <v>4.3137412E-2</v>
      </c>
      <c r="F236" s="79">
        <v>0.31292872599999999</v>
      </c>
      <c r="G236" s="79">
        <v>0.85138679101263204</v>
      </c>
      <c r="H236" s="80">
        <v>1</v>
      </c>
      <c r="I236" s="79">
        <v>1.013209385297853</v>
      </c>
      <c r="J236" s="79">
        <v>4.2855809020583703E-2</v>
      </c>
      <c r="K236" s="79">
        <v>0.75944431754851804</v>
      </c>
      <c r="L236" s="79">
        <v>0.95389133514851498</v>
      </c>
      <c r="M236" s="80">
        <v>1</v>
      </c>
      <c r="N236" s="79">
        <v>1.141501809977745</v>
      </c>
      <c r="O236" s="79">
        <v>4.2649556185910799E-2</v>
      </c>
      <c r="P236" s="79">
        <v>1.9152108180067399E-3</v>
      </c>
      <c r="Q236" s="79">
        <v>6.0457774329615802E-3</v>
      </c>
      <c r="R236" s="80">
        <v>1</v>
      </c>
      <c r="S236" s="79">
        <v>1.136204693</v>
      </c>
      <c r="T236" s="79">
        <v>4.2669512999999999E-2</v>
      </c>
      <c r="U236" s="79">
        <v>2.76597E-3</v>
      </c>
      <c r="V236" s="79">
        <v>9.9716360000000007E-3</v>
      </c>
      <c r="W236" s="79">
        <v>1</v>
      </c>
    </row>
    <row r="237" spans="1:23" x14ac:dyDescent="0.2">
      <c r="A237" s="69"/>
      <c r="B237" s="84" t="s">
        <v>919</v>
      </c>
      <c r="C237" s="78">
        <v>887</v>
      </c>
      <c r="D237" s="79">
        <v>-3.0923836999999999E-2</v>
      </c>
      <c r="E237" s="79">
        <v>3.4357281000000003E-2</v>
      </c>
      <c r="F237" s="79">
        <v>0.368333244</v>
      </c>
      <c r="G237" s="79">
        <v>0.880152082540541</v>
      </c>
      <c r="H237" s="80">
        <v>1</v>
      </c>
      <c r="I237" s="79">
        <v>2.1921395230053001E-2</v>
      </c>
      <c r="J237" s="79">
        <v>3.4957639301731E-2</v>
      </c>
      <c r="K237" s="79">
        <v>0.53077169697677895</v>
      </c>
      <c r="L237" s="79">
        <v>0.89965480158269595</v>
      </c>
      <c r="M237" s="80">
        <v>1</v>
      </c>
      <c r="N237" s="79">
        <v>-3.4287397600067597E-2</v>
      </c>
      <c r="O237" s="79">
        <v>3.38029255914509E-2</v>
      </c>
      <c r="P237" s="79">
        <v>0.31071086755027999</v>
      </c>
      <c r="Q237" s="79">
        <v>0.39398282663680401</v>
      </c>
      <c r="R237" s="80">
        <v>1</v>
      </c>
      <c r="S237" s="79">
        <v>1.7690522E-2</v>
      </c>
      <c r="T237" s="79">
        <v>3.4478288000000003E-2</v>
      </c>
      <c r="U237" s="79">
        <v>0.60801734799999996</v>
      </c>
      <c r="V237" s="79">
        <v>0.67852508700000003</v>
      </c>
      <c r="W237" s="79">
        <v>1</v>
      </c>
    </row>
    <row r="238" spans="1:23" x14ac:dyDescent="0.2">
      <c r="A238" s="69"/>
      <c r="B238" s="84" t="s">
        <v>2290</v>
      </c>
      <c r="C238" s="78">
        <v>4125</v>
      </c>
      <c r="D238" s="79">
        <v>0.98083961217352555</v>
      </c>
      <c r="E238" s="79">
        <v>8.4720416000000007E-2</v>
      </c>
      <c r="F238" s="79">
        <v>0.81937030499999997</v>
      </c>
      <c r="G238" s="79">
        <v>0.98545101377932998</v>
      </c>
      <c r="H238" s="80">
        <v>1</v>
      </c>
      <c r="I238" s="79">
        <v>1.0217947539590988</v>
      </c>
      <c r="J238" s="79">
        <v>8.3558701573761704E-2</v>
      </c>
      <c r="K238" s="79">
        <v>0.79638382805262797</v>
      </c>
      <c r="L238" s="79">
        <v>0.960588164099901</v>
      </c>
      <c r="M238" s="80">
        <v>1</v>
      </c>
      <c r="N238" s="79">
        <v>1.2830992572891384</v>
      </c>
      <c r="O238" s="79">
        <v>8.4282447624589293E-2</v>
      </c>
      <c r="P238" s="79">
        <v>3.0998833739346201E-3</v>
      </c>
      <c r="Q238" s="79">
        <v>9.1270348063179404E-3</v>
      </c>
      <c r="R238" s="80">
        <v>1</v>
      </c>
      <c r="S238" s="79">
        <v>1.2611575189999999</v>
      </c>
      <c r="T238" s="79">
        <v>8.4606595000000007E-2</v>
      </c>
      <c r="U238" s="79">
        <v>6.0981400000000002E-3</v>
      </c>
      <c r="V238" s="79">
        <v>1.7996603E-2</v>
      </c>
      <c r="W238" s="79">
        <v>1</v>
      </c>
    </row>
    <row r="239" spans="1:23" x14ac:dyDescent="0.2">
      <c r="A239" s="69"/>
      <c r="B239" s="84" t="s">
        <v>2291</v>
      </c>
      <c r="C239" s="78">
        <v>4125</v>
      </c>
      <c r="D239" s="79">
        <v>0.99219982945590468</v>
      </c>
      <c r="E239" s="79">
        <v>8.7324499E-2</v>
      </c>
      <c r="F239" s="79">
        <v>0.92854614999999996</v>
      </c>
      <c r="G239" s="79">
        <v>0.991673151733656</v>
      </c>
      <c r="H239" s="80">
        <v>1</v>
      </c>
      <c r="I239" s="79">
        <v>1.0368199670425486</v>
      </c>
      <c r="J239" s="79">
        <v>8.7163245390123503E-2</v>
      </c>
      <c r="K239" s="79">
        <v>0.67826320091168302</v>
      </c>
      <c r="L239" s="79">
        <v>0.93057850825384603</v>
      </c>
      <c r="M239" s="80">
        <v>1</v>
      </c>
      <c r="N239" s="79">
        <v>1.3152610575084045</v>
      </c>
      <c r="O239" s="79">
        <v>8.6801873599231805E-2</v>
      </c>
      <c r="P239" s="79">
        <v>1.5939093157306401E-3</v>
      </c>
      <c r="Q239" s="79">
        <v>5.1730714109007201E-3</v>
      </c>
      <c r="R239" s="80">
        <v>1</v>
      </c>
      <c r="S239" s="79">
        <v>1.235386514</v>
      </c>
      <c r="T239" s="79">
        <v>8.7923825999999997E-2</v>
      </c>
      <c r="U239" s="79">
        <v>1.6209200999999999E-2</v>
      </c>
      <c r="V239" s="79">
        <v>3.7263543000000003E-2</v>
      </c>
      <c r="W239" s="79">
        <v>1</v>
      </c>
    </row>
    <row r="240" spans="1:23" x14ac:dyDescent="0.2">
      <c r="A240" s="69"/>
      <c r="B240" s="84" t="s">
        <v>2292</v>
      </c>
      <c r="C240" s="78">
        <v>5407</v>
      </c>
      <c r="D240" s="79">
        <v>0.84314441572301291</v>
      </c>
      <c r="E240" s="79">
        <v>0.75953350100000006</v>
      </c>
      <c r="F240" s="79">
        <v>0.82226403800000003</v>
      </c>
      <c r="G240" s="79">
        <v>0.98545101377932998</v>
      </c>
      <c r="H240" s="80">
        <v>1</v>
      </c>
      <c r="I240" s="79">
        <v>1.9987762889640119</v>
      </c>
      <c r="J240" s="79">
        <v>0.73229269061150304</v>
      </c>
      <c r="K240" s="79">
        <v>0.34429748389488302</v>
      </c>
      <c r="L240" s="79">
        <v>0.80020788839305201</v>
      </c>
      <c r="M240" s="80">
        <v>1</v>
      </c>
      <c r="N240" s="79">
        <v>0.50327159402531041</v>
      </c>
      <c r="O240" s="79">
        <v>0.80001117403963296</v>
      </c>
      <c r="P240" s="79">
        <v>0.39074358697393402</v>
      </c>
      <c r="Q240" s="79">
        <v>0.475410941390146</v>
      </c>
      <c r="R240" s="80">
        <v>1</v>
      </c>
      <c r="S240" s="79">
        <v>0.586547983</v>
      </c>
      <c r="T240" s="79">
        <v>0.69421100800000002</v>
      </c>
      <c r="U240" s="79">
        <v>0.44219049700000002</v>
      </c>
      <c r="V240" s="79">
        <v>0.53188601000000002</v>
      </c>
      <c r="W240" s="79">
        <v>1</v>
      </c>
    </row>
    <row r="241" spans="1:23" x14ac:dyDescent="0.2">
      <c r="A241" s="69"/>
      <c r="B241" s="84" t="s">
        <v>2293</v>
      </c>
      <c r="C241" s="78">
        <v>5465</v>
      </c>
      <c r="D241" s="79">
        <v>0.93299632411300337</v>
      </c>
      <c r="E241" s="79">
        <v>7.5324109E-2</v>
      </c>
      <c r="F241" s="79">
        <v>0.35718551300000001</v>
      </c>
      <c r="G241" s="79">
        <v>0.87466935069364204</v>
      </c>
      <c r="H241" s="80">
        <v>1</v>
      </c>
      <c r="I241" s="79">
        <v>1.0612530822614263</v>
      </c>
      <c r="J241" s="79">
        <v>7.5772503052845802E-2</v>
      </c>
      <c r="K241" s="79">
        <v>0.43269388019323102</v>
      </c>
      <c r="L241" s="79">
        <v>0.86283771256104802</v>
      </c>
      <c r="M241" s="80">
        <v>1</v>
      </c>
      <c r="N241" s="79">
        <v>1.1085101464514193</v>
      </c>
      <c r="O241" s="79">
        <v>7.5558664749769702E-2</v>
      </c>
      <c r="P241" s="79">
        <v>0.17275556468412101</v>
      </c>
      <c r="Q241" s="79">
        <v>0.246045804247081</v>
      </c>
      <c r="R241" s="80">
        <v>1</v>
      </c>
      <c r="S241" s="79">
        <v>1.11631177</v>
      </c>
      <c r="T241" s="79">
        <v>7.4334426999999995E-2</v>
      </c>
      <c r="U241" s="79">
        <v>0.13881855300000001</v>
      </c>
      <c r="V241" s="79">
        <v>0.21055410699999999</v>
      </c>
      <c r="W241" s="79">
        <v>1</v>
      </c>
    </row>
    <row r="242" spans="1:23" x14ac:dyDescent="0.2">
      <c r="A242" s="69"/>
      <c r="B242" s="84" t="s">
        <v>2294</v>
      </c>
      <c r="C242" s="78">
        <v>5488</v>
      </c>
      <c r="D242" s="79">
        <v>0.98135816118592079</v>
      </c>
      <c r="E242" s="79">
        <v>0.12292482</v>
      </c>
      <c r="F242" s="79">
        <v>0.87833226200000003</v>
      </c>
      <c r="G242" s="79">
        <v>0.99075879153599999</v>
      </c>
      <c r="H242" s="80">
        <v>1</v>
      </c>
      <c r="I242" s="79">
        <v>1.1089133713719697</v>
      </c>
      <c r="J242" s="79">
        <v>0.125250947324409</v>
      </c>
      <c r="K242" s="79">
        <v>0.40915151667799499</v>
      </c>
      <c r="L242" s="79">
        <v>0.84287869263697301</v>
      </c>
      <c r="M242" s="80">
        <v>1</v>
      </c>
      <c r="N242" s="79">
        <v>1.0835009176603296</v>
      </c>
      <c r="O242" s="79">
        <v>0.12446039243646299</v>
      </c>
      <c r="P242" s="79">
        <v>0.51934154525989995</v>
      </c>
      <c r="Q242" s="79">
        <v>0.59810333914148806</v>
      </c>
      <c r="R242" s="80">
        <v>1</v>
      </c>
      <c r="S242" s="79">
        <v>1.2703088360000001</v>
      </c>
      <c r="T242" s="79">
        <v>0.12622080599999999</v>
      </c>
      <c r="U242" s="79">
        <v>5.8017267999999997E-2</v>
      </c>
      <c r="V242" s="79">
        <v>0.10462361000000001</v>
      </c>
      <c r="W242" s="79">
        <v>1</v>
      </c>
    </row>
    <row r="243" spans="1:23" x14ac:dyDescent="0.2">
      <c r="A243" s="69"/>
      <c r="B243" s="84" t="s">
        <v>2295</v>
      </c>
      <c r="C243" s="78">
        <v>5462</v>
      </c>
      <c r="D243" s="79">
        <v>1.0025389135961427</v>
      </c>
      <c r="E243" s="79">
        <v>0.10385264700000001</v>
      </c>
      <c r="F243" s="79">
        <v>0.98052055999999999</v>
      </c>
      <c r="G243" s="79">
        <v>0.99304117369513201</v>
      </c>
      <c r="H243" s="80">
        <v>1</v>
      </c>
      <c r="I243" s="79">
        <v>1.0073008380148578</v>
      </c>
      <c r="J243" s="79">
        <v>0.104657192306474</v>
      </c>
      <c r="K243" s="79">
        <v>0.94458675727064201</v>
      </c>
      <c r="L243" s="79">
        <v>0.98413841952088998</v>
      </c>
      <c r="M243" s="80">
        <v>1</v>
      </c>
      <c r="N243" s="79">
        <v>1.0004038991724333</v>
      </c>
      <c r="O243" s="79">
        <v>0.103020782193361</v>
      </c>
      <c r="P243" s="79">
        <v>0.99687248516150995</v>
      </c>
      <c r="Q243" s="79">
        <v>0.99687248516150995</v>
      </c>
      <c r="R243" s="80">
        <v>1</v>
      </c>
      <c r="S243" s="79">
        <v>1.145102302</v>
      </c>
      <c r="T243" s="79">
        <v>0.103459475</v>
      </c>
      <c r="U243" s="79">
        <v>0.19031989599999999</v>
      </c>
      <c r="V243" s="79">
        <v>0.27269800300000002</v>
      </c>
      <c r="W243" s="79">
        <v>1</v>
      </c>
    </row>
    <row r="244" spans="1:23" x14ac:dyDescent="0.2">
      <c r="A244" s="69"/>
      <c r="B244" s="84" t="s">
        <v>2296</v>
      </c>
      <c r="C244" s="78">
        <v>5461</v>
      </c>
      <c r="D244" s="79">
        <v>0.88778776494158751</v>
      </c>
      <c r="E244" s="79">
        <v>0.14672789999999999</v>
      </c>
      <c r="F244" s="79">
        <v>0.41726297299999998</v>
      </c>
      <c r="G244" s="79">
        <v>0.89158896436589397</v>
      </c>
      <c r="H244" s="80">
        <v>1</v>
      </c>
      <c r="I244" s="79">
        <v>0.99905726578612375</v>
      </c>
      <c r="J244" s="79">
        <v>0.142730716620148</v>
      </c>
      <c r="K244" s="79">
        <v>0.99472753730101104</v>
      </c>
      <c r="L244" s="79">
        <v>0.99551202274052297</v>
      </c>
      <c r="M244" s="80">
        <v>1</v>
      </c>
      <c r="N244" s="79">
        <v>0.99292130655436339</v>
      </c>
      <c r="O244" s="79">
        <v>0.14322111946893001</v>
      </c>
      <c r="P244" s="79">
        <v>0.960440597259963</v>
      </c>
      <c r="Q244" s="79">
        <v>0.968838726488786</v>
      </c>
      <c r="R244" s="80">
        <v>1</v>
      </c>
      <c r="S244" s="79">
        <v>1.081305739</v>
      </c>
      <c r="T244" s="79">
        <v>0.14064660700000001</v>
      </c>
      <c r="U244" s="79">
        <v>0.57835758100000001</v>
      </c>
      <c r="V244" s="79">
        <v>0.65122960900000004</v>
      </c>
      <c r="W244" s="79">
        <v>1</v>
      </c>
    </row>
    <row r="245" spans="1:23" x14ac:dyDescent="0.2">
      <c r="A245" s="69"/>
      <c r="B245" s="84" t="s">
        <v>2297</v>
      </c>
      <c r="C245" s="78">
        <v>5397</v>
      </c>
      <c r="D245" s="79">
        <v>0.9943079653653365</v>
      </c>
      <c r="E245" s="79">
        <v>8.5496138999999999E-2</v>
      </c>
      <c r="F245" s="79">
        <v>0.94676742599999997</v>
      </c>
      <c r="G245" s="79">
        <v>0.991673151733656</v>
      </c>
      <c r="H245" s="80">
        <v>1</v>
      </c>
      <c r="I245" s="79">
        <v>0.96911795989619132</v>
      </c>
      <c r="J245" s="79">
        <v>8.50563414700794E-2</v>
      </c>
      <c r="K245" s="79">
        <v>0.71227538380494204</v>
      </c>
      <c r="L245" s="79">
        <v>0.93958156138094695</v>
      </c>
      <c r="M245" s="80">
        <v>1</v>
      </c>
      <c r="N245" s="79">
        <v>1.2680414269815286</v>
      </c>
      <c r="O245" s="79">
        <v>8.4253281302010805E-2</v>
      </c>
      <c r="P245" s="79">
        <v>4.8238527669896298E-3</v>
      </c>
      <c r="Q245" s="79">
        <v>1.30355704208576E-2</v>
      </c>
      <c r="R245" s="80">
        <v>1</v>
      </c>
      <c r="S245" s="79">
        <v>1.299532589</v>
      </c>
      <c r="T245" s="79">
        <v>8.8549971000000005E-2</v>
      </c>
      <c r="U245" s="79">
        <v>3.0880550000000001E-3</v>
      </c>
      <c r="V245" s="79">
        <v>1.0648756000000001E-2</v>
      </c>
      <c r="W245" s="79">
        <v>1</v>
      </c>
    </row>
    <row r="246" spans="1:23" x14ac:dyDescent="0.2">
      <c r="A246" s="69"/>
      <c r="B246" s="84" t="s">
        <v>2298</v>
      </c>
      <c r="C246" s="78">
        <v>5457</v>
      </c>
      <c r="D246" s="79">
        <v>0.86028281856523559</v>
      </c>
      <c r="E246" s="79">
        <v>9.1828490999999998E-2</v>
      </c>
      <c r="F246" s="79">
        <v>0.101242317</v>
      </c>
      <c r="G246" s="79">
        <v>0.61409274316589901</v>
      </c>
      <c r="H246" s="80">
        <v>1</v>
      </c>
      <c r="I246" s="79">
        <v>0.94027294597288535</v>
      </c>
      <c r="J246" s="79">
        <v>9.1505184864104597E-2</v>
      </c>
      <c r="K246" s="79">
        <v>0.50093277141774095</v>
      </c>
      <c r="L246" s="79">
        <v>0.88650784260657001</v>
      </c>
      <c r="M246" s="80">
        <v>1</v>
      </c>
      <c r="N246" s="79">
        <v>1.1412694548742219</v>
      </c>
      <c r="O246" s="79">
        <v>9.14401292741268E-2</v>
      </c>
      <c r="P246" s="79">
        <v>0.14842651587111799</v>
      </c>
      <c r="Q246" s="79">
        <v>0.216996830230932</v>
      </c>
      <c r="R246" s="80">
        <v>1</v>
      </c>
      <c r="S246" s="79">
        <v>1.153480252</v>
      </c>
      <c r="T246" s="79">
        <v>9.1721498999999998E-2</v>
      </c>
      <c r="U246" s="79">
        <v>0.11953960199999999</v>
      </c>
      <c r="V246" s="79">
        <v>0.18797491299999999</v>
      </c>
      <c r="W246" s="79">
        <v>1</v>
      </c>
    </row>
    <row r="247" spans="1:23" x14ac:dyDescent="0.2">
      <c r="A247" s="69"/>
      <c r="B247" s="84" t="s">
        <v>2299</v>
      </c>
      <c r="C247" s="78">
        <v>5433</v>
      </c>
      <c r="D247" s="79">
        <v>0.91423693816026486</v>
      </c>
      <c r="E247" s="79">
        <v>8.9116902999999997E-2</v>
      </c>
      <c r="F247" s="79">
        <v>0.31434051899999998</v>
      </c>
      <c r="G247" s="79">
        <v>0.85138679101263204</v>
      </c>
      <c r="H247" s="80">
        <v>1</v>
      </c>
      <c r="I247" s="79">
        <v>1.0154428571313705</v>
      </c>
      <c r="J247" s="79">
        <v>8.9420519104659493E-2</v>
      </c>
      <c r="K247" s="79">
        <v>0.863925496666341</v>
      </c>
      <c r="L247" s="79">
        <v>0.97191618374963396</v>
      </c>
      <c r="M247" s="80">
        <v>1</v>
      </c>
      <c r="N247" s="79">
        <v>0.97179054325861358</v>
      </c>
      <c r="O247" s="79">
        <v>8.8590198152200497E-2</v>
      </c>
      <c r="P247" s="79">
        <v>0.74669221399443797</v>
      </c>
      <c r="Q247" s="79">
        <v>0.79693222839271805</v>
      </c>
      <c r="R247" s="80">
        <v>1</v>
      </c>
      <c r="S247" s="79">
        <v>1.093544984</v>
      </c>
      <c r="T247" s="79">
        <v>8.8756002000000001E-2</v>
      </c>
      <c r="U247" s="79">
        <v>0.31367818400000003</v>
      </c>
      <c r="V247" s="79">
        <v>0.40494162299999997</v>
      </c>
      <c r="W247" s="79">
        <v>1</v>
      </c>
    </row>
    <row r="248" spans="1:23" x14ac:dyDescent="0.2">
      <c r="A248" s="69"/>
      <c r="B248" s="84" t="s">
        <v>2300</v>
      </c>
      <c r="C248" s="78">
        <v>5467</v>
      </c>
      <c r="D248" s="79">
        <v>1.093251369503224</v>
      </c>
      <c r="E248" s="79">
        <v>0.126232925</v>
      </c>
      <c r="F248" s="79">
        <v>0.48001218899999998</v>
      </c>
      <c r="G248" s="79">
        <v>0.92480395001517501</v>
      </c>
      <c r="H248" s="80">
        <v>1</v>
      </c>
      <c r="I248" s="79">
        <v>1.0638800385269624</v>
      </c>
      <c r="J248" s="79">
        <v>0.126924084119797</v>
      </c>
      <c r="K248" s="79">
        <v>0.62564088772349902</v>
      </c>
      <c r="L248" s="79">
        <v>0.91965825061269202</v>
      </c>
      <c r="M248" s="80">
        <v>1</v>
      </c>
      <c r="N248" s="79">
        <v>1.0187710890676407</v>
      </c>
      <c r="O248" s="79">
        <v>0.12764140381341599</v>
      </c>
      <c r="P248" s="79">
        <v>0.88415986813256298</v>
      </c>
      <c r="Q248" s="79">
        <v>0.90703223335507099</v>
      </c>
      <c r="R248" s="80">
        <v>1</v>
      </c>
      <c r="S248" s="79">
        <v>1.0501808619999999</v>
      </c>
      <c r="T248" s="79">
        <v>0.125799986</v>
      </c>
      <c r="U248" s="79">
        <v>0.69712206399999999</v>
      </c>
      <c r="V248" s="79">
        <v>0.75870317200000004</v>
      </c>
      <c r="W248" s="79">
        <v>1</v>
      </c>
    </row>
    <row r="249" spans="1:23" x14ac:dyDescent="0.2">
      <c r="A249" s="69"/>
      <c r="B249" s="84" t="s">
        <v>2301</v>
      </c>
      <c r="C249" s="78">
        <v>5469</v>
      </c>
      <c r="D249" s="79">
        <v>1.0734683318556668</v>
      </c>
      <c r="E249" s="79">
        <v>7.0332962999999998E-2</v>
      </c>
      <c r="F249" s="79">
        <v>0.31345984500000001</v>
      </c>
      <c r="G249" s="79">
        <v>0.85138679101263204</v>
      </c>
      <c r="H249" s="80">
        <v>1</v>
      </c>
      <c r="I249" s="79">
        <v>1.0157400082083343</v>
      </c>
      <c r="J249" s="79">
        <v>6.95587536961563E-2</v>
      </c>
      <c r="K249" s="79">
        <v>0.82235172659096101</v>
      </c>
      <c r="L249" s="79">
        <v>0.96329235519434897</v>
      </c>
      <c r="M249" s="80">
        <v>1</v>
      </c>
      <c r="N249" s="79">
        <v>0.9798157471740212</v>
      </c>
      <c r="O249" s="79">
        <v>6.9089371715416306E-2</v>
      </c>
      <c r="P249" s="79">
        <v>0.76789024117882998</v>
      </c>
      <c r="Q249" s="79">
        <v>0.81398524184744203</v>
      </c>
      <c r="R249" s="80">
        <v>1</v>
      </c>
      <c r="S249" s="79">
        <v>1.1241624800000001</v>
      </c>
      <c r="T249" s="79">
        <v>6.9461552999999995E-2</v>
      </c>
      <c r="U249" s="79">
        <v>9.2000850999999995E-2</v>
      </c>
      <c r="V249" s="79">
        <v>0.15321401600000001</v>
      </c>
      <c r="W249" s="79">
        <v>1</v>
      </c>
    </row>
    <row r="250" spans="1:23" x14ac:dyDescent="0.2">
      <c r="A250" s="69"/>
      <c r="B250" s="84" t="s">
        <v>648</v>
      </c>
      <c r="C250" s="78">
        <v>5222</v>
      </c>
      <c r="D250" s="79">
        <v>3.4595540000000001E-3</v>
      </c>
      <c r="E250" s="79">
        <v>9.8247019999999994E-3</v>
      </c>
      <c r="F250" s="79">
        <v>0.72476596699999996</v>
      </c>
      <c r="G250" s="79">
        <v>0.98545101377932998</v>
      </c>
      <c r="H250" s="80">
        <v>1</v>
      </c>
      <c r="I250" s="79">
        <v>8.4973109575065108E-3</v>
      </c>
      <c r="J250" s="79">
        <v>9.9888111603527105E-3</v>
      </c>
      <c r="K250" s="79">
        <v>0.39500732927488902</v>
      </c>
      <c r="L250" s="79">
        <v>0.83369555356615399</v>
      </c>
      <c r="M250" s="80">
        <v>1</v>
      </c>
      <c r="N250" s="79">
        <v>7.7040973600499899E-3</v>
      </c>
      <c r="O250" s="79">
        <v>9.8141865272758297E-3</v>
      </c>
      <c r="P250" s="79">
        <v>0.432515374533887</v>
      </c>
      <c r="Q250" s="79">
        <v>0.51633302942944703</v>
      </c>
      <c r="R250" s="80">
        <v>1</v>
      </c>
      <c r="S250" s="79">
        <v>2.9534230000000002E-3</v>
      </c>
      <c r="T250" s="79">
        <v>9.7506020000000006E-3</v>
      </c>
      <c r="U250" s="79">
        <v>0.76198877899999995</v>
      </c>
      <c r="V250" s="79">
        <v>0.80917469500000005</v>
      </c>
      <c r="W250" s="79">
        <v>1</v>
      </c>
    </row>
    <row r="251" spans="1:23" x14ac:dyDescent="0.2">
      <c r="A251" s="69"/>
      <c r="B251" s="84" t="s">
        <v>2302</v>
      </c>
      <c r="C251" s="78">
        <v>1109</v>
      </c>
      <c r="D251" s="79">
        <v>1.4647533000000001E-2</v>
      </c>
      <c r="E251" s="79">
        <v>1.5834758000000001E-2</v>
      </c>
      <c r="F251" s="79">
        <v>0.35544484300000001</v>
      </c>
      <c r="G251" s="79">
        <v>0.87466935069364204</v>
      </c>
      <c r="H251" s="80">
        <v>1</v>
      </c>
      <c r="I251" s="79">
        <v>2.60538060301456E-2</v>
      </c>
      <c r="J251" s="79">
        <v>1.5882190789384201E-2</v>
      </c>
      <c r="K251" s="79">
        <v>0.101582649369321</v>
      </c>
      <c r="L251" s="79">
        <v>0.61793044758930804</v>
      </c>
      <c r="M251" s="80">
        <v>1</v>
      </c>
      <c r="N251" s="79">
        <v>1.0233433762686726</v>
      </c>
      <c r="O251" s="79">
        <v>1.6624843157796099E-2</v>
      </c>
      <c r="P251" s="79">
        <v>0.16580672494548299</v>
      </c>
      <c r="Q251" s="79">
        <v>0.237213905248949</v>
      </c>
      <c r="R251" s="80">
        <v>1</v>
      </c>
      <c r="S251" s="79">
        <v>1.0314634899999999</v>
      </c>
      <c r="T251" s="79">
        <v>1.7048159E-2</v>
      </c>
      <c r="U251" s="79">
        <v>6.9819848000000004E-2</v>
      </c>
      <c r="V251" s="79">
        <v>0.12114641900000001</v>
      </c>
      <c r="W251" s="79">
        <v>1</v>
      </c>
    </row>
    <row r="252" spans="1:23" x14ac:dyDescent="0.2">
      <c r="A252" s="69"/>
      <c r="B252" s="84" t="s">
        <v>2303</v>
      </c>
      <c r="C252" s="78">
        <v>5526</v>
      </c>
      <c r="D252" s="79">
        <v>1.0170574895162856</v>
      </c>
      <c r="E252" s="79">
        <v>6.9520502999999997E-2</v>
      </c>
      <c r="F252" s="79">
        <v>0.80778074399999999</v>
      </c>
      <c r="G252" s="79">
        <v>0.98545101377932998</v>
      </c>
      <c r="H252" s="80">
        <v>1</v>
      </c>
      <c r="I252" s="79">
        <v>1.1062523268903186</v>
      </c>
      <c r="J252" s="79">
        <v>6.9116192940807397E-2</v>
      </c>
      <c r="K252" s="79">
        <v>0.14401836835217099</v>
      </c>
      <c r="L252" s="79">
        <v>0.65956690204113599</v>
      </c>
      <c r="M252" s="80">
        <v>1</v>
      </c>
      <c r="N252" s="79">
        <v>1.1118374644924254</v>
      </c>
      <c r="O252" s="79">
        <v>6.8948343554955993E-2</v>
      </c>
      <c r="P252" s="79">
        <v>0.124149828894406</v>
      </c>
      <c r="Q252" s="79">
        <v>0.18644512765325599</v>
      </c>
      <c r="R252" s="80">
        <v>1</v>
      </c>
      <c r="S252" s="79">
        <v>1.1673506890000001</v>
      </c>
      <c r="T252" s="79">
        <v>6.9328661999999999E-2</v>
      </c>
      <c r="U252" s="79">
        <v>2.5619501999999999E-2</v>
      </c>
      <c r="V252" s="79">
        <v>5.3209735000000001E-2</v>
      </c>
      <c r="W252" s="79">
        <v>1</v>
      </c>
    </row>
    <row r="253" spans="1:23" x14ac:dyDescent="0.2">
      <c r="A253" s="69"/>
      <c r="B253" s="84" t="s">
        <v>2304</v>
      </c>
      <c r="C253" s="78">
        <v>5523</v>
      </c>
      <c r="D253" s="79">
        <v>0.97605928069162218</v>
      </c>
      <c r="E253" s="79">
        <v>4.7341873E-2</v>
      </c>
      <c r="F253" s="79">
        <v>0.60875572600000005</v>
      </c>
      <c r="G253" s="79">
        <v>0.96049373783807201</v>
      </c>
      <c r="H253" s="80">
        <v>1</v>
      </c>
      <c r="I253" s="79">
        <v>0.98697771694280756</v>
      </c>
      <c r="J253" s="79">
        <v>4.7233894031255899E-2</v>
      </c>
      <c r="K253" s="79">
        <v>0.781389529229922</v>
      </c>
      <c r="L253" s="79">
        <v>0.95813246455571699</v>
      </c>
      <c r="M253" s="80">
        <v>1</v>
      </c>
      <c r="N253" s="79">
        <v>1.0959405795483397</v>
      </c>
      <c r="O253" s="79">
        <v>4.6946394563646299E-2</v>
      </c>
      <c r="P253" s="79">
        <v>5.1004982526071899E-2</v>
      </c>
      <c r="Q253" s="79">
        <v>9.0146689172124303E-2</v>
      </c>
      <c r="R253" s="80">
        <v>1</v>
      </c>
      <c r="S253" s="79">
        <v>1.027074292</v>
      </c>
      <c r="T253" s="79">
        <v>4.6971230000000003E-2</v>
      </c>
      <c r="U253" s="79">
        <v>0.569534761</v>
      </c>
      <c r="V253" s="79">
        <v>0.64530322399999995</v>
      </c>
      <c r="W253" s="79">
        <v>1</v>
      </c>
    </row>
    <row r="254" spans="1:23" x14ac:dyDescent="0.2">
      <c r="A254" s="69"/>
      <c r="B254" s="84" t="s">
        <v>2305</v>
      </c>
      <c r="C254" s="78">
        <v>5459</v>
      </c>
      <c r="D254" s="79">
        <v>1.0248387693268479</v>
      </c>
      <c r="E254" s="79">
        <v>7.4879405999999996E-2</v>
      </c>
      <c r="F254" s="79">
        <v>0.74316556099999997</v>
      </c>
      <c r="G254" s="79">
        <v>0.98545101377932998</v>
      </c>
      <c r="H254" s="80">
        <v>1</v>
      </c>
      <c r="I254" s="79">
        <v>0.97333144958238493</v>
      </c>
      <c r="J254" s="79">
        <v>7.4091131424419795E-2</v>
      </c>
      <c r="K254" s="79">
        <v>0.71523891136289197</v>
      </c>
      <c r="L254" s="79">
        <v>0.94020026790226197</v>
      </c>
      <c r="M254" s="80">
        <v>1</v>
      </c>
      <c r="N254" s="79">
        <v>1.3321414268594045</v>
      </c>
      <c r="O254" s="79">
        <v>7.4220227136351694E-2</v>
      </c>
      <c r="P254" s="79">
        <v>1.11540387691601E-4</v>
      </c>
      <c r="Q254" s="79">
        <v>6.4632306840475698E-4</v>
      </c>
      <c r="R254" s="80">
        <v>0.14154475198064201</v>
      </c>
      <c r="S254" s="79">
        <v>1.270923902</v>
      </c>
      <c r="T254" s="79">
        <v>7.4044604999999999E-2</v>
      </c>
      <c r="U254" s="79">
        <v>1.2044099999999999E-3</v>
      </c>
      <c r="V254" s="79">
        <v>5.2163690000000002E-3</v>
      </c>
      <c r="W254" s="79">
        <v>1</v>
      </c>
    </row>
    <row r="255" spans="1:23" x14ac:dyDescent="0.2">
      <c r="A255" s="69"/>
      <c r="B255" s="84" t="s">
        <v>2306</v>
      </c>
      <c r="C255" s="78">
        <v>5462</v>
      </c>
      <c r="D255" s="79">
        <v>0.99855224700695533</v>
      </c>
      <c r="E255" s="79">
        <v>6.4807399000000002E-2</v>
      </c>
      <c r="F255" s="79">
        <v>0.98216437099999998</v>
      </c>
      <c r="G255" s="79">
        <v>0.99355472541428602</v>
      </c>
      <c r="H255" s="80">
        <v>1</v>
      </c>
      <c r="I255" s="79">
        <v>0.93196684175095168</v>
      </c>
      <c r="J255" s="79">
        <v>6.392828322836E-2</v>
      </c>
      <c r="K255" s="79">
        <v>0.27039996620067602</v>
      </c>
      <c r="L255" s="79">
        <v>0.76252790468590603</v>
      </c>
      <c r="M255" s="80">
        <v>1</v>
      </c>
      <c r="N255" s="79">
        <v>1.1705840355974622</v>
      </c>
      <c r="O255" s="79">
        <v>6.4031521216258505E-2</v>
      </c>
      <c r="P255" s="79">
        <v>1.3902617030481E-2</v>
      </c>
      <c r="Q255" s="79">
        <v>3.1115380972981301E-2</v>
      </c>
      <c r="R255" s="80">
        <v>1</v>
      </c>
      <c r="S255" s="79">
        <v>1.199205174</v>
      </c>
      <c r="T255" s="79">
        <v>6.4062885E-2</v>
      </c>
      <c r="U255" s="79">
        <v>4.5734629999999998E-3</v>
      </c>
      <c r="V255" s="79">
        <v>1.4365655E-2</v>
      </c>
      <c r="W255" s="79">
        <v>1</v>
      </c>
    </row>
    <row r="256" spans="1:23" x14ac:dyDescent="0.2">
      <c r="A256" s="69"/>
      <c r="B256" s="84" t="s">
        <v>2307</v>
      </c>
      <c r="C256" s="78">
        <v>5474</v>
      </c>
      <c r="D256" s="79">
        <v>0.9829595669303518</v>
      </c>
      <c r="E256" s="79">
        <v>4.1088706000000003E-2</v>
      </c>
      <c r="F256" s="79">
        <v>0.67572982400000003</v>
      </c>
      <c r="G256" s="79">
        <v>0.98545101377932998</v>
      </c>
      <c r="H256" s="80">
        <v>1</v>
      </c>
      <c r="I256" s="79">
        <v>1.0133044550401877</v>
      </c>
      <c r="J256" s="79">
        <v>4.0980709349159199E-2</v>
      </c>
      <c r="K256" s="79">
        <v>0.74706563397082604</v>
      </c>
      <c r="L256" s="79">
        <v>0.95183362400499805</v>
      </c>
      <c r="M256" s="80">
        <v>1</v>
      </c>
      <c r="N256" s="79">
        <v>1.027291803724395</v>
      </c>
      <c r="O256" s="79">
        <v>4.07976396448997E-2</v>
      </c>
      <c r="P256" s="79">
        <v>0.50926042665825499</v>
      </c>
      <c r="Q256" s="79">
        <v>0.59018400130532001</v>
      </c>
      <c r="R256" s="80">
        <v>1</v>
      </c>
      <c r="S256" s="79">
        <v>1.1151318509999999</v>
      </c>
      <c r="T256" s="79">
        <v>4.0986771999999998E-2</v>
      </c>
      <c r="U256" s="79">
        <v>7.8436419999999996E-3</v>
      </c>
      <c r="V256" s="79">
        <v>2.1705858000000001E-2</v>
      </c>
      <c r="W256" s="79">
        <v>1</v>
      </c>
    </row>
    <row r="257" spans="1:23" x14ac:dyDescent="0.2">
      <c r="A257" s="69"/>
      <c r="B257" s="84" t="s">
        <v>2308</v>
      </c>
      <c r="C257" s="78">
        <v>5464</v>
      </c>
      <c r="D257" s="79">
        <v>1.0733545631232768</v>
      </c>
      <c r="E257" s="79">
        <v>4.9055207000000003E-2</v>
      </c>
      <c r="F257" s="79">
        <v>0.14900792099999999</v>
      </c>
      <c r="G257" s="79">
        <v>0.67644481499999998</v>
      </c>
      <c r="H257" s="80">
        <v>1</v>
      </c>
      <c r="I257" s="79">
        <v>1.0401348831329333</v>
      </c>
      <c r="J257" s="79">
        <v>4.8662516663247002E-2</v>
      </c>
      <c r="K257" s="79">
        <v>0.41872292839810998</v>
      </c>
      <c r="L257" s="79">
        <v>0.85101956515575605</v>
      </c>
      <c r="M257" s="80">
        <v>1</v>
      </c>
      <c r="N257" s="79">
        <v>1.2195570524839012</v>
      </c>
      <c r="O257" s="79">
        <v>4.9065425904855797E-2</v>
      </c>
      <c r="P257" s="79">
        <v>5.22409169277061E-5</v>
      </c>
      <c r="Q257" s="79">
        <v>3.3996781323722598E-4</v>
      </c>
      <c r="R257" s="80">
        <v>6.6293723581258998E-2</v>
      </c>
      <c r="S257" s="79">
        <v>1.167122545</v>
      </c>
      <c r="T257" s="79">
        <v>4.8971958000000003E-2</v>
      </c>
      <c r="U257" s="79">
        <v>1.6010729999999999E-3</v>
      </c>
      <c r="V257" s="79">
        <v>6.5752809999999997E-3</v>
      </c>
      <c r="W257" s="79">
        <v>1</v>
      </c>
    </row>
    <row r="258" spans="1:23" ht="15" customHeight="1" x14ac:dyDescent="0.2">
      <c r="A258" s="69"/>
      <c r="B258" s="84" t="s">
        <v>2309</v>
      </c>
      <c r="C258" s="78">
        <v>5409</v>
      </c>
      <c r="D258" s="79">
        <v>1.0041734918614118</v>
      </c>
      <c r="E258" s="79">
        <v>8.1428582999999999E-2</v>
      </c>
      <c r="F258" s="79">
        <v>0.959208587</v>
      </c>
      <c r="G258" s="79">
        <v>0.991673151733656</v>
      </c>
      <c r="H258" s="80">
        <v>1</v>
      </c>
      <c r="I258" s="79">
        <v>1.0152176545416332</v>
      </c>
      <c r="J258" s="79">
        <v>7.9340982948959596E-2</v>
      </c>
      <c r="K258" s="79">
        <v>0.84903022026868602</v>
      </c>
      <c r="L258" s="79">
        <v>0.96964513668720897</v>
      </c>
      <c r="M258" s="80">
        <v>1</v>
      </c>
      <c r="N258" s="79">
        <v>1.0964266844205939</v>
      </c>
      <c r="O258" s="79">
        <v>8.0304980214570804E-2</v>
      </c>
      <c r="P258" s="79">
        <v>0.25165649486707697</v>
      </c>
      <c r="Q258" s="79">
        <v>0.33162211005848502</v>
      </c>
      <c r="R258" s="80">
        <v>1</v>
      </c>
      <c r="S258" s="79">
        <v>1.114338952</v>
      </c>
      <c r="T258" s="79">
        <v>7.9709369000000002E-2</v>
      </c>
      <c r="U258" s="79">
        <v>0.174399848</v>
      </c>
      <c r="V258" s="79">
        <v>0.253219001</v>
      </c>
      <c r="W258" s="79">
        <v>1</v>
      </c>
    </row>
    <row r="259" spans="1:23" x14ac:dyDescent="0.2">
      <c r="A259" s="69"/>
      <c r="B259" s="56" t="s">
        <v>649</v>
      </c>
      <c r="C259" s="78">
        <v>5392</v>
      </c>
      <c r="D259" s="79">
        <v>1.5368735999999999E-2</v>
      </c>
      <c r="E259" s="79">
        <v>1.1908336E-2</v>
      </c>
      <c r="F259" s="79">
        <v>0.19690450900000001</v>
      </c>
      <c r="G259" s="79">
        <v>0.732514271634783</v>
      </c>
      <c r="H259" s="80">
        <v>1</v>
      </c>
      <c r="I259" s="79">
        <v>2.1531513427138101E-2</v>
      </c>
      <c r="J259" s="79">
        <v>1.19717865251792E-2</v>
      </c>
      <c r="K259" s="79">
        <v>7.2151625418624105E-2</v>
      </c>
      <c r="L259" s="79">
        <v>0.57459637698370203</v>
      </c>
      <c r="M259" s="80">
        <v>1</v>
      </c>
      <c r="N259" s="79">
        <v>3.9464712279814698E-2</v>
      </c>
      <c r="O259" s="79">
        <v>1.1822647617663599E-2</v>
      </c>
      <c r="P259" s="79">
        <v>8.4956460757006796E-4</v>
      </c>
      <c r="Q259" s="79">
        <v>3.17087496178358E-3</v>
      </c>
      <c r="R259" s="80">
        <v>1</v>
      </c>
      <c r="S259" s="79">
        <v>2.8041514E-2</v>
      </c>
      <c r="T259" s="79">
        <v>1.1800221E-2</v>
      </c>
      <c r="U259" s="79">
        <v>1.7520449E-2</v>
      </c>
      <c r="V259" s="79">
        <v>3.9631817E-2</v>
      </c>
      <c r="W259" s="79">
        <v>1</v>
      </c>
    </row>
    <row r="260" spans="1:23" x14ac:dyDescent="0.2">
      <c r="A260" s="69"/>
      <c r="B260" s="56" t="s">
        <v>650</v>
      </c>
      <c r="C260" s="78">
        <v>5073</v>
      </c>
      <c r="D260" s="79">
        <v>-4.2686549999999997E-3</v>
      </c>
      <c r="E260" s="79">
        <v>1.4508917E-2</v>
      </c>
      <c r="F260" s="79">
        <v>0.76861049599999998</v>
      </c>
      <c r="G260" s="79">
        <v>0.98545101377932998</v>
      </c>
      <c r="H260" s="80">
        <v>1</v>
      </c>
      <c r="I260" s="79">
        <v>-1.03404794949131E-3</v>
      </c>
      <c r="J260" s="79">
        <v>1.44941130290569E-2</v>
      </c>
      <c r="K260" s="79">
        <v>0.94312793973640097</v>
      </c>
      <c r="L260" s="79">
        <v>0.98413841952088998</v>
      </c>
      <c r="M260" s="80">
        <v>1</v>
      </c>
      <c r="N260" s="79">
        <v>2.7451229943792298E-2</v>
      </c>
      <c r="O260" s="79">
        <v>1.43990414760609E-2</v>
      </c>
      <c r="P260" s="79">
        <v>5.6648211370312097E-2</v>
      </c>
      <c r="Q260" s="79">
        <v>9.8700067930531904E-2</v>
      </c>
      <c r="R260" s="80">
        <v>1</v>
      </c>
      <c r="S260" s="79">
        <v>1.3130397E-2</v>
      </c>
      <c r="T260" s="79">
        <v>1.4273877000000001E-2</v>
      </c>
      <c r="U260" s="79">
        <v>0.35767520600000002</v>
      </c>
      <c r="V260" s="79">
        <v>0.45028753599999999</v>
      </c>
      <c r="W260" s="79">
        <v>1</v>
      </c>
    </row>
    <row r="261" spans="1:23" x14ac:dyDescent="0.2">
      <c r="A261" s="69"/>
      <c r="B261" s="56" t="s">
        <v>651</v>
      </c>
      <c r="C261" s="78">
        <v>5158</v>
      </c>
      <c r="D261" s="79">
        <v>1.14708E-4</v>
      </c>
      <c r="E261" s="79">
        <v>1.4355819000000001E-2</v>
      </c>
      <c r="F261" s="79">
        <v>0.99362501000000003</v>
      </c>
      <c r="G261" s="79">
        <v>0.99538600326677196</v>
      </c>
      <c r="H261" s="80">
        <v>1</v>
      </c>
      <c r="I261" s="79">
        <v>-2.32535943621782E-2</v>
      </c>
      <c r="J261" s="79">
        <v>1.4225498640781599E-2</v>
      </c>
      <c r="K261" s="79">
        <v>0.102189048022857</v>
      </c>
      <c r="L261" s="79">
        <v>0.61793044758930804</v>
      </c>
      <c r="M261" s="80">
        <v>1</v>
      </c>
      <c r="N261" s="79">
        <v>-1.6733670554823499E-2</v>
      </c>
      <c r="O261" s="79">
        <v>1.4183117549093001E-2</v>
      </c>
      <c r="P261" s="79">
        <v>0.238125752031593</v>
      </c>
      <c r="Q261" s="79">
        <v>0.31675217958919499</v>
      </c>
      <c r="R261" s="80">
        <v>1</v>
      </c>
      <c r="S261" s="79">
        <v>1.4240769999999999E-3</v>
      </c>
      <c r="T261" s="79">
        <v>1.4157411E-2</v>
      </c>
      <c r="U261" s="79">
        <v>0.91988097300000005</v>
      </c>
      <c r="V261" s="79">
        <v>0.94065825599999997</v>
      </c>
      <c r="W261" s="79">
        <v>1</v>
      </c>
    </row>
    <row r="262" spans="1:23" x14ac:dyDescent="0.2">
      <c r="A262" s="69"/>
      <c r="B262" s="56" t="s">
        <v>652</v>
      </c>
      <c r="C262" s="78">
        <v>5459</v>
      </c>
      <c r="D262" s="79">
        <v>1.990604E-2</v>
      </c>
      <c r="E262" s="79">
        <v>1.2173485E-2</v>
      </c>
      <c r="F262" s="79">
        <v>0.102081675</v>
      </c>
      <c r="G262" s="79">
        <v>0.61409274316589901</v>
      </c>
      <c r="H262" s="80">
        <v>1</v>
      </c>
      <c r="I262" s="79">
        <v>1.1887132797483199E-2</v>
      </c>
      <c r="J262" s="79">
        <v>1.2263113494496901E-2</v>
      </c>
      <c r="K262" s="79">
        <v>0.33242823632178797</v>
      </c>
      <c r="L262" s="79">
        <v>0.79366538468944703</v>
      </c>
      <c r="M262" s="80">
        <v>1</v>
      </c>
      <c r="N262" s="79">
        <v>-2.6822425824413298E-2</v>
      </c>
      <c r="O262" s="79">
        <v>1.2090387615034E-2</v>
      </c>
      <c r="P262" s="79">
        <v>2.6573257774924901E-2</v>
      </c>
      <c r="Q262" s="79">
        <v>5.20392964758946E-2</v>
      </c>
      <c r="R262" s="80">
        <v>1</v>
      </c>
      <c r="S262" s="79">
        <v>-1.9183075000000001E-2</v>
      </c>
      <c r="T262" s="79">
        <v>1.2040054999999999E-2</v>
      </c>
      <c r="U262" s="79">
        <v>0.111172193</v>
      </c>
      <c r="V262" s="79">
        <v>0.17835336600000001</v>
      </c>
      <c r="W262" s="79">
        <v>1</v>
      </c>
    </row>
    <row r="263" spans="1:23" x14ac:dyDescent="0.2">
      <c r="A263" s="69"/>
      <c r="B263" s="56" t="s">
        <v>653</v>
      </c>
      <c r="C263" s="78">
        <v>5002</v>
      </c>
      <c r="D263" s="79">
        <v>2.0801839999999999E-2</v>
      </c>
      <c r="E263" s="79">
        <v>1.4540722000000001E-2</v>
      </c>
      <c r="F263" s="79">
        <v>0.152610044</v>
      </c>
      <c r="G263" s="79">
        <v>0.68012823474564499</v>
      </c>
      <c r="H263" s="80">
        <v>1</v>
      </c>
      <c r="I263" s="79">
        <v>-7.6440528619396301E-3</v>
      </c>
      <c r="J263" s="79">
        <v>1.4530331584263799E-2</v>
      </c>
      <c r="K263" s="79">
        <v>0.59885908953765199</v>
      </c>
      <c r="L263" s="79">
        <v>0.91965825061269202</v>
      </c>
      <c r="M263" s="80">
        <v>1</v>
      </c>
      <c r="N263" s="79">
        <v>-1.71395968588944E-2</v>
      </c>
      <c r="O263" s="79">
        <v>1.4558156445467201E-2</v>
      </c>
      <c r="P263" s="79">
        <v>0.23912438873244901</v>
      </c>
      <c r="Q263" s="79">
        <v>0.317747486179558</v>
      </c>
      <c r="R263" s="80">
        <v>1</v>
      </c>
      <c r="S263" s="79">
        <v>1.8914772999999999E-2</v>
      </c>
      <c r="T263" s="79">
        <v>1.4419304000000001E-2</v>
      </c>
      <c r="U263" s="79">
        <v>0.189659196</v>
      </c>
      <c r="V263" s="79">
        <v>0.27256797199999999</v>
      </c>
      <c r="W263" s="79">
        <v>1</v>
      </c>
    </row>
    <row r="264" spans="1:23" x14ac:dyDescent="0.2">
      <c r="A264" s="69"/>
      <c r="B264" s="56" t="s">
        <v>654</v>
      </c>
      <c r="C264" s="78">
        <v>4937</v>
      </c>
      <c r="D264" s="79">
        <v>-2.8083542E-2</v>
      </c>
      <c r="E264" s="79">
        <v>1.4580981999999999E-2</v>
      </c>
      <c r="F264" s="79">
        <v>5.4158298000000001E-2</v>
      </c>
      <c r="G264" s="79">
        <v>0.473978483875862</v>
      </c>
      <c r="H264" s="80">
        <v>1</v>
      </c>
      <c r="I264" s="79">
        <v>-3.78120986740706E-3</v>
      </c>
      <c r="J264" s="79">
        <v>1.4407256242889599E-2</v>
      </c>
      <c r="K264" s="79">
        <v>0.79298447834911301</v>
      </c>
      <c r="L264" s="79">
        <v>0.95970310918962698</v>
      </c>
      <c r="M264" s="80">
        <v>1</v>
      </c>
      <c r="N264" s="79">
        <v>3.8927554614842101E-3</v>
      </c>
      <c r="O264" s="79">
        <v>1.44674560887386E-2</v>
      </c>
      <c r="P264" s="79">
        <v>0.78788759566474698</v>
      </c>
      <c r="Q264" s="79">
        <v>0.82767331034649305</v>
      </c>
      <c r="R264" s="80">
        <v>1</v>
      </c>
      <c r="S264" s="79">
        <v>-2.1634236000000001E-2</v>
      </c>
      <c r="T264" s="79">
        <v>1.4362322E-2</v>
      </c>
      <c r="U264" s="79">
        <v>0.132051012</v>
      </c>
      <c r="V264" s="79">
        <v>0.20385977399999999</v>
      </c>
      <c r="W264" s="79">
        <v>1</v>
      </c>
    </row>
    <row r="265" spans="1:23" x14ac:dyDescent="0.2">
      <c r="A265" s="69"/>
      <c r="B265" s="56" t="s">
        <v>655</v>
      </c>
      <c r="C265" s="78">
        <v>5257</v>
      </c>
      <c r="D265" s="79">
        <v>1.0433718E-2</v>
      </c>
      <c r="E265" s="79">
        <v>1.4054743999999999E-2</v>
      </c>
      <c r="F265" s="79">
        <v>0.457901261</v>
      </c>
      <c r="G265" s="79">
        <v>0.91508141765196804</v>
      </c>
      <c r="H265" s="80">
        <v>1</v>
      </c>
      <c r="I265" s="79">
        <v>5.2307880245936397E-3</v>
      </c>
      <c r="J265" s="79">
        <v>1.403697755724E-2</v>
      </c>
      <c r="K265" s="79">
        <v>0.70942911713733603</v>
      </c>
      <c r="L265" s="79">
        <v>0.93958156138094695</v>
      </c>
      <c r="M265" s="80">
        <v>1</v>
      </c>
      <c r="N265" s="79">
        <v>-6.2587601083331501E-3</v>
      </c>
      <c r="O265" s="79">
        <v>1.4000612893977599E-2</v>
      </c>
      <c r="P265" s="79">
        <v>0.65486878204433396</v>
      </c>
      <c r="Q265" s="79">
        <v>0.727695695634203</v>
      </c>
      <c r="R265" s="80">
        <v>1</v>
      </c>
      <c r="S265" s="79">
        <v>1.1685503E-2</v>
      </c>
      <c r="T265" s="79">
        <v>1.3884624999999999E-2</v>
      </c>
      <c r="U265" s="79">
        <v>0.40004264899999997</v>
      </c>
      <c r="V265" s="79">
        <v>0.48906948099999997</v>
      </c>
      <c r="W265" s="79">
        <v>1</v>
      </c>
    </row>
    <row r="266" spans="1:23" x14ac:dyDescent="0.2">
      <c r="A266" s="69"/>
      <c r="B266" s="56" t="s">
        <v>656</v>
      </c>
      <c r="C266" s="78">
        <v>4799</v>
      </c>
      <c r="D266" s="79">
        <v>-3.1190540999999999E-2</v>
      </c>
      <c r="E266" s="79">
        <v>1.4028573000000001E-2</v>
      </c>
      <c r="F266" s="79">
        <v>2.6243539999999999E-2</v>
      </c>
      <c r="G266" s="79">
        <v>0.37436086021348303</v>
      </c>
      <c r="H266" s="80">
        <v>1</v>
      </c>
      <c r="I266" s="79">
        <v>-1.00218796046425E-2</v>
      </c>
      <c r="J266" s="79">
        <v>1.40209748297703E-2</v>
      </c>
      <c r="K266" s="79">
        <v>0.47478461707230402</v>
      </c>
      <c r="L266" s="79">
        <v>0.87548946656965998</v>
      </c>
      <c r="M266" s="80">
        <v>1</v>
      </c>
      <c r="N266" s="79">
        <v>-2.1792888735891101E-2</v>
      </c>
      <c r="O266" s="79">
        <v>1.3922504890881E-2</v>
      </c>
      <c r="P266" s="79">
        <v>0.117586219355704</v>
      </c>
      <c r="Q266" s="79">
        <v>0.17881673501550999</v>
      </c>
      <c r="R266" s="80">
        <v>1</v>
      </c>
      <c r="S266" s="79">
        <v>-1.3884069999999999E-3</v>
      </c>
      <c r="T266" s="79">
        <v>1.3806486E-2</v>
      </c>
      <c r="U266" s="79">
        <v>0.91990299099999995</v>
      </c>
      <c r="V266" s="79">
        <v>0.94065825599999997</v>
      </c>
      <c r="W266" s="79">
        <v>1</v>
      </c>
    </row>
    <row r="267" spans="1:23" x14ac:dyDescent="0.2">
      <c r="A267" s="69"/>
      <c r="B267" s="56" t="s">
        <v>657</v>
      </c>
      <c r="C267" s="78">
        <v>5522</v>
      </c>
      <c r="D267" s="79">
        <v>3.2514500000000002E-2</v>
      </c>
      <c r="E267" s="79">
        <v>1.3901350999999999E-2</v>
      </c>
      <c r="F267" s="79">
        <v>1.9374861E-2</v>
      </c>
      <c r="G267" s="79">
        <v>0.349577479479452</v>
      </c>
      <c r="H267" s="80">
        <v>1</v>
      </c>
      <c r="I267" s="79">
        <v>3.2923911436811399E-3</v>
      </c>
      <c r="J267" s="79">
        <v>1.38640776799374E-2</v>
      </c>
      <c r="K267" s="79">
        <v>0.81229639509539697</v>
      </c>
      <c r="L267" s="79">
        <v>0.96211732726388599</v>
      </c>
      <c r="M267" s="80">
        <v>1</v>
      </c>
      <c r="N267" s="79">
        <v>-1.2257583113766599E-2</v>
      </c>
      <c r="O267" s="79">
        <v>1.37954160095495E-2</v>
      </c>
      <c r="P267" s="79">
        <v>0.374298048866536</v>
      </c>
      <c r="Q267" s="79">
        <v>0.45847898070621101</v>
      </c>
      <c r="R267" s="80">
        <v>1</v>
      </c>
      <c r="S267" s="79">
        <v>2.4490520000000002E-2</v>
      </c>
      <c r="T267" s="79">
        <v>1.3735492E-2</v>
      </c>
      <c r="U267" s="79">
        <v>7.4641351999999994E-2</v>
      </c>
      <c r="V267" s="79">
        <v>0.12817303899999999</v>
      </c>
      <c r="W267" s="79">
        <v>1</v>
      </c>
    </row>
    <row r="268" spans="1:23" x14ac:dyDescent="0.2">
      <c r="A268" s="69"/>
      <c r="B268" s="56" t="s">
        <v>658</v>
      </c>
      <c r="C268" s="78">
        <v>5526</v>
      </c>
      <c r="D268" s="79">
        <v>-1.9445002999999999E-2</v>
      </c>
      <c r="E268" s="79">
        <v>1.3748652E-2</v>
      </c>
      <c r="F268" s="79">
        <v>0.157326928</v>
      </c>
      <c r="G268" s="79">
        <v>0.68875530511224503</v>
      </c>
      <c r="H268" s="80">
        <v>1</v>
      </c>
      <c r="I268" s="79">
        <v>7.8739250320813102E-3</v>
      </c>
      <c r="J268" s="79">
        <v>1.3689316359016801E-2</v>
      </c>
      <c r="K268" s="79">
        <v>0.56518938133271501</v>
      </c>
      <c r="L268" s="79">
        <v>0.911324282187712</v>
      </c>
      <c r="M268" s="80">
        <v>1</v>
      </c>
      <c r="N268" s="79">
        <v>1.3490635611678699E-3</v>
      </c>
      <c r="O268" s="79">
        <v>1.36198861589855E-2</v>
      </c>
      <c r="P268" s="79">
        <v>0.92110156823104505</v>
      </c>
      <c r="Q268" s="79">
        <v>0.93735195676439098</v>
      </c>
      <c r="R268" s="80">
        <v>1</v>
      </c>
      <c r="S268" s="79">
        <v>1.4178318000000001E-2</v>
      </c>
      <c r="T268" s="79">
        <v>1.3554978000000001E-2</v>
      </c>
      <c r="U268" s="79">
        <v>0.29561564099999998</v>
      </c>
      <c r="V268" s="79">
        <v>0.38886563800000001</v>
      </c>
      <c r="W268" s="79">
        <v>1</v>
      </c>
    </row>
    <row r="269" spans="1:23" x14ac:dyDescent="0.2">
      <c r="A269" s="69"/>
      <c r="B269" s="84" t="s">
        <v>2310</v>
      </c>
      <c r="C269" s="78">
        <v>5509</v>
      </c>
      <c r="D269" s="79">
        <v>0.97755763130869988</v>
      </c>
      <c r="E269" s="79">
        <v>2.9873081999999999E-2</v>
      </c>
      <c r="F269" s="79">
        <v>0.44736486199999997</v>
      </c>
      <c r="G269" s="79">
        <v>0.90687861002875403</v>
      </c>
      <c r="H269" s="80">
        <v>1</v>
      </c>
      <c r="I269" s="79">
        <v>1.001715373862015</v>
      </c>
      <c r="J269" s="79">
        <v>2.9679518796563002E-2</v>
      </c>
      <c r="K269" s="79">
        <v>0.95395012557778602</v>
      </c>
      <c r="L269" s="79">
        <v>0.98719988166166295</v>
      </c>
      <c r="M269" s="80">
        <v>1</v>
      </c>
      <c r="N269" s="79">
        <v>1.0834067556599369</v>
      </c>
      <c r="O269" s="79">
        <v>2.96481663555366E-2</v>
      </c>
      <c r="P269" s="79">
        <v>6.89158316480266E-3</v>
      </c>
      <c r="Q269" s="79">
        <v>1.7421153458435399E-2</v>
      </c>
      <c r="R269" s="80">
        <v>1</v>
      </c>
      <c r="S269" s="79">
        <v>1.0308712449999999</v>
      </c>
      <c r="T269" s="79">
        <v>2.9524005999999998E-2</v>
      </c>
      <c r="U269" s="79">
        <v>0.30309607399999999</v>
      </c>
      <c r="V269" s="79">
        <v>0.39652465799999997</v>
      </c>
      <c r="W269" s="79">
        <v>1</v>
      </c>
    </row>
    <row r="270" spans="1:23" x14ac:dyDescent="0.2">
      <c r="A270" s="69"/>
      <c r="B270" s="84" t="s">
        <v>659</v>
      </c>
      <c r="C270" s="78">
        <v>2429</v>
      </c>
      <c r="D270" s="79">
        <v>6.6990299999999999E-3</v>
      </c>
      <c r="E270" s="79">
        <v>2.1183556999999999E-2</v>
      </c>
      <c r="F270" s="79">
        <v>0.75184982899999997</v>
      </c>
      <c r="G270" s="79">
        <v>0.98545101377932998</v>
      </c>
      <c r="H270" s="80">
        <v>1</v>
      </c>
      <c r="I270" s="79">
        <v>1.6188712420837799E-3</v>
      </c>
      <c r="J270" s="79">
        <v>2.0400241325822601E-2</v>
      </c>
      <c r="K270" s="79">
        <v>0.93675644257718904</v>
      </c>
      <c r="L270" s="79">
        <v>0.981200184300273</v>
      </c>
      <c r="M270" s="80">
        <v>1</v>
      </c>
      <c r="N270" s="79">
        <v>3.6906746787688398E-2</v>
      </c>
      <c r="O270" s="79">
        <v>2.0313056667786301E-2</v>
      </c>
      <c r="P270" s="79">
        <v>6.9356680213313204E-2</v>
      </c>
      <c r="Q270" s="79">
        <v>0.116112964631523</v>
      </c>
      <c r="R270" s="80">
        <v>1</v>
      </c>
      <c r="S270" s="79">
        <v>2.932568E-3</v>
      </c>
      <c r="T270" s="79">
        <v>2.0627736000000001E-2</v>
      </c>
      <c r="U270" s="79">
        <v>0.88696055500000004</v>
      </c>
      <c r="V270" s="79">
        <v>0.91508369499999997</v>
      </c>
      <c r="W270" s="79">
        <v>1</v>
      </c>
    </row>
    <row r="271" spans="1:23" x14ac:dyDescent="0.2">
      <c r="A271" s="69"/>
      <c r="B271" s="84" t="s">
        <v>644</v>
      </c>
      <c r="C271" s="78">
        <v>5516</v>
      </c>
      <c r="D271" s="79">
        <v>-2.9137780000000001E-3</v>
      </c>
      <c r="E271" s="79">
        <v>5.1440670000000004E-3</v>
      </c>
      <c r="F271" s="79">
        <v>0.57120698599999997</v>
      </c>
      <c r="G271" s="79">
        <v>0.95028446965399804</v>
      </c>
      <c r="H271" s="80">
        <v>1</v>
      </c>
      <c r="I271" s="79">
        <v>-6.8035759718262203E-3</v>
      </c>
      <c r="J271" s="79">
        <v>5.2746181247371E-3</v>
      </c>
      <c r="K271" s="79">
        <v>0.19734524100491799</v>
      </c>
      <c r="L271" s="79">
        <v>0.71347894824854996</v>
      </c>
      <c r="M271" s="80">
        <v>1</v>
      </c>
      <c r="N271" s="79">
        <v>-1.1181210812490201E-2</v>
      </c>
      <c r="O271" s="79">
        <v>5.1758752886903103E-3</v>
      </c>
      <c r="P271" s="79">
        <v>3.0954695542538099E-2</v>
      </c>
      <c r="Q271" s="79">
        <v>5.90699378097456E-2</v>
      </c>
      <c r="R271" s="80">
        <v>1</v>
      </c>
      <c r="S271" s="79">
        <v>-1.3879035E-2</v>
      </c>
      <c r="T271" s="79">
        <v>5.1236220000000004E-3</v>
      </c>
      <c r="U271" s="79">
        <v>6.84988E-3</v>
      </c>
      <c r="V271" s="79">
        <v>1.9494302000000002E-2</v>
      </c>
      <c r="W271" s="79">
        <v>1</v>
      </c>
    </row>
    <row r="272" spans="1:23" x14ac:dyDescent="0.2">
      <c r="A272" s="69"/>
      <c r="B272" s="84" t="s">
        <v>645</v>
      </c>
      <c r="C272" s="78">
        <v>5425</v>
      </c>
      <c r="D272" s="79">
        <v>3.4279800000000001E-4</v>
      </c>
      <c r="E272" s="79">
        <v>5.8161269999999999E-3</v>
      </c>
      <c r="F272" s="79">
        <v>0.95301017300000002</v>
      </c>
      <c r="G272" s="79">
        <v>0.991673151733656</v>
      </c>
      <c r="H272" s="80">
        <v>1</v>
      </c>
      <c r="I272" s="79">
        <v>1.9587761078728801E-3</v>
      </c>
      <c r="J272" s="79">
        <v>5.99068787698553E-3</v>
      </c>
      <c r="K272" s="79">
        <v>0.743745191795668</v>
      </c>
      <c r="L272" s="79">
        <v>0.95175527893917999</v>
      </c>
      <c r="M272" s="80">
        <v>1</v>
      </c>
      <c r="N272" s="79">
        <v>-9.7847766582767805E-3</v>
      </c>
      <c r="O272" s="79">
        <v>5.8075118913361104E-3</v>
      </c>
      <c r="P272" s="79">
        <v>9.2271656711029701E-2</v>
      </c>
      <c r="Q272" s="79">
        <v>0.14581909385591099</v>
      </c>
      <c r="R272" s="80">
        <v>1</v>
      </c>
      <c r="S272" s="79">
        <v>-8.6931639999999998E-3</v>
      </c>
      <c r="T272" s="79">
        <v>5.7970019999999999E-3</v>
      </c>
      <c r="U272" s="79">
        <v>0.133975857</v>
      </c>
      <c r="V272" s="79">
        <v>0.206079227</v>
      </c>
      <c r="W272" s="79">
        <v>1</v>
      </c>
    </row>
    <row r="273" spans="1:23" x14ac:dyDescent="0.2">
      <c r="A273" s="69"/>
      <c r="B273" s="84" t="s">
        <v>2311</v>
      </c>
      <c r="C273" s="78">
        <v>5554</v>
      </c>
      <c r="D273" s="79">
        <v>0.94073101257207337</v>
      </c>
      <c r="E273" s="79">
        <v>0.11355852399999999</v>
      </c>
      <c r="F273" s="79">
        <v>0.59055548700000005</v>
      </c>
      <c r="G273" s="79">
        <v>0.95350818012595395</v>
      </c>
      <c r="H273" s="80">
        <v>1</v>
      </c>
      <c r="I273" s="79">
        <v>1.0056452494067942</v>
      </c>
      <c r="J273" s="79">
        <v>0.11165664946234</v>
      </c>
      <c r="K273" s="79">
        <v>0.95979022226841904</v>
      </c>
      <c r="L273" s="79">
        <v>0.98719988166166295</v>
      </c>
      <c r="M273" s="80">
        <v>1</v>
      </c>
      <c r="N273" s="79">
        <v>1.0725407199545298</v>
      </c>
      <c r="O273" s="79">
        <v>0.112790652693929</v>
      </c>
      <c r="P273" s="79">
        <v>0.53467345924492504</v>
      </c>
      <c r="Q273" s="79">
        <v>0.61402771020978297</v>
      </c>
      <c r="R273" s="80">
        <v>1</v>
      </c>
      <c r="S273" s="79">
        <v>0.93849125099999997</v>
      </c>
      <c r="T273" s="79">
        <v>0.112680687</v>
      </c>
      <c r="U273" s="79">
        <v>0.57317796700000001</v>
      </c>
      <c r="V273" s="79">
        <v>0.64827347599999996</v>
      </c>
      <c r="W273" s="79">
        <v>1</v>
      </c>
    </row>
    <row r="274" spans="1:23" x14ac:dyDescent="0.2">
      <c r="A274" s="69"/>
      <c r="B274" s="84" t="s">
        <v>2312</v>
      </c>
      <c r="C274" s="78">
        <v>5494</v>
      </c>
      <c r="D274" s="79">
        <v>1.0513011295176966</v>
      </c>
      <c r="E274" s="79">
        <v>3.7335675999999998E-2</v>
      </c>
      <c r="F274" s="79">
        <v>0.18025612399999999</v>
      </c>
      <c r="G274" s="79">
        <v>0.71363186454968897</v>
      </c>
      <c r="H274" s="80">
        <v>1</v>
      </c>
      <c r="I274" s="79">
        <v>0.91655561462362878</v>
      </c>
      <c r="J274" s="79">
        <v>3.7369861260770597E-2</v>
      </c>
      <c r="K274" s="79">
        <v>1.97203862540896E-2</v>
      </c>
      <c r="L274" s="79">
        <v>0.41909202640396798</v>
      </c>
      <c r="M274" s="80">
        <v>1</v>
      </c>
      <c r="N274" s="81">
        <v>0.85191894093524601</v>
      </c>
      <c r="O274" s="81">
        <v>3.7306448069548602E-2</v>
      </c>
      <c r="P274" s="81">
        <v>1.74004379586302E-5</v>
      </c>
      <c r="Q274" s="81">
        <v>1.3382518648182899E-4</v>
      </c>
      <c r="R274" s="82">
        <v>2.20811557695017E-2</v>
      </c>
      <c r="S274" s="81">
        <v>0.81735531900000002</v>
      </c>
      <c r="T274" s="81">
        <v>3.7151976000000003E-2</v>
      </c>
      <c r="U274" s="81">
        <v>5.68136E-8</v>
      </c>
      <c r="V274" s="81">
        <v>2.77294E-6</v>
      </c>
      <c r="W274" s="81">
        <v>7.2096500000000003E-5</v>
      </c>
    </row>
    <row r="275" spans="1:23" x14ac:dyDescent="0.2">
      <c r="A275" s="69"/>
      <c r="B275" s="84" t="s">
        <v>646</v>
      </c>
      <c r="C275" s="78">
        <v>5076</v>
      </c>
      <c r="D275" s="79">
        <v>-4.0594900000000001E-4</v>
      </c>
      <c r="E275" s="79">
        <v>1.4071805E-2</v>
      </c>
      <c r="F275" s="79">
        <v>0.97698664099999999</v>
      </c>
      <c r="G275" s="79">
        <v>0.992299742561502</v>
      </c>
      <c r="H275" s="80">
        <v>1</v>
      </c>
      <c r="I275" s="79">
        <v>-3.5622973051058701E-3</v>
      </c>
      <c r="J275" s="79">
        <v>1.40698712725835E-2</v>
      </c>
      <c r="K275" s="79">
        <v>0.80013462297234605</v>
      </c>
      <c r="L275" s="79">
        <v>0.96152541340142705</v>
      </c>
      <c r="M275" s="80">
        <v>1</v>
      </c>
      <c r="N275" s="79">
        <v>1.50930601558031E-2</v>
      </c>
      <c r="O275" s="79">
        <v>1.40892352668428E-2</v>
      </c>
      <c r="P275" s="79">
        <v>0.28410930990730499</v>
      </c>
      <c r="Q275" s="79">
        <v>0.36491367841333</v>
      </c>
      <c r="R275" s="80">
        <v>1</v>
      </c>
      <c r="S275" s="79">
        <v>1.8120982000000001E-2</v>
      </c>
      <c r="T275" s="79">
        <v>1.3837145E-2</v>
      </c>
      <c r="U275" s="79">
        <v>0.19039435099999999</v>
      </c>
      <c r="V275" s="79">
        <v>0.27269800300000002</v>
      </c>
      <c r="W275" s="79">
        <v>1</v>
      </c>
    </row>
    <row r="276" spans="1:23" x14ac:dyDescent="0.2">
      <c r="A276" s="69"/>
      <c r="B276" s="84" t="s">
        <v>2313</v>
      </c>
      <c r="C276" s="78">
        <v>5256</v>
      </c>
      <c r="D276" s="79">
        <v>1.0563990667335088</v>
      </c>
      <c r="E276" s="79">
        <v>4.0806202E-2</v>
      </c>
      <c r="F276" s="79">
        <v>0.178770294</v>
      </c>
      <c r="G276" s="79">
        <v>0.71115831688401299</v>
      </c>
      <c r="H276" s="80">
        <v>1</v>
      </c>
      <c r="I276" s="79">
        <v>1.0440490865781715</v>
      </c>
      <c r="J276" s="79">
        <v>4.1000165765630099E-2</v>
      </c>
      <c r="K276" s="79">
        <v>0.29308687616293</v>
      </c>
      <c r="L276" s="79">
        <v>0.77544249817709499</v>
      </c>
      <c r="M276" s="80">
        <v>1</v>
      </c>
      <c r="N276" s="79">
        <v>0.98204163683378864</v>
      </c>
      <c r="O276" s="79">
        <v>4.0633220869011402E-2</v>
      </c>
      <c r="P276" s="79">
        <v>0.65561226805293005</v>
      </c>
      <c r="Q276" s="79">
        <v>0.72788448657844995</v>
      </c>
      <c r="R276" s="80">
        <v>1</v>
      </c>
      <c r="S276" s="79">
        <v>0.96850722</v>
      </c>
      <c r="T276" s="79">
        <v>4.0352535000000002E-2</v>
      </c>
      <c r="U276" s="79">
        <v>0.42778098599999997</v>
      </c>
      <c r="V276" s="79">
        <v>0.51602098100000005</v>
      </c>
      <c r="W276" s="79">
        <v>1</v>
      </c>
    </row>
    <row r="277" spans="1:23" x14ac:dyDescent="0.2">
      <c r="A277" s="69"/>
      <c r="B277" s="84" t="s">
        <v>2314</v>
      </c>
      <c r="C277" s="78">
        <v>5462</v>
      </c>
      <c r="D277" s="79">
        <v>0.95002133665777622</v>
      </c>
      <c r="E277" s="79">
        <v>7.4264498999999998E-2</v>
      </c>
      <c r="F277" s="79">
        <v>0.48995431900000003</v>
      </c>
      <c r="G277" s="79">
        <v>0.92884339055395704</v>
      </c>
      <c r="H277" s="80">
        <v>1</v>
      </c>
      <c r="I277" s="79">
        <v>1.2058347250086567</v>
      </c>
      <c r="J277" s="79">
        <v>7.5829593703205397E-2</v>
      </c>
      <c r="K277" s="79">
        <v>1.3574719367088499E-2</v>
      </c>
      <c r="L277" s="79">
        <v>0.41015044944846002</v>
      </c>
      <c r="M277" s="80">
        <v>1</v>
      </c>
      <c r="N277" s="79">
        <v>1.2839214209693335</v>
      </c>
      <c r="O277" s="79">
        <v>7.4586004527397706E-2</v>
      </c>
      <c r="P277" s="79">
        <v>8.0593220107153104E-4</v>
      </c>
      <c r="Q277" s="79">
        <v>3.0438332236897999E-3</v>
      </c>
      <c r="R277" s="80">
        <v>1</v>
      </c>
      <c r="S277" s="79">
        <v>1.3215311489999999</v>
      </c>
      <c r="T277" s="79">
        <v>7.4127960000000007E-2</v>
      </c>
      <c r="U277" s="79">
        <v>1.6927399999999999E-4</v>
      </c>
      <c r="V277" s="79">
        <v>1.1802679999999999E-3</v>
      </c>
      <c r="W277" s="79">
        <v>0.214808789</v>
      </c>
    </row>
    <row r="278" spans="1:23" x14ac:dyDescent="0.2">
      <c r="A278" s="69"/>
      <c r="B278" s="84" t="s">
        <v>2315</v>
      </c>
      <c r="C278" s="78">
        <v>5182</v>
      </c>
      <c r="D278" s="79">
        <v>1.0208375665309843</v>
      </c>
      <c r="E278" s="79">
        <v>5.6699324000000002E-2</v>
      </c>
      <c r="F278" s="79">
        <v>0.71605714600000003</v>
      </c>
      <c r="G278" s="79">
        <v>0.98545101377932998</v>
      </c>
      <c r="H278" s="80">
        <v>1</v>
      </c>
      <c r="I278" s="79">
        <v>0.96381356185993861</v>
      </c>
      <c r="J278" s="79">
        <v>5.6747462144896198E-2</v>
      </c>
      <c r="K278" s="79">
        <v>0.51601607796830795</v>
      </c>
      <c r="L278" s="79">
        <v>0.89701973005723701</v>
      </c>
      <c r="M278" s="80">
        <v>1</v>
      </c>
      <c r="N278" s="79">
        <v>1.0985978473034446</v>
      </c>
      <c r="O278" s="79">
        <v>5.6780148340671799E-2</v>
      </c>
      <c r="P278" s="79">
        <v>9.7697722545198804E-2</v>
      </c>
      <c r="Q278" s="79">
        <v>0.153819367133818</v>
      </c>
      <c r="R278" s="80">
        <v>1</v>
      </c>
      <c r="S278" s="79">
        <v>1.141959849</v>
      </c>
      <c r="T278" s="79">
        <v>5.7059905000000001E-2</v>
      </c>
      <c r="U278" s="79">
        <v>1.9995551E-2</v>
      </c>
      <c r="V278" s="79">
        <v>4.3900266E-2</v>
      </c>
      <c r="W278" s="79">
        <v>1</v>
      </c>
    </row>
    <row r="279" spans="1:23" x14ac:dyDescent="0.2">
      <c r="A279" s="69"/>
      <c r="B279" s="84" t="s">
        <v>2316</v>
      </c>
      <c r="C279" s="78">
        <v>5491</v>
      </c>
      <c r="D279" s="79">
        <v>0.97518256047399898</v>
      </c>
      <c r="E279" s="79">
        <v>6.7876935999999999E-2</v>
      </c>
      <c r="F279" s="79">
        <v>0.71120557600000001</v>
      </c>
      <c r="G279" s="79">
        <v>0.98545101377932998</v>
      </c>
      <c r="H279" s="80">
        <v>1</v>
      </c>
      <c r="I279" s="79">
        <v>1.1148937487267512</v>
      </c>
      <c r="J279" s="79">
        <v>6.8231465069835101E-2</v>
      </c>
      <c r="K279" s="79">
        <v>0.11094209990107599</v>
      </c>
      <c r="L279" s="79">
        <v>0.62424045135977002</v>
      </c>
      <c r="M279" s="80">
        <v>1</v>
      </c>
      <c r="N279" s="81">
        <v>1.4150062121713467</v>
      </c>
      <c r="O279" s="81">
        <v>6.8194221473724295E-2</v>
      </c>
      <c r="P279" s="81">
        <v>3.5736268324773602E-7</v>
      </c>
      <c r="Q279" s="81">
        <v>4.8243962238444396E-6</v>
      </c>
      <c r="R279" s="82">
        <v>4.5349324504137702E-4</v>
      </c>
      <c r="S279" s="81">
        <v>1.3480248539999999</v>
      </c>
      <c r="T279" s="81">
        <v>6.7048415E-2</v>
      </c>
      <c r="U279" s="81">
        <v>8.4245200000000001E-6</v>
      </c>
      <c r="V279" s="81">
        <v>1.3532600000000001E-4</v>
      </c>
      <c r="W279" s="81">
        <v>1.0690719E-2</v>
      </c>
    </row>
    <row r="280" spans="1:23" x14ac:dyDescent="0.2">
      <c r="A280" s="69"/>
      <c r="B280" s="84" t="s">
        <v>2317</v>
      </c>
      <c r="C280" s="78">
        <v>5475</v>
      </c>
      <c r="D280" s="79">
        <v>0.99093390215967869</v>
      </c>
      <c r="E280" s="79">
        <v>7.8863636000000001E-2</v>
      </c>
      <c r="F280" s="79">
        <v>0.90806193300000004</v>
      </c>
      <c r="G280" s="79">
        <v>0.991673151733656</v>
      </c>
      <c r="H280" s="80">
        <v>1</v>
      </c>
      <c r="I280" s="79">
        <v>1.2961866314590147</v>
      </c>
      <c r="J280" s="79">
        <v>8.2145787336741494E-2</v>
      </c>
      <c r="K280" s="79">
        <v>1.5878792836656801E-3</v>
      </c>
      <c r="L280" s="79">
        <v>0.18043336354349901</v>
      </c>
      <c r="M280" s="80">
        <v>1</v>
      </c>
      <c r="N280" s="79">
        <v>1.0744462771128942</v>
      </c>
      <c r="O280" s="79">
        <v>7.9191630115626299E-2</v>
      </c>
      <c r="P280" s="79">
        <v>0.36454952111872002</v>
      </c>
      <c r="Q280" s="79">
        <v>0.45001297889071601</v>
      </c>
      <c r="R280" s="80">
        <v>1</v>
      </c>
      <c r="S280" s="79">
        <v>1.04354328</v>
      </c>
      <c r="T280" s="79">
        <v>7.8657435999999997E-2</v>
      </c>
      <c r="U280" s="79">
        <v>0.58790965799999995</v>
      </c>
      <c r="V280" s="79">
        <v>0.65906126899999995</v>
      </c>
      <c r="W280" s="79">
        <v>1</v>
      </c>
    </row>
    <row r="281" spans="1:23" x14ac:dyDescent="0.2">
      <c r="A281" s="69"/>
      <c r="B281" s="84" t="s">
        <v>2318</v>
      </c>
      <c r="C281" s="78">
        <v>874</v>
      </c>
      <c r="D281" s="79">
        <v>0.84667894311555769</v>
      </c>
      <c r="E281" s="79">
        <v>0.112265773</v>
      </c>
      <c r="F281" s="79">
        <v>0.13820801699999999</v>
      </c>
      <c r="G281" s="79">
        <v>0.66434080898863601</v>
      </c>
      <c r="H281" s="80">
        <v>1</v>
      </c>
      <c r="I281" s="79">
        <v>0.95134266705671333</v>
      </c>
      <c r="J281" s="79">
        <v>0.111905233594774</v>
      </c>
      <c r="K281" s="79">
        <v>0.65578300359600805</v>
      </c>
      <c r="L281" s="79">
        <v>0.92464388912011197</v>
      </c>
      <c r="M281" s="80">
        <v>1</v>
      </c>
      <c r="N281" s="79">
        <v>1.0988128047609413</v>
      </c>
      <c r="O281" s="79">
        <v>0.109949093668193</v>
      </c>
      <c r="P281" s="79">
        <v>0.39142500364218402</v>
      </c>
      <c r="Q281" s="79">
        <v>0.47578384063403401</v>
      </c>
      <c r="R281" s="80">
        <v>1</v>
      </c>
      <c r="S281" s="79">
        <v>1.1746814059999999</v>
      </c>
      <c r="T281" s="79">
        <v>0.105457895</v>
      </c>
      <c r="U281" s="79">
        <v>0.12684884299999999</v>
      </c>
      <c r="V281" s="79">
        <v>0.196786286</v>
      </c>
      <c r="W281" s="79">
        <v>1</v>
      </c>
    </row>
    <row r="282" spans="1:23" x14ac:dyDescent="0.2">
      <c r="A282" s="69"/>
      <c r="B282" s="84" t="s">
        <v>2319</v>
      </c>
      <c r="C282" s="78">
        <v>5300</v>
      </c>
      <c r="D282" s="79">
        <v>0.99364836346759144</v>
      </c>
      <c r="E282" s="79">
        <v>5.6935158999999999E-2</v>
      </c>
      <c r="F282" s="79">
        <v>0.910890859</v>
      </c>
      <c r="G282" s="79">
        <v>0.991673151733656</v>
      </c>
      <c r="H282" s="80">
        <v>1</v>
      </c>
      <c r="I282" s="79">
        <v>0.97826309687729318</v>
      </c>
      <c r="J282" s="79">
        <v>5.6934509651679302E-2</v>
      </c>
      <c r="K282" s="79">
        <v>0.69949785008867504</v>
      </c>
      <c r="L282" s="79">
        <v>0.9363531347706</v>
      </c>
      <c r="M282" s="80">
        <v>1</v>
      </c>
      <c r="N282" s="79">
        <v>0.9976186431032219</v>
      </c>
      <c r="O282" s="79">
        <v>5.6345146843554801E-2</v>
      </c>
      <c r="P282" s="79">
        <v>0.96624826756579496</v>
      </c>
      <c r="Q282" s="79">
        <v>0.97315004090555102</v>
      </c>
      <c r="R282" s="80">
        <v>1</v>
      </c>
      <c r="S282" s="79">
        <v>1.103479222</v>
      </c>
      <c r="T282" s="79">
        <v>5.6467828999999997E-2</v>
      </c>
      <c r="U282" s="79">
        <v>8.1195458999999998E-2</v>
      </c>
      <c r="V282" s="79">
        <v>0.13793445500000001</v>
      </c>
      <c r="W282" s="79">
        <v>1</v>
      </c>
    </row>
    <row r="283" spans="1:23" x14ac:dyDescent="0.2">
      <c r="A283" s="69"/>
      <c r="B283" s="84" t="s">
        <v>2320</v>
      </c>
      <c r="C283" s="78">
        <v>5502</v>
      </c>
      <c r="D283" s="79">
        <v>0.89525546023914471</v>
      </c>
      <c r="E283" s="79">
        <v>0.10252070100000001</v>
      </c>
      <c r="F283" s="79">
        <v>0.28047323099999999</v>
      </c>
      <c r="G283" s="79">
        <v>0.82719597069976902</v>
      </c>
      <c r="H283" s="80">
        <v>1</v>
      </c>
      <c r="I283" s="79">
        <v>1.1798073821213153</v>
      </c>
      <c r="J283" s="79">
        <v>0.10446458545651099</v>
      </c>
      <c r="K283" s="79">
        <v>0.11345692182077501</v>
      </c>
      <c r="L283" s="79">
        <v>0.62424045135977002</v>
      </c>
      <c r="M283" s="80">
        <v>1</v>
      </c>
      <c r="N283" s="81">
        <v>1.5197432840241287</v>
      </c>
      <c r="O283" s="81">
        <v>0.10176799509607801</v>
      </c>
      <c r="P283" s="81">
        <v>3.91055179622611E-5</v>
      </c>
      <c r="Q283" s="81">
        <v>2.6537380905940802E-4</v>
      </c>
      <c r="R283" s="82">
        <v>4.9624902294109298E-2</v>
      </c>
      <c r="S283" s="79">
        <v>1.4221056510000001</v>
      </c>
      <c r="T283" s="79">
        <v>0.100022097</v>
      </c>
      <c r="U283" s="79">
        <v>4.3055799999999999E-4</v>
      </c>
      <c r="V283" s="79">
        <v>2.3550789999999999E-3</v>
      </c>
      <c r="W283" s="79">
        <v>0.546378268</v>
      </c>
    </row>
    <row r="284" spans="1:23" x14ac:dyDescent="0.2">
      <c r="A284" s="69"/>
      <c r="B284" s="84" t="s">
        <v>4229</v>
      </c>
      <c r="C284" s="78">
        <v>5235</v>
      </c>
      <c r="D284" s="79">
        <v>1.2733112E-2</v>
      </c>
      <c r="E284" s="79">
        <v>1.3085523999999999E-2</v>
      </c>
      <c r="F284" s="79">
        <v>0.33057031199999998</v>
      </c>
      <c r="G284" s="79">
        <v>0.85579729232661295</v>
      </c>
      <c r="H284" s="80">
        <v>1</v>
      </c>
      <c r="I284" s="79">
        <v>-6.5649135294165804E-3</v>
      </c>
      <c r="J284" s="79">
        <v>1.3042198969590999E-2</v>
      </c>
      <c r="K284" s="79">
        <v>0.61473540219337597</v>
      </c>
      <c r="L284" s="79">
        <v>0.91965825061269202</v>
      </c>
      <c r="M284" s="79">
        <v>1</v>
      </c>
      <c r="N284" s="79">
        <v>-1.5779457212995E-2</v>
      </c>
      <c r="O284" s="79">
        <v>1.3005625307997501E-2</v>
      </c>
      <c r="P284" s="79">
        <v>0.22508532526321501</v>
      </c>
      <c r="Q284" s="79">
        <v>0.30322004008388498</v>
      </c>
      <c r="R284" s="80">
        <v>1</v>
      </c>
      <c r="S284" s="79">
        <v>-1.9114902E-2</v>
      </c>
      <c r="T284" s="79">
        <v>1.2883578999999999E-2</v>
      </c>
      <c r="U284" s="79">
        <v>0.13796694600000001</v>
      </c>
      <c r="V284" s="79">
        <v>0.20967671199999999</v>
      </c>
      <c r="W284" s="79">
        <v>1</v>
      </c>
    </row>
    <row r="285" spans="1:23" x14ac:dyDescent="0.2">
      <c r="A285" s="69"/>
      <c r="B285" s="84" t="s">
        <v>647</v>
      </c>
      <c r="C285" s="78">
        <v>922</v>
      </c>
      <c r="D285" s="79">
        <v>9.3331230000000005E-3</v>
      </c>
      <c r="E285" s="79">
        <v>2.0411631999999999E-2</v>
      </c>
      <c r="F285" s="79">
        <v>0.64808260500000003</v>
      </c>
      <c r="G285" s="79">
        <v>0.982642286040602</v>
      </c>
      <c r="H285" s="80">
        <v>1</v>
      </c>
      <c r="I285" s="79">
        <v>2.9543347783370002E-4</v>
      </c>
      <c r="J285" s="79">
        <v>2.0236970881482901E-2</v>
      </c>
      <c r="K285" s="79">
        <v>0.98836902806687699</v>
      </c>
      <c r="L285" s="79">
        <v>0.99523523065353503</v>
      </c>
      <c r="M285" s="80">
        <v>1</v>
      </c>
      <c r="N285" s="79">
        <v>3.4446687132400899E-3</v>
      </c>
      <c r="O285" s="79">
        <v>2.0352753599074801E-2</v>
      </c>
      <c r="P285" s="79">
        <v>0.86579741070915694</v>
      </c>
      <c r="Q285" s="79">
        <v>0.89252389454908199</v>
      </c>
      <c r="R285" s="80">
        <v>1</v>
      </c>
      <c r="S285" s="79">
        <v>3.0732580999999998E-2</v>
      </c>
      <c r="T285" s="79">
        <v>2.0939474E-2</v>
      </c>
      <c r="U285" s="79">
        <v>0.14382623</v>
      </c>
      <c r="V285" s="79">
        <v>0.217021981</v>
      </c>
      <c r="W285" s="79">
        <v>1</v>
      </c>
    </row>
    <row r="286" spans="1:23" x14ac:dyDescent="0.2">
      <c r="A286" s="69"/>
      <c r="B286" s="84" t="s">
        <v>668</v>
      </c>
      <c r="C286" s="78">
        <v>5523</v>
      </c>
      <c r="D286" s="79">
        <v>7.2506180000000003E-3</v>
      </c>
      <c r="E286" s="79">
        <v>1.1072465E-2</v>
      </c>
      <c r="F286" s="79">
        <v>0.51260528800000005</v>
      </c>
      <c r="G286" s="79">
        <v>0.93029368998857198</v>
      </c>
      <c r="H286" s="80">
        <v>1</v>
      </c>
      <c r="I286" s="79">
        <v>2.3243389601026999E-2</v>
      </c>
      <c r="J286" s="79">
        <v>1.1129554091542501E-2</v>
      </c>
      <c r="K286" s="79">
        <v>3.6807743127147199E-2</v>
      </c>
      <c r="L286" s="79">
        <v>0.50307562413000395</v>
      </c>
      <c r="M286" s="80">
        <v>1</v>
      </c>
      <c r="N286" s="79">
        <v>2.43958205009552E-2</v>
      </c>
      <c r="O286" s="79">
        <v>1.1008629353312101E-2</v>
      </c>
      <c r="P286" s="79">
        <v>2.67317308505713E-2</v>
      </c>
      <c r="Q286" s="79">
        <v>5.2268977579930598E-2</v>
      </c>
      <c r="R286" s="80">
        <v>1</v>
      </c>
      <c r="S286" s="79">
        <v>3.9858114E-2</v>
      </c>
      <c r="T286" s="79">
        <v>1.0968676E-2</v>
      </c>
      <c r="U286" s="79">
        <v>2.8204700000000001E-4</v>
      </c>
      <c r="V286" s="79">
        <v>1.72076E-3</v>
      </c>
      <c r="W286" s="79">
        <v>0.35791817999999997</v>
      </c>
    </row>
    <row r="287" spans="1:23" x14ac:dyDescent="0.2">
      <c r="A287" s="69"/>
      <c r="B287" s="56" t="s">
        <v>662</v>
      </c>
      <c r="C287" s="78">
        <v>5105</v>
      </c>
      <c r="D287" s="79">
        <v>2.9327704999999999E-2</v>
      </c>
      <c r="E287" s="79">
        <v>1.3889693E-2</v>
      </c>
      <c r="F287" s="79">
        <v>3.4780997000000001E-2</v>
      </c>
      <c r="G287" s="79">
        <v>0.43476803659223301</v>
      </c>
      <c r="H287" s="80">
        <v>1</v>
      </c>
      <c r="I287" s="79">
        <v>3.3633505088707098E-2</v>
      </c>
      <c r="J287" s="79">
        <v>1.3996417057008201E-2</v>
      </c>
      <c r="K287" s="79">
        <v>1.6296599893950499E-2</v>
      </c>
      <c r="L287" s="79">
        <v>0.41909202640396798</v>
      </c>
      <c r="M287" s="80">
        <v>1</v>
      </c>
      <c r="N287" s="79">
        <v>6.2921241793309499E-3</v>
      </c>
      <c r="O287" s="79">
        <v>1.39331394575092E-2</v>
      </c>
      <c r="P287" s="79">
        <v>0.65158080864378798</v>
      </c>
      <c r="Q287" s="79">
        <v>0.72656897797208098</v>
      </c>
      <c r="R287" s="80">
        <v>1</v>
      </c>
      <c r="S287" s="79">
        <v>8.3816670000000006E-3</v>
      </c>
      <c r="T287" s="79">
        <v>1.3845857E-2</v>
      </c>
      <c r="U287" s="79">
        <v>0.54496992</v>
      </c>
      <c r="V287" s="79">
        <v>0.62698715199999999</v>
      </c>
      <c r="W287" s="79">
        <v>1</v>
      </c>
    </row>
    <row r="288" spans="1:23" x14ac:dyDescent="0.2">
      <c r="A288" s="69"/>
      <c r="B288" s="56" t="s">
        <v>663</v>
      </c>
      <c r="C288" s="78">
        <v>4999</v>
      </c>
      <c r="D288" s="79">
        <v>2.6840020999999999E-2</v>
      </c>
      <c r="E288" s="79">
        <v>1.2861482E-2</v>
      </c>
      <c r="F288" s="79">
        <v>3.6963859000000002E-2</v>
      </c>
      <c r="G288" s="79">
        <v>0.43563485277876102</v>
      </c>
      <c r="H288" s="80">
        <v>1</v>
      </c>
      <c r="I288" s="79">
        <v>7.8015506476497003E-3</v>
      </c>
      <c r="J288" s="79">
        <v>1.3022199465452E-2</v>
      </c>
      <c r="K288" s="79">
        <v>0.54914102209566495</v>
      </c>
      <c r="L288" s="79">
        <v>0.90501293121999904</v>
      </c>
      <c r="M288" s="80">
        <v>1</v>
      </c>
      <c r="N288" s="79">
        <v>-1.3062280293397999E-2</v>
      </c>
      <c r="O288" s="79">
        <v>1.2961458583166399E-2</v>
      </c>
      <c r="P288" s="79">
        <v>0.31362020972868199</v>
      </c>
      <c r="Q288" s="79">
        <v>0.39701582927290102</v>
      </c>
      <c r="R288" s="80">
        <v>1</v>
      </c>
      <c r="S288" s="79">
        <v>-1.5249179999999999E-2</v>
      </c>
      <c r="T288" s="79">
        <v>1.2861826E-2</v>
      </c>
      <c r="U288" s="79">
        <v>0.235841826</v>
      </c>
      <c r="V288" s="79">
        <v>0.32389964999999998</v>
      </c>
      <c r="W288" s="79">
        <v>1</v>
      </c>
    </row>
    <row r="289" spans="1:23" x14ac:dyDescent="0.2">
      <c r="A289" s="69"/>
      <c r="B289" s="56" t="s">
        <v>661</v>
      </c>
      <c r="C289" s="78">
        <v>5122</v>
      </c>
      <c r="D289" s="79">
        <v>2.40561E-2</v>
      </c>
      <c r="E289" s="79">
        <v>1.223519E-2</v>
      </c>
      <c r="F289" s="79">
        <v>4.9357860000000003E-2</v>
      </c>
      <c r="G289" s="79">
        <v>0.45705541734782601</v>
      </c>
      <c r="H289" s="80">
        <v>1</v>
      </c>
      <c r="I289" s="79">
        <v>2.2125800666829398E-2</v>
      </c>
      <c r="J289" s="79">
        <v>1.24104111758693E-2</v>
      </c>
      <c r="K289" s="79">
        <v>7.4691523496585602E-2</v>
      </c>
      <c r="L289" s="79">
        <v>0.57866945612217602</v>
      </c>
      <c r="M289" s="80">
        <v>1</v>
      </c>
      <c r="N289" s="79">
        <v>1.0901029460197499E-2</v>
      </c>
      <c r="O289" s="79">
        <v>1.2300544360259499E-2</v>
      </c>
      <c r="P289" s="79">
        <v>0.37555441714589</v>
      </c>
      <c r="Q289" s="79">
        <v>0.459574306034845</v>
      </c>
      <c r="R289" s="80">
        <v>1</v>
      </c>
      <c r="S289" s="79">
        <v>5.1054200000000001E-4</v>
      </c>
      <c r="T289" s="79">
        <v>1.2234857999999999E-2</v>
      </c>
      <c r="U289" s="79">
        <v>0.96671737899999999</v>
      </c>
      <c r="V289" s="79">
        <v>0.97517039299999997</v>
      </c>
      <c r="W289" s="79">
        <v>1</v>
      </c>
    </row>
    <row r="290" spans="1:23" x14ac:dyDescent="0.2">
      <c r="A290" s="69"/>
      <c r="B290" s="56" t="s">
        <v>660</v>
      </c>
      <c r="C290" s="78">
        <v>5422</v>
      </c>
      <c r="D290" s="79">
        <v>4.1023789999999997E-3</v>
      </c>
      <c r="E290" s="79">
        <v>1.1480895E-2</v>
      </c>
      <c r="F290" s="79">
        <v>0.72087226599999998</v>
      </c>
      <c r="G290" s="79">
        <v>0.98545101377932998</v>
      </c>
      <c r="H290" s="80">
        <v>1</v>
      </c>
      <c r="I290" s="79">
        <v>1.3797744136222799E-2</v>
      </c>
      <c r="J290" s="79">
        <v>1.16047437252524E-2</v>
      </c>
      <c r="K290" s="79">
        <v>0.23452687102446099</v>
      </c>
      <c r="L290" s="79">
        <v>0.73849776508694998</v>
      </c>
      <c r="M290" s="80">
        <v>1</v>
      </c>
      <c r="N290" s="79">
        <v>3.8399876442563201E-2</v>
      </c>
      <c r="O290" s="79">
        <v>1.14321538749522E-2</v>
      </c>
      <c r="P290" s="79">
        <v>7.90752001390417E-4</v>
      </c>
      <c r="Q290" s="79">
        <v>3.0043841010911399E-3</v>
      </c>
      <c r="R290" s="80">
        <v>1</v>
      </c>
      <c r="S290" s="79">
        <v>3.8549614000000003E-2</v>
      </c>
      <c r="T290" s="79">
        <v>1.1408651000000001E-2</v>
      </c>
      <c r="U290" s="79">
        <v>7.3540900000000002E-4</v>
      </c>
      <c r="V290" s="79">
        <v>3.5619639999999999E-3</v>
      </c>
      <c r="W290" s="79">
        <v>0.93323445999999999</v>
      </c>
    </row>
    <row r="291" spans="1:23" x14ac:dyDescent="0.2">
      <c r="A291" s="69"/>
      <c r="B291" s="56" t="s">
        <v>664</v>
      </c>
      <c r="C291" s="78">
        <v>5396</v>
      </c>
      <c r="D291" s="79">
        <v>1.6481480999999999E-2</v>
      </c>
      <c r="E291" s="79">
        <v>8.641513E-3</v>
      </c>
      <c r="F291" s="79">
        <v>5.6664953999999997E-2</v>
      </c>
      <c r="G291" s="79">
        <v>0.485863693418919</v>
      </c>
      <c r="H291" s="80">
        <v>1</v>
      </c>
      <c r="I291" s="79">
        <v>2.36990416761532E-3</v>
      </c>
      <c r="J291" s="79">
        <v>8.8654922900039401E-3</v>
      </c>
      <c r="K291" s="79">
        <v>0.78925698424009505</v>
      </c>
      <c r="L291" s="79">
        <v>0.95970310918962698</v>
      </c>
      <c r="M291" s="80">
        <v>1</v>
      </c>
      <c r="N291" s="79">
        <v>1.4496292342947499E-2</v>
      </c>
      <c r="O291" s="79">
        <v>8.6356811797972093E-3</v>
      </c>
      <c r="P291" s="79">
        <v>9.34108609256072E-2</v>
      </c>
      <c r="Q291" s="79">
        <v>0.147252649086454</v>
      </c>
      <c r="R291" s="80">
        <v>1</v>
      </c>
      <c r="S291" s="79">
        <v>1.2825840999999999E-2</v>
      </c>
      <c r="T291" s="79">
        <v>8.6253419999999994E-3</v>
      </c>
      <c r="U291" s="79">
        <v>0.13720807500000001</v>
      </c>
      <c r="V291" s="79">
        <v>0.20902406600000001</v>
      </c>
      <c r="W291" s="79">
        <v>1</v>
      </c>
    </row>
    <row r="292" spans="1:23" x14ac:dyDescent="0.2">
      <c r="A292" s="69"/>
      <c r="B292" s="56" t="s">
        <v>667</v>
      </c>
      <c r="C292" s="78">
        <v>5425</v>
      </c>
      <c r="D292" s="79">
        <v>-1.0245314E-2</v>
      </c>
      <c r="E292" s="79">
        <v>1.2999402E-2</v>
      </c>
      <c r="F292" s="79">
        <v>0.43065747599999998</v>
      </c>
      <c r="G292" s="79">
        <v>0.89444245015384605</v>
      </c>
      <c r="H292" s="80">
        <v>1</v>
      </c>
      <c r="I292" s="79">
        <v>2.39768046926906E-2</v>
      </c>
      <c r="J292" s="79">
        <v>1.3085534319012699E-2</v>
      </c>
      <c r="K292" s="79">
        <v>6.6967167225578703E-2</v>
      </c>
      <c r="L292" s="79">
        <v>0.57459637698370203</v>
      </c>
      <c r="M292" s="80">
        <v>1</v>
      </c>
      <c r="N292" s="79">
        <v>9.29034817687166E-3</v>
      </c>
      <c r="O292" s="79">
        <v>1.2958053329570099E-2</v>
      </c>
      <c r="P292" s="79">
        <v>0.47343776513705699</v>
      </c>
      <c r="Q292" s="79">
        <v>0.55474840624092803</v>
      </c>
      <c r="R292" s="80">
        <v>1</v>
      </c>
      <c r="S292" s="79">
        <v>4.6477699999999999E-4</v>
      </c>
      <c r="T292" s="79">
        <v>1.2881772999999999E-2</v>
      </c>
      <c r="U292" s="79">
        <v>0.97121992499999998</v>
      </c>
      <c r="V292" s="79">
        <v>0.97738150999999995</v>
      </c>
      <c r="W292" s="79">
        <v>1</v>
      </c>
    </row>
    <row r="293" spans="1:23" x14ac:dyDescent="0.2">
      <c r="A293" s="69"/>
      <c r="B293" s="56" t="s">
        <v>666</v>
      </c>
      <c r="C293" s="78">
        <v>5456</v>
      </c>
      <c r="D293" s="79">
        <v>9.4001099999999997E-3</v>
      </c>
      <c r="E293" s="79">
        <v>1.1540409E-2</v>
      </c>
      <c r="F293" s="79">
        <v>0.41540022399999998</v>
      </c>
      <c r="G293" s="79">
        <v>0.89044406124324305</v>
      </c>
      <c r="H293" s="80">
        <v>1</v>
      </c>
      <c r="I293" s="79">
        <v>3.1871841205806897E-2</v>
      </c>
      <c r="J293" s="79">
        <v>1.16953467807296E-2</v>
      </c>
      <c r="K293" s="79">
        <v>6.46159487665006E-3</v>
      </c>
      <c r="L293" s="79">
        <v>0.25624262182715402</v>
      </c>
      <c r="M293" s="80">
        <v>1</v>
      </c>
      <c r="N293" s="79">
        <v>4.91995828779003E-3</v>
      </c>
      <c r="O293" s="79">
        <v>1.1501486773474999E-2</v>
      </c>
      <c r="P293" s="79">
        <v>0.66885089355493899</v>
      </c>
      <c r="Q293" s="79">
        <v>0.73571638968534503</v>
      </c>
      <c r="R293" s="80">
        <v>1</v>
      </c>
      <c r="S293" s="79">
        <v>1.2164739999999999E-3</v>
      </c>
      <c r="T293" s="79">
        <v>1.1478186E-2</v>
      </c>
      <c r="U293" s="79">
        <v>0.91560400200000003</v>
      </c>
      <c r="V293" s="79">
        <v>0.93777359100000002</v>
      </c>
      <c r="W293" s="79">
        <v>1</v>
      </c>
    </row>
    <row r="294" spans="1:23" x14ac:dyDescent="0.2">
      <c r="A294" s="69"/>
      <c r="B294" s="56" t="s">
        <v>665</v>
      </c>
      <c r="C294" s="78">
        <v>5456</v>
      </c>
      <c r="D294" s="79">
        <v>1.3745560000000001E-3</v>
      </c>
      <c r="E294" s="79">
        <v>9.7586419999999997E-3</v>
      </c>
      <c r="F294" s="79">
        <v>0.88799739099999997</v>
      </c>
      <c r="G294" s="79">
        <v>0.991673151733656</v>
      </c>
      <c r="H294" s="80">
        <v>1</v>
      </c>
      <c r="I294" s="79">
        <v>2.1713022636822898E-2</v>
      </c>
      <c r="J294" s="79">
        <v>9.9428916686936201E-3</v>
      </c>
      <c r="K294" s="79">
        <v>2.9080367394884999E-2</v>
      </c>
      <c r="L294" s="79">
        <v>0.46602025326235702</v>
      </c>
      <c r="M294" s="80">
        <v>1</v>
      </c>
      <c r="N294" s="79">
        <v>2.54772093296225E-2</v>
      </c>
      <c r="O294" s="79">
        <v>9.6981967471035692E-3</v>
      </c>
      <c r="P294" s="79">
        <v>8.6748705391020194E-3</v>
      </c>
      <c r="Q294" s="79">
        <v>2.1031019737447799E-2</v>
      </c>
      <c r="R294" s="80">
        <v>1</v>
      </c>
      <c r="S294" s="79">
        <v>1.6096737999999999E-2</v>
      </c>
      <c r="T294" s="79">
        <v>9.7185659999999997E-3</v>
      </c>
      <c r="U294" s="79">
        <v>9.7806658000000005E-2</v>
      </c>
      <c r="V294" s="79">
        <v>0.160564875</v>
      </c>
      <c r="W294" s="79">
        <v>1</v>
      </c>
    </row>
    <row r="295" spans="1:23" x14ac:dyDescent="0.2">
      <c r="A295" s="69"/>
      <c r="B295" s="56" t="s">
        <v>216</v>
      </c>
      <c r="C295" s="78">
        <v>5202</v>
      </c>
      <c r="D295" s="79">
        <v>4.1510199999999998E-4</v>
      </c>
      <c r="E295" s="79">
        <v>1.3743587999999999E-2</v>
      </c>
      <c r="F295" s="79">
        <v>0.97590611999999999</v>
      </c>
      <c r="G295" s="79">
        <v>0.992299742561502</v>
      </c>
      <c r="H295" s="80">
        <v>1</v>
      </c>
      <c r="I295" s="79">
        <v>-6.5435700643712603E-3</v>
      </c>
      <c r="J295" s="79">
        <v>1.35916335174706E-2</v>
      </c>
      <c r="K295" s="79">
        <v>0.63022433804225697</v>
      </c>
      <c r="L295" s="79">
        <v>0.91965825061269202</v>
      </c>
      <c r="M295" s="80">
        <v>1</v>
      </c>
      <c r="N295" s="79">
        <v>1.0417322970306999E-2</v>
      </c>
      <c r="O295" s="79">
        <v>1.3525025322014101E-2</v>
      </c>
      <c r="P295" s="79">
        <v>0.44120249273603401</v>
      </c>
      <c r="Q295" s="79">
        <v>0.52423779333523202</v>
      </c>
      <c r="R295" s="80">
        <v>1</v>
      </c>
      <c r="S295" s="79">
        <v>5.9061799999999998E-5</v>
      </c>
      <c r="T295" s="79">
        <v>1.3531118E-2</v>
      </c>
      <c r="U295" s="79">
        <v>0.99651751099999997</v>
      </c>
      <c r="V295" s="79">
        <v>0.99730340799999995</v>
      </c>
      <c r="W295" s="79">
        <v>1</v>
      </c>
    </row>
    <row r="296" spans="1:23" x14ac:dyDescent="0.2">
      <c r="A296" s="69"/>
      <c r="B296" s="56" t="s">
        <v>218</v>
      </c>
      <c r="C296" s="78">
        <v>2428</v>
      </c>
      <c r="D296" s="79">
        <v>1.7860485999999998E-2</v>
      </c>
      <c r="E296" s="79">
        <v>1.9723726E-2</v>
      </c>
      <c r="F296" s="79">
        <v>0.365276673</v>
      </c>
      <c r="G296" s="79">
        <v>0.880152082540541</v>
      </c>
      <c r="H296" s="80">
        <v>1</v>
      </c>
      <c r="I296" s="79">
        <v>2.07060548115762E-2</v>
      </c>
      <c r="J296" s="79">
        <v>1.92604653064842E-2</v>
      </c>
      <c r="K296" s="79">
        <v>0.282465755646848</v>
      </c>
      <c r="L296" s="79">
        <v>0.76694710984058201</v>
      </c>
      <c r="M296" s="80">
        <v>1</v>
      </c>
      <c r="N296" s="79">
        <v>-1.43304971436465E-2</v>
      </c>
      <c r="O296" s="79">
        <v>1.9097739523214401E-2</v>
      </c>
      <c r="P296" s="79">
        <v>0.45310478043356001</v>
      </c>
      <c r="Q296" s="79">
        <v>0.53587135728815305</v>
      </c>
      <c r="R296" s="80">
        <v>1</v>
      </c>
      <c r="S296" s="79">
        <v>-1.5887379999999999E-3</v>
      </c>
      <c r="T296" s="79">
        <v>1.9654883000000001E-2</v>
      </c>
      <c r="U296" s="79">
        <v>0.93558280500000002</v>
      </c>
      <c r="V296" s="79">
        <v>0.95056411500000004</v>
      </c>
      <c r="W296" s="79">
        <v>1</v>
      </c>
    </row>
    <row r="297" spans="1:23" x14ac:dyDescent="0.2">
      <c r="A297" s="69"/>
      <c r="B297" s="56" t="s">
        <v>217</v>
      </c>
      <c r="C297" s="78">
        <v>5196</v>
      </c>
      <c r="D297" s="79">
        <v>-2.0211489999999999E-3</v>
      </c>
      <c r="E297" s="79">
        <v>1.4019771E-2</v>
      </c>
      <c r="F297" s="79">
        <v>0.88537647799999997</v>
      </c>
      <c r="G297" s="79">
        <v>0.991673151733656</v>
      </c>
      <c r="H297" s="80">
        <v>1</v>
      </c>
      <c r="I297" s="79">
        <v>-4.7666295008474803E-3</v>
      </c>
      <c r="J297" s="79">
        <v>1.3880567584312701E-2</v>
      </c>
      <c r="K297" s="79">
        <v>0.73130946468401803</v>
      </c>
      <c r="L297" s="79">
        <v>0.94665651256802896</v>
      </c>
      <c r="M297" s="80">
        <v>1</v>
      </c>
      <c r="N297" s="79">
        <v>7.7180358975722802E-3</v>
      </c>
      <c r="O297" s="79">
        <v>1.3817483446105699E-2</v>
      </c>
      <c r="P297" s="79">
        <v>0.57647949587311798</v>
      </c>
      <c r="Q297" s="79">
        <v>0.65551297514604601</v>
      </c>
      <c r="R297" s="80">
        <v>1</v>
      </c>
      <c r="S297" s="79">
        <v>-3.6885809999999998E-3</v>
      </c>
      <c r="T297" s="79">
        <v>1.3797073E-2</v>
      </c>
      <c r="U297" s="79">
        <v>0.78921420799999997</v>
      </c>
      <c r="V297" s="79">
        <v>0.83320534999999996</v>
      </c>
      <c r="W297" s="79">
        <v>1</v>
      </c>
    </row>
    <row r="298" spans="1:23" x14ac:dyDescent="0.2">
      <c r="A298" s="69"/>
      <c r="B298" s="84" t="s">
        <v>2321</v>
      </c>
      <c r="C298" s="78">
        <v>5555</v>
      </c>
      <c r="D298" s="79">
        <v>1.0080212099047714</v>
      </c>
      <c r="E298" s="79">
        <v>2.8980727000000001E-2</v>
      </c>
      <c r="F298" s="79">
        <v>0.78279905699999996</v>
      </c>
      <c r="G298" s="79">
        <v>0.98545101377932998</v>
      </c>
      <c r="H298" s="80">
        <v>1</v>
      </c>
      <c r="I298" s="79">
        <v>0.99630781914600375</v>
      </c>
      <c r="J298" s="79">
        <v>2.8783238774927802E-2</v>
      </c>
      <c r="K298" s="79">
        <v>0.89774319210672604</v>
      </c>
      <c r="L298" s="79">
        <v>0.981200184300273</v>
      </c>
      <c r="M298" s="80">
        <v>1</v>
      </c>
      <c r="N298" s="79">
        <v>1.0308923475144451</v>
      </c>
      <c r="O298" s="79">
        <v>2.86146783738538E-2</v>
      </c>
      <c r="P298" s="79">
        <v>0.28766499344180302</v>
      </c>
      <c r="Q298" s="79">
        <v>0.36836213590075501</v>
      </c>
      <c r="R298" s="80">
        <v>1</v>
      </c>
      <c r="S298" s="79">
        <v>1.0991085970000001</v>
      </c>
      <c r="T298" s="79">
        <v>2.8653319999999999E-2</v>
      </c>
      <c r="U298" s="79">
        <v>9.7366E-4</v>
      </c>
      <c r="V298" s="79">
        <v>4.397064E-3</v>
      </c>
      <c r="W298" s="79">
        <v>1</v>
      </c>
    </row>
    <row r="299" spans="1:23" x14ac:dyDescent="0.2">
      <c r="A299" s="69"/>
      <c r="B299" s="84" t="s">
        <v>759</v>
      </c>
      <c r="C299" s="78">
        <v>5555</v>
      </c>
      <c r="D299" s="79">
        <v>-1.9816685000000001E-2</v>
      </c>
      <c r="E299" s="79">
        <v>1.3870957999999999E-2</v>
      </c>
      <c r="F299" s="79">
        <v>0.153164786</v>
      </c>
      <c r="G299" s="79">
        <v>0.68012823474564499</v>
      </c>
      <c r="H299" s="80">
        <v>1</v>
      </c>
      <c r="I299" s="79">
        <v>-1.74029452747749E-2</v>
      </c>
      <c r="J299" s="79">
        <v>1.3788459825371999E-2</v>
      </c>
      <c r="K299" s="79">
        <v>0.206954849416181</v>
      </c>
      <c r="L299" s="79">
        <v>0.72311176315330705</v>
      </c>
      <c r="M299" s="80">
        <v>1</v>
      </c>
      <c r="N299" s="79">
        <v>2.3454105905349999E-2</v>
      </c>
      <c r="O299" s="79">
        <v>1.3694801572587499E-2</v>
      </c>
      <c r="P299" s="79">
        <v>8.6839665230548896E-2</v>
      </c>
      <c r="Q299" s="79">
        <v>0.138965365923791</v>
      </c>
      <c r="R299" s="80">
        <v>1</v>
      </c>
      <c r="S299" s="81">
        <v>5.9320759000000001E-2</v>
      </c>
      <c r="T299" s="81">
        <v>1.3654576999999999E-2</v>
      </c>
      <c r="U299" s="81">
        <v>1.4226800000000001E-5</v>
      </c>
      <c r="V299" s="81">
        <v>1.9484999999999999E-4</v>
      </c>
      <c r="W299" s="81">
        <v>1.8053841000000001E-2</v>
      </c>
    </row>
    <row r="300" spans="1:23" x14ac:dyDescent="0.2">
      <c r="A300" s="69"/>
      <c r="B300" s="84" t="s">
        <v>2322</v>
      </c>
      <c r="C300" s="78">
        <v>5555</v>
      </c>
      <c r="D300" s="79">
        <v>0.95819997847223137</v>
      </c>
      <c r="E300" s="79">
        <v>4.1383248999999997E-2</v>
      </c>
      <c r="F300" s="79">
        <v>0.30217101400000002</v>
      </c>
      <c r="G300" s="79">
        <v>0.84461457437444898</v>
      </c>
      <c r="H300" s="80">
        <v>1</v>
      </c>
      <c r="I300" s="79">
        <v>0.91863774308330859</v>
      </c>
      <c r="J300" s="79">
        <v>4.1048336446018401E-2</v>
      </c>
      <c r="K300" s="79">
        <v>3.8696272861205E-2</v>
      </c>
      <c r="L300" s="79">
        <v>0.50307562413000395</v>
      </c>
      <c r="M300" s="80">
        <v>1</v>
      </c>
      <c r="N300" s="79">
        <v>1.0426555845400054</v>
      </c>
      <c r="O300" s="79">
        <v>4.0811129927909903E-2</v>
      </c>
      <c r="P300" s="79">
        <v>0.30606323410327202</v>
      </c>
      <c r="Q300" s="79">
        <v>0.38878302710415602</v>
      </c>
      <c r="R300" s="80">
        <v>1</v>
      </c>
      <c r="S300" s="79">
        <v>1.0767325640000001</v>
      </c>
      <c r="T300" s="79">
        <v>4.0803253999999997E-2</v>
      </c>
      <c r="U300" s="79">
        <v>7.0003026999999995E-2</v>
      </c>
      <c r="V300" s="79">
        <v>0.121192144</v>
      </c>
      <c r="W300" s="79">
        <v>1</v>
      </c>
    </row>
    <row r="301" spans="1:23" x14ac:dyDescent="0.2">
      <c r="A301" s="69"/>
      <c r="B301" s="84" t="s">
        <v>2323</v>
      </c>
      <c r="C301" s="78">
        <v>5555</v>
      </c>
      <c r="D301" s="79">
        <v>0.9892166783838604</v>
      </c>
      <c r="E301" s="79">
        <v>3.2084775000000003E-2</v>
      </c>
      <c r="F301" s="79">
        <v>0.73542826500000003</v>
      </c>
      <c r="G301" s="79">
        <v>0.98545101377932998</v>
      </c>
      <c r="H301" s="80">
        <v>1</v>
      </c>
      <c r="I301" s="79">
        <v>0.96190965237208892</v>
      </c>
      <c r="J301" s="79">
        <v>3.18989504258822E-2</v>
      </c>
      <c r="K301" s="79">
        <v>0.22344053581388401</v>
      </c>
      <c r="L301" s="79">
        <v>0.73459417908661795</v>
      </c>
      <c r="M301" s="80">
        <v>1</v>
      </c>
      <c r="N301" s="79">
        <v>1.0033091468562283</v>
      </c>
      <c r="O301" s="79">
        <v>3.1655756588922002E-2</v>
      </c>
      <c r="P301" s="79">
        <v>0.91688143558758495</v>
      </c>
      <c r="Q301" s="79">
        <v>0.93455625844228496</v>
      </c>
      <c r="R301" s="80">
        <v>1</v>
      </c>
      <c r="S301" s="79">
        <v>1.0712170539999999</v>
      </c>
      <c r="T301" s="79">
        <v>3.1674868000000002E-2</v>
      </c>
      <c r="U301" s="79">
        <v>2.9861326000000001E-2</v>
      </c>
      <c r="V301" s="79">
        <v>6.0437037999999998E-2</v>
      </c>
      <c r="W301" s="79">
        <v>1</v>
      </c>
    </row>
    <row r="302" spans="1:23" x14ac:dyDescent="0.2">
      <c r="A302" s="69"/>
      <c r="B302" s="84" t="s">
        <v>2324</v>
      </c>
      <c r="C302" s="78">
        <v>5555</v>
      </c>
      <c r="D302" s="79">
        <v>1.0041314339396619</v>
      </c>
      <c r="E302" s="79">
        <v>9.3263958999999994E-2</v>
      </c>
      <c r="F302" s="79">
        <v>0.96473937300000001</v>
      </c>
      <c r="G302" s="79">
        <v>0.991673151733656</v>
      </c>
      <c r="H302" s="80">
        <v>1</v>
      </c>
      <c r="I302" s="79">
        <v>1.0596508489412757</v>
      </c>
      <c r="J302" s="79">
        <v>9.1729898521062697E-2</v>
      </c>
      <c r="K302" s="79">
        <v>0.52762789288766199</v>
      </c>
      <c r="L302" s="79">
        <v>0.89965480158269595</v>
      </c>
      <c r="M302" s="80">
        <v>1</v>
      </c>
      <c r="N302" s="79">
        <v>1.0850018473695198</v>
      </c>
      <c r="O302" s="79">
        <v>9.1647381969596903E-2</v>
      </c>
      <c r="P302" s="79">
        <v>0.37337496432579698</v>
      </c>
      <c r="Q302" s="79">
        <v>0.457790173651629</v>
      </c>
      <c r="R302" s="80">
        <v>1</v>
      </c>
      <c r="S302" s="79">
        <v>0.99190394100000001</v>
      </c>
      <c r="T302" s="79">
        <v>9.1319258E-2</v>
      </c>
      <c r="U302" s="79">
        <v>0.92906801999999999</v>
      </c>
      <c r="V302" s="79">
        <v>0.94773900200000005</v>
      </c>
      <c r="W302" s="79">
        <v>1</v>
      </c>
    </row>
    <row r="303" spans="1:23" x14ac:dyDescent="0.2">
      <c r="A303" s="69"/>
      <c r="B303" s="84" t="s">
        <v>2325</v>
      </c>
      <c r="C303" s="78">
        <v>5555</v>
      </c>
      <c r="D303" s="79">
        <v>1.014265450082017</v>
      </c>
      <c r="E303" s="79">
        <v>4.8313304000000001E-2</v>
      </c>
      <c r="F303" s="79">
        <v>0.76938201299999998</v>
      </c>
      <c r="G303" s="79">
        <v>0.98545101377932998</v>
      </c>
      <c r="H303" s="80">
        <v>1</v>
      </c>
      <c r="I303" s="79">
        <v>0.96585830983104182</v>
      </c>
      <c r="J303" s="79">
        <v>4.76111960692433E-2</v>
      </c>
      <c r="K303" s="79">
        <v>0.46562182784943201</v>
      </c>
      <c r="L303" s="79">
        <v>0.87326336285163797</v>
      </c>
      <c r="M303" s="80">
        <v>1</v>
      </c>
      <c r="N303" s="79">
        <v>1.15111601958646</v>
      </c>
      <c r="O303" s="79">
        <v>4.7256746623931097E-2</v>
      </c>
      <c r="P303" s="79">
        <v>2.9010930090350002E-3</v>
      </c>
      <c r="Q303" s="79">
        <v>8.64198832973102E-3</v>
      </c>
      <c r="R303" s="80">
        <v>1</v>
      </c>
      <c r="S303" s="79">
        <v>1.108568679</v>
      </c>
      <c r="T303" s="79">
        <v>4.7318827000000001E-2</v>
      </c>
      <c r="U303" s="79">
        <v>2.9391409E-2</v>
      </c>
      <c r="V303" s="79">
        <v>5.9771953000000003E-2</v>
      </c>
      <c r="W303" s="79">
        <v>1</v>
      </c>
    </row>
    <row r="304" spans="1:23" x14ac:dyDescent="0.2">
      <c r="A304" s="69"/>
      <c r="B304" s="84" t="s">
        <v>2326</v>
      </c>
      <c r="C304" s="78">
        <v>5555</v>
      </c>
      <c r="D304" s="79">
        <v>1.0622796148669846</v>
      </c>
      <c r="E304" s="79">
        <v>5.8546572999999998E-2</v>
      </c>
      <c r="F304" s="79">
        <v>0.30209519800000001</v>
      </c>
      <c r="G304" s="79">
        <v>0.84461457437444898</v>
      </c>
      <c r="H304" s="80">
        <v>1</v>
      </c>
      <c r="I304" s="79">
        <v>0.96697124408979107</v>
      </c>
      <c r="J304" s="79">
        <v>5.7993816884183598E-2</v>
      </c>
      <c r="K304" s="79">
        <v>0.56249492014220803</v>
      </c>
      <c r="L304" s="79">
        <v>0.91046690517916096</v>
      </c>
      <c r="M304" s="80">
        <v>1</v>
      </c>
      <c r="N304" s="79">
        <v>1.0498063365479735</v>
      </c>
      <c r="O304" s="79">
        <v>5.7730730817105197E-2</v>
      </c>
      <c r="P304" s="79">
        <v>0.39982256420009799</v>
      </c>
      <c r="Q304" s="79">
        <v>0.484598695291236</v>
      </c>
      <c r="R304" s="80">
        <v>1</v>
      </c>
      <c r="S304" s="79">
        <v>1.056720587</v>
      </c>
      <c r="T304" s="79">
        <v>5.7563768000000001E-2</v>
      </c>
      <c r="U304" s="79">
        <v>0.33785048899999998</v>
      </c>
      <c r="V304" s="79">
        <v>0.43175455299999999</v>
      </c>
      <c r="W304" s="79">
        <v>1</v>
      </c>
    </row>
    <row r="305" spans="1:23" x14ac:dyDescent="0.2">
      <c r="A305" s="69"/>
      <c r="B305" s="84" t="s">
        <v>2327</v>
      </c>
      <c r="C305" s="78">
        <v>5555</v>
      </c>
      <c r="D305" s="79">
        <v>0.95720463950979162</v>
      </c>
      <c r="E305" s="79">
        <v>3.3471468999999997E-2</v>
      </c>
      <c r="F305" s="79">
        <v>0.19130540700000001</v>
      </c>
      <c r="G305" s="79">
        <v>0.71824426474260405</v>
      </c>
      <c r="H305" s="80">
        <v>1</v>
      </c>
      <c r="I305" s="79">
        <v>0.99600637190294206</v>
      </c>
      <c r="J305" s="79">
        <v>3.3125540906535501E-2</v>
      </c>
      <c r="K305" s="79">
        <v>0.90384804927955797</v>
      </c>
      <c r="L305" s="79">
        <v>0.981200184300273</v>
      </c>
      <c r="M305" s="80">
        <v>1</v>
      </c>
      <c r="N305" s="79">
        <v>1.05037318288948</v>
      </c>
      <c r="O305" s="79">
        <v>3.2905914860085601E-2</v>
      </c>
      <c r="P305" s="79">
        <v>0.13530214567378701</v>
      </c>
      <c r="Q305" s="79">
        <v>0.200816868842147</v>
      </c>
      <c r="R305" s="80">
        <v>1</v>
      </c>
      <c r="S305" s="79">
        <v>1.080833333</v>
      </c>
      <c r="T305" s="79">
        <v>3.2994357000000002E-2</v>
      </c>
      <c r="U305" s="79">
        <v>1.8476469999999998E-2</v>
      </c>
      <c r="V305" s="79">
        <v>4.120675E-2</v>
      </c>
      <c r="W305" s="79">
        <v>1</v>
      </c>
    </row>
    <row r="306" spans="1:23" x14ac:dyDescent="0.2">
      <c r="A306" s="69"/>
      <c r="B306" s="84" t="s">
        <v>2328</v>
      </c>
      <c r="C306" s="78">
        <v>5555</v>
      </c>
      <c r="D306" s="79">
        <v>0.92479240840716892</v>
      </c>
      <c r="E306" s="79">
        <v>7.2346592000000001E-2</v>
      </c>
      <c r="F306" s="79">
        <v>0.27982426599999999</v>
      </c>
      <c r="G306" s="79">
        <v>0.82719597069976902</v>
      </c>
      <c r="H306" s="80">
        <v>1</v>
      </c>
      <c r="I306" s="79">
        <v>0.92409079500964308</v>
      </c>
      <c r="J306" s="79">
        <v>7.1228900538236106E-2</v>
      </c>
      <c r="K306" s="79">
        <v>0.26772040365241401</v>
      </c>
      <c r="L306" s="79">
        <v>0.76003846137564501</v>
      </c>
      <c r="M306" s="80">
        <v>1</v>
      </c>
      <c r="N306" s="79">
        <v>0.97507236946289155</v>
      </c>
      <c r="O306" s="79">
        <v>7.1012816523064501E-2</v>
      </c>
      <c r="P306" s="79">
        <v>0.72223055677991499</v>
      </c>
      <c r="Q306" s="79">
        <v>0.77670387843534905</v>
      </c>
      <c r="R306" s="80">
        <v>1</v>
      </c>
      <c r="S306" s="79">
        <v>1.1025653360000001</v>
      </c>
      <c r="T306" s="79">
        <v>7.1460647000000002E-2</v>
      </c>
      <c r="U306" s="79">
        <v>0.17183206400000001</v>
      </c>
      <c r="V306" s="79">
        <v>0.25121531000000002</v>
      </c>
      <c r="W306" s="79">
        <v>1</v>
      </c>
    </row>
    <row r="307" spans="1:23" x14ac:dyDescent="0.2">
      <c r="A307" s="69"/>
      <c r="B307" s="84" t="s">
        <v>2329</v>
      </c>
      <c r="C307" s="78">
        <v>5555</v>
      </c>
      <c r="D307" s="79">
        <v>0.95773531914718912</v>
      </c>
      <c r="E307" s="79">
        <v>6.7670824000000004E-2</v>
      </c>
      <c r="F307" s="79">
        <v>0.52337904800000001</v>
      </c>
      <c r="G307" s="79">
        <v>0.93839135459751</v>
      </c>
      <c r="H307" s="80">
        <v>1</v>
      </c>
      <c r="I307" s="79">
        <v>1.0701540446231672</v>
      </c>
      <c r="J307" s="79">
        <v>6.7406801831120106E-2</v>
      </c>
      <c r="K307" s="79">
        <v>0.31447721483334301</v>
      </c>
      <c r="L307" s="79">
        <v>0.78754770700353705</v>
      </c>
      <c r="M307" s="80">
        <v>1</v>
      </c>
      <c r="N307" s="79">
        <v>1.059213875739214</v>
      </c>
      <c r="O307" s="79">
        <v>6.6532578531297501E-2</v>
      </c>
      <c r="P307" s="79">
        <v>0.38723411978151401</v>
      </c>
      <c r="Q307" s="79">
        <v>0.47159318426366698</v>
      </c>
      <c r="R307" s="80">
        <v>1</v>
      </c>
      <c r="S307" s="79">
        <v>1.165261009</v>
      </c>
      <c r="T307" s="79">
        <v>6.6713777000000002E-2</v>
      </c>
      <c r="U307" s="79">
        <v>2.1873549999999999E-2</v>
      </c>
      <c r="V307" s="79">
        <v>4.7071991000000001E-2</v>
      </c>
      <c r="W307" s="79">
        <v>1</v>
      </c>
    </row>
    <row r="308" spans="1:23" x14ac:dyDescent="0.2">
      <c r="A308" s="69"/>
      <c r="B308" s="84" t="s">
        <v>2330</v>
      </c>
      <c r="C308" s="78">
        <v>5555</v>
      </c>
      <c r="D308" s="79">
        <v>0.99497386251273323</v>
      </c>
      <c r="E308" s="79">
        <v>3.4885553999999999E-2</v>
      </c>
      <c r="F308" s="79">
        <v>0.88515436700000005</v>
      </c>
      <c r="G308" s="79">
        <v>0.991673151733656</v>
      </c>
      <c r="H308" s="80">
        <v>1</v>
      </c>
      <c r="I308" s="79">
        <v>1.0092616437880575</v>
      </c>
      <c r="J308" s="79">
        <v>3.4612297133259001E-2</v>
      </c>
      <c r="K308" s="79">
        <v>0.78996894775803805</v>
      </c>
      <c r="L308" s="79">
        <v>0.95970310918962698</v>
      </c>
      <c r="M308" s="80">
        <v>1</v>
      </c>
      <c r="N308" s="79">
        <v>1.0570591173176827</v>
      </c>
      <c r="O308" s="79">
        <v>3.4426953039176797E-2</v>
      </c>
      <c r="P308" s="79">
        <v>0.10699742724802901</v>
      </c>
      <c r="Q308" s="79">
        <v>0.16655205472440399</v>
      </c>
      <c r="R308" s="80">
        <v>1</v>
      </c>
      <c r="S308" s="79">
        <v>1.11955703</v>
      </c>
      <c r="T308" s="79">
        <v>3.4486863999999999E-2</v>
      </c>
      <c r="U308" s="79">
        <v>1.0578549999999999E-3</v>
      </c>
      <c r="V308" s="79">
        <v>4.6611730000000002E-3</v>
      </c>
      <c r="W308" s="79">
        <v>1</v>
      </c>
    </row>
    <row r="309" spans="1:23" x14ac:dyDescent="0.2">
      <c r="A309" s="69"/>
      <c r="B309" s="84" t="s">
        <v>2331</v>
      </c>
      <c r="C309" s="78">
        <v>5555</v>
      </c>
      <c r="D309" s="79">
        <v>1.0038164692420999</v>
      </c>
      <c r="E309" s="79">
        <v>3.2065341999999997E-2</v>
      </c>
      <c r="F309" s="79">
        <v>0.90543770099999998</v>
      </c>
      <c r="G309" s="79">
        <v>0.991673151733656</v>
      </c>
      <c r="H309" s="80">
        <v>1</v>
      </c>
      <c r="I309" s="79">
        <v>0.99770652130827975</v>
      </c>
      <c r="J309" s="79">
        <v>3.1826676987494099E-2</v>
      </c>
      <c r="K309" s="79">
        <v>0.942487086513492</v>
      </c>
      <c r="L309" s="79">
        <v>0.98413841952088998</v>
      </c>
      <c r="M309" s="80">
        <v>1</v>
      </c>
      <c r="N309" s="79">
        <v>0.9132345027794565</v>
      </c>
      <c r="O309" s="79">
        <v>3.1666246950516903E-2</v>
      </c>
      <c r="P309" s="79">
        <v>4.1539913525715103E-3</v>
      </c>
      <c r="Q309" s="79">
        <v>1.15601206719589E-2</v>
      </c>
      <c r="R309" s="80">
        <v>1</v>
      </c>
      <c r="S309" s="79">
        <v>0.9736049</v>
      </c>
      <c r="T309" s="79">
        <v>3.1544551999999997E-2</v>
      </c>
      <c r="U309" s="79">
        <v>0.39643931599999999</v>
      </c>
      <c r="V309" s="79">
        <v>0.48513162199999998</v>
      </c>
      <c r="W309" s="79">
        <v>1</v>
      </c>
    </row>
    <row r="310" spans="1:23" x14ac:dyDescent="0.2">
      <c r="A310" s="69"/>
      <c r="B310" s="84" t="s">
        <v>2332</v>
      </c>
      <c r="C310" s="78">
        <v>5555</v>
      </c>
      <c r="D310" s="79">
        <v>0.96534057060408829</v>
      </c>
      <c r="E310" s="79">
        <v>4.2129448999999999E-2</v>
      </c>
      <c r="F310" s="79">
        <v>0.40243290799999998</v>
      </c>
      <c r="G310" s="79">
        <v>0.88261195738869902</v>
      </c>
      <c r="H310" s="80">
        <v>1</v>
      </c>
      <c r="I310" s="79">
        <v>1.0319310274071338</v>
      </c>
      <c r="J310" s="79">
        <v>4.1947144077989398E-2</v>
      </c>
      <c r="K310" s="79">
        <v>0.45366440036231898</v>
      </c>
      <c r="L310" s="79">
        <v>0.87326336285163797</v>
      </c>
      <c r="M310" s="80">
        <v>1</v>
      </c>
      <c r="N310" s="79">
        <v>1.0569213879347319</v>
      </c>
      <c r="O310" s="79">
        <v>4.1542791573052698E-2</v>
      </c>
      <c r="P310" s="79">
        <v>0.18265988636932901</v>
      </c>
      <c r="Q310" s="79">
        <v>0.25673134483471</v>
      </c>
      <c r="R310" s="80">
        <v>1</v>
      </c>
      <c r="S310" s="79">
        <v>1.1006571549999999</v>
      </c>
      <c r="T310" s="79">
        <v>4.1634197999999997E-2</v>
      </c>
      <c r="U310" s="79">
        <v>2.1246622999999999E-2</v>
      </c>
      <c r="V310" s="79">
        <v>4.6246937000000002E-2</v>
      </c>
      <c r="W310" s="79">
        <v>1</v>
      </c>
    </row>
    <row r="311" spans="1:23" x14ac:dyDescent="0.2">
      <c r="A311" s="69"/>
      <c r="B311" s="84" t="s">
        <v>671</v>
      </c>
      <c r="C311" s="78">
        <v>686</v>
      </c>
      <c r="D311" s="79">
        <v>6.9184720000000005E-2</v>
      </c>
      <c r="E311" s="79">
        <v>3.9648479E-2</v>
      </c>
      <c r="F311" s="79">
        <v>8.1454901999999996E-2</v>
      </c>
      <c r="G311" s="79">
        <v>0.58070938560674201</v>
      </c>
      <c r="H311" s="80">
        <v>1</v>
      </c>
      <c r="I311" s="79">
        <v>-4.0517650118618097E-2</v>
      </c>
      <c r="J311" s="79">
        <v>3.9052842283251801E-2</v>
      </c>
      <c r="K311" s="79">
        <v>0.29987627134308997</v>
      </c>
      <c r="L311" s="79">
        <v>0.78301026406251295</v>
      </c>
      <c r="M311" s="80">
        <v>1</v>
      </c>
      <c r="N311" s="79">
        <v>6.0542949925382603E-2</v>
      </c>
      <c r="O311" s="79">
        <v>3.88383806434765E-2</v>
      </c>
      <c r="P311" s="79">
        <v>0.119513980044109</v>
      </c>
      <c r="Q311" s="79">
        <v>0.18055147699520799</v>
      </c>
      <c r="R311" s="80">
        <v>1</v>
      </c>
      <c r="S311" s="79">
        <v>-1.5105856000000001E-2</v>
      </c>
      <c r="T311" s="79">
        <v>3.8995512000000003E-2</v>
      </c>
      <c r="U311" s="79">
        <v>0.69860257299999995</v>
      </c>
      <c r="V311" s="79">
        <v>0.75901255499999998</v>
      </c>
      <c r="W311" s="79">
        <v>1</v>
      </c>
    </row>
    <row r="312" spans="1:23" x14ac:dyDescent="0.2">
      <c r="A312" s="69"/>
      <c r="B312" s="84" t="s">
        <v>2333</v>
      </c>
      <c r="C312" s="78">
        <v>5512</v>
      </c>
      <c r="D312" s="79">
        <f>EXP(0.004575559)</f>
        <v>1.0045860428538131</v>
      </c>
      <c r="E312" s="79">
        <v>2.8999625348056099E-2</v>
      </c>
      <c r="F312" s="79">
        <v>0.87463021011401398</v>
      </c>
      <c r="G312" s="79">
        <v>0.98973317755347601</v>
      </c>
      <c r="H312" s="80">
        <v>1</v>
      </c>
      <c r="I312" s="79">
        <v>1.037828979762649</v>
      </c>
      <c r="J312" s="79">
        <v>2.8832831642540399E-2</v>
      </c>
      <c r="K312" s="79">
        <v>0.177465513677216</v>
      </c>
      <c r="L312" s="79">
        <v>0.69688241292590103</v>
      </c>
      <c r="M312" s="80">
        <v>1</v>
      </c>
      <c r="N312" s="79">
        <v>1.0881818595311687</v>
      </c>
      <c r="O312" s="79">
        <v>2.8704174442344198E-2</v>
      </c>
      <c r="P312" s="79">
        <v>3.2388348537281601E-3</v>
      </c>
      <c r="Q312" s="79">
        <v>9.4921049177391099E-3</v>
      </c>
      <c r="R312" s="80">
        <v>1</v>
      </c>
      <c r="S312" s="79">
        <v>1.089871936</v>
      </c>
      <c r="T312" s="79">
        <v>2.8752375E-2</v>
      </c>
      <c r="U312" s="79">
        <v>2.7611319999999999E-3</v>
      </c>
      <c r="V312" s="79">
        <v>9.9716360000000007E-3</v>
      </c>
      <c r="W312" s="79">
        <v>1</v>
      </c>
    </row>
    <row r="313" spans="1:23" x14ac:dyDescent="0.2">
      <c r="A313" s="69"/>
      <c r="B313" s="84" t="s">
        <v>672</v>
      </c>
      <c r="C313" s="78">
        <v>3108</v>
      </c>
      <c r="D313" s="79">
        <v>-2.8862222999999999E-2</v>
      </c>
      <c r="E313" s="79">
        <v>1.8383129000000002E-2</v>
      </c>
      <c r="F313" s="79">
        <v>0.11650980800000001</v>
      </c>
      <c r="G313" s="79">
        <v>0.64215920265517301</v>
      </c>
      <c r="H313" s="80">
        <v>1</v>
      </c>
      <c r="I313" s="79">
        <v>-2.49528172681194E-2</v>
      </c>
      <c r="J313" s="79">
        <v>1.8439483574070201E-2</v>
      </c>
      <c r="K313" s="79">
        <v>0.176083792426112</v>
      </c>
      <c r="L313" s="79">
        <v>0.69688241292590103</v>
      </c>
      <c r="M313" s="80">
        <v>1</v>
      </c>
      <c r="N313" s="81">
        <v>8.1034631540999297E-2</v>
      </c>
      <c r="O313" s="81">
        <v>1.8117903032096899E-2</v>
      </c>
      <c r="P313" s="81">
        <v>8.0107923910597798E-6</v>
      </c>
      <c r="Q313" s="81">
        <v>7.0108245132792103E-5</v>
      </c>
      <c r="R313" s="82">
        <v>1.01656955442549E-2</v>
      </c>
      <c r="S313" s="79">
        <v>3.5628924999999999E-2</v>
      </c>
      <c r="T313" s="79">
        <v>1.798044E-2</v>
      </c>
      <c r="U313" s="79">
        <v>4.7620195999999997E-2</v>
      </c>
      <c r="V313" s="79">
        <v>8.9656478999999997E-2</v>
      </c>
      <c r="W313" s="79">
        <v>1</v>
      </c>
    </row>
    <row r="314" spans="1:23" x14ac:dyDescent="0.2">
      <c r="A314" s="69"/>
      <c r="B314" s="84" t="s">
        <v>2334</v>
      </c>
      <c r="C314" s="78">
        <v>5555</v>
      </c>
      <c r="D314" s="79">
        <v>0.97984539888709665</v>
      </c>
      <c r="E314" s="79">
        <v>3.7349897E-2</v>
      </c>
      <c r="F314" s="79">
        <v>0.58566546799999997</v>
      </c>
      <c r="G314" s="79">
        <v>0.95350818012595395</v>
      </c>
      <c r="H314" s="80">
        <v>1</v>
      </c>
      <c r="I314" s="79">
        <v>1.0217871124704769</v>
      </c>
      <c r="J314" s="79">
        <v>3.6989511891642603E-2</v>
      </c>
      <c r="K314" s="79">
        <v>0.560106619272005</v>
      </c>
      <c r="L314" s="79">
        <v>0.96964513668720897</v>
      </c>
      <c r="M314" s="80">
        <v>1</v>
      </c>
      <c r="N314" s="79">
        <v>1.0067281777714872</v>
      </c>
      <c r="O314" s="79">
        <v>3.67296633057453E-2</v>
      </c>
      <c r="P314" s="79">
        <v>0.85513734863785396</v>
      </c>
      <c r="Q314" s="79">
        <v>0.88503089064844997</v>
      </c>
      <c r="R314" s="80">
        <v>1</v>
      </c>
      <c r="S314" s="79">
        <v>1.027993366</v>
      </c>
      <c r="T314" s="79">
        <v>3.6724421E-2</v>
      </c>
      <c r="U314" s="79">
        <v>0.45218291599999999</v>
      </c>
      <c r="V314" s="79">
        <v>0.53981196600000003</v>
      </c>
      <c r="W314" s="79">
        <v>1</v>
      </c>
    </row>
    <row r="315" spans="1:23" x14ac:dyDescent="0.2">
      <c r="A315" s="69"/>
      <c r="B315" s="84" t="s">
        <v>673</v>
      </c>
      <c r="C315" s="78">
        <v>942</v>
      </c>
      <c r="D315" s="79">
        <v>5.5131939999999997E-2</v>
      </c>
      <c r="E315" s="79">
        <v>3.3632993E-2</v>
      </c>
      <c r="F315" s="79">
        <v>0.101516122</v>
      </c>
      <c r="G315" s="79">
        <v>0.61409274316589901</v>
      </c>
      <c r="H315" s="80">
        <v>1</v>
      </c>
      <c r="I315" s="79">
        <v>6.3175754591639401E-3</v>
      </c>
      <c r="J315" s="79">
        <v>3.4169193184773301E-2</v>
      </c>
      <c r="K315" s="79">
        <v>0.85335670999556801</v>
      </c>
      <c r="L315" s="79">
        <v>0.96964513668720897</v>
      </c>
      <c r="M315" s="80">
        <v>1</v>
      </c>
      <c r="N315" s="79">
        <v>2.49137763487873E-2</v>
      </c>
      <c r="O315" s="79">
        <v>3.2463360079060102E-2</v>
      </c>
      <c r="P315" s="79">
        <v>0.44302640538556998</v>
      </c>
      <c r="Q315" s="79">
        <v>0.52591254296940004</v>
      </c>
      <c r="R315" s="80">
        <v>1</v>
      </c>
      <c r="S315" s="79">
        <v>-7.2264590000000002E-3</v>
      </c>
      <c r="T315" s="79">
        <v>3.2831095999999997E-2</v>
      </c>
      <c r="U315" s="79">
        <v>0.82583425300000002</v>
      </c>
      <c r="V315" s="79">
        <v>0.862537997</v>
      </c>
      <c r="W315" s="79">
        <v>1</v>
      </c>
    </row>
    <row r="316" spans="1:23" x14ac:dyDescent="0.2">
      <c r="A316" s="69"/>
      <c r="B316" s="84" t="s">
        <v>2335</v>
      </c>
      <c r="C316" s="78">
        <v>5555</v>
      </c>
      <c r="D316" s="79">
        <v>1.0266206583317536</v>
      </c>
      <c r="E316" s="79">
        <v>4.6414825E-2</v>
      </c>
      <c r="F316" s="79">
        <v>0.57136883400000005</v>
      </c>
      <c r="G316" s="79">
        <v>0.95028446965399804</v>
      </c>
      <c r="H316" s="80">
        <v>1</v>
      </c>
      <c r="I316" s="79">
        <v>1.0093780180297385</v>
      </c>
      <c r="J316" s="79">
        <v>4.6018204926645802E-2</v>
      </c>
      <c r="K316" s="79">
        <v>0.83926035155608503</v>
      </c>
      <c r="L316" s="79">
        <v>0.9363531347706</v>
      </c>
      <c r="M316" s="80">
        <v>1</v>
      </c>
      <c r="N316" s="79">
        <v>1.0527605666481066</v>
      </c>
      <c r="O316" s="79">
        <v>4.5585850833451999E-2</v>
      </c>
      <c r="P316" s="79">
        <v>0.25936637855376499</v>
      </c>
      <c r="Q316" s="79">
        <v>0.33896594684317999</v>
      </c>
      <c r="R316" s="80">
        <v>1</v>
      </c>
      <c r="S316" s="79">
        <v>0.99293023999999996</v>
      </c>
      <c r="T316" s="79">
        <v>4.5566262000000003E-2</v>
      </c>
      <c r="U316" s="79">
        <v>0.87626599100000002</v>
      </c>
      <c r="V316" s="79">
        <v>0.90478563300000003</v>
      </c>
      <c r="W316" s="79">
        <v>1</v>
      </c>
    </row>
    <row r="317" spans="1:23" x14ac:dyDescent="0.2">
      <c r="A317" s="69"/>
      <c r="B317" s="84" t="s">
        <v>674</v>
      </c>
      <c r="C317" s="78">
        <v>583</v>
      </c>
      <c r="D317" s="79">
        <v>3.906925E-2</v>
      </c>
      <c r="E317" s="79">
        <v>4.1779327999999998E-2</v>
      </c>
      <c r="F317" s="79">
        <v>0.35011690699999998</v>
      </c>
      <c r="G317" s="79">
        <v>0.87195504610588204</v>
      </c>
      <c r="H317" s="80">
        <v>1</v>
      </c>
      <c r="I317" s="79">
        <v>1.6660253066506699E-2</v>
      </c>
      <c r="J317" s="79">
        <v>4.2754170279932301E-2</v>
      </c>
      <c r="K317" s="79">
        <v>0.69692420366646302</v>
      </c>
      <c r="L317" s="79">
        <v>0.9363531347706</v>
      </c>
      <c r="M317" s="80">
        <v>1</v>
      </c>
      <c r="N317" s="79">
        <v>4.2184280144443503E-2</v>
      </c>
      <c r="O317" s="79">
        <v>4.15809232637483E-2</v>
      </c>
      <c r="P317" s="79">
        <v>0.310777627630765</v>
      </c>
      <c r="Q317" s="79">
        <v>0.39398282663680401</v>
      </c>
      <c r="R317" s="80">
        <v>1</v>
      </c>
      <c r="S317" s="79">
        <v>1.2333237E-2</v>
      </c>
      <c r="T317" s="79">
        <v>4.1133286999999998E-2</v>
      </c>
      <c r="U317" s="79">
        <v>0.76441189200000004</v>
      </c>
      <c r="V317" s="79">
        <v>0.81106913899999999</v>
      </c>
      <c r="W317" s="79">
        <v>1</v>
      </c>
    </row>
    <row r="318" spans="1:23" x14ac:dyDescent="0.2">
      <c r="A318" s="69"/>
      <c r="B318" s="84" t="s">
        <v>2336</v>
      </c>
      <c r="C318" s="78">
        <v>5555</v>
      </c>
      <c r="D318" s="79">
        <v>0.97489865985162483</v>
      </c>
      <c r="E318" s="79">
        <v>4.1088653000000003E-2</v>
      </c>
      <c r="F318" s="79">
        <v>0.53611077100000004</v>
      </c>
      <c r="G318" s="79">
        <v>0.93967481823066301</v>
      </c>
      <c r="H318" s="80">
        <v>1</v>
      </c>
      <c r="I318" s="79">
        <v>0.99160504931070659</v>
      </c>
      <c r="J318" s="79">
        <v>4.0873206192266399E-2</v>
      </c>
      <c r="K318" s="79">
        <v>0.83659012979106295</v>
      </c>
      <c r="L318" s="79">
        <v>0.59811020064394504</v>
      </c>
      <c r="M318" s="80">
        <v>1</v>
      </c>
      <c r="N318" s="79">
        <v>1.1320708204699115</v>
      </c>
      <c r="O318" s="79">
        <v>4.0831041438454799E-2</v>
      </c>
      <c r="P318" s="79">
        <v>2.38079714433796E-3</v>
      </c>
      <c r="Q318" s="79">
        <v>7.28007608714427E-3</v>
      </c>
      <c r="R318" s="80">
        <v>1</v>
      </c>
      <c r="S318" s="79">
        <v>0.97622475799999997</v>
      </c>
      <c r="T318" s="79">
        <v>4.0510052999999997E-2</v>
      </c>
      <c r="U318" s="79">
        <v>0.55252098299999997</v>
      </c>
      <c r="V318" s="79">
        <v>0.63395038699999995</v>
      </c>
      <c r="W318" s="79">
        <v>1</v>
      </c>
    </row>
    <row r="319" spans="1:23" x14ac:dyDescent="0.2">
      <c r="A319" s="69"/>
      <c r="B319" s="84" t="s">
        <v>675</v>
      </c>
      <c r="C319" s="78">
        <v>761</v>
      </c>
      <c r="D319" s="79">
        <v>6.1308739999999997E-3</v>
      </c>
      <c r="E319" s="79">
        <v>3.7236164000000002E-2</v>
      </c>
      <c r="F319" s="79">
        <v>0.86926582200000002</v>
      </c>
      <c r="G319" s="79">
        <v>0.98755445668576602</v>
      </c>
      <c r="H319" s="80">
        <v>1</v>
      </c>
      <c r="I319" s="79">
        <v>6.2373562449418399E-2</v>
      </c>
      <c r="J319" s="79">
        <v>3.6393178911834703E-2</v>
      </c>
      <c r="K319" s="79">
        <v>8.6969167359355698E-2</v>
      </c>
      <c r="L319" s="79">
        <v>0.59811020064394504</v>
      </c>
      <c r="M319" s="80">
        <v>1</v>
      </c>
      <c r="N319" s="79">
        <v>-3.5882446437166E-3</v>
      </c>
      <c r="O319" s="79">
        <v>3.7733295951603602E-2</v>
      </c>
      <c r="P319" s="79">
        <v>0.92426527501184697</v>
      </c>
      <c r="Q319" s="79">
        <v>0.93808763691242603</v>
      </c>
      <c r="R319" s="80">
        <v>1</v>
      </c>
      <c r="S319" s="79">
        <v>4.5340920999999999E-2</v>
      </c>
      <c r="T319" s="79">
        <v>3.7321371999999998E-2</v>
      </c>
      <c r="U319" s="79">
        <v>0.224798831</v>
      </c>
      <c r="V319" s="79">
        <v>0.31075132500000002</v>
      </c>
      <c r="W319" s="79">
        <v>1</v>
      </c>
    </row>
    <row r="320" spans="1:23" x14ac:dyDescent="0.2">
      <c r="A320" s="69"/>
      <c r="B320" s="84" t="s">
        <v>2337</v>
      </c>
      <c r="C320" s="78">
        <v>5555</v>
      </c>
      <c r="D320" s="79">
        <v>0.96690385164670045</v>
      </c>
      <c r="E320" s="79">
        <v>3.3587238999999998E-2</v>
      </c>
      <c r="F320" s="79">
        <v>0.31631764600000001</v>
      </c>
      <c r="G320" s="79">
        <v>0.85138679101263204</v>
      </c>
      <c r="H320" s="80">
        <v>1</v>
      </c>
      <c r="I320" s="79">
        <v>1.0341836999672702</v>
      </c>
      <c r="J320" s="79">
        <v>3.34279113817696E-2</v>
      </c>
      <c r="K320" s="79">
        <v>0.31464671981938003</v>
      </c>
      <c r="L320" s="79">
        <v>0.93616360447106906</v>
      </c>
      <c r="M320" s="80">
        <v>1</v>
      </c>
      <c r="N320" s="79">
        <v>1.0139246041204206</v>
      </c>
      <c r="O320" s="79">
        <v>3.32307706298429E-2</v>
      </c>
      <c r="P320" s="79">
        <v>0.67730988221692201</v>
      </c>
      <c r="Q320" s="79">
        <v>0.740953655632133</v>
      </c>
      <c r="R320" s="80">
        <v>1</v>
      </c>
      <c r="S320" s="79">
        <v>0.98499836100000004</v>
      </c>
      <c r="T320" s="79">
        <v>3.3049064000000003E-2</v>
      </c>
      <c r="U320" s="79">
        <v>0.64741269700000004</v>
      </c>
      <c r="V320" s="79">
        <v>0.71440583599999996</v>
      </c>
      <c r="W320" s="79">
        <v>1</v>
      </c>
    </row>
    <row r="321" spans="1:23" x14ac:dyDescent="0.2">
      <c r="A321" s="69"/>
      <c r="B321" s="84" t="s">
        <v>676</v>
      </c>
      <c r="C321" s="78">
        <v>1238</v>
      </c>
      <c r="D321" s="79">
        <v>-1.1925846E-2</v>
      </c>
      <c r="E321" s="79">
        <v>2.9112460999999999E-2</v>
      </c>
      <c r="F321" s="79">
        <v>0.68214114400000003</v>
      </c>
      <c r="G321" s="79">
        <v>0.98545101377932998</v>
      </c>
      <c r="H321" s="80">
        <v>1</v>
      </c>
      <c r="I321" s="79">
        <v>-1.1354944385281901E-2</v>
      </c>
      <c r="J321" s="79">
        <v>2.8704894238389601E-2</v>
      </c>
      <c r="K321" s="79">
        <v>0.69249025551218402</v>
      </c>
      <c r="L321" s="79">
        <v>0.93616360447106906</v>
      </c>
      <c r="M321" s="80">
        <v>1</v>
      </c>
      <c r="N321" s="79">
        <v>2.9508132314451499E-2</v>
      </c>
      <c r="O321" s="79">
        <v>2.9466242712465101E-2</v>
      </c>
      <c r="P321" s="79">
        <v>0.31683092381879402</v>
      </c>
      <c r="Q321" s="79">
        <v>0.40045661586259901</v>
      </c>
      <c r="R321" s="80">
        <v>1</v>
      </c>
      <c r="S321" s="79">
        <v>-4.7605096999999999E-2</v>
      </c>
      <c r="T321" s="79">
        <v>2.8677366999999999E-2</v>
      </c>
      <c r="U321" s="79">
        <v>9.7172534000000005E-2</v>
      </c>
      <c r="V321" s="79">
        <v>0.159937673</v>
      </c>
      <c r="W321" s="79">
        <v>1</v>
      </c>
    </row>
    <row r="322" spans="1:23" x14ac:dyDescent="0.2">
      <c r="A322" s="69"/>
      <c r="B322" s="84" t="s">
        <v>2338</v>
      </c>
      <c r="C322" s="78">
        <v>5555</v>
      </c>
      <c r="D322" s="79">
        <v>0.99924701463587062</v>
      </c>
      <c r="E322" s="79">
        <v>6.6103417999999997E-2</v>
      </c>
      <c r="F322" s="79">
        <v>0.99090805199999998</v>
      </c>
      <c r="G322" s="79">
        <v>0.99538600326677196</v>
      </c>
      <c r="H322" s="80">
        <v>1</v>
      </c>
      <c r="I322" s="79">
        <v>1.0380757746214191</v>
      </c>
      <c r="J322" s="79">
        <v>6.5881996983554805E-2</v>
      </c>
      <c r="K322" s="79">
        <v>0.57057300816344803</v>
      </c>
      <c r="L322" s="79">
        <v>0.87326336285163797</v>
      </c>
      <c r="M322" s="80">
        <v>1</v>
      </c>
      <c r="N322" s="79">
        <v>1.140084665805343</v>
      </c>
      <c r="O322" s="79">
        <v>6.5383618692099493E-2</v>
      </c>
      <c r="P322" s="79">
        <v>4.4949359379941399E-2</v>
      </c>
      <c r="Q322" s="79">
        <v>8.0935409587335805E-2</v>
      </c>
      <c r="R322" s="80">
        <v>1</v>
      </c>
      <c r="S322" s="79">
        <v>1.08352724</v>
      </c>
      <c r="T322" s="79">
        <v>6.5216274000000005E-2</v>
      </c>
      <c r="U322" s="79">
        <v>0.218664575</v>
      </c>
      <c r="V322" s="79">
        <v>0.30426024699999998</v>
      </c>
      <c r="W322" s="79">
        <v>1</v>
      </c>
    </row>
    <row r="323" spans="1:23" x14ac:dyDescent="0.2">
      <c r="A323" s="69"/>
      <c r="B323" s="84" t="s">
        <v>677</v>
      </c>
      <c r="C323" s="78">
        <v>255</v>
      </c>
      <c r="D323" s="79">
        <v>-1.4127335E-2</v>
      </c>
      <c r="E323" s="79">
        <v>5.4835878999999997E-2</v>
      </c>
      <c r="F323" s="79">
        <v>0.79917234699999995</v>
      </c>
      <c r="G323" s="79">
        <v>0.98545101377932998</v>
      </c>
      <c r="H323" s="80">
        <v>1</v>
      </c>
      <c r="I323" s="79">
        <v>-4.2582165821446E-2</v>
      </c>
      <c r="J323" s="79">
        <v>5.6387797955464398E-2</v>
      </c>
      <c r="K323" s="79">
        <v>0.45729739698044602</v>
      </c>
      <c r="L323" s="79">
        <v>0.87326336285163797</v>
      </c>
      <c r="M323" s="80">
        <v>1</v>
      </c>
      <c r="N323" s="79">
        <v>-2.71772728553617E-2</v>
      </c>
      <c r="O323" s="79">
        <v>6.6804756311025296E-2</v>
      </c>
      <c r="P323" s="79">
        <v>0.68483360794498205</v>
      </c>
      <c r="Q323" s="79">
        <v>0.74532920109964196</v>
      </c>
      <c r="R323" s="80">
        <v>1</v>
      </c>
      <c r="S323" s="79">
        <v>1.3880277E-2</v>
      </c>
      <c r="T323" s="79">
        <v>6.5424889E-2</v>
      </c>
      <c r="U323" s="79">
        <v>0.83218129699999999</v>
      </c>
      <c r="V323" s="79">
        <v>0.86773875600000006</v>
      </c>
      <c r="W323" s="79">
        <v>1</v>
      </c>
    </row>
    <row r="324" spans="1:23" x14ac:dyDescent="0.2">
      <c r="A324" s="69"/>
      <c r="B324" s="84" t="s">
        <v>2339</v>
      </c>
      <c r="C324" s="78">
        <v>5555</v>
      </c>
      <c r="D324" s="79">
        <v>1.0216235014262212</v>
      </c>
      <c r="E324" s="79">
        <v>3.9536043E-2</v>
      </c>
      <c r="F324" s="79">
        <v>0.58843730800000005</v>
      </c>
      <c r="G324" s="79">
        <v>0.95350818012595395</v>
      </c>
      <c r="H324" s="80">
        <v>1</v>
      </c>
      <c r="I324" s="79">
        <v>1.0405297074370623</v>
      </c>
      <c r="J324" s="79">
        <v>3.9393913230520897E-2</v>
      </c>
      <c r="K324" s="79">
        <v>0.31320040672420102</v>
      </c>
      <c r="L324" s="79">
        <v>0.92297773253577797</v>
      </c>
      <c r="M324" s="80">
        <v>1</v>
      </c>
      <c r="N324" s="79">
        <v>1.0624400703842303</v>
      </c>
      <c r="O324" s="79">
        <v>3.8997403797584797E-2</v>
      </c>
      <c r="P324" s="79">
        <v>0.12039098932753101</v>
      </c>
      <c r="Q324" s="79">
        <v>0.18144437702688501</v>
      </c>
      <c r="R324" s="80">
        <v>1</v>
      </c>
      <c r="S324" s="79">
        <v>1.0952302309999999</v>
      </c>
      <c r="T324" s="79">
        <v>3.9055498000000001E-2</v>
      </c>
      <c r="U324" s="79">
        <v>1.9853176E-2</v>
      </c>
      <c r="V324" s="79">
        <v>4.3663224E-2</v>
      </c>
      <c r="W324" s="79">
        <v>1</v>
      </c>
    </row>
    <row r="325" spans="1:23" x14ac:dyDescent="0.2">
      <c r="A325" s="69"/>
      <c r="B325" s="84" t="s">
        <v>678</v>
      </c>
      <c r="C325" s="78">
        <v>809</v>
      </c>
      <c r="D325" s="79">
        <v>1.8076355999999998E-2</v>
      </c>
      <c r="E325" s="79">
        <v>3.6199803000000003E-2</v>
      </c>
      <c r="F325" s="79">
        <v>0.61767175500000004</v>
      </c>
      <c r="G325" s="79">
        <v>0.96648114430418697</v>
      </c>
      <c r="H325" s="80">
        <v>1</v>
      </c>
      <c r="I325" s="79">
        <v>1.6011272788565099E-2</v>
      </c>
      <c r="J325" s="79">
        <v>3.5062443235048403E-2</v>
      </c>
      <c r="K325" s="79">
        <v>0.64804819518469503</v>
      </c>
      <c r="L325" s="79">
        <v>0.92297773253577797</v>
      </c>
      <c r="M325" s="80">
        <v>1</v>
      </c>
      <c r="N325" s="79">
        <v>-2.5355432923912301E-2</v>
      </c>
      <c r="O325" s="79">
        <v>3.5120577173034101E-2</v>
      </c>
      <c r="P325" s="79">
        <v>0.470536706080672</v>
      </c>
      <c r="Q325" s="79">
        <v>0.55236917670339802</v>
      </c>
      <c r="R325" s="80">
        <v>1</v>
      </c>
      <c r="S325" s="79">
        <v>-2.8792002000000001E-2</v>
      </c>
      <c r="T325" s="79">
        <v>3.5843013E-2</v>
      </c>
      <c r="U325" s="79">
        <v>0.422053978</v>
      </c>
      <c r="V325" s="79">
        <v>0.51105581899999997</v>
      </c>
      <c r="W325" s="79">
        <v>1</v>
      </c>
    </row>
    <row r="326" spans="1:23" x14ac:dyDescent="0.2">
      <c r="A326" s="69"/>
      <c r="B326" s="84" t="s">
        <v>2340</v>
      </c>
      <c r="C326" s="78">
        <v>5555</v>
      </c>
      <c r="D326" s="79">
        <v>0.98880581443668436</v>
      </c>
      <c r="E326" s="79">
        <v>3.4223452000000001E-2</v>
      </c>
      <c r="F326" s="79">
        <v>0.74220435299999998</v>
      </c>
      <c r="G326" s="79">
        <v>0.98545101377932998</v>
      </c>
      <c r="H326" s="80">
        <v>1</v>
      </c>
      <c r="I326" s="79">
        <v>1.0188775217365653</v>
      </c>
      <c r="J326" s="79">
        <v>3.3904936799781203E-2</v>
      </c>
      <c r="K326" s="79">
        <v>0.58123073726422103</v>
      </c>
      <c r="L326" s="79">
        <v>0.96739769919940799</v>
      </c>
      <c r="M326" s="80">
        <v>1</v>
      </c>
      <c r="N326" s="79">
        <v>1.0835966060211029</v>
      </c>
      <c r="O326" s="79">
        <v>3.3660249448278702E-2</v>
      </c>
      <c r="P326" s="79">
        <v>1.7070841931002698E-2</v>
      </c>
      <c r="Q326" s="79">
        <v>3.6904426593598702E-2</v>
      </c>
      <c r="R326" s="80">
        <v>1</v>
      </c>
      <c r="S326" s="79">
        <v>1.0907414070000001</v>
      </c>
      <c r="T326" s="79">
        <v>3.3739553999999998E-2</v>
      </c>
      <c r="U326" s="79">
        <v>1.004266E-2</v>
      </c>
      <c r="V326" s="79">
        <v>2.6061627E-2</v>
      </c>
      <c r="W326" s="79">
        <v>1</v>
      </c>
    </row>
    <row r="327" spans="1:23" x14ac:dyDescent="0.2">
      <c r="A327" s="69"/>
      <c r="B327" s="84" t="s">
        <v>679</v>
      </c>
      <c r="C327" s="78">
        <v>1280</v>
      </c>
      <c r="D327" s="79">
        <v>-3.6335776E-2</v>
      </c>
      <c r="E327" s="79">
        <v>2.9753037999999999E-2</v>
      </c>
      <c r="F327" s="79">
        <v>0.222221012</v>
      </c>
      <c r="G327" s="79">
        <v>0.74224234113157905</v>
      </c>
      <c r="H327" s="80">
        <v>1</v>
      </c>
      <c r="I327" s="79">
        <v>-5.9140002635823504E-3</v>
      </c>
      <c r="J327" s="79">
        <v>2.8138103615096301E-2</v>
      </c>
      <c r="K327" s="79">
        <v>0.83356325078962701</v>
      </c>
      <c r="L327" s="79">
        <v>0.96739769919940799</v>
      </c>
      <c r="M327" s="80">
        <v>1</v>
      </c>
      <c r="N327" s="79">
        <v>-3.12384479901457E-3</v>
      </c>
      <c r="O327" s="79">
        <v>2.7704507145603699E-2</v>
      </c>
      <c r="P327" s="79">
        <v>0.91024225521431101</v>
      </c>
      <c r="Q327" s="79">
        <v>0.92853490503775005</v>
      </c>
      <c r="R327" s="80">
        <v>1</v>
      </c>
      <c r="S327" s="79">
        <v>-2.7759546999999999E-2</v>
      </c>
      <c r="T327" s="79">
        <v>2.8578180000000002E-2</v>
      </c>
      <c r="U327" s="79">
        <v>0.33155895800000001</v>
      </c>
      <c r="V327" s="79">
        <v>0.424141449</v>
      </c>
      <c r="W327" s="79">
        <v>1</v>
      </c>
    </row>
    <row r="328" spans="1:23" x14ac:dyDescent="0.2">
      <c r="A328" s="69"/>
      <c r="B328" s="84" t="s">
        <v>2341</v>
      </c>
      <c r="C328" s="78">
        <v>5555</v>
      </c>
      <c r="D328" s="79">
        <v>1.0673231297753276</v>
      </c>
      <c r="E328" s="79">
        <v>4.5684443999999998E-2</v>
      </c>
      <c r="F328" s="79">
        <v>0.153819388</v>
      </c>
      <c r="G328" s="79">
        <v>0.68012823474564499</v>
      </c>
      <c r="H328" s="80">
        <v>1</v>
      </c>
      <c r="I328" s="79">
        <v>0.97969767493309778</v>
      </c>
      <c r="J328" s="79">
        <v>4.5284437264005301E-2</v>
      </c>
      <c r="K328" s="79">
        <v>0.65059008845622701</v>
      </c>
      <c r="L328" s="79">
        <v>0.93958156138094695</v>
      </c>
      <c r="M328" s="80">
        <v>1</v>
      </c>
      <c r="N328" s="79">
        <v>1.0520611239786644</v>
      </c>
      <c r="O328" s="79">
        <v>4.5072910113232501E-2</v>
      </c>
      <c r="P328" s="79">
        <v>0.26017379769632898</v>
      </c>
      <c r="Q328" s="79">
        <v>0.33967134699243001</v>
      </c>
      <c r="R328" s="80">
        <v>1</v>
      </c>
      <c r="S328" s="79">
        <v>1.0567655030000001</v>
      </c>
      <c r="T328" s="79">
        <v>4.4913412E-2</v>
      </c>
      <c r="U328" s="79">
        <v>0.21895289300000001</v>
      </c>
      <c r="V328" s="79">
        <v>0.30432773400000002</v>
      </c>
      <c r="W328" s="79">
        <v>1</v>
      </c>
    </row>
    <row r="329" spans="1:23" x14ac:dyDescent="0.2">
      <c r="A329" s="69"/>
      <c r="B329" s="84" t="s">
        <v>680</v>
      </c>
      <c r="C329" s="78">
        <v>568</v>
      </c>
      <c r="D329" s="79">
        <v>5.3404710000000003E-3</v>
      </c>
      <c r="E329" s="79">
        <v>4.4030275000000001E-2</v>
      </c>
      <c r="F329" s="79">
        <v>0.90350464699999999</v>
      </c>
      <c r="G329" s="79">
        <v>0.991673151733656</v>
      </c>
      <c r="H329" s="80">
        <v>1</v>
      </c>
      <c r="I329" s="79">
        <v>1.5703915354045701E-2</v>
      </c>
      <c r="J329" s="79">
        <v>4.2541916841524703E-2</v>
      </c>
      <c r="K329" s="79">
        <v>0.71216517893034803</v>
      </c>
      <c r="L329" s="79">
        <v>0.93958156138094695</v>
      </c>
      <c r="M329" s="80">
        <v>1</v>
      </c>
      <c r="N329" s="79">
        <v>6.8698472814924499E-2</v>
      </c>
      <c r="O329" s="79">
        <v>4.3791600313308997E-2</v>
      </c>
      <c r="P329" s="79">
        <v>0.11727891159837101</v>
      </c>
      <c r="Q329" s="79">
        <v>0.17866379209883901</v>
      </c>
      <c r="R329" s="80">
        <v>1</v>
      </c>
      <c r="S329" s="79">
        <v>2.7644624E-2</v>
      </c>
      <c r="T329" s="79">
        <v>4.2070060999999999E-2</v>
      </c>
      <c r="U329" s="79">
        <v>0.51138485600000005</v>
      </c>
      <c r="V329" s="79">
        <v>0.59645899099999999</v>
      </c>
      <c r="W329" s="79">
        <v>1</v>
      </c>
    </row>
    <row r="330" spans="1:23" x14ac:dyDescent="0.2">
      <c r="A330" s="69"/>
      <c r="B330" s="84" t="s">
        <v>2342</v>
      </c>
      <c r="C330" s="78">
        <v>5555</v>
      </c>
      <c r="D330" s="79">
        <v>0.99372005977079703</v>
      </c>
      <c r="E330" s="79">
        <v>6.6446553000000005E-2</v>
      </c>
      <c r="F330" s="79">
        <v>0.92446641100000004</v>
      </c>
      <c r="G330" s="79">
        <v>0.991673151733656</v>
      </c>
      <c r="H330" s="80">
        <v>1</v>
      </c>
      <c r="I330" s="79">
        <v>0.88403471353931928</v>
      </c>
      <c r="J330" s="79">
        <v>6.5803997776736803E-2</v>
      </c>
      <c r="K330" s="79">
        <v>6.1051471893699097E-2</v>
      </c>
      <c r="L330" s="79">
        <v>0.91965825061269202</v>
      </c>
      <c r="M330" s="80">
        <v>1</v>
      </c>
      <c r="N330" s="79">
        <v>1.1606233055085091</v>
      </c>
      <c r="O330" s="79">
        <v>6.5385429937436207E-2</v>
      </c>
      <c r="P330" s="79">
        <v>2.2718210580870601E-2</v>
      </c>
      <c r="Q330" s="79">
        <v>4.6127054763399698E-2</v>
      </c>
      <c r="R330" s="80">
        <v>1</v>
      </c>
      <c r="S330" s="79">
        <v>1.1249940510000001</v>
      </c>
      <c r="T330" s="79">
        <v>6.5295769000000004E-2</v>
      </c>
      <c r="U330" s="79">
        <v>7.1269293999999997E-2</v>
      </c>
      <c r="V330" s="79">
        <v>0.123048618</v>
      </c>
      <c r="W330" s="79">
        <v>1</v>
      </c>
    </row>
    <row r="331" spans="1:23" x14ac:dyDescent="0.2">
      <c r="A331" s="69"/>
      <c r="B331" s="84" t="s">
        <v>681</v>
      </c>
      <c r="C331" s="78">
        <v>259</v>
      </c>
      <c r="D331" s="79">
        <v>4.4275850000000004E-3</v>
      </c>
      <c r="E331" s="79">
        <v>6.2898608999999994E-2</v>
      </c>
      <c r="F331" s="79">
        <v>0.94395315400000002</v>
      </c>
      <c r="G331" s="79">
        <v>0.991673151733656</v>
      </c>
      <c r="H331" s="80">
        <v>1</v>
      </c>
      <c r="I331" s="79">
        <v>2.91774200775697E-2</v>
      </c>
      <c r="J331" s="79">
        <v>5.7647148863379502E-2</v>
      </c>
      <c r="K331" s="79">
        <v>0.61342278022645902</v>
      </c>
      <c r="L331" s="79">
        <v>0.91965825061269202</v>
      </c>
      <c r="M331" s="80">
        <v>1</v>
      </c>
      <c r="N331" s="79">
        <v>2.4974584115434802E-2</v>
      </c>
      <c r="O331" s="79">
        <v>5.84424066820027E-2</v>
      </c>
      <c r="P331" s="79">
        <v>0.66951116438699498</v>
      </c>
      <c r="Q331" s="79">
        <v>0.73571638968534503</v>
      </c>
      <c r="R331" s="80">
        <v>1</v>
      </c>
      <c r="S331" s="79">
        <v>3.1456909999999998E-2</v>
      </c>
      <c r="T331" s="79">
        <v>5.5869823999999998E-2</v>
      </c>
      <c r="U331" s="79">
        <v>0.57413340800000001</v>
      </c>
      <c r="V331" s="79">
        <v>0.64877586300000001</v>
      </c>
      <c r="W331" s="79">
        <v>1</v>
      </c>
    </row>
    <row r="332" spans="1:23" x14ac:dyDescent="0.2">
      <c r="A332" s="69"/>
      <c r="B332" s="84" t="s">
        <v>2343</v>
      </c>
      <c r="C332" s="78">
        <v>5555</v>
      </c>
      <c r="D332" s="79">
        <v>1.036697766590944</v>
      </c>
      <c r="E332" s="79">
        <v>6.2812834999999997E-2</v>
      </c>
      <c r="F332" s="79">
        <v>0.56612003899999996</v>
      </c>
      <c r="G332" s="79">
        <v>0.94651690315019799</v>
      </c>
      <c r="H332" s="80">
        <v>1</v>
      </c>
      <c r="I332" s="79">
        <v>1.042891578358853</v>
      </c>
      <c r="J332" s="79">
        <v>6.2702008725884203E-2</v>
      </c>
      <c r="K332" s="79">
        <v>0.50299125766541297</v>
      </c>
      <c r="L332" s="79">
        <v>0.93767655271291706</v>
      </c>
      <c r="M332" s="80">
        <v>1</v>
      </c>
      <c r="N332" s="79">
        <v>1.0174427728939701</v>
      </c>
      <c r="O332" s="79">
        <v>6.2243392591099102E-2</v>
      </c>
      <c r="P332" s="79">
        <v>0.78115134457056801</v>
      </c>
      <c r="Q332" s="79">
        <v>0.82263988071373495</v>
      </c>
      <c r="R332" s="80">
        <v>1</v>
      </c>
      <c r="S332" s="79">
        <v>0.94773034599999995</v>
      </c>
      <c r="T332" s="79">
        <v>6.1712205999999999E-2</v>
      </c>
      <c r="U332" s="79">
        <v>0.38433898399999999</v>
      </c>
      <c r="V332" s="79">
        <v>0.47352055399999998</v>
      </c>
      <c r="W332" s="79">
        <v>1</v>
      </c>
    </row>
    <row r="333" spans="1:23" x14ac:dyDescent="0.2">
      <c r="A333" s="69"/>
      <c r="B333" s="84" t="s">
        <v>695</v>
      </c>
      <c r="C333" s="78">
        <v>289</v>
      </c>
      <c r="D333" s="79">
        <v>1.1390000000000001E-2</v>
      </c>
      <c r="E333" s="79">
        <v>5.9495991999999998E-2</v>
      </c>
      <c r="F333" s="79">
        <v>0.848327202</v>
      </c>
      <c r="G333" s="79">
        <v>0.98552821438803295</v>
      </c>
      <c r="H333" s="80">
        <v>1</v>
      </c>
      <c r="I333" s="79">
        <v>2.2065338730280701E-2</v>
      </c>
      <c r="J333" s="79">
        <v>5.76656356956581E-2</v>
      </c>
      <c r="K333" s="79">
        <v>0.70228272283353599</v>
      </c>
      <c r="L333" s="79">
        <v>0.93767655271291706</v>
      </c>
      <c r="M333" s="80">
        <v>1</v>
      </c>
      <c r="N333" s="79">
        <v>-0.126123992904453</v>
      </c>
      <c r="O333" s="79">
        <v>6.23110990740737E-2</v>
      </c>
      <c r="P333" s="79">
        <v>4.3940280598674601E-2</v>
      </c>
      <c r="Q333" s="79">
        <v>7.95821088086381E-2</v>
      </c>
      <c r="R333" s="80">
        <v>1</v>
      </c>
      <c r="S333" s="79">
        <v>1.8135938000000001E-2</v>
      </c>
      <c r="T333" s="79">
        <v>6.2995694000000005E-2</v>
      </c>
      <c r="U333" s="79">
        <v>0.77365448999999997</v>
      </c>
      <c r="V333" s="79">
        <v>0.81882197499999998</v>
      </c>
      <c r="W333" s="79">
        <v>1</v>
      </c>
    </row>
    <row r="334" spans="1:23" x14ac:dyDescent="0.2">
      <c r="A334" s="69"/>
      <c r="B334" s="84" t="s">
        <v>2344</v>
      </c>
      <c r="C334" s="78">
        <v>5555</v>
      </c>
      <c r="D334" s="79">
        <v>1.0231385062156964</v>
      </c>
      <c r="E334" s="79">
        <v>8.6286366000000003E-2</v>
      </c>
      <c r="F334" s="79">
        <v>0.79092926299999999</v>
      </c>
      <c r="G334" s="79">
        <v>0.98545101377932998</v>
      </c>
      <c r="H334" s="80">
        <v>1</v>
      </c>
      <c r="I334" s="79">
        <v>1.1335455748774939</v>
      </c>
      <c r="J334" s="79">
        <v>8.6724509227789306E-2</v>
      </c>
      <c r="K334" s="79">
        <v>0.14834947457769901</v>
      </c>
      <c r="L334" s="79">
        <v>0.79366538468944703</v>
      </c>
      <c r="M334" s="80">
        <v>1</v>
      </c>
      <c r="N334" s="79">
        <v>1.2396921382129698</v>
      </c>
      <c r="O334" s="79">
        <v>8.49463352359279E-2</v>
      </c>
      <c r="P334" s="79">
        <v>1.14258445634431E-2</v>
      </c>
      <c r="Q334" s="79">
        <v>2.6709091257761199E-2</v>
      </c>
      <c r="R334" s="80">
        <v>1</v>
      </c>
      <c r="S334" s="79">
        <v>1.225278369</v>
      </c>
      <c r="T334" s="79">
        <v>8.5594966999999994E-2</v>
      </c>
      <c r="U334" s="79">
        <v>1.7615709E-2</v>
      </c>
      <c r="V334" s="79">
        <v>3.9776394999999999E-2</v>
      </c>
      <c r="W334" s="79">
        <v>1</v>
      </c>
    </row>
    <row r="335" spans="1:23" x14ac:dyDescent="0.2">
      <c r="A335" s="69"/>
      <c r="B335" s="84" t="s">
        <v>696</v>
      </c>
      <c r="C335" s="78">
        <v>146</v>
      </c>
      <c r="D335" s="79">
        <v>7.2732999999999999E-3</v>
      </c>
      <c r="E335" s="79">
        <v>6.4299038000000003E-2</v>
      </c>
      <c r="F335" s="79">
        <v>0.91010983300000003</v>
      </c>
      <c r="G335" s="79">
        <v>0.991673151733656</v>
      </c>
      <c r="H335" s="80">
        <v>1</v>
      </c>
      <c r="I335" s="79">
        <v>-6.2938185269699701E-2</v>
      </c>
      <c r="J335" s="79">
        <v>6.3152325111891103E-2</v>
      </c>
      <c r="K335" s="79">
        <v>0.320777689869569</v>
      </c>
      <c r="L335" s="79">
        <v>0.79366538468944703</v>
      </c>
      <c r="M335" s="80">
        <v>1</v>
      </c>
      <c r="N335" s="79">
        <v>3.9584230434137099E-2</v>
      </c>
      <c r="O335" s="79">
        <v>6.1096339762154298E-2</v>
      </c>
      <c r="P335" s="79">
        <v>0.51817591035875599</v>
      </c>
      <c r="Q335" s="79">
        <v>0.59786961601570598</v>
      </c>
      <c r="R335" s="80">
        <v>1</v>
      </c>
      <c r="S335" s="79">
        <v>-5.1416335000000001E-2</v>
      </c>
      <c r="T335" s="79">
        <v>5.9604783000000001E-2</v>
      </c>
      <c r="U335" s="79">
        <v>0.38991042300000001</v>
      </c>
      <c r="V335" s="79">
        <v>0.47991884200000001</v>
      </c>
      <c r="W335" s="79">
        <v>1</v>
      </c>
    </row>
    <row r="336" spans="1:23" x14ac:dyDescent="0.2">
      <c r="A336" s="69"/>
      <c r="B336" s="84" t="s">
        <v>2345</v>
      </c>
      <c r="C336" s="78">
        <v>5555</v>
      </c>
      <c r="D336" s="79">
        <v>0.93923522433120099</v>
      </c>
      <c r="E336" s="79">
        <v>9.2021400000000003E-2</v>
      </c>
      <c r="F336" s="79">
        <v>0.49571505100000002</v>
      </c>
      <c r="G336" s="79">
        <v>0.92884339055395704</v>
      </c>
      <c r="H336" s="80">
        <v>1</v>
      </c>
      <c r="I336" s="79">
        <v>1.0696109723766303</v>
      </c>
      <c r="J336" s="79">
        <v>9.1902759068190495E-2</v>
      </c>
      <c r="K336" s="79">
        <v>0.46402123824387698</v>
      </c>
      <c r="L336" s="79">
        <v>0.71347894824854996</v>
      </c>
      <c r="M336" s="80">
        <v>1</v>
      </c>
      <c r="N336" s="79">
        <v>1.0744458276486795</v>
      </c>
      <c r="O336" s="79">
        <v>9.0996692187307507E-2</v>
      </c>
      <c r="P336" s="79">
        <v>0.43005658251024498</v>
      </c>
      <c r="Q336" s="79">
        <v>0.51533692465108705</v>
      </c>
      <c r="R336" s="80">
        <v>1</v>
      </c>
      <c r="S336" s="79">
        <v>1.0287457710000001</v>
      </c>
      <c r="T336" s="79">
        <v>9.1156196999999994E-2</v>
      </c>
      <c r="U336" s="79">
        <v>0.75587747500000002</v>
      </c>
      <c r="V336" s="79">
        <v>0.80383251899999997</v>
      </c>
      <c r="W336" s="79">
        <v>1</v>
      </c>
    </row>
    <row r="337" spans="1:23" x14ac:dyDescent="0.2">
      <c r="A337" s="69"/>
      <c r="B337" s="84" t="s">
        <v>697</v>
      </c>
      <c r="C337" s="78">
        <v>131</v>
      </c>
      <c r="D337" s="79">
        <v>-2.1286531000000001E-2</v>
      </c>
      <c r="E337" s="79">
        <v>8.6673114999999995E-2</v>
      </c>
      <c r="F337" s="79">
        <v>0.80644922100000005</v>
      </c>
      <c r="G337" s="79">
        <v>0.98545101377932998</v>
      </c>
      <c r="H337" s="80">
        <v>1</v>
      </c>
      <c r="I337" s="79">
        <v>-0.13131839837923101</v>
      </c>
      <c r="J337" s="79">
        <v>0.100891986860035</v>
      </c>
      <c r="K337" s="79">
        <v>0.19563794554580699</v>
      </c>
      <c r="L337" s="79">
        <v>0.71347894824854996</v>
      </c>
      <c r="M337" s="80">
        <v>1</v>
      </c>
      <c r="N337" s="79">
        <v>-8.5400115678574608E-3</v>
      </c>
      <c r="O337" s="79">
        <v>8.8409047055771003E-2</v>
      </c>
      <c r="P337" s="79">
        <v>0.92321325251165398</v>
      </c>
      <c r="Q337" s="79">
        <v>0.93799649114274497</v>
      </c>
      <c r="R337" s="80">
        <v>1</v>
      </c>
      <c r="S337" s="79">
        <v>2.427636E-2</v>
      </c>
      <c r="T337" s="79">
        <v>9.4369203999999998E-2</v>
      </c>
      <c r="U337" s="79">
        <v>0.79745540400000003</v>
      </c>
      <c r="V337" s="79">
        <v>0.83889793499999998</v>
      </c>
      <c r="W337" s="79">
        <v>1</v>
      </c>
    </row>
    <row r="338" spans="1:23" x14ac:dyDescent="0.2">
      <c r="A338" s="69"/>
      <c r="B338" s="84" t="s">
        <v>2346</v>
      </c>
      <c r="C338" s="78">
        <v>5555</v>
      </c>
      <c r="D338" s="79">
        <v>0.99554139820849108</v>
      </c>
      <c r="E338" s="79">
        <v>3.9817232000000001E-2</v>
      </c>
      <c r="F338" s="79">
        <v>0.91064336599999995</v>
      </c>
      <c r="G338" s="79">
        <v>0.991673151733656</v>
      </c>
      <c r="H338" s="80">
        <v>1</v>
      </c>
      <c r="I338" s="79">
        <v>0.98452101653763968</v>
      </c>
      <c r="J338" s="79">
        <v>3.9396102454007001E-2</v>
      </c>
      <c r="K338" s="79">
        <v>0.692120436862946</v>
      </c>
      <c r="L338" s="79">
        <v>0.62424045135977002</v>
      </c>
      <c r="M338" s="80">
        <v>1</v>
      </c>
      <c r="N338" s="79">
        <v>0.96395997138383371</v>
      </c>
      <c r="O338" s="79">
        <v>3.91456465728462E-2</v>
      </c>
      <c r="P338" s="79">
        <v>0.34841651713023503</v>
      </c>
      <c r="Q338" s="79">
        <v>0.43474981341029301</v>
      </c>
      <c r="R338" s="80">
        <v>1</v>
      </c>
      <c r="S338" s="79">
        <v>1.0028770199999999</v>
      </c>
      <c r="T338" s="79">
        <v>3.9017282E-2</v>
      </c>
      <c r="U338" s="79">
        <v>0.94130384</v>
      </c>
      <c r="V338" s="79">
        <v>0.95484778000000003</v>
      </c>
      <c r="W338" s="79">
        <v>1</v>
      </c>
    </row>
    <row r="339" spans="1:23" x14ac:dyDescent="0.2">
      <c r="A339" s="69"/>
      <c r="B339" s="84" t="s">
        <v>682</v>
      </c>
      <c r="C339" s="78">
        <v>792</v>
      </c>
      <c r="D339" s="79">
        <v>-1.3455040999999999E-2</v>
      </c>
      <c r="E339" s="79">
        <v>3.6515429000000002E-2</v>
      </c>
      <c r="F339" s="79">
        <v>0.71264398200000001</v>
      </c>
      <c r="G339" s="79">
        <v>0.98545101377932998</v>
      </c>
      <c r="H339" s="80">
        <v>1</v>
      </c>
      <c r="I339" s="79">
        <v>-5.8045923867427199E-2</v>
      </c>
      <c r="J339" s="79">
        <v>3.6619695409872602E-2</v>
      </c>
      <c r="K339" s="79">
        <v>0.11337320920510301</v>
      </c>
      <c r="L339" s="79">
        <v>0.62424045135977002</v>
      </c>
      <c r="M339" s="80">
        <v>1</v>
      </c>
      <c r="N339" s="79">
        <v>-4.4949785659182603E-3</v>
      </c>
      <c r="O339" s="79">
        <v>3.4810742058616798E-2</v>
      </c>
      <c r="P339" s="79">
        <v>0.89732269601133297</v>
      </c>
      <c r="Q339" s="79">
        <v>0.91830846874062999</v>
      </c>
      <c r="R339" s="80">
        <v>1</v>
      </c>
      <c r="S339" s="79">
        <v>-3.6037109999999997E-2</v>
      </c>
      <c r="T339" s="79">
        <v>3.4435001E-2</v>
      </c>
      <c r="U339" s="79">
        <v>0.29570948800000002</v>
      </c>
      <c r="V339" s="79">
        <v>0.38886563800000001</v>
      </c>
      <c r="W339" s="79">
        <v>1</v>
      </c>
    </row>
    <row r="340" spans="1:23" x14ac:dyDescent="0.2">
      <c r="A340" s="69"/>
      <c r="B340" s="84" t="s">
        <v>2347</v>
      </c>
      <c r="C340" s="78">
        <v>5539</v>
      </c>
      <c r="D340" s="79">
        <v>0.98363016907407197</v>
      </c>
      <c r="E340" s="79">
        <v>3.6338111555332397E-2</v>
      </c>
      <c r="F340" s="79">
        <v>0.64967445073921604</v>
      </c>
      <c r="G340" s="79">
        <v>0.982642286040602</v>
      </c>
      <c r="H340" s="80">
        <v>1</v>
      </c>
      <c r="I340" s="79">
        <v>0.9912898576029453</v>
      </c>
      <c r="J340" s="79">
        <v>3.6041295805227899E-2</v>
      </c>
      <c r="K340" s="79">
        <v>0.79463564699564604</v>
      </c>
      <c r="L340" s="79">
        <v>0.95979480411808904</v>
      </c>
      <c r="M340" s="80">
        <v>1</v>
      </c>
      <c r="N340" s="79">
        <v>1.0605323055880376</v>
      </c>
      <c r="O340" s="79">
        <v>3.5854708333165099E-2</v>
      </c>
      <c r="P340" s="79">
        <v>0.101183696516782</v>
      </c>
      <c r="Q340" s="79">
        <v>0.158913503564104</v>
      </c>
      <c r="R340" s="80">
        <v>1</v>
      </c>
      <c r="S340" s="79">
        <v>1.0862068030000001</v>
      </c>
      <c r="T340" s="79">
        <v>3.5955163999999998E-2</v>
      </c>
      <c r="U340" s="79">
        <v>2.1456488999999999E-2</v>
      </c>
      <c r="V340" s="79">
        <v>4.6464648999999997E-2</v>
      </c>
      <c r="W340" s="79">
        <v>1</v>
      </c>
    </row>
    <row r="341" spans="1:23" x14ac:dyDescent="0.2">
      <c r="A341" s="69"/>
      <c r="B341" s="84" t="s">
        <v>2348</v>
      </c>
      <c r="C341" s="78">
        <v>5504</v>
      </c>
      <c r="D341" s="79">
        <v>1.0013036999118929</v>
      </c>
      <c r="E341" s="79">
        <v>2.9942558458999999E-2</v>
      </c>
      <c r="F341" s="79">
        <v>0.96529365908296405</v>
      </c>
      <c r="G341" s="79">
        <v>0.991673151733656</v>
      </c>
      <c r="H341" s="80">
        <v>1</v>
      </c>
      <c r="I341" s="79">
        <v>1.0073231115390262</v>
      </c>
      <c r="J341" s="79">
        <v>2.9740705893138999E-2</v>
      </c>
      <c r="K341" s="79">
        <v>0.68846607308894203</v>
      </c>
      <c r="L341" s="79">
        <v>0.93616360447106906</v>
      </c>
      <c r="M341" s="80">
        <v>1</v>
      </c>
      <c r="N341" s="79">
        <v>1.0635983609801587</v>
      </c>
      <c r="O341" s="79">
        <v>2.9581125059826199E-2</v>
      </c>
      <c r="P341" s="79">
        <v>3.7127047664030001E-2</v>
      </c>
      <c r="Q341" s="79">
        <v>6.8880443692476701E-2</v>
      </c>
      <c r="R341" s="80">
        <v>1</v>
      </c>
      <c r="S341" s="79">
        <v>1.1107969600000001</v>
      </c>
      <c r="T341" s="79">
        <v>2.9654634999999999E-2</v>
      </c>
      <c r="U341" s="79">
        <v>3.9502800000000001E-4</v>
      </c>
      <c r="V341" s="79">
        <v>2.2279579999999999E-3</v>
      </c>
      <c r="W341" s="79">
        <v>0.50129064999999995</v>
      </c>
    </row>
    <row r="342" spans="1:23" x14ac:dyDescent="0.2">
      <c r="A342" s="69"/>
      <c r="B342" s="84" t="s">
        <v>683</v>
      </c>
      <c r="C342" s="78">
        <v>1959</v>
      </c>
      <c r="D342" s="79">
        <v>-6.3177099999999998E-3</v>
      </c>
      <c r="E342" s="79">
        <v>2.3300755999999999E-2</v>
      </c>
      <c r="F342" s="79">
        <v>0.78631471900000005</v>
      </c>
      <c r="G342" s="79">
        <v>0.98545101377932998</v>
      </c>
      <c r="H342" s="80">
        <v>1</v>
      </c>
      <c r="I342" s="79">
        <v>-2.24487001806849E-2</v>
      </c>
      <c r="J342" s="79">
        <v>2.30143286762499E-2</v>
      </c>
      <c r="K342" s="79">
        <v>0.32947584785744599</v>
      </c>
      <c r="L342" s="79">
        <v>0.79366538468944703</v>
      </c>
      <c r="M342" s="80">
        <v>1</v>
      </c>
      <c r="N342" s="79">
        <v>-1.61379305088739E-2</v>
      </c>
      <c r="O342" s="79">
        <v>2.3013537975679801E-2</v>
      </c>
      <c r="P342" s="79">
        <v>0.48324154588451101</v>
      </c>
      <c r="Q342" s="79">
        <v>0.563633751587725</v>
      </c>
      <c r="R342" s="80">
        <v>1</v>
      </c>
      <c r="S342" s="79">
        <v>1.6072362999999999E-2</v>
      </c>
      <c r="T342" s="79">
        <v>2.2497125999999999E-2</v>
      </c>
      <c r="U342" s="79">
        <v>0.47505573200000001</v>
      </c>
      <c r="V342" s="79">
        <v>0.56224808699999995</v>
      </c>
      <c r="W342" s="79">
        <v>1</v>
      </c>
    </row>
    <row r="343" spans="1:23" x14ac:dyDescent="0.2">
      <c r="A343" s="69"/>
      <c r="B343" s="84" t="s">
        <v>684</v>
      </c>
      <c r="C343" s="78">
        <v>1958</v>
      </c>
      <c r="D343" s="79">
        <v>-2.1735965999999999E-2</v>
      </c>
      <c r="E343" s="79">
        <v>2.3272319999999999E-2</v>
      </c>
      <c r="F343" s="79">
        <v>0.35043110599999999</v>
      </c>
      <c r="G343" s="79">
        <v>0.87195504610588204</v>
      </c>
      <c r="H343" s="80">
        <v>1</v>
      </c>
      <c r="I343" s="79">
        <v>-1.8918278584752101E-2</v>
      </c>
      <c r="J343" s="79">
        <v>2.3003150444212299E-2</v>
      </c>
      <c r="K343" s="79">
        <v>0.41094070809433703</v>
      </c>
      <c r="L343" s="79">
        <v>0.84382485205778901</v>
      </c>
      <c r="M343" s="80">
        <v>1</v>
      </c>
      <c r="N343" s="79">
        <v>-1.8809166404158601E-2</v>
      </c>
      <c r="O343" s="79">
        <v>2.2996710916263499E-2</v>
      </c>
      <c r="P343" s="79">
        <v>0.41351284222040402</v>
      </c>
      <c r="Q343" s="79">
        <v>0.49928429760008802</v>
      </c>
      <c r="R343" s="80">
        <v>1</v>
      </c>
      <c r="S343" s="79">
        <v>5.7524560000000004E-3</v>
      </c>
      <c r="T343" s="79">
        <v>2.2462939000000001E-2</v>
      </c>
      <c r="U343" s="79">
        <v>0.79791159</v>
      </c>
      <c r="V343" s="79">
        <v>0.83889793499999998</v>
      </c>
      <c r="W343" s="79">
        <v>1</v>
      </c>
    </row>
    <row r="344" spans="1:23" x14ac:dyDescent="0.2">
      <c r="A344" s="69"/>
      <c r="B344" s="56" t="s">
        <v>210</v>
      </c>
      <c r="C344" s="78">
        <v>5436</v>
      </c>
      <c r="D344" s="79">
        <v>-1.0394008E-2</v>
      </c>
      <c r="E344" s="79">
        <v>1.3591321E-2</v>
      </c>
      <c r="F344" s="79">
        <v>0.44445188800000002</v>
      </c>
      <c r="G344" s="79">
        <v>0.90534684568218304</v>
      </c>
      <c r="H344" s="80">
        <v>1</v>
      </c>
      <c r="I344" s="79">
        <v>3.6308758289932699E-2</v>
      </c>
      <c r="J344" s="79">
        <v>1.35875115506207E-2</v>
      </c>
      <c r="K344" s="79">
        <v>7.5579278426561999E-3</v>
      </c>
      <c r="L344" s="79">
        <v>0.29063667976759799</v>
      </c>
      <c r="M344" s="80">
        <v>1</v>
      </c>
      <c r="N344" s="79">
        <v>3.4224359619320903E-2</v>
      </c>
      <c r="O344" s="79">
        <v>1.3447299933041199E-2</v>
      </c>
      <c r="P344" s="79">
        <v>1.0953065401834701E-2</v>
      </c>
      <c r="Q344" s="79">
        <v>2.58353903251454E-2</v>
      </c>
      <c r="R344" s="80">
        <v>1</v>
      </c>
      <c r="S344" s="79">
        <v>4.7626627999999997E-2</v>
      </c>
      <c r="T344" s="79">
        <v>1.3411651E-2</v>
      </c>
      <c r="U344" s="79">
        <v>3.8683899999999999E-4</v>
      </c>
      <c r="V344" s="79">
        <v>2.1915120000000001E-3</v>
      </c>
      <c r="W344" s="79">
        <v>0.49089861000000001</v>
      </c>
    </row>
    <row r="345" spans="1:23" x14ac:dyDescent="0.2">
      <c r="A345" s="69"/>
      <c r="B345" s="56" t="s">
        <v>211</v>
      </c>
      <c r="C345" s="78">
        <v>5490</v>
      </c>
      <c r="D345" s="79">
        <v>-4.925848E-3</v>
      </c>
      <c r="E345" s="79">
        <v>1.3151576999999999E-2</v>
      </c>
      <c r="F345" s="79">
        <v>0.70801395700000003</v>
      </c>
      <c r="G345" s="79">
        <v>0.98545101377932998</v>
      </c>
      <c r="H345" s="80">
        <v>1</v>
      </c>
      <c r="I345" s="79">
        <v>1.87845866385545E-2</v>
      </c>
      <c r="J345" s="79">
        <v>1.31323944721043E-2</v>
      </c>
      <c r="K345" s="79">
        <v>0.15265934735304301</v>
      </c>
      <c r="L345" s="79">
        <v>0.66470888806839401</v>
      </c>
      <c r="M345" s="80">
        <v>1</v>
      </c>
      <c r="N345" s="79">
        <v>3.28717980620701E-2</v>
      </c>
      <c r="O345" s="79">
        <v>1.30540450515592E-2</v>
      </c>
      <c r="P345" s="79">
        <v>1.1826280612583499E-2</v>
      </c>
      <c r="Q345" s="79">
        <v>2.7336156825807801E-2</v>
      </c>
      <c r="R345" s="80">
        <v>1</v>
      </c>
      <c r="S345" s="79">
        <v>4.7563709000000003E-2</v>
      </c>
      <c r="T345" s="79">
        <v>1.2977120999999999E-2</v>
      </c>
      <c r="U345" s="79">
        <v>2.4949400000000001E-4</v>
      </c>
      <c r="V345" s="79">
        <v>1.599027E-3</v>
      </c>
      <c r="W345" s="79">
        <v>0.31660742200000003</v>
      </c>
    </row>
    <row r="346" spans="1:23" x14ac:dyDescent="0.2">
      <c r="A346" s="69"/>
      <c r="B346" s="56" t="s">
        <v>212</v>
      </c>
      <c r="C346" s="78">
        <v>5530</v>
      </c>
      <c r="D346" s="79">
        <v>8.6292460000000001E-3</v>
      </c>
      <c r="E346" s="79">
        <v>1.328502E-2</v>
      </c>
      <c r="F346" s="79">
        <v>0.51601220000000003</v>
      </c>
      <c r="G346" s="79">
        <v>0.93335478450424902</v>
      </c>
      <c r="H346" s="80">
        <v>1</v>
      </c>
      <c r="I346" s="79">
        <v>-1.4188458612897699E-3</v>
      </c>
      <c r="J346" s="79">
        <v>1.3232379749201301E-2</v>
      </c>
      <c r="K346" s="79">
        <v>0.91461421614131699</v>
      </c>
      <c r="L346" s="79">
        <v>0.981200184300273</v>
      </c>
      <c r="M346" s="80">
        <v>1</v>
      </c>
      <c r="N346" s="79">
        <v>2.8017879412946201E-2</v>
      </c>
      <c r="O346" s="79">
        <v>1.31361274006237E-2</v>
      </c>
      <c r="P346" s="79">
        <v>3.29786186821047E-2</v>
      </c>
      <c r="Q346" s="79">
        <v>6.2184052165811098E-2</v>
      </c>
      <c r="R346" s="80">
        <v>1</v>
      </c>
      <c r="S346" s="79">
        <v>4.4016851000000003E-2</v>
      </c>
      <c r="T346" s="79">
        <v>1.3080944000000001E-2</v>
      </c>
      <c r="U346" s="79">
        <v>7.7083900000000005E-4</v>
      </c>
      <c r="V346" s="79">
        <v>3.6913010000000001E-3</v>
      </c>
      <c r="W346" s="79">
        <v>0.97819483299999999</v>
      </c>
    </row>
    <row r="347" spans="1:23" x14ac:dyDescent="0.2">
      <c r="A347" s="69"/>
      <c r="B347" s="56" t="s">
        <v>215</v>
      </c>
      <c r="C347" s="78">
        <v>5301</v>
      </c>
      <c r="D347" s="79">
        <v>5.5473720000000001E-3</v>
      </c>
      <c r="E347" s="79">
        <v>1.4175968000000001E-2</v>
      </c>
      <c r="F347" s="79">
        <v>0.69557587200000004</v>
      </c>
      <c r="G347" s="79">
        <v>0.98545101377932998</v>
      </c>
      <c r="H347" s="80">
        <v>1</v>
      </c>
      <c r="I347" s="79">
        <v>-8.8945544078376793E-3</v>
      </c>
      <c r="J347" s="79">
        <v>1.3999614486821899E-2</v>
      </c>
      <c r="K347" s="79">
        <v>0.52523481422140705</v>
      </c>
      <c r="L347" s="79">
        <v>0.89949384911956998</v>
      </c>
      <c r="M347" s="80">
        <v>1</v>
      </c>
      <c r="N347" s="79">
        <v>1.43076641238301E-2</v>
      </c>
      <c r="O347" s="79">
        <v>1.3975314653887501E-2</v>
      </c>
      <c r="P347" s="79">
        <v>0.30598941458126899</v>
      </c>
      <c r="Q347" s="79">
        <v>0.38878302710415602</v>
      </c>
      <c r="R347" s="80">
        <v>1</v>
      </c>
      <c r="S347" s="79">
        <v>2.9861526999999999E-2</v>
      </c>
      <c r="T347" s="79">
        <v>1.3901485999999999E-2</v>
      </c>
      <c r="U347" s="79">
        <v>3.1755916000000002E-2</v>
      </c>
      <c r="V347" s="79">
        <v>6.3662334000000001E-2</v>
      </c>
      <c r="W347" s="79">
        <v>1</v>
      </c>
    </row>
    <row r="348" spans="1:23" x14ac:dyDescent="0.2">
      <c r="A348" s="69"/>
      <c r="B348" s="56" t="s">
        <v>688</v>
      </c>
      <c r="C348" s="78">
        <v>2174</v>
      </c>
      <c r="D348" s="79">
        <v>-1.7956510000000001E-3</v>
      </c>
      <c r="E348" s="79">
        <v>2.1381159E-2</v>
      </c>
      <c r="F348" s="79">
        <v>0.27737050800000002</v>
      </c>
      <c r="G348" s="79">
        <v>0.82719597069976902</v>
      </c>
      <c r="H348" s="80">
        <v>1</v>
      </c>
      <c r="I348" s="79">
        <v>7.20270193199604E-3</v>
      </c>
      <c r="J348" s="79">
        <v>2.1014523160862299E-2</v>
      </c>
      <c r="K348" s="79">
        <v>0.90805403001929497</v>
      </c>
      <c r="L348" s="79">
        <v>0.981200184300273</v>
      </c>
      <c r="M348" s="80">
        <v>1</v>
      </c>
      <c r="N348" s="79">
        <v>1.9002796471430301E-3</v>
      </c>
      <c r="O348" s="79">
        <v>2.0803684336654301E-2</v>
      </c>
      <c r="P348" s="79">
        <v>6.12504190029043E-4</v>
      </c>
      <c r="Q348" s="79">
        <v>2.4597082821103001E-3</v>
      </c>
      <c r="R348" s="80">
        <v>0.777267817146856</v>
      </c>
      <c r="S348" s="79">
        <v>7.3569200000000003E-3</v>
      </c>
      <c r="T348" s="79">
        <v>2.1078375E-2</v>
      </c>
      <c r="U348" s="79">
        <v>6.5751509999999999E-2</v>
      </c>
      <c r="V348" s="79">
        <v>0.115957795</v>
      </c>
      <c r="W348" s="79">
        <v>1</v>
      </c>
    </row>
    <row r="349" spans="1:23" x14ac:dyDescent="0.2">
      <c r="A349" s="69"/>
      <c r="B349" s="56" t="s">
        <v>687</v>
      </c>
      <c r="C349" s="78">
        <v>2591</v>
      </c>
      <c r="D349" s="79">
        <v>-9.0701770000000004E-3</v>
      </c>
      <c r="E349" s="79">
        <v>1.9217089999999999E-2</v>
      </c>
      <c r="F349" s="79">
        <v>0.63697771199999997</v>
      </c>
      <c r="G349" s="79">
        <v>0.97816222485489701</v>
      </c>
      <c r="H349" s="80">
        <v>1</v>
      </c>
      <c r="I349" s="79">
        <v>3.74963330575225E-2</v>
      </c>
      <c r="J349" s="79">
        <v>1.8927199502108499E-2</v>
      </c>
      <c r="K349" s="79">
        <v>4.7691188577097497E-2</v>
      </c>
      <c r="L349" s="79">
        <v>0.53217113930985405</v>
      </c>
      <c r="M349" s="80">
        <v>1</v>
      </c>
      <c r="N349" s="79">
        <v>6.8081341439111695E-2</v>
      </c>
      <c r="O349" s="79">
        <v>1.8621191181015701E-2</v>
      </c>
      <c r="P349" s="79">
        <v>2.6126493162300897E-4</v>
      </c>
      <c r="Q349" s="79">
        <v>1.3052960560220399E-3</v>
      </c>
      <c r="R349" s="80">
        <v>0.33154519822959799</v>
      </c>
      <c r="S349" s="79">
        <v>5.9784864E-2</v>
      </c>
      <c r="T349" s="79">
        <v>1.9094757E-2</v>
      </c>
      <c r="U349" s="79">
        <v>1.762289E-3</v>
      </c>
      <c r="V349" s="79">
        <v>7.0995049999999999E-3</v>
      </c>
      <c r="W349" s="79">
        <v>1</v>
      </c>
    </row>
    <row r="350" spans="1:23" x14ac:dyDescent="0.2">
      <c r="A350" s="69"/>
      <c r="B350" s="56" t="s">
        <v>213</v>
      </c>
      <c r="C350" s="78">
        <v>3425</v>
      </c>
      <c r="D350" s="79">
        <v>-1.3822085E-2</v>
      </c>
      <c r="E350" s="79">
        <v>1.7722904000000001E-2</v>
      </c>
      <c r="F350" s="79">
        <v>0.43550624300000002</v>
      </c>
      <c r="G350" s="79">
        <v>0.898245103558442</v>
      </c>
      <c r="H350" s="80">
        <v>1</v>
      </c>
      <c r="I350" s="79">
        <v>1.19638044004479E-2</v>
      </c>
      <c r="J350" s="79">
        <v>1.7363578632419201E-2</v>
      </c>
      <c r="K350" s="79">
        <v>0.49086092455173802</v>
      </c>
      <c r="L350" s="79">
        <v>0.88409893028921704</v>
      </c>
      <c r="M350" s="80">
        <v>1</v>
      </c>
      <c r="N350" s="79">
        <v>-1.27397010310771E-2</v>
      </c>
      <c r="O350" s="79">
        <v>1.7140794658760498E-2</v>
      </c>
      <c r="P350" s="79">
        <v>0.45739139694980702</v>
      </c>
      <c r="Q350" s="79">
        <v>0.5399345885854</v>
      </c>
      <c r="R350" s="80">
        <v>1</v>
      </c>
      <c r="S350" s="79">
        <v>2.7909005000000001E-2</v>
      </c>
      <c r="T350" s="79">
        <v>1.7314789000000001E-2</v>
      </c>
      <c r="U350" s="79">
        <v>0.107088377</v>
      </c>
      <c r="V350" s="79">
        <v>0.17295694</v>
      </c>
      <c r="W350" s="79">
        <v>1</v>
      </c>
    </row>
    <row r="351" spans="1:23" x14ac:dyDescent="0.2">
      <c r="A351" s="69"/>
      <c r="B351" s="56" t="s">
        <v>1238</v>
      </c>
      <c r="C351" s="78">
        <v>2931</v>
      </c>
      <c r="D351" s="79">
        <v>-1.0189320999999999E-2</v>
      </c>
      <c r="E351" s="79">
        <v>1.9199780999999999E-2</v>
      </c>
      <c r="F351" s="79">
        <v>0.595669059</v>
      </c>
      <c r="G351" s="79">
        <v>0.95648801765233904</v>
      </c>
      <c r="H351" s="80">
        <v>1</v>
      </c>
      <c r="I351" s="79">
        <v>1.9033152064121501E-2</v>
      </c>
      <c r="J351" s="79">
        <v>1.9306369636438701E-2</v>
      </c>
      <c r="K351" s="79">
        <v>0.32429307808643998</v>
      </c>
      <c r="L351" s="79">
        <v>0.79366538468944703</v>
      </c>
      <c r="M351" s="80">
        <v>1</v>
      </c>
      <c r="N351" s="79">
        <v>3.8679032806390901E-2</v>
      </c>
      <c r="O351" s="79">
        <v>1.92447974355929E-2</v>
      </c>
      <c r="P351" s="79">
        <v>4.4544243985861702E-2</v>
      </c>
      <c r="Q351" s="79">
        <v>8.0522287205211499E-2</v>
      </c>
      <c r="R351" s="80">
        <v>1</v>
      </c>
      <c r="S351" s="79">
        <v>1.2745315E-2</v>
      </c>
      <c r="T351" s="79">
        <v>1.8762628E-2</v>
      </c>
      <c r="U351" s="79">
        <v>0.49700803700000001</v>
      </c>
      <c r="V351" s="79">
        <v>0.582889188</v>
      </c>
      <c r="W351" s="79">
        <v>1</v>
      </c>
    </row>
    <row r="352" spans="1:23" x14ac:dyDescent="0.2">
      <c r="A352" s="69"/>
      <c r="B352" s="56" t="s">
        <v>689</v>
      </c>
      <c r="C352" s="78">
        <v>2786</v>
      </c>
      <c r="D352" s="79">
        <v>-2.3231203999999998E-2</v>
      </c>
      <c r="E352" s="79">
        <v>1.9582074000000001E-2</v>
      </c>
      <c r="F352" s="79">
        <v>0.94947498900000005</v>
      </c>
      <c r="G352" s="79">
        <v>0.991673151733656</v>
      </c>
      <c r="H352" s="80">
        <v>1</v>
      </c>
      <c r="I352" s="79">
        <v>2.4273410817397798E-3</v>
      </c>
      <c r="J352" s="79">
        <v>1.9625367117182799E-2</v>
      </c>
      <c r="K352" s="79">
        <v>0.11424370426615101</v>
      </c>
      <c r="L352" s="79">
        <v>0.62424045135977002</v>
      </c>
      <c r="M352" s="80">
        <v>1</v>
      </c>
      <c r="N352" s="79">
        <v>7.1383362066021097E-2</v>
      </c>
      <c r="O352" s="79">
        <v>1.9586328848061899E-2</v>
      </c>
      <c r="P352" s="79">
        <v>1.8707857388985599E-2</v>
      </c>
      <c r="Q352" s="79">
        <v>3.9240117399376398E-2</v>
      </c>
      <c r="R352" s="80">
        <v>1</v>
      </c>
      <c r="S352" s="79">
        <v>3.8807071999999998E-2</v>
      </c>
      <c r="T352" s="79">
        <v>1.9221577E-2</v>
      </c>
      <c r="U352" s="79">
        <v>0.17923161300000001</v>
      </c>
      <c r="V352" s="79">
        <v>0.25964031599999998</v>
      </c>
      <c r="W352" s="79">
        <v>1</v>
      </c>
    </row>
    <row r="353" spans="1:23" x14ac:dyDescent="0.2">
      <c r="A353" s="69"/>
      <c r="B353" s="56" t="s">
        <v>1237</v>
      </c>
      <c r="C353" s="78">
        <v>2930</v>
      </c>
      <c r="D353" s="79">
        <v>6.2463120000000004E-3</v>
      </c>
      <c r="E353" s="79">
        <v>1.8977358999999999E-2</v>
      </c>
      <c r="F353" s="79">
        <v>0.74206960899999996</v>
      </c>
      <c r="G353" s="79">
        <v>0.98545101377932998</v>
      </c>
      <c r="H353" s="80">
        <v>1</v>
      </c>
      <c r="I353" s="79">
        <v>-2.0112174166410899E-2</v>
      </c>
      <c r="J353" s="79">
        <v>1.90931838131802E-2</v>
      </c>
      <c r="K353" s="79">
        <v>0.29225996437028701</v>
      </c>
      <c r="L353" s="79">
        <v>0.77544249817709499</v>
      </c>
      <c r="M353" s="80">
        <v>1</v>
      </c>
      <c r="N353" s="79">
        <v>2.2636759347738601E-2</v>
      </c>
      <c r="O353" s="79">
        <v>1.9023902575381502E-2</v>
      </c>
      <c r="P353" s="79">
        <v>0.234179228138643</v>
      </c>
      <c r="Q353" s="79">
        <v>0.31281414790309298</v>
      </c>
      <c r="R353" s="80">
        <v>1</v>
      </c>
      <c r="S353" s="79">
        <v>1.8274192000000002E-2</v>
      </c>
      <c r="T353" s="79">
        <v>1.8511956E-2</v>
      </c>
      <c r="U353" s="79">
        <v>0.32364842399999999</v>
      </c>
      <c r="V353" s="79">
        <v>0.41537010200000002</v>
      </c>
      <c r="W353" s="79">
        <v>1</v>
      </c>
    </row>
    <row r="354" spans="1:23" x14ac:dyDescent="0.2">
      <c r="A354" s="69"/>
      <c r="B354" s="56" t="s">
        <v>690</v>
      </c>
      <c r="C354" s="78">
        <v>2821</v>
      </c>
      <c r="D354" s="79">
        <v>1.2409579999999999E-3</v>
      </c>
      <c r="E354" s="79">
        <v>1.9305734000000001E-2</v>
      </c>
      <c r="F354" s="79">
        <v>0.92590150999999998</v>
      </c>
      <c r="G354" s="79">
        <v>0.991673151733656</v>
      </c>
      <c r="H354" s="80">
        <v>1</v>
      </c>
      <c r="I354" s="79">
        <v>3.1006700160391198E-2</v>
      </c>
      <c r="J354" s="79">
        <v>1.9484154145968401E-2</v>
      </c>
      <c r="K354" s="79">
        <v>0.71165772513188696</v>
      </c>
      <c r="L354" s="79">
        <v>0.93958156138094695</v>
      </c>
      <c r="M354" s="80">
        <v>1</v>
      </c>
      <c r="N354" s="79">
        <v>4.6082086604900603E-2</v>
      </c>
      <c r="O354" s="79">
        <v>1.94351885625332E-2</v>
      </c>
      <c r="P354" s="79">
        <v>0.92211810181191101</v>
      </c>
      <c r="Q354" s="79">
        <v>0.93763451217893801</v>
      </c>
      <c r="R354" s="80">
        <v>1</v>
      </c>
      <c r="S354" s="79">
        <v>2.5823814E-2</v>
      </c>
      <c r="T354" s="79">
        <v>1.8994113E-2</v>
      </c>
      <c r="U354" s="79">
        <v>0.698545105</v>
      </c>
      <c r="V354" s="79">
        <v>0.75901255499999998</v>
      </c>
      <c r="W354" s="79">
        <v>1</v>
      </c>
    </row>
    <row r="355" spans="1:23" x14ac:dyDescent="0.2">
      <c r="A355" s="69"/>
      <c r="B355" s="56" t="s">
        <v>691</v>
      </c>
      <c r="C355" s="78">
        <v>2560</v>
      </c>
      <c r="D355" s="79">
        <v>-7.8199059999999997E-3</v>
      </c>
      <c r="E355" s="79">
        <v>1.9047352E-2</v>
      </c>
      <c r="F355" s="79">
        <v>0.68143652899999996</v>
      </c>
      <c r="G355" s="79">
        <v>0.98545101377932998</v>
      </c>
      <c r="H355" s="80">
        <v>1</v>
      </c>
      <c r="I355" s="79">
        <v>2.7529915769830202E-2</v>
      </c>
      <c r="J355" s="79">
        <v>1.8859684600339099E-2</v>
      </c>
      <c r="K355" s="79">
        <v>0.144491409588208</v>
      </c>
      <c r="L355" s="79">
        <v>0.65956690204113599</v>
      </c>
      <c r="M355" s="80">
        <v>1</v>
      </c>
      <c r="N355" s="79">
        <v>5.07047688467335E-2</v>
      </c>
      <c r="O355" s="79">
        <v>1.8585859779453401E-2</v>
      </c>
      <c r="P355" s="79">
        <v>6.41330821202191E-3</v>
      </c>
      <c r="Q355" s="79">
        <v>1.6508089495042198E-2</v>
      </c>
      <c r="R355" s="80">
        <v>1</v>
      </c>
      <c r="S355" s="79">
        <v>5.6598531000000001E-2</v>
      </c>
      <c r="T355" s="79">
        <v>1.8947802999999999E-2</v>
      </c>
      <c r="U355" s="79">
        <v>2.8437599999999999E-3</v>
      </c>
      <c r="V355" s="79">
        <v>1.0127980999999999E-2</v>
      </c>
      <c r="W355" s="79">
        <v>1</v>
      </c>
    </row>
    <row r="356" spans="1:23" x14ac:dyDescent="0.2">
      <c r="A356" s="69"/>
      <c r="B356" s="56" t="s">
        <v>692</v>
      </c>
      <c r="C356" s="78">
        <v>2893</v>
      </c>
      <c r="D356" s="79">
        <v>3.8633740000000001E-3</v>
      </c>
      <c r="E356" s="79">
        <v>1.9011997999999999E-2</v>
      </c>
      <c r="F356" s="79">
        <v>0.83898779899999998</v>
      </c>
      <c r="G356" s="79">
        <v>0.98552821438803295</v>
      </c>
      <c r="H356" s="80">
        <v>1</v>
      </c>
      <c r="I356" s="79">
        <v>1.71738252204418E-2</v>
      </c>
      <c r="J356" s="79">
        <v>1.9132988469944701E-2</v>
      </c>
      <c r="K356" s="79">
        <v>0.36947387912728002</v>
      </c>
      <c r="L356" s="79">
        <v>0.81825890508292898</v>
      </c>
      <c r="M356" s="80">
        <v>1</v>
      </c>
      <c r="N356" s="79">
        <v>4.1977504663319398E-2</v>
      </c>
      <c r="O356" s="79">
        <v>1.9077402556369499E-2</v>
      </c>
      <c r="P356" s="79">
        <v>2.7861079608221401E-2</v>
      </c>
      <c r="Q356" s="79">
        <v>5.4143506926237303E-2</v>
      </c>
      <c r="R356" s="80">
        <v>1</v>
      </c>
      <c r="S356" s="79">
        <v>2.5537264E-2</v>
      </c>
      <c r="T356" s="79">
        <v>1.8582290000000001E-2</v>
      </c>
      <c r="U356" s="79">
        <v>0.16946304500000001</v>
      </c>
      <c r="V356" s="79">
        <v>0.248324023</v>
      </c>
      <c r="W356" s="79">
        <v>1</v>
      </c>
    </row>
    <row r="357" spans="1:23" x14ac:dyDescent="0.2">
      <c r="A357" s="69"/>
      <c r="B357" s="56" t="s">
        <v>214</v>
      </c>
      <c r="C357" s="78">
        <v>4846</v>
      </c>
      <c r="D357" s="79">
        <v>-2.2574858999999999E-2</v>
      </c>
      <c r="E357" s="79">
        <v>1.4650603E-2</v>
      </c>
      <c r="F357" s="79">
        <v>0.123413884</v>
      </c>
      <c r="G357" s="79">
        <v>0.65626131345967698</v>
      </c>
      <c r="H357" s="80">
        <v>1</v>
      </c>
      <c r="I357" s="79">
        <v>6.2074583201636004E-3</v>
      </c>
      <c r="J357" s="79">
        <v>1.46306423269071E-2</v>
      </c>
      <c r="K357" s="79">
        <v>0.67138314917421205</v>
      </c>
      <c r="L357" s="79">
        <v>0.92967939975467695</v>
      </c>
      <c r="M357" s="80">
        <v>1</v>
      </c>
      <c r="N357" s="79">
        <v>4.8057288955388702E-2</v>
      </c>
      <c r="O357" s="79">
        <v>1.44357144595874E-2</v>
      </c>
      <c r="P357" s="79">
        <v>8.7827260080447403E-4</v>
      </c>
      <c r="Q357" s="79">
        <v>3.24369593452155E-3</v>
      </c>
      <c r="R357" s="80">
        <v>1</v>
      </c>
      <c r="S357" s="79">
        <v>5.8420700999999998E-2</v>
      </c>
      <c r="T357" s="79">
        <v>1.4392016000000001E-2</v>
      </c>
      <c r="U357" s="79">
        <v>5.0053299999999997E-5</v>
      </c>
      <c r="V357" s="79">
        <v>4.74012E-4</v>
      </c>
      <c r="W357" s="79">
        <v>6.3517617999999998E-2</v>
      </c>
    </row>
    <row r="358" spans="1:23" x14ac:dyDescent="0.2">
      <c r="A358" s="69"/>
      <c r="B358" s="56" t="s">
        <v>693</v>
      </c>
      <c r="C358" s="78">
        <v>1950</v>
      </c>
      <c r="D358" s="79">
        <v>-2.4397360999999999E-2</v>
      </c>
      <c r="E358" s="79">
        <v>2.2533188999999999E-2</v>
      </c>
      <c r="F358" s="79">
        <v>0.27906595899999997</v>
      </c>
      <c r="G358" s="79">
        <v>0.82719597069976902</v>
      </c>
      <c r="H358" s="80">
        <v>1</v>
      </c>
      <c r="I358" s="79">
        <v>9.7723740196379305E-3</v>
      </c>
      <c r="J358" s="79">
        <v>2.21390231980499E-2</v>
      </c>
      <c r="K358" s="79">
        <v>0.65896872328275202</v>
      </c>
      <c r="L358" s="79">
        <v>0.92679924458303398</v>
      </c>
      <c r="M358" s="80">
        <v>1</v>
      </c>
      <c r="N358" s="79">
        <v>6.1338698622498397E-2</v>
      </c>
      <c r="O358" s="79">
        <v>2.20167831891834E-2</v>
      </c>
      <c r="P358" s="79">
        <v>5.3907118645452499E-3</v>
      </c>
      <c r="Q358" s="79">
        <v>1.40468446737329E-2</v>
      </c>
      <c r="R358" s="80">
        <v>1</v>
      </c>
      <c r="S358" s="79">
        <v>6.6178781000000006E-2</v>
      </c>
      <c r="T358" s="79">
        <v>2.2316321E-2</v>
      </c>
      <c r="U358" s="79">
        <v>3.0603919999999999E-3</v>
      </c>
      <c r="V358" s="79">
        <v>1.0582118999999999E-2</v>
      </c>
      <c r="W358" s="79">
        <v>1</v>
      </c>
    </row>
    <row r="359" spans="1:23" x14ac:dyDescent="0.2">
      <c r="A359" s="69"/>
      <c r="B359" s="56" t="s">
        <v>694</v>
      </c>
      <c r="C359" s="78">
        <v>2647</v>
      </c>
      <c r="D359" s="79">
        <v>9.59E-4</v>
      </c>
      <c r="E359" s="79">
        <v>1.9979784E-2</v>
      </c>
      <c r="F359" s="79">
        <v>0.96172127200000002</v>
      </c>
      <c r="G359" s="79">
        <v>0.991673151733656</v>
      </c>
      <c r="H359" s="80">
        <v>1</v>
      </c>
      <c r="I359" s="79">
        <v>3.0554389914060602E-4</v>
      </c>
      <c r="J359" s="79">
        <v>2.0043891402149499E-2</v>
      </c>
      <c r="K359" s="79">
        <v>0.98783894905372005</v>
      </c>
      <c r="L359" s="79">
        <v>0.99523523065353503</v>
      </c>
      <c r="M359" s="80">
        <v>1</v>
      </c>
      <c r="N359" s="79">
        <v>1.45031625457864E-2</v>
      </c>
      <c r="O359" s="79">
        <v>1.9993431097830101E-2</v>
      </c>
      <c r="P359" s="79">
        <v>0.46827723091086598</v>
      </c>
      <c r="Q359" s="79">
        <v>0.55022574632026799</v>
      </c>
      <c r="R359" s="80">
        <v>1</v>
      </c>
      <c r="S359" s="79">
        <v>2.0181186E-2</v>
      </c>
      <c r="T359" s="79">
        <v>1.9722706E-2</v>
      </c>
      <c r="U359" s="79">
        <v>0.30628996200000003</v>
      </c>
      <c r="V359" s="79">
        <v>0.39874092500000002</v>
      </c>
      <c r="W359" s="79">
        <v>1</v>
      </c>
    </row>
    <row r="360" spans="1:23" x14ac:dyDescent="0.2">
      <c r="A360" s="69"/>
      <c r="B360" s="56" t="s">
        <v>118</v>
      </c>
      <c r="C360" s="78">
        <v>5556</v>
      </c>
      <c r="D360" s="79">
        <v>1.9648082000000001E-2</v>
      </c>
      <c r="E360" s="79">
        <v>1.2976605E-2</v>
      </c>
      <c r="F360" s="79">
        <v>0.13005530000000001</v>
      </c>
      <c r="G360" s="79">
        <v>0.656481180244186</v>
      </c>
      <c r="H360" s="80">
        <v>1</v>
      </c>
      <c r="I360" s="79">
        <v>2.5712370512802701E-2</v>
      </c>
      <c r="J360" s="79">
        <v>1.29932695016292E-2</v>
      </c>
      <c r="K360" s="79">
        <v>4.7877777780397902E-2</v>
      </c>
      <c r="L360" s="79">
        <v>0.53217113930985405</v>
      </c>
      <c r="M360" s="80">
        <v>1</v>
      </c>
      <c r="N360" s="79">
        <v>-4.8509382263950802E-2</v>
      </c>
      <c r="O360" s="79">
        <v>1.2852931350355101E-2</v>
      </c>
      <c r="P360" s="79">
        <v>1.62254116376307E-4</v>
      </c>
      <c r="Q360" s="79">
        <v>8.6877836996427705E-4</v>
      </c>
      <c r="R360" s="80">
        <v>0.205900473681534</v>
      </c>
      <c r="S360" s="79">
        <v>-3.2288577999999998E-2</v>
      </c>
      <c r="T360" s="79">
        <v>1.2823816E-2</v>
      </c>
      <c r="U360" s="79">
        <v>1.1835725E-2</v>
      </c>
      <c r="V360" s="79">
        <v>2.9335028999999999E-2</v>
      </c>
      <c r="W360" s="79">
        <v>1</v>
      </c>
    </row>
    <row r="361" spans="1:23" x14ac:dyDescent="0.2">
      <c r="A361" s="69"/>
      <c r="B361" s="56" t="s">
        <v>1990</v>
      </c>
      <c r="C361" s="78">
        <v>5527</v>
      </c>
      <c r="D361" s="79">
        <v>2.9669448000000001E-2</v>
      </c>
      <c r="E361" s="79">
        <v>1.3132128E-2</v>
      </c>
      <c r="F361" s="79">
        <v>2.3904063E-2</v>
      </c>
      <c r="G361" s="79">
        <v>0.37436086021348303</v>
      </c>
      <c r="H361" s="80">
        <v>1</v>
      </c>
      <c r="I361" s="79">
        <v>1.17773452885817E-2</v>
      </c>
      <c r="J361" s="79">
        <v>1.31591119488444E-2</v>
      </c>
      <c r="K361" s="79">
        <v>0.37082893607553602</v>
      </c>
      <c r="L361" s="79">
        <v>0.81856053139091101</v>
      </c>
      <c r="M361" s="80">
        <v>1</v>
      </c>
      <c r="N361" s="79">
        <v>-3.1778937277179203E-2</v>
      </c>
      <c r="O361" s="79">
        <v>1.3023383271301999E-2</v>
      </c>
      <c r="P361" s="79">
        <v>1.471307386994E-2</v>
      </c>
      <c r="Q361" s="79">
        <v>3.2527684217689701E-2</v>
      </c>
      <c r="R361" s="80">
        <v>1</v>
      </c>
      <c r="S361" s="79">
        <v>-2.5727296E-2</v>
      </c>
      <c r="T361" s="79">
        <v>1.2977775E-2</v>
      </c>
      <c r="U361" s="79">
        <v>4.7483362000000001E-2</v>
      </c>
      <c r="V361" s="79">
        <v>8.9656478999999997E-2</v>
      </c>
      <c r="W361" s="79">
        <v>1</v>
      </c>
    </row>
    <row r="362" spans="1:23" x14ac:dyDescent="0.2">
      <c r="A362" s="69"/>
      <c r="B362" s="56" t="s">
        <v>1991</v>
      </c>
      <c r="C362" s="78">
        <v>5391</v>
      </c>
      <c r="D362" s="79">
        <v>5.0068172000000001E-2</v>
      </c>
      <c r="E362" s="79">
        <v>1.3537479999999999E-2</v>
      </c>
      <c r="F362" s="79">
        <v>2.1907400000000001E-4</v>
      </c>
      <c r="G362" s="79">
        <v>8.2042844142857105E-2</v>
      </c>
      <c r="H362" s="80">
        <v>0.278004906</v>
      </c>
      <c r="I362" s="79">
        <v>-2.1870627403053201E-3</v>
      </c>
      <c r="J362" s="79">
        <v>1.35484521210623E-2</v>
      </c>
      <c r="K362" s="79">
        <v>0.87176454259110603</v>
      </c>
      <c r="L362" s="79">
        <v>0.972117051448254</v>
      </c>
      <c r="M362" s="80">
        <v>1</v>
      </c>
      <c r="N362" s="79">
        <v>-4.5561766621554499E-2</v>
      </c>
      <c r="O362" s="79">
        <v>1.3384965762320801E-2</v>
      </c>
      <c r="P362" s="79">
        <v>6.6907743820406398E-4</v>
      </c>
      <c r="Q362" s="79">
        <v>2.6450444519656E-3</v>
      </c>
      <c r="R362" s="80">
        <v>0.84905926908095697</v>
      </c>
      <c r="S362" s="79">
        <v>-1.8127166E-2</v>
      </c>
      <c r="T362" s="79">
        <v>1.3387866E-2</v>
      </c>
      <c r="U362" s="79">
        <v>0.17579383400000001</v>
      </c>
      <c r="V362" s="79">
        <v>0.254951286</v>
      </c>
      <c r="W362" s="79">
        <v>1</v>
      </c>
    </row>
    <row r="363" spans="1:23" x14ac:dyDescent="0.2">
      <c r="A363" s="69"/>
      <c r="B363" s="56" t="s">
        <v>616</v>
      </c>
      <c r="C363" s="78">
        <v>5555</v>
      </c>
      <c r="D363" s="79">
        <v>-2.7001674E-2</v>
      </c>
      <c r="E363" s="79">
        <v>1.3919588E-2</v>
      </c>
      <c r="F363" s="79">
        <v>5.2452625000000003E-2</v>
      </c>
      <c r="G363" s="79">
        <v>0.46691476724999997</v>
      </c>
      <c r="H363" s="80">
        <v>1</v>
      </c>
      <c r="I363" s="79">
        <v>-5.28828285975392E-3</v>
      </c>
      <c r="J363" s="79">
        <v>1.38547469102922E-2</v>
      </c>
      <c r="K363" s="79">
        <v>0.70270323217492803</v>
      </c>
      <c r="L363" s="79">
        <v>0.93767655271291706</v>
      </c>
      <c r="M363" s="80">
        <v>1</v>
      </c>
      <c r="N363" s="79">
        <v>-3.8086444806053098E-3</v>
      </c>
      <c r="O363" s="79">
        <v>1.37644049197575E-2</v>
      </c>
      <c r="P363" s="79">
        <v>0.78201939370333795</v>
      </c>
      <c r="Q363" s="79">
        <v>0.82287115307589997</v>
      </c>
      <c r="R363" s="80">
        <v>1</v>
      </c>
      <c r="S363" s="79">
        <v>4.1090790000000002E-2</v>
      </c>
      <c r="T363" s="79">
        <v>1.3722791E-2</v>
      </c>
      <c r="U363" s="79">
        <v>2.7629820000000002E-3</v>
      </c>
      <c r="V363" s="79">
        <v>9.9716360000000007E-3</v>
      </c>
      <c r="W363" s="79">
        <v>1</v>
      </c>
    </row>
    <row r="364" spans="1:23" x14ac:dyDescent="0.2">
      <c r="A364" s="69"/>
      <c r="B364" s="56" t="s">
        <v>614</v>
      </c>
      <c r="C364" s="78">
        <v>5555</v>
      </c>
      <c r="D364" s="79">
        <v>2.2931221000000002E-2</v>
      </c>
      <c r="E364" s="79">
        <v>1.3831665E-2</v>
      </c>
      <c r="F364" s="79">
        <v>9.7400428999999997E-2</v>
      </c>
      <c r="G364" s="79">
        <v>0.61188685347029703</v>
      </c>
      <c r="H364" s="80">
        <v>1</v>
      </c>
      <c r="I364" s="79">
        <v>1.36689933429349E-2</v>
      </c>
      <c r="J364" s="79">
        <v>1.3779908387086599E-2</v>
      </c>
      <c r="K364" s="79">
        <v>0.32126665930682702</v>
      </c>
      <c r="L364" s="79">
        <v>0.79366538468944703</v>
      </c>
      <c r="M364" s="80">
        <v>1</v>
      </c>
      <c r="N364" s="81">
        <v>7.2052713208718394E-2</v>
      </c>
      <c r="O364" s="81">
        <v>1.3654476223507401E-2</v>
      </c>
      <c r="P364" s="81">
        <v>1.3661595582578399E-7</v>
      </c>
      <c r="Q364" s="81">
        <v>2.14031664127062E-6</v>
      </c>
      <c r="R364" s="82">
        <v>1.7336564794292E-4</v>
      </c>
      <c r="S364" s="81">
        <v>9.3182810000000005E-2</v>
      </c>
      <c r="T364" s="81">
        <v>1.3598969000000001E-2</v>
      </c>
      <c r="U364" s="81">
        <v>8.0907999999999994E-12</v>
      </c>
      <c r="V364" s="81">
        <v>1.7112E-9</v>
      </c>
      <c r="W364" s="81">
        <v>1.0267199999999999E-8</v>
      </c>
    </row>
    <row r="365" spans="1:23" x14ac:dyDescent="0.2">
      <c r="A365" s="69"/>
      <c r="B365" s="56" t="s">
        <v>618</v>
      </c>
      <c r="C365" s="78">
        <v>5555</v>
      </c>
      <c r="D365" s="79">
        <v>1.386015E-2</v>
      </c>
      <c r="E365" s="79">
        <v>1.3898199999999999E-2</v>
      </c>
      <c r="F365" s="79">
        <v>0.31868299900000002</v>
      </c>
      <c r="G365" s="79">
        <v>0.85138679101263204</v>
      </c>
      <c r="H365" s="80">
        <v>1</v>
      </c>
      <c r="I365" s="79">
        <v>2.74226573250612E-2</v>
      </c>
      <c r="J365" s="79">
        <v>1.38306157298744E-2</v>
      </c>
      <c r="K365" s="79">
        <v>4.7447937932320397E-2</v>
      </c>
      <c r="L365" s="79">
        <v>0.53217113930985405</v>
      </c>
      <c r="M365" s="80">
        <v>1</v>
      </c>
      <c r="N365" s="79">
        <v>5.1961712757181998E-2</v>
      </c>
      <c r="O365" s="79">
        <v>1.3730449271033E-2</v>
      </c>
      <c r="P365" s="79">
        <v>1.55794838891538E-4</v>
      </c>
      <c r="Q365" s="79">
        <v>8.4194573509215195E-4</v>
      </c>
      <c r="R365" s="80">
        <v>0.197703650553362</v>
      </c>
      <c r="S365" s="81">
        <v>6.1569928000000003E-2</v>
      </c>
      <c r="T365" s="81">
        <v>1.3692146000000001E-2</v>
      </c>
      <c r="U365" s="81">
        <v>7.0488299999999997E-6</v>
      </c>
      <c r="V365" s="81">
        <v>1.1926600000000001E-4</v>
      </c>
      <c r="W365" s="81">
        <v>8.9449709999999995E-3</v>
      </c>
    </row>
    <row r="366" spans="1:23" x14ac:dyDescent="0.2">
      <c r="A366" s="69"/>
      <c r="B366" s="56" t="s">
        <v>615</v>
      </c>
      <c r="C366" s="78">
        <v>5555</v>
      </c>
      <c r="D366" s="79">
        <v>-1.4518573E-2</v>
      </c>
      <c r="E366" s="79">
        <v>1.3923171E-2</v>
      </c>
      <c r="F366" s="79">
        <v>0.29710582099999999</v>
      </c>
      <c r="G366" s="79">
        <v>0.84338459475166305</v>
      </c>
      <c r="H366" s="80">
        <v>1</v>
      </c>
      <c r="I366" s="79">
        <v>-1.03399995770542E-2</v>
      </c>
      <c r="J366" s="79">
        <v>1.38510369829899E-2</v>
      </c>
      <c r="K366" s="79">
        <v>0.45539056179755999</v>
      </c>
      <c r="L366" s="79">
        <v>0.87326336285163797</v>
      </c>
      <c r="M366" s="80">
        <v>1</v>
      </c>
      <c r="N366" s="79">
        <v>4.4014850290525098E-2</v>
      </c>
      <c r="O366" s="79">
        <v>1.3749320036954501E-2</v>
      </c>
      <c r="P366" s="79">
        <v>1.3766185073936E-3</v>
      </c>
      <c r="Q366" s="79">
        <v>4.6093110445447998E-3</v>
      </c>
      <c r="R366" s="80">
        <v>1</v>
      </c>
      <c r="S366" s="79">
        <v>1.4969361E-2</v>
      </c>
      <c r="T366" s="79">
        <v>1.3735598E-2</v>
      </c>
      <c r="U366" s="79">
        <v>0.27584149000000002</v>
      </c>
      <c r="V366" s="79">
        <v>0.36745107700000001</v>
      </c>
      <c r="W366" s="79">
        <v>1</v>
      </c>
    </row>
    <row r="367" spans="1:23" x14ac:dyDescent="0.2">
      <c r="A367" s="69"/>
      <c r="B367" s="56" t="s">
        <v>619</v>
      </c>
      <c r="C367" s="78">
        <v>5555</v>
      </c>
      <c r="D367" s="79">
        <v>-8.7145109999999994E-3</v>
      </c>
      <c r="E367" s="79">
        <v>1.3909883E-2</v>
      </c>
      <c r="F367" s="79">
        <v>0.53101496699999995</v>
      </c>
      <c r="G367" s="79">
        <v>0.93839135459751</v>
      </c>
      <c r="H367" s="80">
        <v>1</v>
      </c>
      <c r="I367" s="79">
        <v>4.1488722175234798E-3</v>
      </c>
      <c r="J367" s="79">
        <v>1.38616772926262E-2</v>
      </c>
      <c r="K367" s="79">
        <v>0.76471881761418004</v>
      </c>
      <c r="L367" s="79">
        <v>0.95389133514851498</v>
      </c>
      <c r="M367" s="80">
        <v>1</v>
      </c>
      <c r="N367" s="79">
        <v>2.3259555450692401E-2</v>
      </c>
      <c r="O367" s="79">
        <v>1.37613779515392E-2</v>
      </c>
      <c r="P367" s="79">
        <v>9.1046614940082995E-2</v>
      </c>
      <c r="Q367" s="79">
        <v>0.14460344725777899</v>
      </c>
      <c r="R367" s="80">
        <v>1</v>
      </c>
      <c r="S367" s="79">
        <v>2.5163817000000002E-2</v>
      </c>
      <c r="T367" s="79">
        <v>1.3726581999999999E-2</v>
      </c>
      <c r="U367" s="79">
        <v>6.6825203999999999E-2</v>
      </c>
      <c r="V367" s="79">
        <v>0.117128707</v>
      </c>
      <c r="W367" s="79">
        <v>1</v>
      </c>
    </row>
    <row r="368" spans="1:23" x14ac:dyDescent="0.2">
      <c r="A368" s="69"/>
      <c r="B368" s="56" t="s">
        <v>617</v>
      </c>
      <c r="C368" s="78">
        <v>5549</v>
      </c>
      <c r="D368" s="79">
        <v>1.9116338E-2</v>
      </c>
      <c r="E368" s="79">
        <v>1.3836793E-2</v>
      </c>
      <c r="F368" s="79">
        <v>0.16716349</v>
      </c>
      <c r="G368" s="79">
        <v>0.69550973380327896</v>
      </c>
      <c r="H368" s="80">
        <v>1</v>
      </c>
      <c r="I368" s="79">
        <v>8.8626360248604205E-4</v>
      </c>
      <c r="J368" s="79">
        <v>1.38103096514139E-2</v>
      </c>
      <c r="K368" s="79">
        <v>0.94883398039959399</v>
      </c>
      <c r="L368" s="79">
        <v>0.98536926999016194</v>
      </c>
      <c r="M368" s="80">
        <v>1</v>
      </c>
      <c r="N368" s="79">
        <v>3.8421347982644301E-2</v>
      </c>
      <c r="O368" s="79">
        <v>1.3697694825093301E-2</v>
      </c>
      <c r="P368" s="79">
        <v>5.0501457417272098E-3</v>
      </c>
      <c r="Q368" s="79">
        <v>1.3407186080024801E-2</v>
      </c>
      <c r="R368" s="80">
        <v>1</v>
      </c>
      <c r="S368" s="79">
        <v>4.0006601000000003E-2</v>
      </c>
      <c r="T368" s="79">
        <v>1.3654189000000001E-2</v>
      </c>
      <c r="U368" s="79">
        <v>3.4037220000000001E-3</v>
      </c>
      <c r="V368" s="79">
        <v>1.145709E-2</v>
      </c>
      <c r="W368" s="79">
        <v>1</v>
      </c>
    </row>
    <row r="369" spans="1:23" x14ac:dyDescent="0.2">
      <c r="A369" s="69"/>
      <c r="B369" s="56" t="s">
        <v>620</v>
      </c>
      <c r="C369" s="78">
        <v>5549</v>
      </c>
      <c r="D369" s="79">
        <v>1.6875339E-2</v>
      </c>
      <c r="E369" s="79">
        <v>1.3761745000000001E-2</v>
      </c>
      <c r="F369" s="79">
        <v>0.22015731399999999</v>
      </c>
      <c r="G369" s="79">
        <v>0.74224234113157905</v>
      </c>
      <c r="H369" s="80">
        <v>1</v>
      </c>
      <c r="I369" s="79">
        <v>1.4174951900012301E-2</v>
      </c>
      <c r="J369" s="79">
        <v>1.3732648366186701E-2</v>
      </c>
      <c r="K369" s="79">
        <v>0.30202041709936001</v>
      </c>
      <c r="L369" s="79">
        <v>0.78333824309351496</v>
      </c>
      <c r="M369" s="80">
        <v>1</v>
      </c>
      <c r="N369" s="81">
        <v>7.2120410395558998E-2</v>
      </c>
      <c r="O369" s="81">
        <v>1.3597870867016301E-2</v>
      </c>
      <c r="P369" s="81">
        <v>1.17876368195119E-7</v>
      </c>
      <c r="Q369" s="81">
        <v>1.91775783640521E-6</v>
      </c>
      <c r="R369" s="82">
        <v>1.49585111239606E-4</v>
      </c>
      <c r="S369" s="81">
        <v>8.7116424999999997E-2</v>
      </c>
      <c r="T369" s="81">
        <v>1.3540122E-2</v>
      </c>
      <c r="U369" s="81">
        <v>1.3490500000000001E-10</v>
      </c>
      <c r="V369" s="81">
        <v>1.3168799999999999E-8</v>
      </c>
      <c r="W369" s="81">
        <v>1.7119399999999999E-7</v>
      </c>
    </row>
    <row r="370" spans="1:23" x14ac:dyDescent="0.2">
      <c r="A370" s="69"/>
      <c r="B370" s="56" t="s">
        <v>621</v>
      </c>
      <c r="C370" s="78">
        <v>5555</v>
      </c>
      <c r="D370" s="79">
        <v>-9.5233369999999998E-3</v>
      </c>
      <c r="E370" s="79">
        <v>1.3306747000000001E-2</v>
      </c>
      <c r="F370" s="79">
        <v>0.47422104100000001</v>
      </c>
      <c r="G370" s="79">
        <v>0.92440322738709702</v>
      </c>
      <c r="H370" s="80">
        <v>1</v>
      </c>
      <c r="I370" s="79">
        <v>3.0655405480427798E-2</v>
      </c>
      <c r="J370" s="79">
        <v>1.3302219447682199E-2</v>
      </c>
      <c r="K370" s="79">
        <v>2.1229692854284801E-2</v>
      </c>
      <c r="L370" s="79">
        <v>0.42762667035059398</v>
      </c>
      <c r="M370" s="80">
        <v>1</v>
      </c>
      <c r="N370" s="81">
        <v>6.0948824241648103E-2</v>
      </c>
      <c r="O370" s="81">
        <v>1.31655700395989E-2</v>
      </c>
      <c r="P370" s="81">
        <v>3.7513405661013301E-6</v>
      </c>
      <c r="Q370" s="81">
        <v>3.6064024078655999E-5</v>
      </c>
      <c r="R370" s="82">
        <v>4.7604511783825897E-3</v>
      </c>
      <c r="S370" s="81">
        <v>5.5559340999999998E-2</v>
      </c>
      <c r="T370" s="81">
        <v>1.3131342000000001E-2</v>
      </c>
      <c r="U370" s="81">
        <v>2.36383E-5</v>
      </c>
      <c r="V370" s="81">
        <v>2.8274000000000002E-4</v>
      </c>
      <c r="W370" s="81">
        <v>2.9997055000000002E-2</v>
      </c>
    </row>
    <row r="371" spans="1:23" x14ac:dyDescent="0.2">
      <c r="A371" s="69"/>
      <c r="B371" s="56" t="s">
        <v>629</v>
      </c>
      <c r="C371" s="78">
        <v>5555</v>
      </c>
      <c r="D371" s="79">
        <v>1.4510830000000001E-2</v>
      </c>
      <c r="E371" s="79">
        <v>1.3917235999999999E-2</v>
      </c>
      <c r="F371" s="79">
        <v>0.29715760000000002</v>
      </c>
      <c r="G371" s="79">
        <v>0.84338459475166305</v>
      </c>
      <c r="H371" s="80">
        <v>1</v>
      </c>
      <c r="I371" s="79">
        <v>-3.8797906733668099E-3</v>
      </c>
      <c r="J371" s="79">
        <v>1.38505254910497E-2</v>
      </c>
      <c r="K371" s="79">
        <v>0.77939765368548097</v>
      </c>
      <c r="L371" s="79">
        <v>0.95813246455571699</v>
      </c>
      <c r="M371" s="80">
        <v>1</v>
      </c>
      <c r="N371" s="79">
        <v>4.82368703859287E-2</v>
      </c>
      <c r="O371" s="79">
        <v>1.3748881298784E-2</v>
      </c>
      <c r="P371" s="79">
        <v>4.5458180781650002E-4</v>
      </c>
      <c r="Q371" s="79">
        <v>1.9891872900660002E-3</v>
      </c>
      <c r="R371" s="80">
        <v>0.57686431411913897</v>
      </c>
      <c r="S371" s="81">
        <v>5.9882078999999998E-2</v>
      </c>
      <c r="T371" s="81">
        <v>1.3708119E-2</v>
      </c>
      <c r="U371" s="81">
        <v>1.27594E-5</v>
      </c>
      <c r="V371" s="81">
        <v>1.8399700000000001E-4</v>
      </c>
      <c r="W371" s="81">
        <v>1.6191734999999999E-2</v>
      </c>
    </row>
    <row r="372" spans="1:23" x14ac:dyDescent="0.2">
      <c r="A372" s="69"/>
      <c r="B372" s="56" t="s">
        <v>630</v>
      </c>
      <c r="C372" s="78">
        <v>5555</v>
      </c>
      <c r="D372" s="79">
        <v>2.5545109E-2</v>
      </c>
      <c r="E372" s="79">
        <v>1.3871075E-2</v>
      </c>
      <c r="F372" s="79">
        <v>6.5589526999999995E-2</v>
      </c>
      <c r="G372" s="79">
        <v>0.51697583703726702</v>
      </c>
      <c r="H372" s="80">
        <v>1</v>
      </c>
      <c r="I372" s="79">
        <v>4.5752744785776799E-3</v>
      </c>
      <c r="J372" s="79">
        <v>1.37945336689471E-2</v>
      </c>
      <c r="K372" s="79">
        <v>0.74014985073429096</v>
      </c>
      <c r="L372" s="79">
        <v>0.95161388289627002</v>
      </c>
      <c r="M372" s="80">
        <v>1</v>
      </c>
      <c r="N372" s="79">
        <v>4.7417596019527997E-2</v>
      </c>
      <c r="O372" s="79">
        <v>1.3694706365117401E-2</v>
      </c>
      <c r="P372" s="79">
        <v>5.3962063548759797E-4</v>
      </c>
      <c r="Q372" s="79">
        <v>2.2750119150623301E-3</v>
      </c>
      <c r="R372" s="80">
        <v>0.68477858643376199</v>
      </c>
      <c r="S372" s="81">
        <v>7.2105382999999995E-2</v>
      </c>
      <c r="T372" s="81">
        <v>1.3654417E-2</v>
      </c>
      <c r="U372" s="81">
        <v>1.33942E-7</v>
      </c>
      <c r="V372" s="81">
        <v>5.8611300000000001E-6</v>
      </c>
      <c r="W372" s="81">
        <v>1.6997299999999999E-4</v>
      </c>
    </row>
    <row r="373" spans="1:23" x14ac:dyDescent="0.2">
      <c r="A373" s="69"/>
      <c r="B373" s="56" t="s">
        <v>631</v>
      </c>
      <c r="C373" s="78">
        <v>5555</v>
      </c>
      <c r="D373" s="79">
        <v>8.8815709999999996E-3</v>
      </c>
      <c r="E373" s="79">
        <v>1.3964782E-2</v>
      </c>
      <c r="F373" s="79">
        <v>0.524805258</v>
      </c>
      <c r="G373" s="79">
        <v>0.93839135459751</v>
      </c>
      <c r="H373" s="80">
        <v>1</v>
      </c>
      <c r="I373" s="79">
        <v>-6.0631082587236703E-3</v>
      </c>
      <c r="J373" s="79">
        <v>1.3904338327942099E-2</v>
      </c>
      <c r="K373" s="79">
        <v>0.66281209354609105</v>
      </c>
      <c r="L373" s="79">
        <v>0.92837587937084898</v>
      </c>
      <c r="M373" s="80">
        <v>1</v>
      </c>
      <c r="N373" s="79">
        <v>1.2850536779799001E-2</v>
      </c>
      <c r="O373" s="79">
        <v>1.38128161532921E-2</v>
      </c>
      <c r="P373" s="79">
        <v>0.352240625670106</v>
      </c>
      <c r="Q373" s="79">
        <v>0.43694365002479402</v>
      </c>
      <c r="R373" s="80">
        <v>1</v>
      </c>
      <c r="S373" s="79">
        <v>1.4097524E-2</v>
      </c>
      <c r="T373" s="79">
        <v>1.3780762E-2</v>
      </c>
      <c r="U373" s="79">
        <v>0.30636123100000001</v>
      </c>
      <c r="V373" s="79">
        <v>0.39874092500000002</v>
      </c>
      <c r="W373" s="79">
        <v>1</v>
      </c>
    </row>
    <row r="374" spans="1:23" x14ac:dyDescent="0.2">
      <c r="A374" s="69"/>
      <c r="B374" s="56" t="s">
        <v>632</v>
      </c>
      <c r="C374" s="78">
        <v>5555</v>
      </c>
      <c r="D374" s="79">
        <v>-1.1313829999999999E-3</v>
      </c>
      <c r="E374" s="79">
        <v>1.3905687E-2</v>
      </c>
      <c r="F374" s="79">
        <v>0.93515791999999998</v>
      </c>
      <c r="G374" s="79">
        <v>0.991673151733656</v>
      </c>
      <c r="H374" s="80">
        <v>1</v>
      </c>
      <c r="I374" s="79">
        <v>-1.34054537438785E-2</v>
      </c>
      <c r="J374" s="79">
        <v>1.3820372663784801E-2</v>
      </c>
      <c r="K374" s="79">
        <v>0.33210433621486102</v>
      </c>
      <c r="L374" s="79">
        <v>0.79366538468944703</v>
      </c>
      <c r="M374" s="80">
        <v>1</v>
      </c>
      <c r="N374" s="79">
        <v>7.9355071759543393E-3</v>
      </c>
      <c r="O374" s="79">
        <v>1.3727828587306199E-2</v>
      </c>
      <c r="P374" s="79">
        <v>0.56324953570939795</v>
      </c>
      <c r="Q374" s="79">
        <v>0.64219556227783103</v>
      </c>
      <c r="R374" s="80">
        <v>1</v>
      </c>
      <c r="S374" s="79">
        <v>1.0949527000000001E-2</v>
      </c>
      <c r="T374" s="79">
        <v>1.3708533E-2</v>
      </c>
      <c r="U374" s="79">
        <v>0.42447949600000001</v>
      </c>
      <c r="V374" s="79">
        <v>0.51350284099999999</v>
      </c>
      <c r="W374" s="79">
        <v>1</v>
      </c>
    </row>
    <row r="375" spans="1:23" x14ac:dyDescent="0.2">
      <c r="A375" s="69"/>
      <c r="B375" s="56" t="s">
        <v>633</v>
      </c>
      <c r="C375" s="78">
        <v>5555</v>
      </c>
      <c r="D375" s="79">
        <v>-1.4280948999999999E-2</v>
      </c>
      <c r="E375" s="79">
        <v>1.3914153E-2</v>
      </c>
      <c r="F375" s="79">
        <v>0.30476832999999998</v>
      </c>
      <c r="G375" s="79">
        <v>0.84661025108533905</v>
      </c>
      <c r="H375" s="80">
        <v>1</v>
      </c>
      <c r="I375" s="79">
        <v>-6.6385572461409399E-3</v>
      </c>
      <c r="J375" s="79">
        <v>1.38429676340784E-2</v>
      </c>
      <c r="K375" s="79">
        <v>0.63155922838335599</v>
      </c>
      <c r="L375" s="79">
        <v>0.91965825061269202</v>
      </c>
      <c r="M375" s="80">
        <v>1</v>
      </c>
      <c r="N375" s="79">
        <v>4.7701833906693102E-2</v>
      </c>
      <c r="O375" s="79">
        <v>1.3738648132023299E-2</v>
      </c>
      <c r="P375" s="79">
        <v>5.2060637779742698E-4</v>
      </c>
      <c r="Q375" s="79">
        <v>2.2095300783442598E-3</v>
      </c>
      <c r="R375" s="80">
        <v>0.66064949342493495</v>
      </c>
      <c r="S375" s="79">
        <v>1.2764219E-2</v>
      </c>
      <c r="T375" s="79">
        <v>1.3727603999999999E-2</v>
      </c>
      <c r="U375" s="79">
        <v>0.35250621100000001</v>
      </c>
      <c r="V375" s="79">
        <v>0.44683276100000002</v>
      </c>
      <c r="W375" s="79">
        <v>1</v>
      </c>
    </row>
    <row r="376" spans="1:23" x14ac:dyDescent="0.2">
      <c r="A376" s="69"/>
      <c r="B376" s="56" t="s">
        <v>634</v>
      </c>
      <c r="C376" s="78">
        <v>5555</v>
      </c>
      <c r="D376" s="79">
        <v>-1.153972E-2</v>
      </c>
      <c r="E376" s="79">
        <v>1.3889930999999999E-2</v>
      </c>
      <c r="F376" s="79">
        <v>0.40612545</v>
      </c>
      <c r="G376" s="79">
        <v>0.88261195738869902</v>
      </c>
      <c r="H376" s="80">
        <v>1</v>
      </c>
      <c r="I376" s="79">
        <v>5.9356907585564605E-4</v>
      </c>
      <c r="J376" s="79">
        <v>1.3828338494528299E-2</v>
      </c>
      <c r="K376" s="79">
        <v>0.965763672471326</v>
      </c>
      <c r="L376" s="79">
        <v>0.98858779149967102</v>
      </c>
      <c r="M376" s="80">
        <v>1</v>
      </c>
      <c r="N376" s="79">
        <v>2.6150567783825601E-2</v>
      </c>
      <c r="O376" s="79">
        <v>1.3731828326514499E-2</v>
      </c>
      <c r="P376" s="79">
        <v>5.6915764991912199E-2</v>
      </c>
      <c r="Q376" s="79">
        <v>9.8939870924296694E-2</v>
      </c>
      <c r="R376" s="80">
        <v>1</v>
      </c>
      <c r="S376" s="79">
        <v>1.6191731000000001E-2</v>
      </c>
      <c r="T376" s="79">
        <v>1.3704648E-2</v>
      </c>
      <c r="U376" s="79">
        <v>0.23746625900000001</v>
      </c>
      <c r="V376" s="79">
        <v>0.32507517000000002</v>
      </c>
      <c r="W376" s="79">
        <v>1</v>
      </c>
    </row>
    <row r="377" spans="1:23" x14ac:dyDescent="0.2">
      <c r="A377" s="69"/>
      <c r="B377" s="56" t="s">
        <v>635</v>
      </c>
      <c r="C377" s="78">
        <v>5555</v>
      </c>
      <c r="D377" s="79">
        <v>-2.805976E-2</v>
      </c>
      <c r="E377" s="79">
        <v>1.3856607E-2</v>
      </c>
      <c r="F377" s="79">
        <v>4.2917838999999999E-2</v>
      </c>
      <c r="G377" s="79">
        <v>0.450921001285714</v>
      </c>
      <c r="H377" s="80">
        <v>1</v>
      </c>
      <c r="I377" s="79">
        <v>-1.7317563814934201E-2</v>
      </c>
      <c r="J377" s="79">
        <v>1.37730976533624E-2</v>
      </c>
      <c r="K377" s="79">
        <v>0.20868592435722999</v>
      </c>
      <c r="L377" s="79">
        <v>0.72355857379596999</v>
      </c>
      <c r="M377" s="80">
        <v>1</v>
      </c>
      <c r="N377" s="79">
        <v>-1.04502360313203E-2</v>
      </c>
      <c r="O377" s="79">
        <v>1.36890491888678E-2</v>
      </c>
      <c r="P377" s="79">
        <v>0.445259639205075</v>
      </c>
      <c r="Q377" s="79">
        <v>0.52779976906409198</v>
      </c>
      <c r="R377" s="80">
        <v>1</v>
      </c>
      <c r="S377" s="79">
        <v>1.1395506999999999E-2</v>
      </c>
      <c r="T377" s="79">
        <v>1.367052E-2</v>
      </c>
      <c r="U377" s="79">
        <v>0.40455499099999997</v>
      </c>
      <c r="V377" s="79">
        <v>0.49316069499999998</v>
      </c>
      <c r="W377" s="79">
        <v>1</v>
      </c>
    </row>
    <row r="378" spans="1:23" x14ac:dyDescent="0.2">
      <c r="A378" s="69"/>
      <c r="B378" s="56" t="s">
        <v>636</v>
      </c>
      <c r="C378" s="78">
        <v>5555</v>
      </c>
      <c r="D378" s="79">
        <v>4.6014070000000001E-3</v>
      </c>
      <c r="E378" s="79">
        <v>1.38732E-2</v>
      </c>
      <c r="F378" s="79">
        <v>0.74014688799999995</v>
      </c>
      <c r="G378" s="79">
        <v>0.98545101377932998</v>
      </c>
      <c r="H378" s="80">
        <v>1</v>
      </c>
      <c r="I378" s="79">
        <v>7.0119928899450195E-4</v>
      </c>
      <c r="J378" s="79">
        <v>1.38173131154718E-2</v>
      </c>
      <c r="K378" s="79">
        <v>0.95952833680759697</v>
      </c>
      <c r="L378" s="79">
        <v>0.98719988166166295</v>
      </c>
      <c r="M378" s="80">
        <v>1</v>
      </c>
      <c r="N378" s="79">
        <v>3.1190787820153699E-2</v>
      </c>
      <c r="O378" s="79">
        <v>1.37187943702793E-2</v>
      </c>
      <c r="P378" s="79">
        <v>2.3030783561154101E-2</v>
      </c>
      <c r="Q378" s="79">
        <v>4.6687003736588802E-2</v>
      </c>
      <c r="R378" s="80">
        <v>1</v>
      </c>
      <c r="S378" s="79">
        <v>2.9424502000000002E-2</v>
      </c>
      <c r="T378" s="79">
        <v>1.3687025E-2</v>
      </c>
      <c r="U378" s="79">
        <v>3.1614920999999997E-2</v>
      </c>
      <c r="V378" s="79">
        <v>6.3479960000000002E-2</v>
      </c>
      <c r="W378" s="79">
        <v>1</v>
      </c>
    </row>
    <row r="379" spans="1:23" x14ac:dyDescent="0.2">
      <c r="A379" s="69"/>
      <c r="B379" s="56" t="s">
        <v>637</v>
      </c>
      <c r="C379" s="78">
        <v>5555</v>
      </c>
      <c r="D379" s="79">
        <v>1.7187272999999999E-2</v>
      </c>
      <c r="E379" s="79">
        <v>1.3908815999999999E-2</v>
      </c>
      <c r="F379" s="79">
        <v>0.216620114</v>
      </c>
      <c r="G379" s="79">
        <v>0.74224234113157905</v>
      </c>
      <c r="H379" s="80">
        <v>1</v>
      </c>
      <c r="I379" s="79">
        <v>1.7707827246199601E-2</v>
      </c>
      <c r="J379" s="79">
        <v>1.3850880177700199E-2</v>
      </c>
      <c r="K379" s="79">
        <v>0.201142268328385</v>
      </c>
      <c r="L379" s="79">
        <v>0.72004265416220203</v>
      </c>
      <c r="M379" s="80">
        <v>1</v>
      </c>
      <c r="N379" s="79">
        <v>3.4637219857023498E-2</v>
      </c>
      <c r="O379" s="79">
        <v>1.37543622468969E-2</v>
      </c>
      <c r="P379" s="79">
        <v>1.18221813214568E-2</v>
      </c>
      <c r="Q379" s="79">
        <v>2.7336156825807801E-2</v>
      </c>
      <c r="R379" s="80">
        <v>1</v>
      </c>
      <c r="S379" s="79">
        <v>2.1005102000000001E-2</v>
      </c>
      <c r="T379" s="79">
        <v>1.3725937000000001E-2</v>
      </c>
      <c r="U379" s="79">
        <v>0.12599596900000001</v>
      </c>
      <c r="V379" s="79">
        <v>0.19594226000000001</v>
      </c>
      <c r="W379" s="79">
        <v>1</v>
      </c>
    </row>
    <row r="380" spans="1:23" x14ac:dyDescent="0.2">
      <c r="A380" s="69"/>
      <c r="B380" s="56" t="s">
        <v>622</v>
      </c>
      <c r="C380" s="78">
        <v>5555</v>
      </c>
      <c r="D380" s="79">
        <v>8.2863180000000008E-3</v>
      </c>
      <c r="E380" s="79">
        <v>1.3874865E-2</v>
      </c>
      <c r="F380" s="79">
        <v>0.550387187</v>
      </c>
      <c r="G380" s="79">
        <v>0.94233160000673799</v>
      </c>
      <c r="H380" s="80">
        <v>1</v>
      </c>
      <c r="I380" s="79">
        <v>3.3344156332341299E-3</v>
      </c>
      <c r="J380" s="79">
        <v>1.3811613796005699E-2</v>
      </c>
      <c r="K380" s="79">
        <v>0.80923806679281696</v>
      </c>
      <c r="L380" s="79">
        <v>0.96211732726388599</v>
      </c>
      <c r="M380" s="80">
        <v>1</v>
      </c>
      <c r="N380" s="79">
        <v>4.5237436996657103E-2</v>
      </c>
      <c r="O380" s="79">
        <v>1.37081034355574E-2</v>
      </c>
      <c r="P380" s="79">
        <v>9.7303654705923302E-4</v>
      </c>
      <c r="Q380" s="79">
        <v>3.4491155816149901E-3</v>
      </c>
      <c r="R380" s="80">
        <v>1</v>
      </c>
      <c r="S380" s="81">
        <v>7.0134845000000001E-2</v>
      </c>
      <c r="T380" s="81">
        <v>1.3658912E-2</v>
      </c>
      <c r="U380" s="81">
        <v>2.9256000000000002E-7</v>
      </c>
      <c r="V380" s="81">
        <v>1.03127E-5</v>
      </c>
      <c r="W380" s="81">
        <v>3.7125899999999998E-4</v>
      </c>
    </row>
    <row r="381" spans="1:23" x14ac:dyDescent="0.2">
      <c r="A381" s="69"/>
      <c r="B381" s="56" t="s">
        <v>638</v>
      </c>
      <c r="C381" s="78">
        <v>5555</v>
      </c>
      <c r="D381" s="79">
        <v>-1.3211604E-2</v>
      </c>
      <c r="E381" s="79">
        <v>1.3865064E-2</v>
      </c>
      <c r="F381" s="79">
        <v>0.34070071499999999</v>
      </c>
      <c r="G381" s="79">
        <v>0.861253401065737</v>
      </c>
      <c r="H381" s="80">
        <v>1</v>
      </c>
      <c r="I381" s="79">
        <v>7.8689778561646592E-3</v>
      </c>
      <c r="J381" s="79">
        <v>1.3773167378916099E-2</v>
      </c>
      <c r="K381" s="79">
        <v>0.56780364906430503</v>
      </c>
      <c r="L381" s="79">
        <v>0.911324282187712</v>
      </c>
      <c r="M381" s="80">
        <v>1</v>
      </c>
      <c r="N381" s="79">
        <v>-5.8891797384737696E-3</v>
      </c>
      <c r="O381" s="79">
        <v>1.36826277158867E-2</v>
      </c>
      <c r="P381" s="79">
        <v>0.66691363135225001</v>
      </c>
      <c r="Q381" s="79">
        <v>0.735436719304845</v>
      </c>
      <c r="R381" s="80">
        <v>1</v>
      </c>
      <c r="S381" s="79">
        <v>1.6655629000000002E-2</v>
      </c>
      <c r="T381" s="79">
        <v>1.3666864000000001E-2</v>
      </c>
      <c r="U381" s="79">
        <v>0.22301910999999999</v>
      </c>
      <c r="V381" s="79">
        <v>0.308964248</v>
      </c>
      <c r="W381" s="79">
        <v>1</v>
      </c>
    </row>
    <row r="382" spans="1:23" x14ac:dyDescent="0.2">
      <c r="A382" s="69"/>
      <c r="B382" s="56" t="s">
        <v>639</v>
      </c>
      <c r="C382" s="78">
        <v>5555</v>
      </c>
      <c r="D382" s="79">
        <v>-1.4114646E-2</v>
      </c>
      <c r="E382" s="79">
        <v>1.3941033E-2</v>
      </c>
      <c r="F382" s="79">
        <v>0.311366578</v>
      </c>
      <c r="G382" s="79">
        <v>0.85008618545806502</v>
      </c>
      <c r="H382" s="80">
        <v>1</v>
      </c>
      <c r="I382" s="79">
        <v>2.4798933047476602E-3</v>
      </c>
      <c r="J382" s="79">
        <v>1.38794288335937E-2</v>
      </c>
      <c r="K382" s="79">
        <v>0.85820042193508395</v>
      </c>
      <c r="L382" s="79">
        <v>0.96964513668720897</v>
      </c>
      <c r="M382" s="80">
        <v>1</v>
      </c>
      <c r="N382" s="79">
        <v>6.3947767823315602E-3</v>
      </c>
      <c r="O382" s="79">
        <v>1.37798360193179E-2</v>
      </c>
      <c r="P382" s="79">
        <v>0.64261800839397698</v>
      </c>
      <c r="Q382" s="79">
        <v>0.71785409564432801</v>
      </c>
      <c r="R382" s="80">
        <v>1</v>
      </c>
      <c r="S382" s="79">
        <v>5.3703571999999998E-2</v>
      </c>
      <c r="T382" s="79">
        <v>1.3727978E-2</v>
      </c>
      <c r="U382" s="79">
        <v>9.2667199999999999E-5</v>
      </c>
      <c r="V382" s="79">
        <v>7.66174E-4</v>
      </c>
      <c r="W382" s="79">
        <v>0.117594633</v>
      </c>
    </row>
    <row r="383" spans="1:23" x14ac:dyDescent="0.2">
      <c r="A383" s="69"/>
      <c r="B383" s="56" t="s">
        <v>640</v>
      </c>
      <c r="C383" s="78">
        <v>5555</v>
      </c>
      <c r="D383" s="79">
        <v>7.0502209999999997E-3</v>
      </c>
      <c r="E383" s="79">
        <v>1.3852925E-2</v>
      </c>
      <c r="F383" s="79">
        <v>0.61082099400000001</v>
      </c>
      <c r="G383" s="79">
        <v>0.96049373783807201</v>
      </c>
      <c r="H383" s="80">
        <v>1</v>
      </c>
      <c r="I383" s="79">
        <v>2.75508336134975E-2</v>
      </c>
      <c r="J383" s="79">
        <v>1.37639985106827E-2</v>
      </c>
      <c r="K383" s="79">
        <v>4.5376302813087001E-2</v>
      </c>
      <c r="L383" s="79">
        <v>0.53217113930985405</v>
      </c>
      <c r="M383" s="80">
        <v>1</v>
      </c>
      <c r="N383" s="81">
        <v>5.87864604364308E-2</v>
      </c>
      <c r="O383" s="81">
        <v>1.36633850237519E-2</v>
      </c>
      <c r="P383" s="81">
        <v>1.7216109468085701E-5</v>
      </c>
      <c r="Q383" s="81">
        <v>1.3321489582317499E-4</v>
      </c>
      <c r="R383" s="82">
        <v>2.18472429150008E-2</v>
      </c>
      <c r="S383" s="81">
        <v>5.7552885999999998E-2</v>
      </c>
      <c r="T383" s="81">
        <v>1.3644859000000001E-2</v>
      </c>
      <c r="U383" s="81">
        <v>2.5091799999999999E-5</v>
      </c>
      <c r="V383" s="81">
        <v>2.92124E-4</v>
      </c>
      <c r="W383" s="81">
        <v>3.1841510000000003E-2</v>
      </c>
    </row>
    <row r="384" spans="1:23" x14ac:dyDescent="0.2">
      <c r="A384" s="69"/>
      <c r="B384" s="56" t="s">
        <v>641</v>
      </c>
      <c r="C384" s="78">
        <v>5555</v>
      </c>
      <c r="D384" s="79">
        <v>1.8926742E-2</v>
      </c>
      <c r="E384" s="79">
        <v>1.3877985000000001E-2</v>
      </c>
      <c r="F384" s="79">
        <v>0.17269045899999999</v>
      </c>
      <c r="G384" s="79">
        <v>0.70136321922857203</v>
      </c>
      <c r="H384" s="80">
        <v>1</v>
      </c>
      <c r="I384" s="79">
        <v>2.42144615932295E-2</v>
      </c>
      <c r="J384" s="79">
        <v>1.3804220480442201E-2</v>
      </c>
      <c r="K384" s="79">
        <v>7.9466941936203406E-2</v>
      </c>
      <c r="L384" s="79">
        <v>0.59186625016599403</v>
      </c>
      <c r="M384" s="80">
        <v>1</v>
      </c>
      <c r="N384" s="79">
        <v>4.7219115391441198E-2</v>
      </c>
      <c r="O384" s="79">
        <v>1.37077794560469E-2</v>
      </c>
      <c r="P384" s="79">
        <v>5.7624126154483398E-4</v>
      </c>
      <c r="Q384" s="79">
        <v>2.3743217832514398E-3</v>
      </c>
      <c r="R384" s="80">
        <v>0.73125016090039396</v>
      </c>
      <c r="S384" s="79">
        <v>5.2590772000000001E-2</v>
      </c>
      <c r="T384" s="79">
        <v>1.3677989E-2</v>
      </c>
      <c r="U384" s="79">
        <v>1.22027E-4</v>
      </c>
      <c r="V384" s="79">
        <v>9.1628300000000005E-4</v>
      </c>
      <c r="W384" s="79">
        <v>0.15485188499999999</v>
      </c>
    </row>
    <row r="385" spans="1:23" x14ac:dyDescent="0.2">
      <c r="A385" s="69"/>
      <c r="B385" s="56" t="s">
        <v>642</v>
      </c>
      <c r="C385" s="78">
        <v>5555</v>
      </c>
      <c r="D385" s="79">
        <v>-1.8737588999999999E-2</v>
      </c>
      <c r="E385" s="79">
        <v>1.4008161999999999E-2</v>
      </c>
      <c r="F385" s="79">
        <v>0.18107916499999999</v>
      </c>
      <c r="G385" s="79">
        <v>0.71363186454968897</v>
      </c>
      <c r="H385" s="80">
        <v>1</v>
      </c>
      <c r="I385" s="79">
        <v>-5.1619214426632601E-3</v>
      </c>
      <c r="J385" s="79">
        <v>1.3938531829515301E-2</v>
      </c>
      <c r="K385" s="79">
        <v>0.71114859387151397</v>
      </c>
      <c r="L385" s="79">
        <v>0.93958156138094695</v>
      </c>
      <c r="M385" s="80">
        <v>1</v>
      </c>
      <c r="N385" s="79">
        <v>1.07894351081441E-2</v>
      </c>
      <c r="O385" s="79">
        <v>1.38408116493035E-2</v>
      </c>
      <c r="P385" s="79">
        <v>0.43569909493136599</v>
      </c>
      <c r="Q385" s="79">
        <v>0.51915694973512105</v>
      </c>
      <c r="R385" s="80">
        <v>1</v>
      </c>
      <c r="S385" s="79">
        <v>1.5562350000000001E-2</v>
      </c>
      <c r="T385" s="79">
        <v>1.3812757E-2</v>
      </c>
      <c r="U385" s="79">
        <v>0.259936522</v>
      </c>
      <c r="V385" s="79">
        <v>0.35091430400000001</v>
      </c>
      <c r="W385" s="79">
        <v>1</v>
      </c>
    </row>
    <row r="386" spans="1:23" x14ac:dyDescent="0.2">
      <c r="A386" s="69"/>
      <c r="B386" s="56" t="s">
        <v>643</v>
      </c>
      <c r="C386" s="78">
        <v>5555</v>
      </c>
      <c r="D386" s="79">
        <v>1.8986909E-2</v>
      </c>
      <c r="E386" s="79">
        <v>1.3893341E-2</v>
      </c>
      <c r="F386" s="79">
        <v>0.17180166299999999</v>
      </c>
      <c r="G386" s="79">
        <v>0.70136321922857203</v>
      </c>
      <c r="H386" s="80">
        <v>1</v>
      </c>
      <c r="I386" s="79">
        <v>2.82038657218802E-2</v>
      </c>
      <c r="J386" s="79">
        <v>1.38365721770048E-2</v>
      </c>
      <c r="K386" s="79">
        <v>4.1563522952364602E-2</v>
      </c>
      <c r="L386" s="79">
        <v>0.51207874394709396</v>
      </c>
      <c r="M386" s="80">
        <v>1</v>
      </c>
      <c r="N386" s="79">
        <v>2.2409998117932699E-2</v>
      </c>
      <c r="O386" s="79">
        <v>1.3747091819050299E-2</v>
      </c>
      <c r="P386" s="79">
        <v>0.10312579567970299</v>
      </c>
      <c r="Q386" s="79">
        <v>0.16156374656486799</v>
      </c>
      <c r="R386" s="80">
        <v>1</v>
      </c>
      <c r="S386" s="79">
        <v>4.8732306000000003E-2</v>
      </c>
      <c r="T386" s="79">
        <v>1.370071E-2</v>
      </c>
      <c r="U386" s="79">
        <v>3.7846000000000001E-4</v>
      </c>
      <c r="V386" s="79">
        <v>2.1633590000000001E-3</v>
      </c>
      <c r="W386" s="79">
        <v>0.48026570699999999</v>
      </c>
    </row>
    <row r="387" spans="1:23" x14ac:dyDescent="0.2">
      <c r="A387" s="69"/>
      <c r="B387" s="56" t="s">
        <v>623</v>
      </c>
      <c r="C387" s="78">
        <v>5555</v>
      </c>
      <c r="D387" s="79">
        <v>1.4461204E-2</v>
      </c>
      <c r="E387" s="79">
        <v>1.3801509E-2</v>
      </c>
      <c r="F387" s="79">
        <v>0.29477733299999997</v>
      </c>
      <c r="G387" s="79">
        <v>0.84338459475166305</v>
      </c>
      <c r="H387" s="80">
        <v>1</v>
      </c>
      <c r="I387" s="79">
        <v>1.4547127913533599E-2</v>
      </c>
      <c r="J387" s="79">
        <v>1.3767515857479999E-2</v>
      </c>
      <c r="K387" s="79">
        <v>0.29072849638871201</v>
      </c>
      <c r="L387" s="79">
        <v>0.77544249817709499</v>
      </c>
      <c r="M387" s="80">
        <v>1</v>
      </c>
      <c r="N387" s="81">
        <v>5.72230934920143E-2</v>
      </c>
      <c r="O387" s="81">
        <v>1.36449369077964E-2</v>
      </c>
      <c r="P387" s="81">
        <v>2.78729595074777E-5</v>
      </c>
      <c r="Q387" s="81">
        <v>1.9983494697733999E-4</v>
      </c>
      <c r="R387" s="82">
        <v>3.53707856149892E-2</v>
      </c>
      <c r="S387" s="81">
        <v>6.0162320999999998E-2</v>
      </c>
      <c r="T387" s="81">
        <v>1.3605409000000001E-2</v>
      </c>
      <c r="U387" s="81">
        <v>9.9702300000000003E-6</v>
      </c>
      <c r="V387" s="81">
        <v>1.5429500000000001E-4</v>
      </c>
      <c r="W387" s="81">
        <v>1.2652218999999999E-2</v>
      </c>
    </row>
    <row r="388" spans="1:23" x14ac:dyDescent="0.2">
      <c r="A388" s="69"/>
      <c r="B388" s="56" t="s">
        <v>624</v>
      </c>
      <c r="C388" s="78">
        <v>5555</v>
      </c>
      <c r="D388" s="79">
        <v>2.8921532E-2</v>
      </c>
      <c r="E388" s="79">
        <v>1.3772237999999999E-2</v>
      </c>
      <c r="F388" s="79">
        <v>3.5778735999999998E-2</v>
      </c>
      <c r="G388" s="79">
        <v>0.43563485277876102</v>
      </c>
      <c r="H388" s="80">
        <v>1</v>
      </c>
      <c r="I388" s="79">
        <v>3.1300626793080801E-3</v>
      </c>
      <c r="J388" s="79">
        <v>1.37003907078052E-2</v>
      </c>
      <c r="K388" s="79">
        <v>0.81929388839502804</v>
      </c>
      <c r="L388" s="79">
        <v>0.96329235519434897</v>
      </c>
      <c r="M388" s="80">
        <v>1</v>
      </c>
      <c r="N388" s="79">
        <v>4.6089925107767098E-2</v>
      </c>
      <c r="O388" s="79">
        <v>1.36009698369627E-2</v>
      </c>
      <c r="P388" s="79">
        <v>7.07564700849648E-4</v>
      </c>
      <c r="Q388" s="79">
        <v>2.7542932680313E-3</v>
      </c>
      <c r="R388" s="80">
        <v>0.89789960537820301</v>
      </c>
      <c r="S388" s="81">
        <v>5.7439328999999997E-2</v>
      </c>
      <c r="T388" s="81">
        <v>1.3576213E-2</v>
      </c>
      <c r="U388" s="81">
        <v>2.3685100000000001E-5</v>
      </c>
      <c r="V388" s="81">
        <v>2.8274000000000002E-4</v>
      </c>
      <c r="W388" s="81">
        <v>3.0056453E-2</v>
      </c>
    </row>
    <row r="389" spans="1:23" x14ac:dyDescent="0.2">
      <c r="A389" s="69"/>
      <c r="B389" s="56" t="s">
        <v>625</v>
      </c>
      <c r="C389" s="78">
        <v>5555</v>
      </c>
      <c r="D389" s="79">
        <v>2.1210401E-2</v>
      </c>
      <c r="E389" s="79">
        <v>1.3870153E-2</v>
      </c>
      <c r="F389" s="79">
        <v>0.12627257</v>
      </c>
      <c r="G389" s="79">
        <v>0.65626131345967698</v>
      </c>
      <c r="H389" s="80">
        <v>1</v>
      </c>
      <c r="I389" s="79">
        <v>6.4809066160634501E-3</v>
      </c>
      <c r="J389" s="79">
        <v>1.3811153952894799E-2</v>
      </c>
      <c r="K389" s="79">
        <v>0.63890970921787105</v>
      </c>
      <c r="L389" s="79">
        <v>0.91965825061269202</v>
      </c>
      <c r="M389" s="80">
        <v>1</v>
      </c>
      <c r="N389" s="79">
        <v>1.2821599338790001E-2</v>
      </c>
      <c r="O389" s="79">
        <v>1.3723250003619999E-2</v>
      </c>
      <c r="P389" s="79">
        <v>0.35019403893821299</v>
      </c>
      <c r="Q389" s="79">
        <v>0.43594436544962001</v>
      </c>
      <c r="R389" s="80">
        <v>1</v>
      </c>
      <c r="S389" s="79">
        <v>4.1002925000000003E-2</v>
      </c>
      <c r="T389" s="79">
        <v>1.3683086000000001E-2</v>
      </c>
      <c r="U389" s="79">
        <v>2.7428259999999999E-3</v>
      </c>
      <c r="V389" s="79">
        <v>9.9716360000000007E-3</v>
      </c>
      <c r="W389" s="79">
        <v>1</v>
      </c>
    </row>
    <row r="390" spans="1:23" x14ac:dyDescent="0.2">
      <c r="A390" s="69"/>
      <c r="B390" s="56" t="s">
        <v>626</v>
      </c>
      <c r="C390" s="78">
        <v>5555</v>
      </c>
      <c r="D390" s="79">
        <v>4.0465500000000003E-3</v>
      </c>
      <c r="E390" s="79">
        <v>1.3917880000000001E-2</v>
      </c>
      <c r="F390" s="79">
        <v>0.77125755600000001</v>
      </c>
      <c r="G390" s="79">
        <v>0.98545101377932998</v>
      </c>
      <c r="H390" s="80">
        <v>1</v>
      </c>
      <c r="I390" s="79">
        <v>-9.4398528067788003E-3</v>
      </c>
      <c r="J390" s="79">
        <v>1.3876740783871E-2</v>
      </c>
      <c r="K390" s="79">
        <v>0.49636587547781702</v>
      </c>
      <c r="L390" s="79">
        <v>0.88650784260657001</v>
      </c>
      <c r="M390" s="80">
        <v>1</v>
      </c>
      <c r="N390" s="79">
        <v>1.63185712942275E-2</v>
      </c>
      <c r="O390" s="79">
        <v>1.3772198153090101E-2</v>
      </c>
      <c r="P390" s="79">
        <v>0.236111373888829</v>
      </c>
      <c r="Q390" s="79">
        <v>0.31497710426522202</v>
      </c>
      <c r="R390" s="80">
        <v>1</v>
      </c>
      <c r="S390" s="79">
        <v>2.6395945000000001E-2</v>
      </c>
      <c r="T390" s="79">
        <v>1.3731423E-2</v>
      </c>
      <c r="U390" s="79">
        <v>5.4619411999999999E-2</v>
      </c>
      <c r="V390" s="79">
        <v>0.10051739</v>
      </c>
      <c r="W390" s="79">
        <v>1</v>
      </c>
    </row>
    <row r="391" spans="1:23" x14ac:dyDescent="0.2">
      <c r="A391" s="69"/>
      <c r="B391" s="56" t="s">
        <v>627</v>
      </c>
      <c r="C391" s="78">
        <v>5555</v>
      </c>
      <c r="D391" s="79">
        <v>2.1820828E-2</v>
      </c>
      <c r="E391" s="79">
        <v>1.3924719E-2</v>
      </c>
      <c r="F391" s="79">
        <v>0.11715971999999999</v>
      </c>
      <c r="G391" s="79">
        <v>0.64215920265517301</v>
      </c>
      <c r="H391" s="80">
        <v>1</v>
      </c>
      <c r="I391" s="79">
        <v>1.28508339964746E-2</v>
      </c>
      <c r="J391" s="79">
        <v>1.3876579920053801E-2</v>
      </c>
      <c r="K391" s="79">
        <v>0.35444557608627603</v>
      </c>
      <c r="L391" s="79">
        <v>0.81336606881281104</v>
      </c>
      <c r="M391" s="80">
        <v>1</v>
      </c>
      <c r="N391" s="79">
        <v>1.6681425289649901E-2</v>
      </c>
      <c r="O391" s="79">
        <v>1.3781587701673899E-2</v>
      </c>
      <c r="P391" s="79">
        <v>0.22617304451996501</v>
      </c>
      <c r="Q391" s="79">
        <v>0.30384811046557503</v>
      </c>
      <c r="R391" s="80">
        <v>1</v>
      </c>
      <c r="S391" s="79">
        <v>3.4388469999999997E-2</v>
      </c>
      <c r="T391" s="79">
        <v>1.373884E-2</v>
      </c>
      <c r="U391" s="79">
        <v>1.2343382E-2</v>
      </c>
      <c r="V391" s="79">
        <v>3.0297392999999999E-2</v>
      </c>
      <c r="W391" s="79">
        <v>1</v>
      </c>
    </row>
    <row r="392" spans="1:23" x14ac:dyDescent="0.2">
      <c r="A392" s="69"/>
      <c r="B392" s="56" t="s">
        <v>628</v>
      </c>
      <c r="C392" s="78">
        <v>5555</v>
      </c>
      <c r="D392" s="79">
        <v>-4.813983E-3</v>
      </c>
      <c r="E392" s="79">
        <v>1.3955919000000001E-2</v>
      </c>
      <c r="F392" s="79">
        <v>0.73015132599999999</v>
      </c>
      <c r="G392" s="79">
        <v>0.98545101377932998</v>
      </c>
      <c r="H392" s="80">
        <v>1</v>
      </c>
      <c r="I392" s="79">
        <v>7.0027915938772403E-3</v>
      </c>
      <c r="J392" s="79">
        <v>1.39098800419434E-2</v>
      </c>
      <c r="K392" s="79">
        <v>0.61467556271142099</v>
      </c>
      <c r="L392" s="79">
        <v>0.91965825061269202</v>
      </c>
      <c r="M392" s="80">
        <v>1</v>
      </c>
      <c r="N392" s="79">
        <v>1.5637462428600198E-2</v>
      </c>
      <c r="O392" s="79">
        <v>1.3809979742378801E-2</v>
      </c>
      <c r="P392" s="79">
        <v>0.25754581002201499</v>
      </c>
      <c r="Q392" s="79">
        <v>0.33693364218344002</v>
      </c>
      <c r="R392" s="80">
        <v>1</v>
      </c>
      <c r="S392" s="79">
        <v>3.1260253000000002E-2</v>
      </c>
      <c r="T392" s="79">
        <v>1.3770113E-2</v>
      </c>
      <c r="U392" s="79">
        <v>2.323749E-2</v>
      </c>
      <c r="V392" s="79">
        <v>4.9277267999999999E-2</v>
      </c>
      <c r="W392" s="79">
        <v>1</v>
      </c>
    </row>
    <row r="393" spans="1:23" x14ac:dyDescent="0.2">
      <c r="A393" s="69"/>
      <c r="B393" s="84" t="s">
        <v>2349</v>
      </c>
      <c r="C393" s="78">
        <v>5247</v>
      </c>
      <c r="D393" s="79">
        <v>1.1522433715644211</v>
      </c>
      <c r="E393" s="79">
        <v>0.136654948</v>
      </c>
      <c r="F393" s="79">
        <v>0.29973715699999998</v>
      </c>
      <c r="G393" s="79">
        <v>0.84338459475166305</v>
      </c>
      <c r="H393" s="80">
        <v>1</v>
      </c>
      <c r="I393" s="79">
        <v>1.0751293963925139</v>
      </c>
      <c r="J393" s="79">
        <v>0.139477463550116</v>
      </c>
      <c r="K393" s="79">
        <v>0.60349968418630995</v>
      </c>
      <c r="L393" s="79">
        <v>0.91965825061269202</v>
      </c>
      <c r="M393" s="80">
        <v>1</v>
      </c>
      <c r="N393" s="79">
        <v>0.95902088375456196</v>
      </c>
      <c r="O393" s="79">
        <v>0.13652643275697399</v>
      </c>
      <c r="P393" s="79">
        <v>0.75924028359495599</v>
      </c>
      <c r="Q393" s="79">
        <v>0.80558187281103599</v>
      </c>
      <c r="R393" s="80">
        <v>1</v>
      </c>
      <c r="S393" s="79">
        <v>1.3137553420000001</v>
      </c>
      <c r="T393" s="79">
        <v>0.13814520699999999</v>
      </c>
      <c r="U393" s="79">
        <v>4.8224687000000002E-2</v>
      </c>
      <c r="V393" s="79">
        <v>9.0394576000000004E-2</v>
      </c>
      <c r="W393" s="79">
        <v>1</v>
      </c>
    </row>
    <row r="394" spans="1:23" x14ac:dyDescent="0.2">
      <c r="A394" s="69"/>
      <c r="B394" s="84" t="s">
        <v>2350</v>
      </c>
      <c r="C394" s="78">
        <v>5159</v>
      </c>
      <c r="D394" s="79">
        <v>1.0935369268777073</v>
      </c>
      <c r="E394" s="79">
        <v>0.11320385500000001</v>
      </c>
      <c r="F394" s="79">
        <v>0.42959852599999998</v>
      </c>
      <c r="G394" s="79">
        <v>0.89370578605573803</v>
      </c>
      <c r="H394" s="80">
        <v>1</v>
      </c>
      <c r="I394" s="79">
        <v>1.1408140954050416</v>
      </c>
      <c r="J394" s="79">
        <v>0.115393289994582</v>
      </c>
      <c r="K394" s="79">
        <v>0.25358736338527998</v>
      </c>
      <c r="L394" s="79">
        <v>0.75316534960692805</v>
      </c>
      <c r="M394" s="80">
        <v>1</v>
      </c>
      <c r="N394" s="79">
        <v>1.0605113919636973</v>
      </c>
      <c r="O394" s="79">
        <v>0.113002201942834</v>
      </c>
      <c r="P394" s="79">
        <v>0.60312468778712003</v>
      </c>
      <c r="Q394" s="79">
        <v>0.68153626785561505</v>
      </c>
      <c r="R394" s="80">
        <v>1</v>
      </c>
      <c r="S394" s="79">
        <v>1.3230183179999999</v>
      </c>
      <c r="T394" s="79">
        <v>0.113967736</v>
      </c>
      <c r="U394" s="79">
        <v>1.4045553000000001E-2</v>
      </c>
      <c r="V394" s="79">
        <v>3.3253369999999997E-2</v>
      </c>
      <c r="W394" s="79">
        <v>1</v>
      </c>
    </row>
    <row r="395" spans="1:23" x14ac:dyDescent="0.2">
      <c r="A395" s="69"/>
      <c r="B395" s="84" t="s">
        <v>2351</v>
      </c>
      <c r="C395" s="78">
        <v>5555</v>
      </c>
      <c r="D395" s="79">
        <v>1.0792521763600587</v>
      </c>
      <c r="E395" s="79">
        <v>3.9888294999999997E-2</v>
      </c>
      <c r="F395" s="79">
        <v>5.5869918999999997E-2</v>
      </c>
      <c r="G395" s="79">
        <v>0.48230562728571402</v>
      </c>
      <c r="H395" s="80">
        <v>1</v>
      </c>
      <c r="I395" s="79">
        <v>1.0012202357733868</v>
      </c>
      <c r="J395" s="79">
        <v>3.9550677743344601E-2</v>
      </c>
      <c r="K395" s="79">
        <v>0.97540220160933799</v>
      </c>
      <c r="L395" s="79">
        <v>0.99181521942488005</v>
      </c>
      <c r="M395" s="80">
        <v>1</v>
      </c>
      <c r="N395" s="79">
        <v>1.0638055496045316</v>
      </c>
      <c r="O395" s="79">
        <v>3.9336035452854197E-2</v>
      </c>
      <c r="P395" s="79">
        <v>0.115854055562254</v>
      </c>
      <c r="Q395" s="79">
        <v>0.17670528426502399</v>
      </c>
      <c r="R395" s="80">
        <v>1</v>
      </c>
      <c r="S395" s="79">
        <v>1.0740762859999999</v>
      </c>
      <c r="T395" s="79">
        <v>3.9203956999999998E-2</v>
      </c>
      <c r="U395" s="79">
        <v>6.8333489999999997E-2</v>
      </c>
      <c r="V395" s="79">
        <v>0.119278128</v>
      </c>
      <c r="W395" s="79">
        <v>1</v>
      </c>
    </row>
    <row r="396" spans="1:23" x14ac:dyDescent="0.2">
      <c r="A396" s="69"/>
      <c r="B396" s="84" t="s">
        <v>2352</v>
      </c>
      <c r="C396" s="78">
        <v>786</v>
      </c>
      <c r="D396" s="79">
        <v>0.91395828281864588</v>
      </c>
      <c r="E396" s="79">
        <v>0.102247852</v>
      </c>
      <c r="F396" s="79">
        <v>0.37890041699999999</v>
      </c>
      <c r="G396" s="79">
        <v>0.880152082540541</v>
      </c>
      <c r="H396" s="80">
        <v>1</v>
      </c>
      <c r="I396" s="79">
        <v>0.87125324929057513</v>
      </c>
      <c r="J396" s="79">
        <v>9.8515350334515098E-2</v>
      </c>
      <c r="K396" s="79">
        <v>0.16181416308618801</v>
      </c>
      <c r="L396" s="79">
        <v>0.68676312025542696</v>
      </c>
      <c r="M396" s="80">
        <v>1</v>
      </c>
      <c r="N396" s="79">
        <v>1.2037723438214358</v>
      </c>
      <c r="O396" s="79">
        <v>9.8139999393806604E-2</v>
      </c>
      <c r="P396" s="79">
        <v>5.8791155455039601E-2</v>
      </c>
      <c r="Q396" s="79">
        <v>0.101643019444748</v>
      </c>
      <c r="R396" s="80">
        <v>1</v>
      </c>
      <c r="S396" s="79">
        <v>1.1719861469999999</v>
      </c>
      <c r="T396" s="79">
        <v>0.101390312</v>
      </c>
      <c r="U396" s="79">
        <v>0.11752734200000001</v>
      </c>
      <c r="V396" s="79">
        <v>0.18573125400000001</v>
      </c>
      <c r="W396" s="79">
        <v>1</v>
      </c>
    </row>
    <row r="397" spans="1:23" x14ac:dyDescent="0.2">
      <c r="A397" s="69"/>
      <c r="B397" s="84" t="s">
        <v>2353</v>
      </c>
      <c r="C397" s="78">
        <v>5555</v>
      </c>
      <c r="D397" s="79">
        <v>0.95169012892727589</v>
      </c>
      <c r="E397" s="79">
        <v>3.8822954E-2</v>
      </c>
      <c r="F397" s="79">
        <v>0.20215862000000001</v>
      </c>
      <c r="G397" s="79">
        <v>0.73506959535816596</v>
      </c>
      <c r="H397" s="80">
        <v>1</v>
      </c>
      <c r="I397" s="79">
        <v>1.007536435864743</v>
      </c>
      <c r="J397" s="79">
        <v>3.8626097194865303E-2</v>
      </c>
      <c r="K397" s="79">
        <v>0.84587757782696504</v>
      </c>
      <c r="L397" s="79">
        <v>0.85302936462659695</v>
      </c>
      <c r="M397" s="80">
        <v>1</v>
      </c>
      <c r="N397" s="79">
        <v>0.98116267138539703</v>
      </c>
      <c r="O397" s="79">
        <v>3.8430823825904202E-2</v>
      </c>
      <c r="P397" s="79">
        <v>0.62071486117441299</v>
      </c>
      <c r="Q397" s="79">
        <v>0.69954454603048799</v>
      </c>
      <c r="R397" s="80">
        <v>1</v>
      </c>
      <c r="S397" s="79">
        <v>0.97881899999999999</v>
      </c>
      <c r="T397" s="79">
        <v>3.8181364000000002E-2</v>
      </c>
      <c r="U397" s="79">
        <v>0.574997694</v>
      </c>
      <c r="V397" s="79">
        <v>0.64917444199999996</v>
      </c>
      <c r="W397" s="79">
        <v>1</v>
      </c>
    </row>
    <row r="398" spans="1:23" x14ac:dyDescent="0.2">
      <c r="A398" s="69"/>
      <c r="B398" s="84" t="s">
        <v>2354</v>
      </c>
      <c r="C398" s="78">
        <v>843</v>
      </c>
      <c r="D398" s="79">
        <v>1.0110539968911632</v>
      </c>
      <c r="E398" s="79">
        <v>0.100184657</v>
      </c>
      <c r="F398" s="79">
        <v>0.91262283</v>
      </c>
      <c r="G398" s="79">
        <v>0.991673151733656</v>
      </c>
      <c r="H398" s="80">
        <v>1</v>
      </c>
      <c r="I398" s="79">
        <v>1.1183510699197901</v>
      </c>
      <c r="J398" s="79">
        <v>9.4943523821192796E-2</v>
      </c>
      <c r="K398" s="79">
        <v>0.238746766393961</v>
      </c>
      <c r="L398" s="79">
        <v>0.74312835742433903</v>
      </c>
      <c r="M398" s="80">
        <v>1</v>
      </c>
      <c r="N398" s="79">
        <v>0.96977546719014063</v>
      </c>
      <c r="O398" s="79">
        <v>9.7071179241594502E-2</v>
      </c>
      <c r="P398" s="79">
        <v>0.75187569256897302</v>
      </c>
      <c r="Q398" s="79">
        <v>0.80044484385069403</v>
      </c>
      <c r="R398" s="80">
        <v>1</v>
      </c>
      <c r="S398" s="79">
        <v>1.0525334770000001</v>
      </c>
      <c r="T398" s="79">
        <v>9.1791128999999999E-2</v>
      </c>
      <c r="U398" s="79">
        <v>0.57698839199999996</v>
      </c>
      <c r="V398" s="79">
        <v>0.650547337</v>
      </c>
      <c r="W398" s="79">
        <v>1</v>
      </c>
    </row>
    <row r="399" spans="1:23" x14ac:dyDescent="0.2">
      <c r="A399" s="69"/>
      <c r="B399" s="84" t="s">
        <v>669</v>
      </c>
      <c r="C399" s="78">
        <v>843</v>
      </c>
      <c r="D399" s="79">
        <v>3.3997299999999998E-4</v>
      </c>
      <c r="E399" s="79">
        <v>3.5803386E-2</v>
      </c>
      <c r="F399" s="79">
        <v>0.99242604999999995</v>
      </c>
      <c r="G399" s="79">
        <v>0.99538600326677196</v>
      </c>
      <c r="H399" s="80">
        <v>1</v>
      </c>
      <c r="I399" s="79">
        <v>2.7617527455129898E-2</v>
      </c>
      <c r="J399" s="79">
        <v>3.4531203431112698E-2</v>
      </c>
      <c r="K399" s="79">
        <v>0.42406468823121501</v>
      </c>
      <c r="L399" s="79">
        <v>0.85302936462659695</v>
      </c>
      <c r="M399" s="80">
        <v>1</v>
      </c>
      <c r="N399" s="79">
        <v>-1.49117171892857E-2</v>
      </c>
      <c r="O399" s="79">
        <v>3.4937025009200998E-2</v>
      </c>
      <c r="P399" s="79">
        <v>0.66962366437082199</v>
      </c>
      <c r="Q399" s="79">
        <v>0.73571638968534503</v>
      </c>
      <c r="R399" s="80">
        <v>1</v>
      </c>
      <c r="S399" s="79">
        <v>-4.8436635999999998E-2</v>
      </c>
      <c r="T399" s="79">
        <v>3.3402985000000003E-2</v>
      </c>
      <c r="U399" s="79">
        <v>0.14741747299999999</v>
      </c>
      <c r="V399" s="79">
        <v>0.221387898</v>
      </c>
      <c r="W399" s="79">
        <v>1</v>
      </c>
    </row>
    <row r="400" spans="1:23" x14ac:dyDescent="0.2">
      <c r="A400" s="69"/>
      <c r="B400" s="84" t="s">
        <v>670</v>
      </c>
      <c r="C400" s="78">
        <v>5555</v>
      </c>
      <c r="D400" s="79">
        <v>5.6261000000000002E-3</v>
      </c>
      <c r="E400" s="79">
        <v>1.3726382000000001E-2</v>
      </c>
      <c r="F400" s="79">
        <v>0.68191552700000002</v>
      </c>
      <c r="G400" s="79">
        <v>0.98545101377932998</v>
      </c>
      <c r="H400" s="80">
        <v>1</v>
      </c>
      <c r="I400" s="79">
        <v>2.8445385111371402E-3</v>
      </c>
      <c r="J400" s="79">
        <v>1.36244492794822E-2</v>
      </c>
      <c r="K400" s="79">
        <v>0.83462733535165701</v>
      </c>
      <c r="L400" s="79">
        <v>0.96739769919940799</v>
      </c>
      <c r="M400" s="80">
        <v>1</v>
      </c>
      <c r="N400" s="79">
        <v>1.1820875285810399E-2</v>
      </c>
      <c r="O400" s="79">
        <v>1.3542181996360699E-2</v>
      </c>
      <c r="P400" s="79">
        <v>0.38276495079309503</v>
      </c>
      <c r="Q400" s="79">
        <v>0.467046848611959</v>
      </c>
      <c r="R400" s="80">
        <v>1</v>
      </c>
      <c r="S400" s="79">
        <v>2.1345474E-2</v>
      </c>
      <c r="T400" s="79">
        <v>1.3534885999999999E-2</v>
      </c>
      <c r="U400" s="79">
        <v>0.11484353899999999</v>
      </c>
      <c r="V400" s="79">
        <v>0.18285627500000001</v>
      </c>
      <c r="W400" s="79">
        <v>1</v>
      </c>
    </row>
    <row r="401" spans="1:23" x14ac:dyDescent="0.2">
      <c r="A401" s="70"/>
      <c r="B401" s="83" t="s">
        <v>2355</v>
      </c>
      <c r="C401" s="78"/>
      <c r="D401" s="79"/>
      <c r="E401" s="79"/>
      <c r="F401" s="79"/>
      <c r="G401" s="79"/>
      <c r="H401" s="80"/>
      <c r="I401" s="79"/>
      <c r="J401" s="79"/>
      <c r="K401" s="79"/>
      <c r="L401" s="79"/>
      <c r="M401" s="80"/>
      <c r="N401" s="79"/>
      <c r="O401" s="79"/>
      <c r="P401" s="79"/>
      <c r="Q401" s="79"/>
      <c r="R401" s="80"/>
      <c r="S401" s="79"/>
      <c r="T401" s="79"/>
      <c r="U401" s="79"/>
      <c r="V401" s="79"/>
      <c r="W401" s="79"/>
    </row>
    <row r="402" spans="1:23" x14ac:dyDescent="0.2">
      <c r="A402" s="69"/>
      <c r="B402" s="56" t="s">
        <v>454</v>
      </c>
      <c r="C402" s="78">
        <v>5556</v>
      </c>
      <c r="D402" s="79">
        <v>3.741117E-3</v>
      </c>
      <c r="E402" s="79">
        <v>1.1036054E-2</v>
      </c>
      <c r="F402" s="79">
        <v>0.73463843299999998</v>
      </c>
      <c r="G402" s="79">
        <v>0.98545101377932998</v>
      </c>
      <c r="H402" s="80">
        <v>1</v>
      </c>
      <c r="I402" s="79">
        <v>1.22017973494675E-2</v>
      </c>
      <c r="J402" s="79">
        <v>1.11614702589311E-2</v>
      </c>
      <c r="K402" s="79">
        <v>0.27437829710509498</v>
      </c>
      <c r="L402" s="79">
        <v>0.76524408577223202</v>
      </c>
      <c r="M402" s="80">
        <v>1</v>
      </c>
      <c r="N402" s="79">
        <v>4.3440507294020499E-2</v>
      </c>
      <c r="O402" s="79">
        <v>1.09671005830626E-2</v>
      </c>
      <c r="P402" s="79">
        <v>7.61884643729157E-5</v>
      </c>
      <c r="Q402" s="79">
        <v>4.6482289081360597E-4</v>
      </c>
      <c r="R402" s="80">
        <v>9.6683161289230005E-2</v>
      </c>
      <c r="S402" s="79">
        <v>2.4490871556422801E-2</v>
      </c>
      <c r="T402" s="79">
        <v>1.09541354143541E-2</v>
      </c>
      <c r="U402" s="79">
        <v>2.54321280646405E-2</v>
      </c>
      <c r="V402" s="79">
        <v>5.2907164777096401E-2</v>
      </c>
      <c r="W402" s="79">
        <v>1</v>
      </c>
    </row>
    <row r="403" spans="1:23" x14ac:dyDescent="0.2">
      <c r="A403" s="69"/>
      <c r="B403" s="56" t="s">
        <v>455</v>
      </c>
      <c r="C403" s="78">
        <v>5556</v>
      </c>
      <c r="D403" s="79">
        <v>-2.344699E-3</v>
      </c>
      <c r="E403" s="79">
        <v>1.1994881000000001E-2</v>
      </c>
      <c r="F403" s="79">
        <v>0.84503077299999996</v>
      </c>
      <c r="G403" s="79">
        <v>0.98552821438803295</v>
      </c>
      <c r="H403" s="80">
        <v>1</v>
      </c>
      <c r="I403" s="79">
        <v>-6.4424614203280701E-3</v>
      </c>
      <c r="J403" s="79">
        <v>1.2083965497423301E-2</v>
      </c>
      <c r="K403" s="79">
        <v>0.59396319839018896</v>
      </c>
      <c r="L403" s="79">
        <v>0.91965825061269202</v>
      </c>
      <c r="M403" s="80">
        <v>1</v>
      </c>
      <c r="N403" s="79">
        <v>-1.3491143670519099E-2</v>
      </c>
      <c r="O403" s="79">
        <v>1.19078751689498E-2</v>
      </c>
      <c r="P403" s="79">
        <v>0.25729621788961599</v>
      </c>
      <c r="Q403" s="79">
        <v>0.33693364218344002</v>
      </c>
      <c r="R403" s="80">
        <v>1</v>
      </c>
      <c r="S403" s="79">
        <v>-1.6174589406471099E-2</v>
      </c>
      <c r="T403" s="79">
        <v>1.1876595103255901E-2</v>
      </c>
      <c r="U403" s="79">
        <v>0.17330636094937599</v>
      </c>
      <c r="V403" s="79">
        <v>0.25226171763625799</v>
      </c>
      <c r="W403" s="79">
        <v>1</v>
      </c>
    </row>
    <row r="404" spans="1:23" x14ac:dyDescent="0.2">
      <c r="A404" s="69"/>
      <c r="B404" s="56" t="s">
        <v>456</v>
      </c>
      <c r="C404" s="78">
        <v>5556</v>
      </c>
      <c r="D404" s="79">
        <v>-1.6049062999999999E-2</v>
      </c>
      <c r="E404" s="79">
        <v>1.2244501E-2</v>
      </c>
      <c r="F404" s="79">
        <v>0.19002186500000001</v>
      </c>
      <c r="G404" s="79">
        <v>0.71824426474260405</v>
      </c>
      <c r="H404" s="80">
        <v>1</v>
      </c>
      <c r="I404" s="79">
        <v>3.74970379732308E-3</v>
      </c>
      <c r="J404" s="79">
        <v>1.23246986088607E-2</v>
      </c>
      <c r="K404" s="79">
        <v>0.76095648231620305</v>
      </c>
      <c r="L404" s="79">
        <v>0.95389133514851498</v>
      </c>
      <c r="M404" s="80">
        <v>1</v>
      </c>
      <c r="N404" s="79">
        <v>2.8820234699148801E-2</v>
      </c>
      <c r="O404" s="79">
        <v>1.2152643789669199E-2</v>
      </c>
      <c r="P404" s="79">
        <v>1.7757174739357E-2</v>
      </c>
      <c r="Q404" s="79">
        <v>3.7745150325366898E-2</v>
      </c>
      <c r="R404" s="80">
        <v>1</v>
      </c>
      <c r="S404" s="79">
        <v>2.2445162519534701E-2</v>
      </c>
      <c r="T404" s="79">
        <v>1.2124310965226899E-2</v>
      </c>
      <c r="U404" s="79">
        <v>6.4198679508328499E-2</v>
      </c>
      <c r="V404" s="79">
        <v>0.113782296502889</v>
      </c>
      <c r="W404" s="79">
        <v>1</v>
      </c>
    </row>
    <row r="405" spans="1:23" x14ac:dyDescent="0.2">
      <c r="A405" s="69"/>
      <c r="B405" s="56" t="s">
        <v>457</v>
      </c>
      <c r="C405" s="78">
        <v>5556</v>
      </c>
      <c r="D405" s="79">
        <v>2.3434930999999999E-2</v>
      </c>
      <c r="E405" s="79">
        <v>1.2208078000000001E-2</v>
      </c>
      <c r="F405" s="79">
        <v>5.4970346000000003E-2</v>
      </c>
      <c r="G405" s="79">
        <v>0.477790199136986</v>
      </c>
      <c r="H405" s="80">
        <v>1</v>
      </c>
      <c r="I405" s="79">
        <v>-1.4871171164095901E-2</v>
      </c>
      <c r="J405" s="79">
        <v>1.2288582778502101E-2</v>
      </c>
      <c r="K405" s="79">
        <v>0.22627985128440201</v>
      </c>
      <c r="L405" s="79">
        <v>0.73459417908661795</v>
      </c>
      <c r="M405" s="80">
        <v>1</v>
      </c>
      <c r="N405" s="79">
        <v>-2.7359575187340002E-2</v>
      </c>
      <c r="O405" s="79">
        <v>1.2106601683840101E-2</v>
      </c>
      <c r="P405" s="79">
        <v>2.3876892391759202E-2</v>
      </c>
      <c r="Q405" s="79">
        <v>4.7791445497070102E-2</v>
      </c>
      <c r="R405" s="80">
        <v>1</v>
      </c>
      <c r="S405" s="79">
        <v>-1.7230733205383701E-2</v>
      </c>
      <c r="T405" s="79">
        <v>1.2082346801676001E-2</v>
      </c>
      <c r="U405" s="79">
        <v>0.15390766739668699</v>
      </c>
      <c r="V405" s="79">
        <v>0.22896697529471999</v>
      </c>
      <c r="W405" s="79">
        <v>1</v>
      </c>
    </row>
    <row r="406" spans="1:23" x14ac:dyDescent="0.2">
      <c r="A406" s="69"/>
      <c r="B406" s="56" t="s">
        <v>458</v>
      </c>
      <c r="C406" s="78">
        <v>5556</v>
      </c>
      <c r="D406" s="79">
        <v>1.0091522E-2</v>
      </c>
      <c r="E406" s="79">
        <v>1.2771807E-2</v>
      </c>
      <c r="F406" s="79">
        <v>0.42948436400000001</v>
      </c>
      <c r="G406" s="79">
        <v>0.89370578605573803</v>
      </c>
      <c r="H406" s="80">
        <v>1</v>
      </c>
      <c r="I406" s="79">
        <v>-2.48874904923071E-3</v>
      </c>
      <c r="J406" s="79">
        <v>1.28265869982583E-2</v>
      </c>
      <c r="K406" s="79">
        <v>0.84615989545744397</v>
      </c>
      <c r="L406" s="79">
        <v>0.96964513668720897</v>
      </c>
      <c r="M406" s="80">
        <v>1</v>
      </c>
      <c r="N406" s="79">
        <v>2.2356853366049201E-2</v>
      </c>
      <c r="O406" s="79">
        <v>1.26651685579619E-2</v>
      </c>
      <c r="P406" s="79">
        <v>7.7588710563914406E-2</v>
      </c>
      <c r="Q406" s="79">
        <v>0.12753895557721201</v>
      </c>
      <c r="R406" s="80">
        <v>1</v>
      </c>
      <c r="S406" s="79">
        <v>-6.4767473550424897E-4</v>
      </c>
      <c r="T406" s="79">
        <v>1.2632751729838699E-2</v>
      </c>
      <c r="U406" s="79">
        <v>0.959112869833881</v>
      </c>
      <c r="V406" s="79">
        <v>0.96981213690772505</v>
      </c>
      <c r="W406" s="79">
        <v>1</v>
      </c>
    </row>
    <row r="407" spans="1:23" x14ac:dyDescent="0.2">
      <c r="A407" s="69"/>
      <c r="B407" s="56" t="s">
        <v>459</v>
      </c>
      <c r="C407" s="78">
        <v>5556</v>
      </c>
      <c r="D407" s="79">
        <v>4.0166129999999996E-3</v>
      </c>
      <c r="E407" s="79">
        <v>1.0061268999999999E-2</v>
      </c>
      <c r="F407" s="79">
        <v>0.68976920200000003</v>
      </c>
      <c r="G407" s="79">
        <v>0.98545101377932998</v>
      </c>
      <c r="H407" s="80">
        <v>1</v>
      </c>
      <c r="I407" s="79">
        <v>1.23557054046219E-2</v>
      </c>
      <c r="J407" s="79">
        <v>1.02160785679682E-2</v>
      </c>
      <c r="K407" s="79">
        <v>0.22660507039751501</v>
      </c>
      <c r="L407" s="79">
        <v>0.73459417908661795</v>
      </c>
      <c r="M407" s="80">
        <v>1</v>
      </c>
      <c r="N407" s="79">
        <v>1.3344794642474499E-3</v>
      </c>
      <c r="O407" s="79">
        <v>1.0005102904624001E-2</v>
      </c>
      <c r="P407" s="79">
        <v>0.89390375137048395</v>
      </c>
      <c r="Q407" s="79">
        <v>0.91623626794844604</v>
      </c>
      <c r="R407" s="80">
        <v>1</v>
      </c>
      <c r="S407" s="79">
        <v>1.45428124734799E-4</v>
      </c>
      <c r="T407" s="79">
        <v>9.9920379157201599E-3</v>
      </c>
      <c r="U407" s="79">
        <v>0.98838883538691802</v>
      </c>
      <c r="V407" s="79">
        <v>0.99073098902527601</v>
      </c>
      <c r="W407" s="79">
        <v>1</v>
      </c>
    </row>
    <row r="408" spans="1:23" x14ac:dyDescent="0.2">
      <c r="A408" s="69"/>
      <c r="B408" s="56" t="s">
        <v>460</v>
      </c>
      <c r="C408" s="78">
        <v>5556</v>
      </c>
      <c r="D408" s="79">
        <v>3.1153510000000001E-3</v>
      </c>
      <c r="E408" s="79">
        <v>1.2605056E-2</v>
      </c>
      <c r="F408" s="79">
        <v>0.80480219099999994</v>
      </c>
      <c r="G408" s="79">
        <v>0.98545101377932998</v>
      </c>
      <c r="H408" s="80">
        <v>1</v>
      </c>
      <c r="I408" s="79">
        <v>6.2202387486821097E-3</v>
      </c>
      <c r="J408" s="79">
        <v>1.26668176910892E-2</v>
      </c>
      <c r="K408" s="79">
        <v>0.62340210877257096</v>
      </c>
      <c r="L408" s="79">
        <v>0.91965825061269202</v>
      </c>
      <c r="M408" s="80">
        <v>1</v>
      </c>
      <c r="N408" s="79">
        <v>5.4624955648751297E-3</v>
      </c>
      <c r="O408" s="79">
        <v>1.25055968427917E-2</v>
      </c>
      <c r="P408" s="79">
        <v>0.66227325525097802</v>
      </c>
      <c r="Q408" s="79">
        <v>0.73335493971508803</v>
      </c>
      <c r="R408" s="80">
        <v>1</v>
      </c>
      <c r="S408" s="79">
        <v>2.1613793766740299E-2</v>
      </c>
      <c r="T408" s="79">
        <v>1.24676723592723E-2</v>
      </c>
      <c r="U408" s="79">
        <v>8.3055864543939595E-2</v>
      </c>
      <c r="V408" s="79">
        <v>0.14053052280834599</v>
      </c>
      <c r="W408" s="79">
        <v>1</v>
      </c>
    </row>
    <row r="409" spans="1:23" x14ac:dyDescent="0.2">
      <c r="A409" s="69"/>
      <c r="B409" s="56" t="s">
        <v>461</v>
      </c>
      <c r="C409" s="78">
        <v>5556</v>
      </c>
      <c r="D409" s="79">
        <v>3.4909020000000002E-3</v>
      </c>
      <c r="E409" s="79">
        <v>1.0967925E-2</v>
      </c>
      <c r="F409" s="79">
        <v>0.75029119</v>
      </c>
      <c r="G409" s="79">
        <v>0.98545101377932998</v>
      </c>
      <c r="H409" s="80">
        <v>1</v>
      </c>
      <c r="I409" s="79">
        <v>-2.5498578772508601E-3</v>
      </c>
      <c r="J409" s="79">
        <v>1.10969888757422E-2</v>
      </c>
      <c r="K409" s="79">
        <v>0.81827719185992698</v>
      </c>
      <c r="L409" s="79">
        <v>0.96325951435087898</v>
      </c>
      <c r="M409" s="80">
        <v>1</v>
      </c>
      <c r="N409" s="79">
        <v>3.3877607501081701E-2</v>
      </c>
      <c r="O409" s="79">
        <v>1.0900500386776899E-2</v>
      </c>
      <c r="P409" s="79">
        <v>1.90052740400806E-3</v>
      </c>
      <c r="Q409" s="79">
        <v>6.0143872211626597E-3</v>
      </c>
      <c r="R409" s="80">
        <v>1</v>
      </c>
      <c r="S409" s="79">
        <v>3.93963836635172E-2</v>
      </c>
      <c r="T409" s="79">
        <v>1.08813234042407E-2</v>
      </c>
      <c r="U409" s="79">
        <v>2.98420145699454E-4</v>
      </c>
      <c r="V409" s="79">
        <v>1.79960676412923E-3</v>
      </c>
      <c r="W409" s="79">
        <v>0.37869516489260702</v>
      </c>
    </row>
    <row r="410" spans="1:23" x14ac:dyDescent="0.2">
      <c r="A410" s="69"/>
      <c r="B410" s="56" t="s">
        <v>462</v>
      </c>
      <c r="C410" s="78">
        <v>5556</v>
      </c>
      <c r="D410" s="79">
        <v>-5.1535729999999998E-3</v>
      </c>
      <c r="E410" s="79">
        <v>1.1953286E-2</v>
      </c>
      <c r="F410" s="79">
        <v>0.66638688199999996</v>
      </c>
      <c r="G410" s="79">
        <v>0.98545101377932998</v>
      </c>
      <c r="H410" s="80">
        <v>1</v>
      </c>
      <c r="I410" s="79">
        <v>1.80352102927572E-2</v>
      </c>
      <c r="J410" s="79">
        <v>1.2037440512647201E-2</v>
      </c>
      <c r="K410" s="79">
        <v>0.13413856184845799</v>
      </c>
      <c r="L410" s="79">
        <v>0.65283885689403798</v>
      </c>
      <c r="M410" s="80">
        <v>1</v>
      </c>
      <c r="N410" s="79">
        <v>2.35162866300084E-2</v>
      </c>
      <c r="O410" s="79">
        <v>1.18738239537651E-2</v>
      </c>
      <c r="P410" s="79">
        <v>4.7710613821222499E-2</v>
      </c>
      <c r="Q410" s="79">
        <v>8.5394596529099198E-2</v>
      </c>
      <c r="R410" s="80">
        <v>1</v>
      </c>
      <c r="S410" s="79">
        <v>3.0390508307149799E-2</v>
      </c>
      <c r="T410" s="79">
        <v>1.18429102795894E-2</v>
      </c>
      <c r="U410" s="79">
        <v>1.03178908547978E-2</v>
      </c>
      <c r="V410" s="79">
        <v>2.6558627778374099E-2</v>
      </c>
      <c r="W410" s="79">
        <v>1</v>
      </c>
    </row>
    <row r="411" spans="1:23" x14ac:dyDescent="0.2">
      <c r="A411" s="69"/>
      <c r="B411" s="56" t="s">
        <v>463</v>
      </c>
      <c r="C411" s="78">
        <v>5556</v>
      </c>
      <c r="D411" s="79">
        <v>2.2996760000000001E-3</v>
      </c>
      <c r="E411" s="79">
        <v>1.0973719E-2</v>
      </c>
      <c r="F411" s="79">
        <v>0.83402237099999998</v>
      </c>
      <c r="G411" s="79">
        <v>0.98545101377932998</v>
      </c>
      <c r="H411" s="80">
        <v>1</v>
      </c>
      <c r="I411" s="79">
        <v>6.38605927885952E-3</v>
      </c>
      <c r="J411" s="79">
        <v>1.1098234579220601E-2</v>
      </c>
      <c r="K411" s="79">
        <v>0.56504988239213705</v>
      </c>
      <c r="L411" s="79">
        <v>0.911324282187712</v>
      </c>
      <c r="M411" s="80">
        <v>1</v>
      </c>
      <c r="N411" s="79">
        <v>1.7358811738307799E-2</v>
      </c>
      <c r="O411" s="79">
        <v>1.09025555876772E-2</v>
      </c>
      <c r="P411" s="79">
        <v>0.11143956034442599</v>
      </c>
      <c r="Q411" s="79">
        <v>0.17106750898494999</v>
      </c>
      <c r="R411" s="80">
        <v>1</v>
      </c>
      <c r="S411" s="79">
        <v>2.1055864179716301E-2</v>
      </c>
      <c r="T411" s="79">
        <v>1.0891647062095999E-2</v>
      </c>
      <c r="U411" s="79">
        <v>5.3293989342918999E-2</v>
      </c>
      <c r="V411" s="79">
        <v>9.8299523947913095E-2</v>
      </c>
      <c r="W411" s="79">
        <v>1</v>
      </c>
    </row>
    <row r="412" spans="1:23" x14ac:dyDescent="0.2">
      <c r="A412" s="69"/>
      <c r="B412" s="56" t="s">
        <v>549</v>
      </c>
      <c r="C412" s="78">
        <v>5556</v>
      </c>
      <c r="D412" s="79">
        <v>-4.5321599999999999E-4</v>
      </c>
      <c r="E412" s="79">
        <v>1.1052031E-2</v>
      </c>
      <c r="F412" s="79">
        <v>0.96729245500000005</v>
      </c>
      <c r="G412" s="79">
        <v>0.991673151733656</v>
      </c>
      <c r="H412" s="80">
        <v>1</v>
      </c>
      <c r="I412" s="79">
        <v>-5.9263580649837203E-3</v>
      </c>
      <c r="J412" s="79">
        <v>1.11764353308412E-2</v>
      </c>
      <c r="K412" s="79">
        <v>0.59596987465475004</v>
      </c>
      <c r="L412" s="79">
        <v>0.91965825061269202</v>
      </c>
      <c r="M412" s="80">
        <v>1</v>
      </c>
      <c r="N412" s="79">
        <v>2.2797568504377499E-2</v>
      </c>
      <c r="O412" s="79">
        <v>1.09825054551394E-2</v>
      </c>
      <c r="P412" s="79">
        <v>3.7989672586253902E-2</v>
      </c>
      <c r="Q412" s="79">
        <v>7.0173063336180799E-2</v>
      </c>
      <c r="R412" s="80">
        <v>1</v>
      </c>
      <c r="S412" s="79">
        <v>2.00397319836286E-2</v>
      </c>
      <c r="T412" s="79">
        <v>1.09686662257007E-2</v>
      </c>
      <c r="U412" s="79">
        <v>6.7790407425045496E-2</v>
      </c>
      <c r="V412" s="79">
        <v>0.11865658899639001</v>
      </c>
      <c r="W412" s="79">
        <v>1</v>
      </c>
    </row>
    <row r="413" spans="1:23" x14ac:dyDescent="0.2">
      <c r="A413" s="69"/>
      <c r="B413" s="56" t="s">
        <v>550</v>
      </c>
      <c r="C413" s="78">
        <v>5556</v>
      </c>
      <c r="D413" s="79">
        <v>2.8781840000000002E-3</v>
      </c>
      <c r="E413" s="79">
        <v>1.2001682E-2</v>
      </c>
      <c r="F413" s="79">
        <v>0.81048563500000004</v>
      </c>
      <c r="G413" s="79">
        <v>0.98545101377932998</v>
      </c>
      <c r="H413" s="80">
        <v>1</v>
      </c>
      <c r="I413" s="79">
        <v>2.4775620118851899E-2</v>
      </c>
      <c r="J413" s="79">
        <v>1.20863522712E-2</v>
      </c>
      <c r="K413" s="79">
        <v>4.0436338582553501E-2</v>
      </c>
      <c r="L413" s="79">
        <v>0.50307562413000395</v>
      </c>
      <c r="M413" s="80">
        <v>1</v>
      </c>
      <c r="N413" s="79">
        <v>1.5338288229938799E-2</v>
      </c>
      <c r="O413" s="79">
        <v>1.1904986194145199E-2</v>
      </c>
      <c r="P413" s="79">
        <v>0.197681435189412</v>
      </c>
      <c r="Q413" s="79">
        <v>0.27237539767140501</v>
      </c>
      <c r="R413" s="80">
        <v>1</v>
      </c>
      <c r="S413" s="79">
        <v>4.70590377572448E-2</v>
      </c>
      <c r="T413" s="79">
        <v>1.1865143658753999E-2</v>
      </c>
      <c r="U413" s="79">
        <v>7.4263996219693805E-5</v>
      </c>
      <c r="V413" s="79">
        <v>6.4942178235503304E-4</v>
      </c>
      <c r="W413" s="79">
        <v>9.4241011202791394E-2</v>
      </c>
    </row>
    <row r="414" spans="1:23" x14ac:dyDescent="0.2">
      <c r="A414" s="69"/>
      <c r="B414" s="56" t="s">
        <v>551</v>
      </c>
      <c r="C414" s="78">
        <v>5556</v>
      </c>
      <c r="D414" s="79">
        <v>-1.5119436E-2</v>
      </c>
      <c r="E414" s="79">
        <v>1.1070618000000001E-2</v>
      </c>
      <c r="F414" s="79">
        <v>0.17211736399999999</v>
      </c>
      <c r="G414" s="79">
        <v>0.70136321922857203</v>
      </c>
      <c r="H414" s="80">
        <v>1</v>
      </c>
      <c r="I414" s="79">
        <v>-2.21730021639217E-2</v>
      </c>
      <c r="J414" s="79">
        <v>1.1188981149843499E-2</v>
      </c>
      <c r="K414" s="79">
        <v>4.7593124791325402E-2</v>
      </c>
      <c r="L414" s="79">
        <v>0.53217113930985405</v>
      </c>
      <c r="M414" s="80">
        <v>1</v>
      </c>
      <c r="N414" s="79">
        <v>4.1637782714457602E-2</v>
      </c>
      <c r="O414" s="79">
        <v>1.10041977003069E-2</v>
      </c>
      <c r="P414" s="79">
        <v>1.5712844347334101E-4</v>
      </c>
      <c r="Q414" s="79">
        <v>8.4489828291385495E-4</v>
      </c>
      <c r="R414" s="80">
        <v>0.19939599476767</v>
      </c>
      <c r="S414" s="79">
        <v>2.53257586800642E-2</v>
      </c>
      <c r="T414" s="79">
        <v>1.10039202115401E-2</v>
      </c>
      <c r="U414" s="79">
        <v>2.1422485911300599E-2</v>
      </c>
      <c r="V414" s="79">
        <v>4.6464648866181402E-2</v>
      </c>
      <c r="W414" s="79">
        <v>1</v>
      </c>
    </row>
    <row r="415" spans="1:23" x14ac:dyDescent="0.2">
      <c r="A415" s="69"/>
      <c r="B415" s="56" t="s">
        <v>552</v>
      </c>
      <c r="C415" s="78">
        <v>5556</v>
      </c>
      <c r="D415" s="79">
        <v>1.5310743E-2</v>
      </c>
      <c r="E415" s="79">
        <v>1.1922466E-2</v>
      </c>
      <c r="F415" s="79">
        <v>0.19914690600000001</v>
      </c>
      <c r="G415" s="79">
        <v>0.732514271634783</v>
      </c>
      <c r="H415" s="80">
        <v>1</v>
      </c>
      <c r="I415" s="79">
        <v>1.2694620188807701E-2</v>
      </c>
      <c r="J415" s="79">
        <v>1.2017560621747501E-2</v>
      </c>
      <c r="K415" s="79">
        <v>0.290872623785218</v>
      </c>
      <c r="L415" s="79">
        <v>0.77544249817709499</v>
      </c>
      <c r="M415" s="80">
        <v>1</v>
      </c>
      <c r="N415" s="79">
        <v>3.6944854504082199E-2</v>
      </c>
      <c r="O415" s="79">
        <v>1.1828740816444199E-2</v>
      </c>
      <c r="P415" s="79">
        <v>1.80059017759261E-3</v>
      </c>
      <c r="Q415" s="79">
        <v>5.7555388800126497E-3</v>
      </c>
      <c r="R415" s="80">
        <v>1</v>
      </c>
      <c r="S415" s="81">
        <v>4.9755922432217103E-2</v>
      </c>
      <c r="T415" s="81">
        <v>1.18163835943532E-2</v>
      </c>
      <c r="U415" s="81">
        <v>2.5983375929393499E-5</v>
      </c>
      <c r="V415" s="81">
        <v>2.99753673221821E-4</v>
      </c>
      <c r="W415" s="81">
        <v>3.2972904054400398E-2</v>
      </c>
    </row>
    <row r="416" spans="1:23" x14ac:dyDescent="0.2">
      <c r="A416" s="69"/>
      <c r="B416" s="56" t="s">
        <v>553</v>
      </c>
      <c r="C416" s="78">
        <v>5556</v>
      </c>
      <c r="D416" s="79">
        <v>-4.7381159999999997E-3</v>
      </c>
      <c r="E416" s="79">
        <v>1.1215139000000001E-2</v>
      </c>
      <c r="F416" s="79">
        <v>0.67270460200000004</v>
      </c>
      <c r="G416" s="79">
        <v>0.98545101377932998</v>
      </c>
      <c r="H416" s="80">
        <v>1</v>
      </c>
      <c r="I416" s="79">
        <v>5.8971295657941998E-3</v>
      </c>
      <c r="J416" s="79">
        <v>1.1333706479617499E-2</v>
      </c>
      <c r="K416" s="79">
        <v>0.60287371471810502</v>
      </c>
      <c r="L416" s="79">
        <v>0.91965825061269202</v>
      </c>
      <c r="M416" s="80">
        <v>1</v>
      </c>
      <c r="N416" s="79">
        <v>1.5835905732574099E-2</v>
      </c>
      <c r="O416" s="79">
        <v>1.11383517791066E-2</v>
      </c>
      <c r="P416" s="79">
        <v>0.155189261081979</v>
      </c>
      <c r="Q416" s="79">
        <v>0.22481184053999001</v>
      </c>
      <c r="R416" s="80">
        <v>1</v>
      </c>
      <c r="S416" s="79">
        <v>6.4698957747885101E-3</v>
      </c>
      <c r="T416" s="79">
        <v>1.1118845479837901E-2</v>
      </c>
      <c r="U416" s="79">
        <v>0.56068100198947002</v>
      </c>
      <c r="V416" s="79">
        <v>0.63984189885309095</v>
      </c>
      <c r="W416" s="79">
        <v>1</v>
      </c>
    </row>
    <row r="417" spans="1:23" x14ac:dyDescent="0.2">
      <c r="A417" s="69"/>
      <c r="B417" s="56" t="s">
        <v>554</v>
      </c>
      <c r="C417" s="78">
        <v>5556</v>
      </c>
      <c r="D417" s="79">
        <v>4.0307800000000003E-3</v>
      </c>
      <c r="E417" s="79">
        <v>1.1188524E-2</v>
      </c>
      <c r="F417" s="79">
        <v>0.71867491900000002</v>
      </c>
      <c r="G417" s="79">
        <v>0.98545101377932998</v>
      </c>
      <c r="H417" s="80">
        <v>1</v>
      </c>
      <c r="I417" s="79">
        <v>5.4070632835238599E-3</v>
      </c>
      <c r="J417" s="79">
        <v>1.1308420455361699E-2</v>
      </c>
      <c r="K417" s="79">
        <v>0.63257625123480998</v>
      </c>
      <c r="L417" s="79">
        <v>0.91965825061269202</v>
      </c>
      <c r="M417" s="80">
        <v>1</v>
      </c>
      <c r="N417" s="79">
        <v>3.0086023394354001E-2</v>
      </c>
      <c r="O417" s="79">
        <v>1.11033482536603E-2</v>
      </c>
      <c r="P417" s="79">
        <v>6.76914931502824E-3</v>
      </c>
      <c r="Q417" s="79">
        <v>1.72490973509455E-2</v>
      </c>
      <c r="R417" s="80">
        <v>1</v>
      </c>
      <c r="S417" s="79">
        <v>1.15413107254486E-2</v>
      </c>
      <c r="T417" s="79">
        <v>1.1094777343769201E-2</v>
      </c>
      <c r="U417" s="79">
        <v>0.29829755794483498</v>
      </c>
      <c r="V417" s="79">
        <v>0.39186294102691099</v>
      </c>
      <c r="W417" s="79">
        <v>1</v>
      </c>
    </row>
    <row r="418" spans="1:23" x14ac:dyDescent="0.2">
      <c r="A418" s="69"/>
      <c r="B418" s="56" t="s">
        <v>555</v>
      </c>
      <c r="C418" s="78">
        <v>5556</v>
      </c>
      <c r="D418" s="79">
        <v>1.3876618E-2</v>
      </c>
      <c r="E418" s="79">
        <v>1.2675484000000001E-2</v>
      </c>
      <c r="F418" s="79">
        <v>0.27367609199999998</v>
      </c>
      <c r="G418" s="79">
        <v>0.82415693354502395</v>
      </c>
      <c r="H418" s="80">
        <v>1</v>
      </c>
      <c r="I418" s="79">
        <v>4.9391217106244103E-3</v>
      </c>
      <c r="J418" s="79">
        <v>1.27265573305441E-2</v>
      </c>
      <c r="K418" s="79">
        <v>0.69796181096386301</v>
      </c>
      <c r="L418" s="79">
        <v>0.9363531347706</v>
      </c>
      <c r="M418" s="80">
        <v>1</v>
      </c>
      <c r="N418" s="79">
        <v>-1.8465349250294999E-2</v>
      </c>
      <c r="O418" s="79">
        <v>1.2565159966473401E-2</v>
      </c>
      <c r="P418" s="79">
        <v>0.14174343578441601</v>
      </c>
      <c r="Q418" s="79">
        <v>0.208911056922676</v>
      </c>
      <c r="R418" s="80">
        <v>1</v>
      </c>
      <c r="S418" s="79">
        <v>-3.09927949191268E-2</v>
      </c>
      <c r="T418" s="79">
        <v>1.2527370897692101E-2</v>
      </c>
      <c r="U418" s="79">
        <v>1.3394386771161801E-2</v>
      </c>
      <c r="V418" s="79">
        <v>3.2253276684258703E-2</v>
      </c>
      <c r="W418" s="79">
        <v>1</v>
      </c>
    </row>
    <row r="419" spans="1:23" x14ac:dyDescent="0.2">
      <c r="A419" s="69"/>
      <c r="B419" s="56" t="s">
        <v>556</v>
      </c>
      <c r="C419" s="78">
        <v>5556</v>
      </c>
      <c r="D419" s="79">
        <v>3.7880230000000002E-3</v>
      </c>
      <c r="E419" s="79">
        <v>1.2121362E-2</v>
      </c>
      <c r="F419" s="79">
        <v>0.75466935499999999</v>
      </c>
      <c r="G419" s="79">
        <v>0.98545101377932998</v>
      </c>
      <c r="H419" s="80">
        <v>1</v>
      </c>
      <c r="I419" s="79">
        <v>9.7761533998776701E-3</v>
      </c>
      <c r="J419" s="79">
        <v>1.2200285948984301E-2</v>
      </c>
      <c r="K419" s="79">
        <v>0.42299688135525998</v>
      </c>
      <c r="L419" s="79">
        <v>0.85302936462659695</v>
      </c>
      <c r="M419" s="80">
        <v>1</v>
      </c>
      <c r="N419" s="79">
        <v>4.7381031741525999E-3</v>
      </c>
      <c r="O419" s="79">
        <v>1.20307331146825E-2</v>
      </c>
      <c r="P419" s="79">
        <v>0.69372319441705099</v>
      </c>
      <c r="Q419" s="79">
        <v>0.75113885129286495</v>
      </c>
      <c r="R419" s="80">
        <v>1</v>
      </c>
      <c r="S419" s="79">
        <v>2.9052489927177901E-2</v>
      </c>
      <c r="T419" s="79">
        <v>1.19994397447169E-2</v>
      </c>
      <c r="U419" s="79">
        <v>1.55111939605336E-2</v>
      </c>
      <c r="V419" s="79">
        <v>3.5919169956053203E-2</v>
      </c>
      <c r="W419" s="79">
        <v>1</v>
      </c>
    </row>
    <row r="420" spans="1:23" x14ac:dyDescent="0.2">
      <c r="A420" s="69"/>
      <c r="B420" s="56" t="s">
        <v>557</v>
      </c>
      <c r="C420" s="78">
        <v>5556</v>
      </c>
      <c r="D420" s="79">
        <v>1.0475345E-2</v>
      </c>
      <c r="E420" s="79">
        <v>1.0745842E-2</v>
      </c>
      <c r="F420" s="79">
        <v>0.32972307499999998</v>
      </c>
      <c r="G420" s="79">
        <v>0.85579729232661295</v>
      </c>
      <c r="H420" s="80">
        <v>1</v>
      </c>
      <c r="I420" s="79">
        <v>4.3079766300842303E-3</v>
      </c>
      <c r="J420" s="79">
        <v>1.0880188483069901E-2</v>
      </c>
      <c r="K420" s="79">
        <v>0.69217047558327405</v>
      </c>
      <c r="L420" s="79">
        <v>0.93616360447106906</v>
      </c>
      <c r="M420" s="80">
        <v>1</v>
      </c>
      <c r="N420" s="79">
        <v>2.16146256367531E-2</v>
      </c>
      <c r="O420" s="79">
        <v>1.06842211585584E-2</v>
      </c>
      <c r="P420" s="79">
        <v>4.3154872823602398E-2</v>
      </c>
      <c r="Q420" s="79">
        <v>7.8570349516716598E-2</v>
      </c>
      <c r="R420" s="80">
        <v>1</v>
      </c>
      <c r="S420" s="79">
        <v>2.99478504069315E-2</v>
      </c>
      <c r="T420" s="79">
        <v>1.06599375656963E-2</v>
      </c>
      <c r="U420" s="79">
        <v>4.9946345299849704E-3</v>
      </c>
      <c r="V420" s="79">
        <v>1.53467099722783E-2</v>
      </c>
      <c r="W420" s="79">
        <v>1</v>
      </c>
    </row>
    <row r="421" spans="1:23" x14ac:dyDescent="0.2">
      <c r="A421" s="69"/>
      <c r="B421" s="56" t="s">
        <v>558</v>
      </c>
      <c r="C421" s="78">
        <v>5556</v>
      </c>
      <c r="D421" s="79">
        <v>-6.9174570000000001E-3</v>
      </c>
      <c r="E421" s="79">
        <v>1.1957878999999999E-2</v>
      </c>
      <c r="F421" s="79">
        <v>0.56296797899999995</v>
      </c>
      <c r="G421" s="79">
        <v>0.94626149621136102</v>
      </c>
      <c r="H421" s="80">
        <v>1</v>
      </c>
      <c r="I421" s="79">
        <v>2.18598920665499E-2</v>
      </c>
      <c r="J421" s="79">
        <v>1.2044606094034099E-2</v>
      </c>
      <c r="K421" s="79">
        <v>6.9606661700941E-2</v>
      </c>
      <c r="L421" s="79">
        <v>0.57459637698370203</v>
      </c>
      <c r="M421" s="80">
        <v>1</v>
      </c>
      <c r="N421" s="79">
        <v>-3.7642443223067602E-3</v>
      </c>
      <c r="O421" s="79">
        <v>1.1868315850699701E-2</v>
      </c>
      <c r="P421" s="79">
        <v>0.75113231187315099</v>
      </c>
      <c r="Q421" s="79">
        <v>0.800324856227564</v>
      </c>
      <c r="R421" s="80">
        <v>1</v>
      </c>
      <c r="S421" s="79">
        <v>-1.88068179861367E-2</v>
      </c>
      <c r="T421" s="79">
        <v>1.18383068928169E-2</v>
      </c>
      <c r="U421" s="79">
        <v>0.112216532023504</v>
      </c>
      <c r="V421" s="79">
        <v>0.17980148881038699</v>
      </c>
      <c r="W421" s="79">
        <v>1</v>
      </c>
    </row>
    <row r="422" spans="1:23" x14ac:dyDescent="0.2">
      <c r="A422" s="69"/>
      <c r="B422" s="56" t="s">
        <v>464</v>
      </c>
      <c r="C422" s="78">
        <v>5556</v>
      </c>
      <c r="D422" s="79">
        <v>-9.7041200000000001E-3</v>
      </c>
      <c r="E422" s="79">
        <v>1.1767965E-2</v>
      </c>
      <c r="F422" s="79">
        <v>0.409637535</v>
      </c>
      <c r="G422" s="79">
        <v>0.88449686095408198</v>
      </c>
      <c r="H422" s="80">
        <v>1</v>
      </c>
      <c r="I422" s="79">
        <v>-9.3073390873791399E-3</v>
      </c>
      <c r="J422" s="79">
        <v>1.18724461875537E-2</v>
      </c>
      <c r="K422" s="79">
        <v>0.43311869416972998</v>
      </c>
      <c r="L422" s="79">
        <v>0.86283771256104802</v>
      </c>
      <c r="M422" s="80">
        <v>1</v>
      </c>
      <c r="N422" s="79">
        <v>1.87091114488739E-2</v>
      </c>
      <c r="O422" s="79">
        <v>1.1687374912363499E-2</v>
      </c>
      <c r="P422" s="79">
        <v>0.109503211516847</v>
      </c>
      <c r="Q422" s="79">
        <v>0.16925648649802499</v>
      </c>
      <c r="R422" s="80">
        <v>1</v>
      </c>
      <c r="S422" s="79">
        <v>1.88616203530096E-2</v>
      </c>
      <c r="T422" s="79">
        <v>1.16628532481637E-2</v>
      </c>
      <c r="U422" s="79">
        <v>0.10590726163389599</v>
      </c>
      <c r="V422" s="79">
        <v>0.171423871190579</v>
      </c>
      <c r="W422" s="79">
        <v>1</v>
      </c>
    </row>
    <row r="423" spans="1:23" x14ac:dyDescent="0.2">
      <c r="A423" s="69"/>
      <c r="B423" s="56" t="s">
        <v>559</v>
      </c>
      <c r="C423" s="78">
        <v>5556</v>
      </c>
      <c r="D423" s="79">
        <v>1.485714E-2</v>
      </c>
      <c r="E423" s="79">
        <v>1.233444E-2</v>
      </c>
      <c r="F423" s="79">
        <v>0.22844980300000001</v>
      </c>
      <c r="G423" s="79">
        <v>0.75299428573246796</v>
      </c>
      <c r="H423" s="80">
        <v>1</v>
      </c>
      <c r="I423" s="79">
        <v>2.96753377073651E-2</v>
      </c>
      <c r="J423" s="79">
        <v>1.24027703235851E-2</v>
      </c>
      <c r="K423" s="79">
        <v>1.6766848760354499E-2</v>
      </c>
      <c r="L423" s="79">
        <v>0.41909202640396798</v>
      </c>
      <c r="M423" s="80">
        <v>1</v>
      </c>
      <c r="N423" s="79">
        <v>-1.1442721207491899E-3</v>
      </c>
      <c r="O423" s="79">
        <v>1.2239885896011301E-2</v>
      </c>
      <c r="P423" s="79">
        <v>0.92552066305307901</v>
      </c>
      <c r="Q423" s="79">
        <v>0.93808763691242603</v>
      </c>
      <c r="R423" s="80">
        <v>1</v>
      </c>
      <c r="S423" s="79">
        <v>2.2403025287435201E-2</v>
      </c>
      <c r="T423" s="79">
        <v>1.22108090254366E-2</v>
      </c>
      <c r="U423" s="79">
        <v>6.6616631690414693E-2</v>
      </c>
      <c r="V423" s="79">
        <v>0.11692462740682701</v>
      </c>
      <c r="W423" s="79">
        <v>1</v>
      </c>
    </row>
    <row r="424" spans="1:23" x14ac:dyDescent="0.2">
      <c r="A424" s="69"/>
      <c r="B424" s="56" t="s">
        <v>560</v>
      </c>
      <c r="C424" s="78">
        <v>5556</v>
      </c>
      <c r="D424" s="79">
        <v>-5.5497879999999999E-3</v>
      </c>
      <c r="E424" s="79">
        <v>1.1141286E-2</v>
      </c>
      <c r="F424" s="79">
        <v>0.61842607500000002</v>
      </c>
      <c r="G424" s="79">
        <v>0.96648114430418697</v>
      </c>
      <c r="H424" s="80">
        <v>1</v>
      </c>
      <c r="I424" s="79">
        <v>1.8697104466203401E-2</v>
      </c>
      <c r="J424" s="79">
        <v>1.12618781921034E-2</v>
      </c>
      <c r="K424" s="79">
        <v>9.69596710385104E-2</v>
      </c>
      <c r="L424" s="79">
        <v>0.60990514139077301</v>
      </c>
      <c r="M424" s="80">
        <v>1</v>
      </c>
      <c r="N424" s="79">
        <v>3.6948000559762599E-2</v>
      </c>
      <c r="O424" s="79">
        <v>1.1051628006314001E-2</v>
      </c>
      <c r="P424" s="79">
        <v>8.37047201572646E-4</v>
      </c>
      <c r="Q424" s="79">
        <v>3.13337138287814E-3</v>
      </c>
      <c r="R424" s="80">
        <v>1</v>
      </c>
      <c r="S424" s="79">
        <v>3.4522256163956697E-2</v>
      </c>
      <c r="T424" s="79">
        <v>1.1065199830814099E-2</v>
      </c>
      <c r="U424" s="79">
        <v>1.824016882887E-3</v>
      </c>
      <c r="V424" s="79">
        <v>7.3018215280239796E-3</v>
      </c>
      <c r="W424" s="79">
        <v>1</v>
      </c>
    </row>
    <row r="425" spans="1:23" x14ac:dyDescent="0.2">
      <c r="A425" s="69"/>
      <c r="B425" s="56" t="s">
        <v>561</v>
      </c>
      <c r="C425" s="78">
        <v>5556</v>
      </c>
      <c r="D425" s="79">
        <v>-6.5109870000000002E-3</v>
      </c>
      <c r="E425" s="79">
        <v>1.1808172E-2</v>
      </c>
      <c r="F425" s="79">
        <v>0.58139376200000004</v>
      </c>
      <c r="G425" s="79">
        <v>0.95350818012595395</v>
      </c>
      <c r="H425" s="80">
        <v>1</v>
      </c>
      <c r="I425" s="79">
        <v>-1.93381510063092E-3</v>
      </c>
      <c r="J425" s="79">
        <v>1.19073750660831E-2</v>
      </c>
      <c r="K425" s="79">
        <v>0.87099519928626801</v>
      </c>
      <c r="L425" s="79">
        <v>0.972117051448254</v>
      </c>
      <c r="M425" s="80">
        <v>1</v>
      </c>
      <c r="N425" s="81">
        <v>5.4731092933461699E-2</v>
      </c>
      <c r="O425" s="81">
        <v>1.16796584411419E-2</v>
      </c>
      <c r="P425" s="81">
        <v>2.8817180605900501E-6</v>
      </c>
      <c r="Q425" s="81">
        <v>2.85695329600685E-5</v>
      </c>
      <c r="R425" s="82">
        <v>3.6569002188887702E-3</v>
      </c>
      <c r="S425" s="79">
        <v>3.4935578196424698E-2</v>
      </c>
      <c r="T425" s="79">
        <v>1.1708757393241301E-2</v>
      </c>
      <c r="U425" s="79">
        <v>2.8652051460484802E-3</v>
      </c>
      <c r="V425" s="79">
        <v>1.0127981421547401E-2</v>
      </c>
      <c r="W425" s="79">
        <v>1</v>
      </c>
    </row>
    <row r="426" spans="1:23" x14ac:dyDescent="0.2">
      <c r="A426" s="69"/>
      <c r="B426" s="56" t="s">
        <v>562</v>
      </c>
      <c r="C426" s="78">
        <v>5556</v>
      </c>
      <c r="D426" s="79">
        <v>-5.2994519999999996E-3</v>
      </c>
      <c r="E426" s="79">
        <v>1.0946297000000001E-2</v>
      </c>
      <c r="F426" s="79">
        <v>0.62832501900000004</v>
      </c>
      <c r="G426" s="79">
        <v>0.97330723874177805</v>
      </c>
      <c r="H426" s="80">
        <v>1</v>
      </c>
      <c r="I426" s="79">
        <v>-8.7004803902872296E-4</v>
      </c>
      <c r="J426" s="79">
        <v>1.10730439445757E-2</v>
      </c>
      <c r="K426" s="79">
        <v>0.93737646484377302</v>
      </c>
      <c r="L426" s="79">
        <v>0.981200184300273</v>
      </c>
      <c r="M426" s="80">
        <v>1</v>
      </c>
      <c r="N426" s="81">
        <v>4.90504420438432E-2</v>
      </c>
      <c r="O426" s="81">
        <v>1.08734724591103E-2</v>
      </c>
      <c r="P426" s="81">
        <v>6.6777055163780204E-6</v>
      </c>
      <c r="Q426" s="81">
        <v>6.0099349647402199E-5</v>
      </c>
      <c r="R426" s="82">
        <v>8.4740083002837092E-3</v>
      </c>
      <c r="S426" s="79">
        <v>3.3826180800720203E-2</v>
      </c>
      <c r="T426" s="79">
        <v>1.08683207378496E-2</v>
      </c>
      <c r="U426" s="79">
        <v>1.87178382901807E-3</v>
      </c>
      <c r="V426" s="79">
        <v>7.3564485558610601E-3</v>
      </c>
      <c r="W426" s="79">
        <v>1</v>
      </c>
    </row>
    <row r="427" spans="1:23" x14ac:dyDescent="0.2">
      <c r="A427" s="69"/>
      <c r="B427" s="56" t="s">
        <v>563</v>
      </c>
      <c r="C427" s="78">
        <v>5556</v>
      </c>
      <c r="D427" s="79">
        <v>-4.3327540000000003E-3</v>
      </c>
      <c r="E427" s="79">
        <v>1.2116517E-2</v>
      </c>
      <c r="F427" s="79">
        <v>0.72066697199999996</v>
      </c>
      <c r="G427" s="79">
        <v>0.98545101377932998</v>
      </c>
      <c r="H427" s="80">
        <v>1</v>
      </c>
      <c r="I427" s="79">
        <v>1.3100484408390201E-3</v>
      </c>
      <c r="J427" s="79">
        <v>1.21994671487381E-2</v>
      </c>
      <c r="K427" s="79">
        <v>0.91448775514617497</v>
      </c>
      <c r="L427" s="79">
        <v>0.981200184300273</v>
      </c>
      <c r="M427" s="80">
        <v>1</v>
      </c>
      <c r="N427" s="79">
        <v>4.6992885766807303E-2</v>
      </c>
      <c r="O427" s="79">
        <v>1.20151435672269E-2</v>
      </c>
      <c r="P427" s="79">
        <v>9.3250060095245705E-5</v>
      </c>
      <c r="Q427" s="79">
        <v>5.5039221516682199E-4</v>
      </c>
      <c r="R427" s="80">
        <v>0.118334326260867</v>
      </c>
      <c r="S427" s="79">
        <v>2.95314357297548E-2</v>
      </c>
      <c r="T427" s="79">
        <v>1.20050959072286E-2</v>
      </c>
      <c r="U427" s="79">
        <v>1.39352193402652E-2</v>
      </c>
      <c r="V427" s="79">
        <v>3.3177848673164201E-2</v>
      </c>
      <c r="W427" s="79">
        <v>1</v>
      </c>
    </row>
    <row r="428" spans="1:23" x14ac:dyDescent="0.2">
      <c r="A428" s="69"/>
      <c r="B428" s="56" t="s">
        <v>564</v>
      </c>
      <c r="C428" s="78">
        <v>5556</v>
      </c>
      <c r="D428" s="79">
        <v>-1.837626E-3</v>
      </c>
      <c r="E428" s="79">
        <v>1.1160803E-2</v>
      </c>
      <c r="F428" s="79">
        <v>0.869229209</v>
      </c>
      <c r="G428" s="79">
        <v>0.98755445668576602</v>
      </c>
      <c r="H428" s="80">
        <v>1</v>
      </c>
      <c r="I428" s="79">
        <v>-2.1135368467193401E-4</v>
      </c>
      <c r="J428" s="79">
        <v>1.12811035876663E-2</v>
      </c>
      <c r="K428" s="79">
        <v>0.98505338638966999</v>
      </c>
      <c r="L428" s="79">
        <v>0.99523523065353503</v>
      </c>
      <c r="M428" s="80">
        <v>1</v>
      </c>
      <c r="N428" s="79">
        <v>3.5260099484405699E-2</v>
      </c>
      <c r="O428" s="79">
        <v>1.1072977975679601E-2</v>
      </c>
      <c r="P428" s="79">
        <v>1.4637398452277499E-3</v>
      </c>
      <c r="Q428" s="79">
        <v>4.8246386067377E-3</v>
      </c>
      <c r="R428" s="80">
        <v>1</v>
      </c>
      <c r="S428" s="79">
        <v>3.8027144197320797E-2</v>
      </c>
      <c r="T428" s="79">
        <v>1.1082969029569499E-2</v>
      </c>
      <c r="U428" s="79">
        <v>6.08004616548391E-4</v>
      </c>
      <c r="V428" s="79">
        <v>3.1261606855308602E-3</v>
      </c>
      <c r="W428" s="79">
        <v>0.77155785839990798</v>
      </c>
    </row>
    <row r="429" spans="1:23" x14ac:dyDescent="0.2">
      <c r="A429" s="69"/>
      <c r="B429" s="56" t="s">
        <v>565</v>
      </c>
      <c r="C429" s="78">
        <v>5556</v>
      </c>
      <c r="D429" s="79">
        <v>-1.3442993E-2</v>
      </c>
      <c r="E429" s="79">
        <v>1.1223749999999999E-2</v>
      </c>
      <c r="F429" s="79">
        <v>0.23110588400000001</v>
      </c>
      <c r="G429" s="79">
        <v>0.75585919277319602</v>
      </c>
      <c r="H429" s="80">
        <v>1</v>
      </c>
      <c r="I429" s="79">
        <v>2.6831162101697398E-3</v>
      </c>
      <c r="J429" s="79">
        <v>1.13475290079887E-2</v>
      </c>
      <c r="K429" s="79">
        <v>0.81309737464880005</v>
      </c>
      <c r="L429" s="79">
        <v>0.96211732726388599</v>
      </c>
      <c r="M429" s="80">
        <v>1</v>
      </c>
      <c r="N429" s="79">
        <v>3.8515589564279903E-2</v>
      </c>
      <c r="O429" s="79">
        <v>1.1153864886780499E-2</v>
      </c>
      <c r="P429" s="79">
        <v>5.6075832164880998E-4</v>
      </c>
      <c r="Q429" s="79">
        <v>2.3331223284338998E-3</v>
      </c>
      <c r="R429" s="80">
        <v>0.71160231017233999</v>
      </c>
      <c r="S429" s="79">
        <v>3.1682978963093897E-2</v>
      </c>
      <c r="T429" s="79">
        <v>1.11387494646152E-2</v>
      </c>
      <c r="U429" s="79">
        <v>4.4753779822886497E-3</v>
      </c>
      <c r="V429" s="79">
        <v>1.41274991530455E-2</v>
      </c>
      <c r="W429" s="79">
        <v>1</v>
      </c>
    </row>
    <row r="430" spans="1:23" x14ac:dyDescent="0.2">
      <c r="A430" s="69"/>
      <c r="B430" s="56" t="s">
        <v>566</v>
      </c>
      <c r="C430" s="78">
        <v>5556</v>
      </c>
      <c r="D430" s="79">
        <v>-8.2515409999999994E-3</v>
      </c>
      <c r="E430" s="79">
        <v>1.1337989E-2</v>
      </c>
      <c r="F430" s="79">
        <v>0.46679764899999998</v>
      </c>
      <c r="G430" s="79">
        <v>0.91708779931578899</v>
      </c>
      <c r="H430" s="80">
        <v>1</v>
      </c>
      <c r="I430" s="79">
        <v>-1.17360175023402E-2</v>
      </c>
      <c r="J430" s="79">
        <v>1.14517403413973E-2</v>
      </c>
      <c r="K430" s="79">
        <v>0.30551290383218099</v>
      </c>
      <c r="L430" s="79">
        <v>0.78754770700353705</v>
      </c>
      <c r="M430" s="80">
        <v>1</v>
      </c>
      <c r="N430" s="79">
        <v>1.20683037980887E-2</v>
      </c>
      <c r="O430" s="79">
        <v>1.1261739312677601E-2</v>
      </c>
      <c r="P430" s="79">
        <v>0.28396312658709899</v>
      </c>
      <c r="Q430" s="79">
        <v>0.36491367841333</v>
      </c>
      <c r="R430" s="80">
        <v>1</v>
      </c>
      <c r="S430" s="79">
        <v>1.6280215014623199E-2</v>
      </c>
      <c r="T430" s="79">
        <v>1.12419601719783E-2</v>
      </c>
      <c r="U430" s="79">
        <v>0.14765782234330799</v>
      </c>
      <c r="V430" s="79">
        <v>0.22148673351496201</v>
      </c>
      <c r="W430" s="79">
        <v>1</v>
      </c>
    </row>
    <row r="431" spans="1:23" x14ac:dyDescent="0.2">
      <c r="A431" s="69"/>
      <c r="B431" s="56" t="s">
        <v>567</v>
      </c>
      <c r="C431" s="78">
        <v>5556</v>
      </c>
      <c r="D431" s="79">
        <v>9.4800679999999995E-3</v>
      </c>
      <c r="E431" s="79">
        <v>1.2169657E-2</v>
      </c>
      <c r="F431" s="79">
        <v>0.43602756799999998</v>
      </c>
      <c r="G431" s="79">
        <v>0.898245103558442</v>
      </c>
      <c r="H431" s="80">
        <v>1</v>
      </c>
      <c r="I431" s="79">
        <v>-1.7064673315656202E-2</v>
      </c>
      <c r="J431" s="79">
        <v>1.2243536640771499E-2</v>
      </c>
      <c r="K431" s="79">
        <v>0.16345701069080901</v>
      </c>
      <c r="L431" s="79">
        <v>0.68954673194581495</v>
      </c>
      <c r="M431" s="80">
        <v>1</v>
      </c>
      <c r="N431" s="79">
        <v>1.4996625387760901E-3</v>
      </c>
      <c r="O431" s="79">
        <v>1.2076038642532899E-2</v>
      </c>
      <c r="P431" s="79">
        <v>0.90117462123589798</v>
      </c>
      <c r="Q431" s="79">
        <v>0.92076537387146096</v>
      </c>
      <c r="R431" s="80">
        <v>1</v>
      </c>
      <c r="S431" s="79">
        <v>6.1944140630570601E-3</v>
      </c>
      <c r="T431" s="79">
        <v>1.2047917538025E-2</v>
      </c>
      <c r="U431" s="79">
        <v>0.60717469463499296</v>
      </c>
      <c r="V431" s="79">
        <v>0.67826116856673102</v>
      </c>
      <c r="W431" s="79">
        <v>1</v>
      </c>
    </row>
    <row r="432" spans="1:23" x14ac:dyDescent="0.2">
      <c r="A432" s="69"/>
      <c r="B432" s="56" t="s">
        <v>465</v>
      </c>
      <c r="C432" s="78">
        <v>5556</v>
      </c>
      <c r="D432" s="79">
        <v>-7.7453009999999996E-3</v>
      </c>
      <c r="E432" s="79">
        <v>1.1810947E-2</v>
      </c>
      <c r="F432" s="79">
        <v>0.51200917300000004</v>
      </c>
      <c r="G432" s="79">
        <v>0.93029368998857198</v>
      </c>
      <c r="H432" s="80">
        <v>1</v>
      </c>
      <c r="I432" s="79">
        <v>9.6871934959663793E-3</v>
      </c>
      <c r="J432" s="79">
        <v>1.19152172591711E-2</v>
      </c>
      <c r="K432" s="79">
        <v>0.41625982330026101</v>
      </c>
      <c r="L432" s="79">
        <v>0.84788718421834897</v>
      </c>
      <c r="M432" s="80">
        <v>1</v>
      </c>
      <c r="N432" s="81">
        <v>4.9962315386892102E-2</v>
      </c>
      <c r="O432" s="81">
        <v>1.1707466885569499E-2</v>
      </c>
      <c r="P432" s="81">
        <v>2.0230990721637599E-5</v>
      </c>
      <c r="Q432" s="81">
        <v>1.5373130075304299E-4</v>
      </c>
      <c r="R432" s="82">
        <v>2.56731272257581E-2</v>
      </c>
      <c r="S432" s="81">
        <v>6.0467824534529299E-2</v>
      </c>
      <c r="T432" s="81">
        <v>1.1687435183842E-2</v>
      </c>
      <c r="U432" s="81">
        <v>2.4082606474084899E-7</v>
      </c>
      <c r="V432" s="81">
        <v>8.7316650330325001E-6</v>
      </c>
      <c r="W432" s="81">
        <v>3.0560827615613699E-4</v>
      </c>
    </row>
    <row r="433" spans="1:23" x14ac:dyDescent="0.2">
      <c r="A433" s="69"/>
      <c r="B433" s="56" t="s">
        <v>568</v>
      </c>
      <c r="C433" s="78">
        <v>5556</v>
      </c>
      <c r="D433" s="79">
        <v>-2.7609539999999999E-3</v>
      </c>
      <c r="E433" s="79">
        <v>1.1379660999999999E-2</v>
      </c>
      <c r="F433" s="79">
        <v>0.80831227000000005</v>
      </c>
      <c r="G433" s="79">
        <v>0.98545101377932998</v>
      </c>
      <c r="H433" s="80">
        <v>1</v>
      </c>
      <c r="I433" s="79">
        <v>-1.02830184582112E-2</v>
      </c>
      <c r="J433" s="79">
        <v>1.1490749128668201E-2</v>
      </c>
      <c r="K433" s="79">
        <v>0.37090016197775699</v>
      </c>
      <c r="L433" s="79">
        <v>0.81856053139091101</v>
      </c>
      <c r="M433" s="80">
        <v>1</v>
      </c>
      <c r="N433" s="79">
        <v>6.7151675238903497E-3</v>
      </c>
      <c r="O433" s="79">
        <v>1.1304777402009599E-2</v>
      </c>
      <c r="P433" s="79">
        <v>0.55254148763876798</v>
      </c>
      <c r="Q433" s="79">
        <v>0.63112074510674798</v>
      </c>
      <c r="R433" s="80">
        <v>1</v>
      </c>
      <c r="S433" s="79">
        <v>4.0254901583981602E-2</v>
      </c>
      <c r="T433" s="79">
        <v>1.1276370706633501E-2</v>
      </c>
      <c r="U433" s="79">
        <v>3.6177554140120999E-4</v>
      </c>
      <c r="V433" s="79">
        <v>2.0867871001733402E-3</v>
      </c>
      <c r="W433" s="79">
        <v>0.45909316203813599</v>
      </c>
    </row>
    <row r="434" spans="1:23" x14ac:dyDescent="0.2">
      <c r="A434" s="69"/>
      <c r="B434" s="56" t="s">
        <v>569</v>
      </c>
      <c r="C434" s="78">
        <v>5556</v>
      </c>
      <c r="D434" s="79">
        <v>1.4894212E-2</v>
      </c>
      <c r="E434" s="79">
        <v>1.0234943999999999E-2</v>
      </c>
      <c r="F434" s="79">
        <v>0.145722305</v>
      </c>
      <c r="G434" s="79">
        <v>0.67644481499999998</v>
      </c>
      <c r="H434" s="80">
        <v>1</v>
      </c>
      <c r="I434" s="79">
        <v>2.2712323821514599E-2</v>
      </c>
      <c r="J434" s="79">
        <v>1.03835368247797E-2</v>
      </c>
      <c r="K434" s="79">
        <v>2.8799204988387402E-2</v>
      </c>
      <c r="L434" s="79">
        <v>0.46602025326235702</v>
      </c>
      <c r="M434" s="80">
        <v>1</v>
      </c>
      <c r="N434" s="79">
        <v>1.01106971714181E-3</v>
      </c>
      <c r="O434" s="79">
        <v>1.0179759172542499E-2</v>
      </c>
      <c r="P434" s="79">
        <v>0.92089027909306997</v>
      </c>
      <c r="Q434" s="79">
        <v>0.93735195676439098</v>
      </c>
      <c r="R434" s="80">
        <v>1</v>
      </c>
      <c r="S434" s="79">
        <v>1.7035201290964301E-2</v>
      </c>
      <c r="T434" s="79">
        <v>1.0168630760525E-2</v>
      </c>
      <c r="U434" s="79">
        <v>9.3995399314577302E-2</v>
      </c>
      <c r="V434" s="79">
        <v>0.15592178003947499</v>
      </c>
      <c r="W434" s="79">
        <v>1</v>
      </c>
    </row>
    <row r="435" spans="1:23" x14ac:dyDescent="0.2">
      <c r="A435" s="69"/>
      <c r="B435" s="56" t="s">
        <v>570</v>
      </c>
      <c r="C435" s="78">
        <v>5556</v>
      </c>
      <c r="D435" s="79">
        <v>-3.6643180000000002E-3</v>
      </c>
      <c r="E435" s="79">
        <v>1.2618315999999999E-2</v>
      </c>
      <c r="F435" s="79">
        <v>0.77152651500000002</v>
      </c>
      <c r="G435" s="79">
        <v>0.98545101377932998</v>
      </c>
      <c r="H435" s="80">
        <v>1</v>
      </c>
      <c r="I435" s="79">
        <v>-1.81839927071532E-2</v>
      </c>
      <c r="J435" s="79">
        <v>1.2692132888603399E-2</v>
      </c>
      <c r="K435" s="79">
        <v>0.15201286196643099</v>
      </c>
      <c r="L435" s="79">
        <v>0.66470888806839401</v>
      </c>
      <c r="M435" s="80">
        <v>1</v>
      </c>
      <c r="N435" s="79">
        <v>1.43267130172263E-2</v>
      </c>
      <c r="O435" s="79">
        <v>1.25225108207741E-2</v>
      </c>
      <c r="P435" s="79">
        <v>0.25265383516318402</v>
      </c>
      <c r="Q435" s="79">
        <v>0.332246338675731</v>
      </c>
      <c r="R435" s="80">
        <v>1</v>
      </c>
      <c r="S435" s="79">
        <v>5.0886064322861697E-2</v>
      </c>
      <c r="T435" s="79">
        <v>1.2484562031269599E-2</v>
      </c>
      <c r="U435" s="79">
        <v>4.6630824503713898E-5</v>
      </c>
      <c r="V435" s="79">
        <v>4.5216696200680299E-4</v>
      </c>
      <c r="W435" s="79">
        <v>5.9174516295212899E-2</v>
      </c>
    </row>
    <row r="436" spans="1:23" x14ac:dyDescent="0.2">
      <c r="A436" s="69"/>
      <c r="B436" s="56" t="s">
        <v>571</v>
      </c>
      <c r="C436" s="78">
        <v>5556</v>
      </c>
      <c r="D436" s="79">
        <v>-1.0965129999999999E-3</v>
      </c>
      <c r="E436" s="79">
        <v>1.1679826000000001E-2</v>
      </c>
      <c r="F436" s="79">
        <v>0.925208641</v>
      </c>
      <c r="G436" s="79">
        <v>0.991673151733656</v>
      </c>
      <c r="H436" s="80">
        <v>1</v>
      </c>
      <c r="I436" s="79">
        <v>9.5189540372523796E-3</v>
      </c>
      <c r="J436" s="79">
        <v>1.17808931660533E-2</v>
      </c>
      <c r="K436" s="79">
        <v>0.41913887172761799</v>
      </c>
      <c r="L436" s="79">
        <v>0.85101956515575605</v>
      </c>
      <c r="M436" s="80">
        <v>1</v>
      </c>
      <c r="N436" s="79">
        <v>-1.7364940417318502E-2</v>
      </c>
      <c r="O436" s="79">
        <v>1.15999613899167E-2</v>
      </c>
      <c r="P436" s="79">
        <v>0.13447931458934201</v>
      </c>
      <c r="Q436" s="79">
        <v>0.199829332803132</v>
      </c>
      <c r="R436" s="80">
        <v>1</v>
      </c>
      <c r="S436" s="79">
        <v>-3.1130993206777698E-2</v>
      </c>
      <c r="T436" s="79">
        <v>1.15812570877996E-2</v>
      </c>
      <c r="U436" s="79">
        <v>7.2175400601592601E-3</v>
      </c>
      <c r="V436" s="79">
        <v>2.0308333340004699E-2</v>
      </c>
      <c r="W436" s="79">
        <v>1</v>
      </c>
    </row>
    <row r="437" spans="1:23" x14ac:dyDescent="0.2">
      <c r="A437" s="69"/>
      <c r="B437" s="56" t="s">
        <v>572</v>
      </c>
      <c r="C437" s="78">
        <v>5491</v>
      </c>
      <c r="D437" s="79">
        <v>1.1310133999999999E-2</v>
      </c>
      <c r="E437" s="79">
        <v>5.4813409999999998E-3</v>
      </c>
      <c r="F437" s="79">
        <v>3.9288410000000003E-2</v>
      </c>
      <c r="G437" s="79">
        <v>0.43734203763157897</v>
      </c>
      <c r="H437" s="80">
        <v>1</v>
      </c>
      <c r="I437" s="79">
        <v>5.3890417098272497E-3</v>
      </c>
      <c r="J437" s="79">
        <v>5.6629042292982304E-3</v>
      </c>
      <c r="K437" s="79">
        <v>0.34146549583851399</v>
      </c>
      <c r="L437" s="79">
        <v>0.80020788839305201</v>
      </c>
      <c r="M437" s="80">
        <v>1</v>
      </c>
      <c r="N437" s="79">
        <v>6.7898940020447197E-3</v>
      </c>
      <c r="O437" s="79">
        <v>5.4972817279815497E-3</v>
      </c>
      <c r="P437" s="79">
        <v>0.21701646279131301</v>
      </c>
      <c r="Q437" s="79">
        <v>0.29359689902150998</v>
      </c>
      <c r="R437" s="80">
        <v>1</v>
      </c>
      <c r="S437" s="79">
        <v>1.8218358958010501E-2</v>
      </c>
      <c r="T437" s="79">
        <v>5.4891023273437598E-3</v>
      </c>
      <c r="U437" s="79">
        <v>9.2999833944518195E-4</v>
      </c>
      <c r="V437" s="79">
        <v>4.2299924471538904E-3</v>
      </c>
      <c r="W437" s="79">
        <v>1</v>
      </c>
    </row>
    <row r="438" spans="1:23" x14ac:dyDescent="0.2">
      <c r="A438" s="69"/>
      <c r="B438" s="56" t="s">
        <v>573</v>
      </c>
      <c r="C438" s="78">
        <v>5440</v>
      </c>
      <c r="D438" s="79">
        <v>1.6266398000000001E-2</v>
      </c>
      <c r="E438" s="79">
        <v>1.1639524E-2</v>
      </c>
      <c r="F438" s="79">
        <v>0.16235881899999999</v>
      </c>
      <c r="G438" s="79">
        <v>0.6895550429699</v>
      </c>
      <c r="H438" s="80">
        <v>1</v>
      </c>
      <c r="I438" s="79">
        <v>2.2652273460303698E-2</v>
      </c>
      <c r="J438" s="79">
        <v>1.17752076722919E-2</v>
      </c>
      <c r="K438" s="79">
        <v>5.4475808232477399E-2</v>
      </c>
      <c r="L438" s="79">
        <v>0.56336741700089599</v>
      </c>
      <c r="M438" s="80">
        <v>1</v>
      </c>
      <c r="N438" s="79">
        <v>2.3113503944354401E-2</v>
      </c>
      <c r="O438" s="79">
        <v>1.1582122056457899E-2</v>
      </c>
      <c r="P438" s="79">
        <v>4.6061050887084599E-2</v>
      </c>
      <c r="Q438" s="79">
        <v>8.2558578496766094E-2</v>
      </c>
      <c r="R438" s="80">
        <v>1</v>
      </c>
      <c r="S438" s="79">
        <v>2.32564636207542E-2</v>
      </c>
      <c r="T438" s="79">
        <v>1.1555742376859199E-2</v>
      </c>
      <c r="U438" s="79">
        <v>4.4246746507995302E-2</v>
      </c>
      <c r="V438" s="79">
        <v>8.5095720846776302E-2</v>
      </c>
      <c r="W438" s="79">
        <v>1</v>
      </c>
    </row>
    <row r="439" spans="1:23" x14ac:dyDescent="0.2">
      <c r="A439" s="69"/>
      <c r="B439" s="56" t="s">
        <v>574</v>
      </c>
      <c r="C439" s="78">
        <v>5518</v>
      </c>
      <c r="D439" s="79">
        <v>-2.5644520000000001E-3</v>
      </c>
      <c r="E439" s="79">
        <v>7.3220070000000002E-3</v>
      </c>
      <c r="F439" s="79">
        <v>0.72620978700000005</v>
      </c>
      <c r="G439" s="79">
        <v>0.98545101377932998</v>
      </c>
      <c r="H439" s="80">
        <v>1</v>
      </c>
      <c r="I439" s="79">
        <v>2.5543431882814301E-3</v>
      </c>
      <c r="J439" s="79">
        <v>7.5028373789100596E-3</v>
      </c>
      <c r="K439" s="79">
        <v>0.73356462188608895</v>
      </c>
      <c r="L439" s="79">
        <v>0.94795672624587302</v>
      </c>
      <c r="M439" s="80">
        <v>1</v>
      </c>
      <c r="N439" s="79">
        <v>5.9456160377353399E-3</v>
      </c>
      <c r="O439" s="79">
        <v>7.3121497623449896E-3</v>
      </c>
      <c r="P439" s="79">
        <v>0.41628315080557199</v>
      </c>
      <c r="Q439" s="79">
        <v>0.502151443319649</v>
      </c>
      <c r="R439" s="80">
        <v>1</v>
      </c>
      <c r="S439" s="79">
        <v>-4.3690066493664997E-3</v>
      </c>
      <c r="T439" s="79">
        <v>7.3061204571853999E-3</v>
      </c>
      <c r="U439" s="79">
        <v>0.54993609846165203</v>
      </c>
      <c r="V439" s="79">
        <v>0.63155557370844895</v>
      </c>
      <c r="W439" s="79">
        <v>1</v>
      </c>
    </row>
    <row r="440" spans="1:23" x14ac:dyDescent="0.2">
      <c r="A440" s="69"/>
      <c r="B440" s="56" t="s">
        <v>466</v>
      </c>
      <c r="C440" s="78">
        <v>5556</v>
      </c>
      <c r="D440" s="79">
        <v>-8.1081480000000008E-3</v>
      </c>
      <c r="E440" s="79">
        <v>1.2138449000000001E-2</v>
      </c>
      <c r="F440" s="79">
        <v>0.50418744000000004</v>
      </c>
      <c r="G440" s="79">
        <v>0.92884339055395704</v>
      </c>
      <c r="H440" s="80">
        <v>1</v>
      </c>
      <c r="I440" s="79">
        <v>-1.51881084622912E-3</v>
      </c>
      <c r="J440" s="79">
        <v>1.22243602577582E-2</v>
      </c>
      <c r="K440" s="79">
        <v>0.90112722159680902</v>
      </c>
      <c r="L440" s="79">
        <v>0.981200184300273</v>
      </c>
      <c r="M440" s="80">
        <v>1</v>
      </c>
      <c r="N440" s="79">
        <v>2.2963656042066301E-2</v>
      </c>
      <c r="O440" s="79">
        <v>1.2047275448346099E-2</v>
      </c>
      <c r="P440" s="79">
        <v>5.6700039023922601E-2</v>
      </c>
      <c r="Q440" s="79">
        <v>9.8700067930531904E-2</v>
      </c>
      <c r="R440" s="80">
        <v>1</v>
      </c>
      <c r="S440" s="79">
        <v>4.0270281437216997E-2</v>
      </c>
      <c r="T440" s="79">
        <v>1.2009759580330201E-2</v>
      </c>
      <c r="U440" s="79">
        <v>8.0588906402282302E-4</v>
      </c>
      <c r="V440" s="79">
        <v>3.7937026203525002E-3</v>
      </c>
      <c r="W440" s="79">
        <v>1</v>
      </c>
    </row>
    <row r="441" spans="1:23" x14ac:dyDescent="0.2">
      <c r="A441" s="69"/>
      <c r="B441" s="56" t="s">
        <v>467</v>
      </c>
      <c r="C441" s="78">
        <v>5556</v>
      </c>
      <c r="D441" s="79">
        <v>-1.3333651E-2</v>
      </c>
      <c r="E441" s="79">
        <v>1.1359734E-2</v>
      </c>
      <c r="F441" s="79">
        <v>0.24056485599999999</v>
      </c>
      <c r="G441" s="79">
        <v>0.77257570165909095</v>
      </c>
      <c r="H441" s="80">
        <v>1</v>
      </c>
      <c r="I441" s="79">
        <v>3.0896614108588401E-3</v>
      </c>
      <c r="J441" s="79">
        <v>1.1472548406290001E-2</v>
      </c>
      <c r="K441" s="79">
        <v>0.78770611311140204</v>
      </c>
      <c r="L441" s="79">
        <v>0.95970310918962698</v>
      </c>
      <c r="M441" s="80">
        <v>1</v>
      </c>
      <c r="N441" s="79">
        <v>1.23950547249819E-2</v>
      </c>
      <c r="O441" s="79">
        <v>1.1285972637350801E-2</v>
      </c>
      <c r="P441" s="79">
        <v>0.27215676574701497</v>
      </c>
      <c r="Q441" s="79">
        <v>0.35169749056309801</v>
      </c>
      <c r="R441" s="80">
        <v>1</v>
      </c>
      <c r="S441" s="79">
        <v>1.8819188206730699E-2</v>
      </c>
      <c r="T441" s="79">
        <v>1.12699826377912E-2</v>
      </c>
      <c r="U441" s="79">
        <v>9.50317117299148E-2</v>
      </c>
      <c r="V441" s="79">
        <v>0.15722276249532099</v>
      </c>
      <c r="W441" s="79">
        <v>1</v>
      </c>
    </row>
    <row r="442" spans="1:23" x14ac:dyDescent="0.2">
      <c r="A442" s="69"/>
      <c r="B442" s="56" t="s">
        <v>468</v>
      </c>
      <c r="C442" s="78">
        <v>5556</v>
      </c>
      <c r="D442" s="79">
        <v>1.5563588E-2</v>
      </c>
      <c r="E442" s="79">
        <v>1.2612569000000001E-2</v>
      </c>
      <c r="F442" s="79">
        <v>0.217272565</v>
      </c>
      <c r="G442" s="79">
        <v>0.74224234113157905</v>
      </c>
      <c r="H442" s="80">
        <v>1</v>
      </c>
      <c r="I442" s="79">
        <v>-6.6867005351313599E-4</v>
      </c>
      <c r="J442" s="79">
        <v>1.26684461444832E-2</v>
      </c>
      <c r="K442" s="79">
        <v>0.95790746536159699</v>
      </c>
      <c r="L442" s="79">
        <v>0.98719988166166295</v>
      </c>
      <c r="M442" s="80">
        <v>1</v>
      </c>
      <c r="N442" s="79">
        <v>-1.6894591283070099E-2</v>
      </c>
      <c r="O442" s="79">
        <v>1.2505888058734999E-2</v>
      </c>
      <c r="P442" s="79">
        <v>0.17678057394846799</v>
      </c>
      <c r="Q442" s="79">
        <v>0.25065312663754802</v>
      </c>
      <c r="R442" s="80">
        <v>1</v>
      </c>
      <c r="S442" s="79">
        <v>-2.9827745474631798E-2</v>
      </c>
      <c r="T442" s="79">
        <v>1.24735942605354E-2</v>
      </c>
      <c r="U442" s="79">
        <v>1.68277787361036E-2</v>
      </c>
      <c r="V442" s="79">
        <v>3.84753484903681E-2</v>
      </c>
      <c r="W442" s="79">
        <v>1</v>
      </c>
    </row>
    <row r="443" spans="1:23" x14ac:dyDescent="0.2">
      <c r="A443" s="69"/>
      <c r="B443" s="56" t="s">
        <v>469</v>
      </c>
      <c r="C443" s="78">
        <v>5556</v>
      </c>
      <c r="D443" s="79">
        <v>-5.3275409999999999E-3</v>
      </c>
      <c r="E443" s="79">
        <v>1.1942006999999999E-2</v>
      </c>
      <c r="F443" s="79">
        <v>0.65553565700000005</v>
      </c>
      <c r="G443" s="79">
        <v>0.98345383649999996</v>
      </c>
      <c r="H443" s="80">
        <v>1</v>
      </c>
      <c r="I443" s="79">
        <v>-2.4493189261445098E-3</v>
      </c>
      <c r="J443" s="79">
        <v>1.2033642583567599E-2</v>
      </c>
      <c r="K443" s="79">
        <v>0.83872317587359002</v>
      </c>
      <c r="L443" s="79">
        <v>0.96885318781001994</v>
      </c>
      <c r="M443" s="80">
        <v>1</v>
      </c>
      <c r="N443" s="79">
        <v>1.9024873346606099E-2</v>
      </c>
      <c r="O443" s="79">
        <v>1.1854225715648099E-2</v>
      </c>
      <c r="P443" s="79">
        <v>0.108591180814129</v>
      </c>
      <c r="Q443" s="79">
        <v>0.16846235752216299</v>
      </c>
      <c r="R443" s="80">
        <v>1</v>
      </c>
      <c r="S443" s="79">
        <v>2.2224384416412099E-2</v>
      </c>
      <c r="T443" s="79">
        <v>1.1820031254787301E-2</v>
      </c>
      <c r="U443" s="79">
        <v>6.0146107952829903E-2</v>
      </c>
      <c r="V443" s="79">
        <v>0.10780425281375899</v>
      </c>
      <c r="W443" s="79">
        <v>1</v>
      </c>
    </row>
    <row r="444" spans="1:23" x14ac:dyDescent="0.2">
      <c r="A444" s="69"/>
      <c r="B444" s="56" t="s">
        <v>470</v>
      </c>
      <c r="C444" s="78">
        <v>5556</v>
      </c>
      <c r="D444" s="79">
        <v>9.6661769999999998E-3</v>
      </c>
      <c r="E444" s="79">
        <v>1.2436334E-2</v>
      </c>
      <c r="F444" s="79">
        <v>0.43704923899999998</v>
      </c>
      <c r="G444" s="79">
        <v>0.89889057421555896</v>
      </c>
      <c r="H444" s="80">
        <v>1</v>
      </c>
      <c r="I444" s="79">
        <v>1.7246780081972699E-2</v>
      </c>
      <c r="J444" s="79">
        <v>1.2502901013474E-2</v>
      </c>
      <c r="K444" s="79">
        <v>0.16782891220533899</v>
      </c>
      <c r="L444" s="79">
        <v>0.69119364508706604</v>
      </c>
      <c r="M444" s="80">
        <v>1</v>
      </c>
      <c r="N444" s="79">
        <v>1.46148313868489E-2</v>
      </c>
      <c r="O444" s="79">
        <v>1.2338908323023401E-2</v>
      </c>
      <c r="P444" s="79">
        <v>0.23629488042591901</v>
      </c>
      <c r="Q444" s="79">
        <v>0.31497710426522202</v>
      </c>
      <c r="R444" s="80">
        <v>1</v>
      </c>
      <c r="S444" s="79">
        <v>8.3775635512751204E-3</v>
      </c>
      <c r="T444" s="79">
        <v>1.2308590836386199E-2</v>
      </c>
      <c r="U444" s="79">
        <v>0.49614091336490201</v>
      </c>
      <c r="V444" s="79">
        <v>0.58288918827949798</v>
      </c>
      <c r="W444" s="79">
        <v>1</v>
      </c>
    </row>
    <row r="445" spans="1:23" x14ac:dyDescent="0.2">
      <c r="A445" s="69"/>
      <c r="B445" s="56" t="s">
        <v>471</v>
      </c>
      <c r="C445" s="78">
        <v>5556</v>
      </c>
      <c r="D445" s="79">
        <v>-2.4048659999999999E-3</v>
      </c>
      <c r="E445" s="79">
        <v>1.2979444E-2</v>
      </c>
      <c r="F445" s="79">
        <v>0.85301479099999999</v>
      </c>
      <c r="G445" s="79">
        <v>0.98552821438803295</v>
      </c>
      <c r="H445" s="80">
        <v>1</v>
      </c>
      <c r="I445" s="79">
        <v>5.1673338463470203E-4</v>
      </c>
      <c r="J445" s="79">
        <v>1.30222074342882E-2</v>
      </c>
      <c r="K445" s="79">
        <v>0.9683490382519</v>
      </c>
      <c r="L445" s="79">
        <v>0.98860412674308995</v>
      </c>
      <c r="M445" s="80">
        <v>1</v>
      </c>
      <c r="N445" s="79">
        <v>5.2655525801004899E-3</v>
      </c>
      <c r="O445" s="79">
        <v>1.28703991051218E-2</v>
      </c>
      <c r="P445" s="79">
        <v>0.682468084059907</v>
      </c>
      <c r="Q445" s="79">
        <v>0.74339227353821602</v>
      </c>
      <c r="R445" s="80">
        <v>1</v>
      </c>
      <c r="S445" s="79">
        <v>6.6837174541477598E-3</v>
      </c>
      <c r="T445" s="79">
        <v>1.2833263429565899E-2</v>
      </c>
      <c r="U445" s="79">
        <v>0.60252049793741402</v>
      </c>
      <c r="V445" s="79">
        <v>0.67424912864424902</v>
      </c>
      <c r="W445" s="79">
        <v>1</v>
      </c>
    </row>
    <row r="446" spans="1:23" x14ac:dyDescent="0.2">
      <c r="A446" s="69"/>
      <c r="B446" s="56" t="s">
        <v>472</v>
      </c>
      <c r="C446" s="78">
        <v>5556</v>
      </c>
      <c r="D446" s="79">
        <v>-1.063681E-2</v>
      </c>
      <c r="E446" s="79">
        <v>1.1748578000000001E-2</v>
      </c>
      <c r="F446" s="79">
        <v>0.36532452300000001</v>
      </c>
      <c r="G446" s="79">
        <v>0.880152082540541</v>
      </c>
      <c r="H446" s="80">
        <v>1</v>
      </c>
      <c r="I446" s="79">
        <v>-1.2681544061322599E-2</v>
      </c>
      <c r="J446" s="79">
        <v>1.18463536065467E-2</v>
      </c>
      <c r="K446" s="79">
        <v>0.28445574542968699</v>
      </c>
      <c r="L446" s="79">
        <v>0.76966810437158395</v>
      </c>
      <c r="M446" s="80">
        <v>1</v>
      </c>
      <c r="N446" s="79">
        <v>3.1603904199435401E-2</v>
      </c>
      <c r="O446" s="79">
        <v>1.1660881342144399E-2</v>
      </c>
      <c r="P446" s="79">
        <v>6.7519033433733203E-3</v>
      </c>
      <c r="Q446" s="79">
        <v>1.72397693012892E-2</v>
      </c>
      <c r="R446" s="80">
        <v>1</v>
      </c>
      <c r="S446" s="79">
        <v>3.1392632931584702E-2</v>
      </c>
      <c r="T446" s="79">
        <v>1.1645256967515999E-2</v>
      </c>
      <c r="U446" s="79">
        <v>7.0522460967885397E-3</v>
      </c>
      <c r="V446" s="79">
        <v>1.9931626496268701E-2</v>
      </c>
      <c r="W446" s="79">
        <v>1</v>
      </c>
    </row>
    <row r="447" spans="1:23" x14ac:dyDescent="0.2">
      <c r="A447" s="69"/>
      <c r="B447" s="56" t="s">
        <v>473</v>
      </c>
      <c r="C447" s="78">
        <v>5556</v>
      </c>
      <c r="D447" s="79">
        <v>-7.6318100000000004E-4</v>
      </c>
      <c r="E447" s="79">
        <v>1.1931603000000001E-2</v>
      </c>
      <c r="F447" s="79">
        <v>0.94900287500000002</v>
      </c>
      <c r="G447" s="79">
        <v>0.991673151733656</v>
      </c>
      <c r="H447" s="80">
        <v>1</v>
      </c>
      <c r="I447" s="79">
        <v>2.72524766150271E-2</v>
      </c>
      <c r="J447" s="79">
        <v>1.20180202847971E-2</v>
      </c>
      <c r="K447" s="79">
        <v>2.3402130489739499E-2</v>
      </c>
      <c r="L447" s="79">
        <v>0.44324333718626002</v>
      </c>
      <c r="M447" s="80">
        <v>1</v>
      </c>
      <c r="N447" s="79">
        <v>1.8921259669276401E-2</v>
      </c>
      <c r="O447" s="79">
        <v>1.1837486748855101E-2</v>
      </c>
      <c r="P447" s="79">
        <v>0.110027827167941</v>
      </c>
      <c r="Q447" s="79">
        <v>0.16971130981906199</v>
      </c>
      <c r="R447" s="80">
        <v>1</v>
      </c>
      <c r="S447" s="79">
        <v>3.02127079545036E-2</v>
      </c>
      <c r="T447" s="79">
        <v>1.18040207764446E-2</v>
      </c>
      <c r="U447" s="79">
        <v>1.0517270647217501E-2</v>
      </c>
      <c r="V447" s="79">
        <v>2.6962457477412102E-2</v>
      </c>
      <c r="W447" s="79">
        <v>1</v>
      </c>
    </row>
    <row r="448" spans="1:23" x14ac:dyDescent="0.2">
      <c r="A448" s="69"/>
      <c r="B448" s="56" t="s">
        <v>474</v>
      </c>
      <c r="C448" s="78">
        <v>5556</v>
      </c>
      <c r="D448" s="79">
        <v>-7.9736670000000003E-3</v>
      </c>
      <c r="E448" s="79">
        <v>1.1507488E-2</v>
      </c>
      <c r="F448" s="79">
        <v>0.48840769000000001</v>
      </c>
      <c r="G448" s="79">
        <v>0.92884339055395704</v>
      </c>
      <c r="H448" s="80">
        <v>1</v>
      </c>
      <c r="I448" s="79">
        <v>-1.27706638341261E-2</v>
      </c>
      <c r="J448" s="79">
        <v>1.1611688155426E-2</v>
      </c>
      <c r="K448" s="79">
        <v>0.27148090241594303</v>
      </c>
      <c r="L448" s="79">
        <v>0.76256688646630699</v>
      </c>
      <c r="M448" s="80">
        <v>1</v>
      </c>
      <c r="N448" s="79">
        <v>4.1129215739218003E-2</v>
      </c>
      <c r="O448" s="79">
        <v>1.14280983301468E-2</v>
      </c>
      <c r="P448" s="79">
        <v>3.2352123320196702E-4</v>
      </c>
      <c r="Q448" s="79">
        <v>1.5425666543863899E-3</v>
      </c>
      <c r="R448" s="80">
        <v>0.41054844493329601</v>
      </c>
      <c r="S448" s="79">
        <v>3.1527958997150003E-2</v>
      </c>
      <c r="T448" s="79">
        <v>1.13977992168608E-2</v>
      </c>
      <c r="U448" s="79">
        <v>5.6993012125792697E-3</v>
      </c>
      <c r="V448" s="79">
        <v>1.7220031520864501E-2</v>
      </c>
      <c r="W448" s="79">
        <v>1</v>
      </c>
    </row>
    <row r="449" spans="1:23" x14ac:dyDescent="0.2">
      <c r="A449" s="69"/>
      <c r="B449" s="56" t="s">
        <v>475</v>
      </c>
      <c r="C449" s="78">
        <v>5556</v>
      </c>
      <c r="D449" s="79">
        <v>-5.626247E-3</v>
      </c>
      <c r="E449" s="79">
        <v>1.2361367E-2</v>
      </c>
      <c r="F449" s="79">
        <v>0.64902509900000005</v>
      </c>
      <c r="G449" s="79">
        <v>0.982642286040602</v>
      </c>
      <c r="H449" s="80">
        <v>1</v>
      </c>
      <c r="I449" s="79">
        <v>8.2774151858133107E-3</v>
      </c>
      <c r="J449" s="79">
        <v>1.24332419933665E-2</v>
      </c>
      <c r="K449" s="79">
        <v>0.50560473336457201</v>
      </c>
      <c r="L449" s="79">
        <v>0.890538643289842</v>
      </c>
      <c r="M449" s="80">
        <v>1</v>
      </c>
      <c r="N449" s="81">
        <v>6.7750146539245298E-2</v>
      </c>
      <c r="O449" s="81">
        <v>1.22209351676053E-2</v>
      </c>
      <c r="P449" s="81">
        <v>3.1294847529931397E-8</v>
      </c>
      <c r="Q449" s="81">
        <v>5.5934030303497099E-7</v>
      </c>
      <c r="R449" s="82">
        <v>3.9713161515482897E-5</v>
      </c>
      <c r="S449" s="79">
        <v>3.7876359349461597E-2</v>
      </c>
      <c r="T449" s="79">
        <v>1.22251187933161E-2</v>
      </c>
      <c r="U449" s="79">
        <v>1.9586179786168002E-3</v>
      </c>
      <c r="V449" s="79">
        <v>7.5777018745875604E-3</v>
      </c>
      <c r="W449" s="79">
        <v>1</v>
      </c>
    </row>
    <row r="450" spans="1:23" x14ac:dyDescent="0.2">
      <c r="A450" s="69"/>
      <c r="B450" s="56" t="s">
        <v>476</v>
      </c>
      <c r="C450" s="78">
        <v>5556</v>
      </c>
      <c r="D450" s="79">
        <v>-1.2979154E-2</v>
      </c>
      <c r="E450" s="79">
        <v>1.2639208000000001E-2</v>
      </c>
      <c r="F450" s="79">
        <v>0.304519604</v>
      </c>
      <c r="G450" s="79">
        <v>0.84661025108533905</v>
      </c>
      <c r="H450" s="80">
        <v>1</v>
      </c>
      <c r="I450" s="79">
        <v>-9.0309169639477306E-3</v>
      </c>
      <c r="J450" s="79">
        <v>1.2690402219968E-2</v>
      </c>
      <c r="K450" s="79">
        <v>0.47672436674518098</v>
      </c>
      <c r="L450" s="79">
        <v>0.87548946656965998</v>
      </c>
      <c r="M450" s="80">
        <v>1</v>
      </c>
      <c r="N450" s="79">
        <v>-3.2846864104618002E-3</v>
      </c>
      <c r="O450" s="79">
        <v>1.2535456120700301E-2</v>
      </c>
      <c r="P450" s="79">
        <v>0.79330787854935503</v>
      </c>
      <c r="Q450" s="79">
        <v>0.83130280584569105</v>
      </c>
      <c r="R450" s="80">
        <v>1</v>
      </c>
      <c r="S450" s="79">
        <v>1.8825354276845101E-2</v>
      </c>
      <c r="T450" s="79">
        <v>1.24969897698049E-2</v>
      </c>
      <c r="U450" s="79">
        <v>0.13203009099976501</v>
      </c>
      <c r="V450" s="79">
        <v>0.203859774284674</v>
      </c>
      <c r="W450" s="79">
        <v>1</v>
      </c>
    </row>
    <row r="451" spans="1:23" x14ac:dyDescent="0.2">
      <c r="A451" s="69"/>
      <c r="B451" s="56" t="s">
        <v>477</v>
      </c>
      <c r="C451" s="78">
        <v>5556</v>
      </c>
      <c r="D451" s="79">
        <v>7.9820710000000003E-3</v>
      </c>
      <c r="E451" s="79">
        <v>1.200678E-2</v>
      </c>
      <c r="F451" s="79">
        <v>0.50621661200000001</v>
      </c>
      <c r="G451" s="79">
        <v>0.92884339055395704</v>
      </c>
      <c r="H451" s="80">
        <v>1</v>
      </c>
      <c r="I451" s="79">
        <v>-1.41877337247287E-2</v>
      </c>
      <c r="J451" s="79">
        <v>1.2094130945279301E-2</v>
      </c>
      <c r="K451" s="79">
        <v>0.24081543240248601</v>
      </c>
      <c r="L451" s="79">
        <v>0.74535313102135303</v>
      </c>
      <c r="M451" s="80">
        <v>1</v>
      </c>
      <c r="N451" s="79">
        <v>3.1329688576005E-3</v>
      </c>
      <c r="O451" s="79">
        <v>1.19182593289699E-2</v>
      </c>
      <c r="P451" s="79">
        <v>0.79266243435188299</v>
      </c>
      <c r="Q451" s="79">
        <v>0.83130280584569105</v>
      </c>
      <c r="R451" s="80">
        <v>1</v>
      </c>
      <c r="S451" s="79">
        <v>1.4987693570208099E-2</v>
      </c>
      <c r="T451" s="79">
        <v>1.18875115945724E-2</v>
      </c>
      <c r="U451" s="79">
        <v>0.20745188940241499</v>
      </c>
      <c r="V451" s="79">
        <v>0.29283253353911498</v>
      </c>
      <c r="W451" s="79">
        <v>1</v>
      </c>
    </row>
    <row r="452" spans="1:23" x14ac:dyDescent="0.2">
      <c r="A452" s="69"/>
      <c r="B452" s="56" t="s">
        <v>478</v>
      </c>
      <c r="C452" s="78">
        <v>5556</v>
      </c>
      <c r="D452" s="79">
        <v>1.5801138999999999E-2</v>
      </c>
      <c r="E452" s="79">
        <v>1.2334291000000001E-2</v>
      </c>
      <c r="F452" s="79">
        <v>0.20023732299999999</v>
      </c>
      <c r="G452" s="79">
        <v>0.73432763307492799</v>
      </c>
      <c r="H452" s="80">
        <v>1</v>
      </c>
      <c r="I452" s="79">
        <v>-1.9510467334082301E-3</v>
      </c>
      <c r="J452" s="79">
        <v>1.24196054462584E-2</v>
      </c>
      <c r="K452" s="79">
        <v>0.87517782082338902</v>
      </c>
      <c r="L452" s="79">
        <v>0.97259459064771603</v>
      </c>
      <c r="M452" s="80">
        <v>1</v>
      </c>
      <c r="N452" s="79">
        <v>2.8247362838170701E-2</v>
      </c>
      <c r="O452" s="79">
        <v>1.22424276974987E-2</v>
      </c>
      <c r="P452" s="79">
        <v>2.1083369900927899E-2</v>
      </c>
      <c r="Q452" s="79">
        <v>4.3152897426254E-2</v>
      </c>
      <c r="R452" s="80">
        <v>1</v>
      </c>
      <c r="S452" s="79">
        <v>4.4469334998134498E-2</v>
      </c>
      <c r="T452" s="79">
        <v>1.2221990238591799E-2</v>
      </c>
      <c r="U452" s="79">
        <v>2.7743686513895E-4</v>
      </c>
      <c r="V452" s="79">
        <v>1.7102756179286701E-3</v>
      </c>
      <c r="W452" s="79">
        <v>0.35206738186132802</v>
      </c>
    </row>
    <row r="453" spans="1:23" x14ac:dyDescent="0.2">
      <c r="A453" s="69"/>
      <c r="B453" s="56" t="s">
        <v>479</v>
      </c>
      <c r="C453" s="78">
        <v>5556</v>
      </c>
      <c r="D453" s="79">
        <v>1.9091701999999999E-2</v>
      </c>
      <c r="E453" s="79">
        <v>1.1371656000000001E-2</v>
      </c>
      <c r="F453" s="79">
        <v>9.3262827000000006E-2</v>
      </c>
      <c r="G453" s="79">
        <v>0.59927287404545504</v>
      </c>
      <c r="H453" s="80">
        <v>1</v>
      </c>
      <c r="I453" s="79">
        <v>-8.4540002119638403E-3</v>
      </c>
      <c r="J453" s="79">
        <v>1.1493246703821E-2</v>
      </c>
      <c r="K453" s="79">
        <v>0.46204335913146799</v>
      </c>
      <c r="L453" s="79">
        <v>0.87326336285163797</v>
      </c>
      <c r="M453" s="80">
        <v>1</v>
      </c>
      <c r="N453" s="79">
        <v>2.0551653448822701E-2</v>
      </c>
      <c r="O453" s="79">
        <v>1.12932822524587E-2</v>
      </c>
      <c r="P453" s="79">
        <v>6.8871277566838099E-2</v>
      </c>
      <c r="Q453" s="79">
        <v>0.11560535877290699</v>
      </c>
      <c r="R453" s="80">
        <v>1</v>
      </c>
      <c r="S453" s="79">
        <v>1.12524770687374E-2</v>
      </c>
      <c r="T453" s="79">
        <v>1.12764576209331E-2</v>
      </c>
      <c r="U453" s="79">
        <v>0.31840774403233901</v>
      </c>
      <c r="V453" s="79">
        <v>0.41021261642338902</v>
      </c>
      <c r="W453" s="79">
        <v>1</v>
      </c>
    </row>
    <row r="454" spans="1:23" x14ac:dyDescent="0.2">
      <c r="A454" s="69"/>
      <c r="B454" s="56" t="s">
        <v>480</v>
      </c>
      <c r="C454" s="78">
        <v>5556</v>
      </c>
      <c r="D454" s="79">
        <v>-6.4694080000000003E-3</v>
      </c>
      <c r="E454" s="79">
        <v>1.1896855E-2</v>
      </c>
      <c r="F454" s="79">
        <v>0.58661650200000004</v>
      </c>
      <c r="G454" s="79">
        <v>0.95350818012595395</v>
      </c>
      <c r="H454" s="80">
        <v>1</v>
      </c>
      <c r="I454" s="79">
        <v>1.9010534142522201E-2</v>
      </c>
      <c r="J454" s="79">
        <v>1.19983319031548E-2</v>
      </c>
      <c r="K454" s="79">
        <v>0.113173772915913</v>
      </c>
      <c r="L454" s="79">
        <v>0.62424045135977002</v>
      </c>
      <c r="M454" s="80">
        <v>1</v>
      </c>
      <c r="N454" s="79">
        <v>2.6744524836572799E-2</v>
      </c>
      <c r="O454" s="79">
        <v>1.18131497553111E-2</v>
      </c>
      <c r="P454" s="79">
        <v>2.3631167239174199E-2</v>
      </c>
      <c r="Q454" s="79">
        <v>4.7449289915367197E-2</v>
      </c>
      <c r="R454" s="80">
        <v>1</v>
      </c>
      <c r="S454" s="79">
        <v>1.6820526044030702E-2</v>
      </c>
      <c r="T454" s="79">
        <v>1.1790980404315501E-2</v>
      </c>
      <c r="U454" s="79">
        <v>0.15378673086799799</v>
      </c>
      <c r="V454" s="79">
        <v>0.22896697529471999</v>
      </c>
      <c r="W454" s="79">
        <v>1</v>
      </c>
    </row>
    <row r="455" spans="1:23" x14ac:dyDescent="0.2">
      <c r="A455" s="69"/>
      <c r="B455" s="56" t="s">
        <v>481</v>
      </c>
      <c r="C455" s="78">
        <v>5556</v>
      </c>
      <c r="D455" s="79">
        <v>4.4632459999999997E-3</v>
      </c>
      <c r="E455" s="79">
        <v>1.1916039E-2</v>
      </c>
      <c r="F455" s="79">
        <v>0.70800788800000003</v>
      </c>
      <c r="G455" s="79">
        <v>0.98545101377932998</v>
      </c>
      <c r="H455" s="80">
        <v>1</v>
      </c>
      <c r="I455" s="79">
        <v>-1.76328451108528E-2</v>
      </c>
      <c r="J455" s="79">
        <v>1.19939923215267E-2</v>
      </c>
      <c r="K455" s="79">
        <v>0.14159466846907501</v>
      </c>
      <c r="L455" s="79">
        <v>0.65586150762509099</v>
      </c>
      <c r="M455" s="80">
        <v>1</v>
      </c>
      <c r="N455" s="79">
        <v>2.4527671430272398E-2</v>
      </c>
      <c r="O455" s="79">
        <v>1.1823541692783299E-2</v>
      </c>
      <c r="P455" s="79">
        <v>3.8094127000059701E-2</v>
      </c>
      <c r="Q455" s="79">
        <v>7.0263731341679903E-2</v>
      </c>
      <c r="R455" s="80">
        <v>1</v>
      </c>
      <c r="S455" s="79">
        <v>4.4044117835165701E-2</v>
      </c>
      <c r="T455" s="79">
        <v>1.1790371970564701E-2</v>
      </c>
      <c r="U455" s="79">
        <v>1.8966766972386201E-4</v>
      </c>
      <c r="V455" s="79">
        <v>1.28831503770153E-3</v>
      </c>
      <c r="W455" s="79">
        <v>0.240688272879581</v>
      </c>
    </row>
    <row r="456" spans="1:23" x14ac:dyDescent="0.2">
      <c r="A456" s="69"/>
      <c r="B456" s="56" t="s">
        <v>482</v>
      </c>
      <c r="C456" s="78">
        <v>5556</v>
      </c>
      <c r="D456" s="79">
        <v>-7.4990739999999997E-3</v>
      </c>
      <c r="E456" s="79">
        <v>1.2071159999999999E-2</v>
      </c>
      <c r="F456" s="79">
        <v>0.53447531800000003</v>
      </c>
      <c r="G456" s="79">
        <v>0.93839135459751</v>
      </c>
      <c r="H456" s="80">
        <v>1</v>
      </c>
      <c r="I456" s="79">
        <v>3.7666104209057301E-3</v>
      </c>
      <c r="J456" s="79">
        <v>1.21558097304114E-2</v>
      </c>
      <c r="K456" s="79">
        <v>0.75668107949538699</v>
      </c>
      <c r="L456" s="79">
        <v>0.95389133514851498</v>
      </c>
      <c r="M456" s="80">
        <v>1</v>
      </c>
      <c r="N456" s="79">
        <v>8.0658163856771395E-3</v>
      </c>
      <c r="O456" s="79">
        <v>1.198340316403E-2</v>
      </c>
      <c r="P456" s="79">
        <v>0.50093061016813101</v>
      </c>
      <c r="Q456" s="79">
        <v>0.58265897736329797</v>
      </c>
      <c r="R456" s="80">
        <v>1</v>
      </c>
      <c r="S456" s="79">
        <v>2.8190928758162401E-2</v>
      </c>
      <c r="T456" s="79">
        <v>1.1951030538359299E-2</v>
      </c>
      <c r="U456" s="79">
        <v>1.8374239788086898E-2</v>
      </c>
      <c r="V456" s="79">
        <v>4.1050898399792701E-2</v>
      </c>
      <c r="W456" s="79">
        <v>1</v>
      </c>
    </row>
    <row r="457" spans="1:23" x14ac:dyDescent="0.2">
      <c r="A457" s="69"/>
      <c r="B457" s="56" t="s">
        <v>483</v>
      </c>
      <c r="C457" s="78">
        <v>5556</v>
      </c>
      <c r="D457" s="79">
        <v>1.6218669999999999E-3</v>
      </c>
      <c r="E457" s="79">
        <v>1.2466881000000001E-2</v>
      </c>
      <c r="F457" s="79">
        <v>0.89649782600000005</v>
      </c>
      <c r="G457" s="79">
        <v>0.991673151733656</v>
      </c>
      <c r="H457" s="80">
        <v>1</v>
      </c>
      <c r="I457" s="79">
        <v>-1.5259692794259601E-2</v>
      </c>
      <c r="J457" s="79">
        <v>1.25407311755733E-2</v>
      </c>
      <c r="K457" s="79">
        <v>0.22373743666955401</v>
      </c>
      <c r="L457" s="79">
        <v>0.73459417908661795</v>
      </c>
      <c r="M457" s="80">
        <v>1</v>
      </c>
      <c r="N457" s="79">
        <v>2.7016588596763699E-2</v>
      </c>
      <c r="O457" s="79">
        <v>1.23689623719674E-2</v>
      </c>
      <c r="P457" s="79">
        <v>2.8996457429550499E-2</v>
      </c>
      <c r="Q457" s="79">
        <v>5.5836880846888599E-2</v>
      </c>
      <c r="R457" s="80">
        <v>1</v>
      </c>
      <c r="S457" s="79">
        <v>3.2297624144882998E-2</v>
      </c>
      <c r="T457" s="79">
        <v>1.2344895397328101E-2</v>
      </c>
      <c r="U457" s="79">
        <v>8.9185704716987606E-3</v>
      </c>
      <c r="V457" s="79">
        <v>2.3978105780901999E-2</v>
      </c>
      <c r="W457" s="79">
        <v>1</v>
      </c>
    </row>
    <row r="458" spans="1:23" x14ac:dyDescent="0.2">
      <c r="A458" s="69"/>
      <c r="B458" s="56" t="s">
        <v>484</v>
      </c>
      <c r="C458" s="78">
        <v>5556</v>
      </c>
      <c r="D458" s="79">
        <v>-4.6118599999999999E-4</v>
      </c>
      <c r="E458" s="79">
        <v>1.2203555E-2</v>
      </c>
      <c r="F458" s="79">
        <v>0.96985592799999998</v>
      </c>
      <c r="G458" s="79">
        <v>0.992299742561502</v>
      </c>
      <c r="H458" s="80">
        <v>1</v>
      </c>
      <c r="I458" s="79">
        <v>1.1304347767732899E-2</v>
      </c>
      <c r="J458" s="79">
        <v>1.2274259007564301E-2</v>
      </c>
      <c r="K458" s="79">
        <v>0.35710844306575001</v>
      </c>
      <c r="L458" s="79">
        <v>0.814139536849524</v>
      </c>
      <c r="M458" s="80">
        <v>1</v>
      </c>
      <c r="N458" s="79">
        <v>1.5627263652017699E-2</v>
      </c>
      <c r="O458" s="79">
        <v>1.21086478656695E-2</v>
      </c>
      <c r="P458" s="79">
        <v>0.19691263998238401</v>
      </c>
      <c r="Q458" s="79">
        <v>0.27176736186567202</v>
      </c>
      <c r="R458" s="80">
        <v>1</v>
      </c>
      <c r="S458" s="79">
        <v>2.41135205330896E-2</v>
      </c>
      <c r="T458" s="79">
        <v>1.20778828289395E-2</v>
      </c>
      <c r="U458" s="79">
        <v>4.5938529392787801E-2</v>
      </c>
      <c r="V458" s="79">
        <v>8.7663148570598107E-2</v>
      </c>
      <c r="W458" s="79">
        <v>1</v>
      </c>
    </row>
    <row r="459" spans="1:23" x14ac:dyDescent="0.2">
      <c r="A459" s="69"/>
      <c r="B459" s="56" t="s">
        <v>485</v>
      </c>
      <c r="C459" s="78">
        <v>5556</v>
      </c>
      <c r="D459" s="79">
        <v>-1.4560462999999999E-2</v>
      </c>
      <c r="E459" s="79">
        <v>1.2140046E-2</v>
      </c>
      <c r="F459" s="79">
        <v>0.23044656799999999</v>
      </c>
      <c r="G459" s="79">
        <v>0.75581659018604697</v>
      </c>
      <c r="H459" s="80">
        <v>1</v>
      </c>
      <c r="I459" s="79">
        <v>-2.0657660320493501E-2</v>
      </c>
      <c r="J459" s="79">
        <v>1.22166474417248E-2</v>
      </c>
      <c r="K459" s="79">
        <v>9.0915443495759696E-2</v>
      </c>
      <c r="L459" s="79">
        <v>0.59811020064394504</v>
      </c>
      <c r="M459" s="80">
        <v>1</v>
      </c>
      <c r="N459" s="79">
        <v>3.3660688247695802E-2</v>
      </c>
      <c r="O459" s="79">
        <v>1.20472033099567E-2</v>
      </c>
      <c r="P459" s="79">
        <v>5.2271730273830402E-3</v>
      </c>
      <c r="Q459" s="79">
        <v>1.3733504289335599E-2</v>
      </c>
      <c r="R459" s="80">
        <v>1</v>
      </c>
      <c r="S459" s="79">
        <v>3.0720578235079499E-2</v>
      </c>
      <c r="T459" s="79">
        <v>1.20231995249797E-2</v>
      </c>
      <c r="U459" s="79">
        <v>1.0648113075981401E-2</v>
      </c>
      <c r="V459" s="79">
        <v>2.7133444765904399E-2</v>
      </c>
      <c r="W459" s="79">
        <v>1</v>
      </c>
    </row>
    <row r="460" spans="1:23" x14ac:dyDescent="0.2">
      <c r="A460" s="69"/>
      <c r="B460" s="56" t="s">
        <v>486</v>
      </c>
      <c r="C460" s="78">
        <v>5556</v>
      </c>
      <c r="D460" s="79">
        <v>-1.6812763000000001E-2</v>
      </c>
      <c r="E460" s="79">
        <v>1.2032464999999999E-2</v>
      </c>
      <c r="F460" s="79">
        <v>0.16240158099999999</v>
      </c>
      <c r="G460" s="79">
        <v>0.6895550429699</v>
      </c>
      <c r="H460" s="80">
        <v>1</v>
      </c>
      <c r="I460" s="79">
        <v>-1.5845030933742101E-2</v>
      </c>
      <c r="J460" s="79">
        <v>1.2119163083885699E-2</v>
      </c>
      <c r="K460" s="79">
        <v>0.191132710683491</v>
      </c>
      <c r="L460" s="79">
        <v>0.71347894824854996</v>
      </c>
      <c r="M460" s="80">
        <v>1</v>
      </c>
      <c r="N460" s="79">
        <v>1.5917580675796801E-2</v>
      </c>
      <c r="O460" s="79">
        <v>1.1943437735718701E-2</v>
      </c>
      <c r="P460" s="79">
        <v>0.18268589786110601</v>
      </c>
      <c r="Q460" s="79">
        <v>0.25673134483471</v>
      </c>
      <c r="R460" s="80">
        <v>1</v>
      </c>
      <c r="S460" s="79">
        <v>2.68404958463965E-2</v>
      </c>
      <c r="T460" s="79">
        <v>1.19161836321527E-2</v>
      </c>
      <c r="U460" s="79">
        <v>2.43445912480157E-2</v>
      </c>
      <c r="V460" s="79">
        <v>5.12326472532868E-2</v>
      </c>
      <c r="W460" s="79">
        <v>1</v>
      </c>
    </row>
    <row r="461" spans="1:23" x14ac:dyDescent="0.2">
      <c r="A461" s="69"/>
      <c r="B461" s="56" t="s">
        <v>487</v>
      </c>
      <c r="C461" s="78">
        <v>5556</v>
      </c>
      <c r="D461" s="79">
        <v>-8.0159649999999999E-3</v>
      </c>
      <c r="E461" s="79">
        <v>1.2879104000000001E-2</v>
      </c>
      <c r="F461" s="79">
        <v>0.53370719</v>
      </c>
      <c r="G461" s="79">
        <v>0.93839135459751</v>
      </c>
      <c r="H461" s="80">
        <v>1</v>
      </c>
      <c r="I461" s="79">
        <v>7.1735283960092898E-3</v>
      </c>
      <c r="J461" s="79">
        <v>1.29311420307934E-2</v>
      </c>
      <c r="K461" s="79">
        <v>0.57909139742198501</v>
      </c>
      <c r="L461" s="79">
        <v>0.91342751815810697</v>
      </c>
      <c r="M461" s="80">
        <v>1</v>
      </c>
      <c r="N461" s="79">
        <v>1.4103180866975699E-2</v>
      </c>
      <c r="O461" s="79">
        <v>1.2776188153691199E-2</v>
      </c>
      <c r="P461" s="79">
        <v>0.26970550086628298</v>
      </c>
      <c r="Q461" s="79">
        <v>0.34924110265236002</v>
      </c>
      <c r="R461" s="80">
        <v>1</v>
      </c>
      <c r="S461" s="79">
        <v>3.0270120793337602E-2</v>
      </c>
      <c r="T461" s="79">
        <v>1.27330604978683E-2</v>
      </c>
      <c r="U461" s="79">
        <v>1.74782115370875E-2</v>
      </c>
      <c r="V461" s="79">
        <v>3.96068757867215E-2</v>
      </c>
      <c r="W461" s="79">
        <v>1</v>
      </c>
    </row>
    <row r="462" spans="1:23" x14ac:dyDescent="0.2">
      <c r="A462" s="69"/>
      <c r="B462" s="56" t="s">
        <v>488</v>
      </c>
      <c r="C462" s="78">
        <v>5556</v>
      </c>
      <c r="D462" s="79">
        <v>-1.0675331999999999E-2</v>
      </c>
      <c r="E462" s="79">
        <v>1.1520005E-2</v>
      </c>
      <c r="F462" s="79">
        <v>0.35415360899999998</v>
      </c>
      <c r="G462" s="79">
        <v>0.87466935069364204</v>
      </c>
      <c r="H462" s="80">
        <v>1</v>
      </c>
      <c r="I462" s="79">
        <v>1.5656934149641501E-2</v>
      </c>
      <c r="J462" s="79">
        <v>1.1624159840057401E-2</v>
      </c>
      <c r="K462" s="79">
        <v>0.178080338121101</v>
      </c>
      <c r="L462" s="79">
        <v>0.69688241292590103</v>
      </c>
      <c r="M462" s="80">
        <v>1</v>
      </c>
      <c r="N462" s="79">
        <v>2.7557401373223499E-2</v>
      </c>
      <c r="O462" s="79">
        <v>1.14499412648599E-2</v>
      </c>
      <c r="P462" s="79">
        <v>1.6141672831040298E-2</v>
      </c>
      <c r="Q462" s="79">
        <v>3.5377863251451001E-2</v>
      </c>
      <c r="R462" s="80">
        <v>1</v>
      </c>
      <c r="S462" s="79">
        <v>2.6037121327285501E-2</v>
      </c>
      <c r="T462" s="79">
        <v>1.1420572397299201E-2</v>
      </c>
      <c r="U462" s="79">
        <v>2.2671826297944099E-2</v>
      </c>
      <c r="V462" s="79">
        <v>4.8353861465699297E-2</v>
      </c>
      <c r="W462" s="79">
        <v>1</v>
      </c>
    </row>
    <row r="463" spans="1:23" x14ac:dyDescent="0.2">
      <c r="A463" s="69"/>
      <c r="B463" s="56" t="s">
        <v>489</v>
      </c>
      <c r="C463" s="78">
        <v>5556</v>
      </c>
      <c r="D463" s="79">
        <v>1.7060045999999999E-2</v>
      </c>
      <c r="E463" s="79">
        <v>1.1956596999999999E-2</v>
      </c>
      <c r="F463" s="79">
        <v>0.15370415000000001</v>
      </c>
      <c r="G463" s="79">
        <v>0.68012823474564499</v>
      </c>
      <c r="H463" s="80">
        <v>1</v>
      </c>
      <c r="I463" s="79">
        <v>2.0596052217422899E-2</v>
      </c>
      <c r="J463" s="79">
        <v>1.2042441065212199E-2</v>
      </c>
      <c r="K463" s="79">
        <v>8.7284392431598204E-2</v>
      </c>
      <c r="L463" s="79">
        <v>0.59811020064394504</v>
      </c>
      <c r="M463" s="80">
        <v>1</v>
      </c>
      <c r="N463" s="79">
        <v>2.0535915895345799E-2</v>
      </c>
      <c r="O463" s="79">
        <v>1.18624139390749E-2</v>
      </c>
      <c r="P463" s="79">
        <v>8.3494648500769195E-2</v>
      </c>
      <c r="Q463" s="79">
        <v>0.13446029054248201</v>
      </c>
      <c r="R463" s="80">
        <v>1</v>
      </c>
      <c r="S463" s="79">
        <v>3.11222689890518E-2</v>
      </c>
      <c r="T463" s="79">
        <v>1.1830053075256799E-2</v>
      </c>
      <c r="U463" s="79">
        <v>8.5500698065582199E-3</v>
      </c>
      <c r="V463" s="79">
        <v>2.3333416310800801E-2</v>
      </c>
      <c r="W463" s="79">
        <v>1</v>
      </c>
    </row>
    <row r="464" spans="1:23" x14ac:dyDescent="0.2">
      <c r="A464" s="69"/>
      <c r="B464" s="56" t="s">
        <v>490</v>
      </c>
      <c r="C464" s="78">
        <v>5556</v>
      </c>
      <c r="D464" s="79">
        <v>-2.5703449E-2</v>
      </c>
      <c r="E464" s="79">
        <v>1.2435128E-2</v>
      </c>
      <c r="F464" s="79">
        <v>3.8791755999999997E-2</v>
      </c>
      <c r="G464" s="79">
        <v>0.43563485277876102</v>
      </c>
      <c r="H464" s="80">
        <v>1</v>
      </c>
      <c r="I464" s="79">
        <v>-1.2906043931288899E-2</v>
      </c>
      <c r="J464" s="79">
        <v>1.25147787624131E-2</v>
      </c>
      <c r="K464" s="79">
        <v>0.302471031612153</v>
      </c>
      <c r="L464" s="79">
        <v>0.78333824309351496</v>
      </c>
      <c r="M464" s="80">
        <v>1</v>
      </c>
      <c r="N464" s="79">
        <v>8.6998418640489295E-3</v>
      </c>
      <c r="O464" s="79">
        <v>1.23458652193343E-2</v>
      </c>
      <c r="P464" s="79">
        <v>0.48104820792469</v>
      </c>
      <c r="Q464" s="79">
        <v>0.56210881754735897</v>
      </c>
      <c r="R464" s="80">
        <v>1</v>
      </c>
      <c r="S464" s="79">
        <v>1.34615388859597E-2</v>
      </c>
      <c r="T464" s="79">
        <v>1.23155029669638E-2</v>
      </c>
      <c r="U464" s="79">
        <v>0.27442754011840698</v>
      </c>
      <c r="V464" s="79">
        <v>0.36663257371399999</v>
      </c>
      <c r="W464" s="79">
        <v>1</v>
      </c>
    </row>
    <row r="465" spans="1:23" x14ac:dyDescent="0.2">
      <c r="A465" s="69"/>
      <c r="B465" s="56" t="s">
        <v>491</v>
      </c>
      <c r="C465" s="78">
        <v>5556</v>
      </c>
      <c r="D465" s="79">
        <v>-7.2790930000000004E-3</v>
      </c>
      <c r="E465" s="79">
        <v>1.1617957999999999E-2</v>
      </c>
      <c r="F465" s="79">
        <v>0.53099897699999998</v>
      </c>
      <c r="G465" s="79">
        <v>0.93839135459751</v>
      </c>
      <c r="H465" s="80">
        <v>1</v>
      </c>
      <c r="I465" s="79">
        <v>1.1896146546243999E-2</v>
      </c>
      <c r="J465" s="79">
        <v>1.17187078446459E-2</v>
      </c>
      <c r="K465" s="79">
        <v>0.31009887878135201</v>
      </c>
      <c r="L465" s="79">
        <v>0.78754770700353705</v>
      </c>
      <c r="M465" s="80">
        <v>1</v>
      </c>
      <c r="N465" s="79">
        <v>2.7444668000314101E-2</v>
      </c>
      <c r="O465" s="79">
        <v>1.15324248237057E-2</v>
      </c>
      <c r="P465" s="79">
        <v>1.7370458453943399E-2</v>
      </c>
      <c r="Q465" s="79">
        <v>3.7216612766494399E-2</v>
      </c>
      <c r="R465" s="80">
        <v>1</v>
      </c>
      <c r="S465" s="79">
        <v>2.6601293675515E-2</v>
      </c>
      <c r="T465" s="79">
        <v>1.1516921399819E-2</v>
      </c>
      <c r="U465" s="79">
        <v>2.09528954302695E-2</v>
      </c>
      <c r="V465" s="79">
        <v>4.56859524072371E-2</v>
      </c>
      <c r="W465" s="79">
        <v>1</v>
      </c>
    </row>
    <row r="466" spans="1:23" x14ac:dyDescent="0.2">
      <c r="A466" s="69"/>
      <c r="B466" s="56" t="s">
        <v>492</v>
      </c>
      <c r="C466" s="78">
        <v>5556</v>
      </c>
      <c r="D466" s="79">
        <v>-3.2023199999999998E-3</v>
      </c>
      <c r="E466" s="79">
        <v>1.163193E-2</v>
      </c>
      <c r="F466" s="79">
        <v>0.78309762599999999</v>
      </c>
      <c r="G466" s="79">
        <v>0.98545101377932998</v>
      </c>
      <c r="H466" s="80">
        <v>1</v>
      </c>
      <c r="I466" s="79">
        <v>2.2029670484396701E-2</v>
      </c>
      <c r="J466" s="79">
        <v>1.17288550751824E-2</v>
      </c>
      <c r="K466" s="79">
        <v>6.0421398143706E-2</v>
      </c>
      <c r="L466" s="79">
        <v>0.57459637698370203</v>
      </c>
      <c r="M466" s="80">
        <v>1</v>
      </c>
      <c r="N466" s="79">
        <v>2.7499536562187399E-2</v>
      </c>
      <c r="O466" s="79">
        <v>1.15448569013609E-2</v>
      </c>
      <c r="P466" s="79">
        <v>1.72691053264795E-2</v>
      </c>
      <c r="Q466" s="79">
        <v>3.7206272766218101E-2</v>
      </c>
      <c r="R466" s="80">
        <v>1</v>
      </c>
      <c r="S466" s="79">
        <v>3.1735591956554801E-2</v>
      </c>
      <c r="T466" s="79">
        <v>1.15249233464257E-2</v>
      </c>
      <c r="U466" s="79">
        <v>5.9212686621531296E-3</v>
      </c>
      <c r="V466" s="79">
        <v>1.76802116053466E-2</v>
      </c>
      <c r="W466" s="79">
        <v>1</v>
      </c>
    </row>
    <row r="467" spans="1:23" x14ac:dyDescent="0.2">
      <c r="A467" s="69"/>
      <c r="B467" s="56" t="s">
        <v>493</v>
      </c>
      <c r="C467" s="78">
        <v>5556</v>
      </c>
      <c r="D467" s="79">
        <v>-3.540737E-3</v>
      </c>
      <c r="E467" s="79">
        <v>1.2298857E-2</v>
      </c>
      <c r="F467" s="79">
        <v>0.77344290800000004</v>
      </c>
      <c r="G467" s="79">
        <v>0.98545101377932998</v>
      </c>
      <c r="H467" s="80">
        <v>1</v>
      </c>
      <c r="I467" s="79">
        <v>-2.21407340880206E-2</v>
      </c>
      <c r="J467" s="79">
        <v>1.2361999539303401E-2</v>
      </c>
      <c r="K467" s="79">
        <v>7.33527289766428E-2</v>
      </c>
      <c r="L467" s="79">
        <v>0.57459637698370203</v>
      </c>
      <c r="M467" s="80">
        <v>1</v>
      </c>
      <c r="N467" s="79">
        <v>2.8282597292431901E-2</v>
      </c>
      <c r="O467" s="79">
        <v>1.22043674134651E-2</v>
      </c>
      <c r="P467" s="79">
        <v>2.05249928784875E-2</v>
      </c>
      <c r="Q467" s="79">
        <v>4.2282818121429602E-2</v>
      </c>
      <c r="R467" s="80">
        <v>1</v>
      </c>
      <c r="S467" s="79">
        <v>3.3170746440521398E-2</v>
      </c>
      <c r="T467" s="79">
        <v>1.2173622723662699E-2</v>
      </c>
      <c r="U467" s="79">
        <v>6.4582647170816701E-3</v>
      </c>
      <c r="V467" s="79">
        <v>1.8754091363790901E-2</v>
      </c>
      <c r="W467" s="79">
        <v>1</v>
      </c>
    </row>
    <row r="468" spans="1:23" x14ac:dyDescent="0.2">
      <c r="A468" s="69"/>
      <c r="B468" s="56" t="s">
        <v>494</v>
      </c>
      <c r="C468" s="78">
        <v>5556</v>
      </c>
      <c r="D468" s="79">
        <v>-2.4862310000000002E-3</v>
      </c>
      <c r="E468" s="79">
        <v>1.1690923000000001E-2</v>
      </c>
      <c r="F468" s="79">
        <v>0.83160081900000005</v>
      </c>
      <c r="G468" s="79">
        <v>0.98545101377932998</v>
      </c>
      <c r="H468" s="80">
        <v>1</v>
      </c>
      <c r="I468" s="79">
        <v>-2.9236867570960501E-2</v>
      </c>
      <c r="J468" s="79">
        <v>1.17797120705306E-2</v>
      </c>
      <c r="K468" s="79">
        <v>1.3106516609358101E-2</v>
      </c>
      <c r="L468" s="79">
        <v>0.40566267261647398</v>
      </c>
      <c r="M468" s="80">
        <v>1</v>
      </c>
      <c r="N468" s="79">
        <v>4.4369836278448503E-2</v>
      </c>
      <c r="O468" s="79">
        <v>1.1596757901555101E-2</v>
      </c>
      <c r="P468" s="79">
        <v>1.3226117407176701E-4</v>
      </c>
      <c r="Q468" s="79">
        <v>7.3613785042575596E-4</v>
      </c>
      <c r="R468" s="80">
        <v>0.16783942989707201</v>
      </c>
      <c r="S468" s="79">
        <v>3.2952256393180702E-2</v>
      </c>
      <c r="T468" s="79">
        <v>1.1594413481991099E-2</v>
      </c>
      <c r="U468" s="79">
        <v>4.5051602544745701E-3</v>
      </c>
      <c r="V468" s="79">
        <v>1.41862242256284E-2</v>
      </c>
      <c r="W468" s="79">
        <v>1</v>
      </c>
    </row>
    <row r="469" spans="1:23" x14ac:dyDescent="0.2">
      <c r="A469" s="69"/>
      <c r="B469" s="56" t="s">
        <v>495</v>
      </c>
      <c r="C469" s="78">
        <v>5556</v>
      </c>
      <c r="D469" s="79">
        <v>-6.34032E-3</v>
      </c>
      <c r="E469" s="79">
        <v>1.1833679E-2</v>
      </c>
      <c r="F469" s="79">
        <v>0.59213581900000001</v>
      </c>
      <c r="G469" s="79">
        <v>0.95479079327954297</v>
      </c>
      <c r="H469" s="80">
        <v>1</v>
      </c>
      <c r="I469" s="79">
        <v>1.87217539175518E-3</v>
      </c>
      <c r="J469" s="79">
        <v>1.1925277700050399E-2</v>
      </c>
      <c r="K469" s="79">
        <v>0.87525848898320902</v>
      </c>
      <c r="L469" s="79">
        <v>0.97259459064771603</v>
      </c>
      <c r="M469" s="80">
        <v>1</v>
      </c>
      <c r="N469" s="79">
        <v>2.0135988661275001E-2</v>
      </c>
      <c r="O469" s="79">
        <v>1.1742848861793101E-2</v>
      </c>
      <c r="P469" s="79">
        <v>8.6467723685669101E-2</v>
      </c>
      <c r="Q469" s="79">
        <v>0.13872002700014399</v>
      </c>
      <c r="R469" s="80">
        <v>1</v>
      </c>
      <c r="S469" s="79">
        <v>4.4936311934876398E-2</v>
      </c>
      <c r="T469" s="79">
        <v>1.1702943199339001E-2</v>
      </c>
      <c r="U469" s="79">
        <v>1.2501190396418301E-4</v>
      </c>
      <c r="V469" s="79">
        <v>9.3317709488557801E-4</v>
      </c>
      <c r="W469" s="79">
        <v>0.15864010613054799</v>
      </c>
    </row>
    <row r="470" spans="1:23" x14ac:dyDescent="0.2">
      <c r="A470" s="69"/>
      <c r="B470" s="56" t="s">
        <v>496</v>
      </c>
      <c r="C470" s="78">
        <v>5556</v>
      </c>
      <c r="D470" s="79">
        <v>2.6204391E-2</v>
      </c>
      <c r="E470" s="79">
        <v>1.2581683999999999E-2</v>
      </c>
      <c r="F470" s="79">
        <v>3.7327700999999998E-2</v>
      </c>
      <c r="G470" s="79">
        <v>0.43563485277876102</v>
      </c>
      <c r="H470" s="80">
        <v>1</v>
      </c>
      <c r="I470" s="79">
        <v>2.2023158391963199E-2</v>
      </c>
      <c r="J470" s="79">
        <v>1.26415726720957E-2</v>
      </c>
      <c r="K470" s="79">
        <v>8.1549342353283497E-2</v>
      </c>
      <c r="L470" s="79">
        <v>0.592518555369977</v>
      </c>
      <c r="M470" s="80">
        <v>1</v>
      </c>
      <c r="N470" s="79">
        <v>-1.64084666484378E-2</v>
      </c>
      <c r="O470" s="79">
        <v>1.24858553739991E-2</v>
      </c>
      <c r="P470" s="79">
        <v>0.18885323490904901</v>
      </c>
      <c r="Q470" s="79">
        <v>0.26393695495548802</v>
      </c>
      <c r="R470" s="80">
        <v>1</v>
      </c>
      <c r="S470" s="79">
        <v>-4.2560514843756397E-3</v>
      </c>
      <c r="T470" s="79">
        <v>1.24544663385534E-2</v>
      </c>
      <c r="U470" s="79">
        <v>0.73256968497547104</v>
      </c>
      <c r="V470" s="79">
        <v>0.784498675302846</v>
      </c>
      <c r="W470" s="79">
        <v>1</v>
      </c>
    </row>
    <row r="471" spans="1:23" x14ac:dyDescent="0.2">
      <c r="A471" s="69"/>
      <c r="B471" s="56" t="s">
        <v>497</v>
      </c>
      <c r="C471" s="78">
        <v>5556</v>
      </c>
      <c r="D471" s="79">
        <v>2.4298119999999999E-3</v>
      </c>
      <c r="E471" s="79">
        <v>1.1741151E-2</v>
      </c>
      <c r="F471" s="79">
        <v>0.83606101200000005</v>
      </c>
      <c r="G471" s="79">
        <v>0.98546325435376003</v>
      </c>
      <c r="H471" s="80">
        <v>1</v>
      </c>
      <c r="I471" s="79">
        <v>-1.57553584530001E-3</v>
      </c>
      <c r="J471" s="79">
        <v>1.18411858305255E-2</v>
      </c>
      <c r="K471" s="79">
        <v>0.89415598309081301</v>
      </c>
      <c r="L471" s="79">
        <v>0.97986523535599401</v>
      </c>
      <c r="M471" s="80">
        <v>1</v>
      </c>
      <c r="N471" s="79">
        <v>2.0475333223165599E-2</v>
      </c>
      <c r="O471" s="79">
        <v>1.1657689906275101E-2</v>
      </c>
      <c r="P471" s="79">
        <v>7.9101262406190601E-2</v>
      </c>
      <c r="Q471" s="79">
        <v>0.12935502834208201</v>
      </c>
      <c r="R471" s="80">
        <v>1</v>
      </c>
      <c r="S471" s="81">
        <v>4.7862763300685902E-2</v>
      </c>
      <c r="T471" s="81">
        <v>1.16279266328491E-2</v>
      </c>
      <c r="U471" s="81">
        <v>3.9299211773191002E-5</v>
      </c>
      <c r="V471" s="81">
        <v>4.0877622737852E-4</v>
      </c>
      <c r="W471" s="81">
        <v>4.9870699740179401E-2</v>
      </c>
    </row>
    <row r="472" spans="1:23" x14ac:dyDescent="0.2">
      <c r="A472" s="69"/>
      <c r="B472" s="56" t="s">
        <v>498</v>
      </c>
      <c r="C472" s="78">
        <v>5556</v>
      </c>
      <c r="D472" s="79">
        <v>1.330522E-2</v>
      </c>
      <c r="E472" s="79">
        <v>1.2295202E-2</v>
      </c>
      <c r="F472" s="79">
        <v>0.279246196</v>
      </c>
      <c r="G472" s="79">
        <v>0.82719597069976902</v>
      </c>
      <c r="H472" s="80">
        <v>1</v>
      </c>
      <c r="I472" s="79">
        <v>4.8048790988817099E-3</v>
      </c>
      <c r="J472" s="79">
        <v>1.23737049525277E-2</v>
      </c>
      <c r="K472" s="79">
        <v>0.69780190704007306</v>
      </c>
      <c r="L472" s="79">
        <v>0.9363531347706</v>
      </c>
      <c r="M472" s="80">
        <v>1</v>
      </c>
      <c r="N472" s="79">
        <v>5.0183666409710998E-3</v>
      </c>
      <c r="O472" s="79">
        <v>1.2202169640772399E-2</v>
      </c>
      <c r="P472" s="79">
        <v>0.68089552996512903</v>
      </c>
      <c r="Q472" s="79">
        <v>0.74292899196089801</v>
      </c>
      <c r="R472" s="80">
        <v>1</v>
      </c>
      <c r="S472" s="79">
        <v>2.9042307258497602E-2</v>
      </c>
      <c r="T472" s="79">
        <v>1.2168879560955E-2</v>
      </c>
      <c r="U472" s="79">
        <v>1.7045969571241801E-2</v>
      </c>
      <c r="V472" s="79">
        <v>3.8765834024920898E-2</v>
      </c>
      <c r="W472" s="79">
        <v>1</v>
      </c>
    </row>
    <row r="473" spans="1:23" x14ac:dyDescent="0.2">
      <c r="A473" s="69"/>
      <c r="B473" s="56" t="s">
        <v>499</v>
      </c>
      <c r="C473" s="78">
        <v>5556</v>
      </c>
      <c r="D473" s="79">
        <v>1.6172026999999999E-2</v>
      </c>
      <c r="E473" s="79">
        <v>1.1785304999999999E-2</v>
      </c>
      <c r="F473" s="79">
        <v>0.17007168</v>
      </c>
      <c r="G473" s="79">
        <v>0.70136321922857203</v>
      </c>
      <c r="H473" s="80">
        <v>1</v>
      </c>
      <c r="I473" s="79">
        <v>1.31387347654786E-2</v>
      </c>
      <c r="J473" s="79">
        <v>1.1877638143128E-2</v>
      </c>
      <c r="K473" s="79">
        <v>0.26871453215124003</v>
      </c>
      <c r="L473" s="79">
        <v>0.76115790468732902</v>
      </c>
      <c r="M473" s="80">
        <v>1</v>
      </c>
      <c r="N473" s="79">
        <v>3.37716213780574E-2</v>
      </c>
      <c r="O473" s="79">
        <v>1.1694827574818E-2</v>
      </c>
      <c r="P473" s="79">
        <v>3.9006974665514501E-3</v>
      </c>
      <c r="Q473" s="79">
        <v>1.0927119393054701E-2</v>
      </c>
      <c r="R473" s="80">
        <v>1</v>
      </c>
      <c r="S473" s="81">
        <v>5.3759223395256898E-2</v>
      </c>
      <c r="T473" s="81">
        <v>1.16641273298976E-2</v>
      </c>
      <c r="U473" s="81">
        <v>4.1702630040821196E-6</v>
      </c>
      <c r="V473" s="81">
        <v>8.1416365418157099E-5</v>
      </c>
      <c r="W473" s="81">
        <v>5.2920637521802101E-3</v>
      </c>
    </row>
    <row r="474" spans="1:23" x14ac:dyDescent="0.2">
      <c r="A474" s="69"/>
      <c r="B474" s="56" t="s">
        <v>500</v>
      </c>
      <c r="C474" s="78">
        <v>5556</v>
      </c>
      <c r="D474" s="79">
        <v>1.2359614999999999E-2</v>
      </c>
      <c r="E474" s="79">
        <v>1.1395783E-2</v>
      </c>
      <c r="F474" s="79">
        <v>0.27818126700000001</v>
      </c>
      <c r="G474" s="79">
        <v>0.82719597069976902</v>
      </c>
      <c r="H474" s="80">
        <v>1</v>
      </c>
      <c r="I474" s="79">
        <v>2.92322959343833E-3</v>
      </c>
      <c r="J474" s="79">
        <v>1.1512275809778E-2</v>
      </c>
      <c r="K474" s="79">
        <v>0.79956897530498805</v>
      </c>
      <c r="L474" s="79">
        <v>0.96152541340142705</v>
      </c>
      <c r="M474" s="80">
        <v>1</v>
      </c>
      <c r="N474" s="79">
        <v>2.8411977211589799E-2</v>
      </c>
      <c r="O474" s="79">
        <v>1.1316674914696701E-2</v>
      </c>
      <c r="P474" s="79">
        <v>1.20946093007225E-2</v>
      </c>
      <c r="Q474" s="79">
        <v>2.7804455077204401E-2</v>
      </c>
      <c r="R474" s="80">
        <v>1</v>
      </c>
      <c r="S474" s="81">
        <v>4.6777932119153098E-2</v>
      </c>
      <c r="T474" s="81">
        <v>1.1297017647271E-2</v>
      </c>
      <c r="U474" s="81">
        <v>3.5395446511707798E-5</v>
      </c>
      <c r="V474" s="81">
        <v>3.8721397951170002E-4</v>
      </c>
      <c r="W474" s="81">
        <v>4.4916821623357202E-2</v>
      </c>
    </row>
    <row r="475" spans="1:23" x14ac:dyDescent="0.2">
      <c r="A475" s="69"/>
      <c r="B475" s="56" t="s">
        <v>501</v>
      </c>
      <c r="C475" s="78">
        <v>5556</v>
      </c>
      <c r="D475" s="79">
        <v>5.9250070000000004E-3</v>
      </c>
      <c r="E475" s="79">
        <v>1.1326510999999999E-2</v>
      </c>
      <c r="F475" s="79">
        <v>0.60093115100000005</v>
      </c>
      <c r="G475" s="79">
        <v>0.95727586527067698</v>
      </c>
      <c r="H475" s="80">
        <v>1</v>
      </c>
      <c r="I475" s="79">
        <v>3.59177228094205E-3</v>
      </c>
      <c r="J475" s="79">
        <v>1.1444115542135201E-2</v>
      </c>
      <c r="K475" s="79">
        <v>0.75365034872215997</v>
      </c>
      <c r="L475" s="79">
        <v>0.95292321760430299</v>
      </c>
      <c r="M475" s="80">
        <v>1</v>
      </c>
      <c r="N475" s="79">
        <v>3.28375828079834E-2</v>
      </c>
      <c r="O475" s="79">
        <v>1.12473751776103E-2</v>
      </c>
      <c r="P475" s="79">
        <v>3.5272134801711901E-3</v>
      </c>
      <c r="Q475" s="79">
        <v>1.00601650048019E-2</v>
      </c>
      <c r="R475" s="80">
        <v>1</v>
      </c>
      <c r="S475" s="79">
        <v>3.9928604526066197E-2</v>
      </c>
      <c r="T475" s="79">
        <v>1.12323605950205E-2</v>
      </c>
      <c r="U475" s="79">
        <v>3.8319134122651499E-4</v>
      </c>
      <c r="V475" s="79">
        <v>2.1805821166656801E-3</v>
      </c>
      <c r="W475" s="79">
        <v>0.48626981201644798</v>
      </c>
    </row>
    <row r="476" spans="1:23" x14ac:dyDescent="0.2">
      <c r="A476" s="69"/>
      <c r="B476" s="56" t="s">
        <v>502</v>
      </c>
      <c r="C476" s="78">
        <v>5556</v>
      </c>
      <c r="D476" s="79">
        <v>-1.0051828E-2</v>
      </c>
      <c r="E476" s="79">
        <v>1.1549192E-2</v>
      </c>
      <c r="F476" s="79">
        <v>0.384166332</v>
      </c>
      <c r="G476" s="79">
        <v>0.880152082540541</v>
      </c>
      <c r="H476" s="80">
        <v>1</v>
      </c>
      <c r="I476" s="79">
        <v>2.68121362238516E-4</v>
      </c>
      <c r="J476" s="79">
        <v>1.16642139303345E-2</v>
      </c>
      <c r="K476" s="79">
        <v>0.98166209192007003</v>
      </c>
      <c r="L476" s="79">
        <v>0.99340446144064498</v>
      </c>
      <c r="M476" s="80">
        <v>1</v>
      </c>
      <c r="N476" s="79">
        <v>4.0737428236544797E-2</v>
      </c>
      <c r="O476" s="79">
        <v>1.1457527575789399E-2</v>
      </c>
      <c r="P476" s="79">
        <v>3.8191972174312901E-4</v>
      </c>
      <c r="Q476" s="79">
        <v>1.73091473890011E-3</v>
      </c>
      <c r="R476" s="80">
        <v>0.48465612689203103</v>
      </c>
      <c r="S476" s="79">
        <v>2.97729056347876E-2</v>
      </c>
      <c r="T476" s="79">
        <v>1.14549572635653E-2</v>
      </c>
      <c r="U476" s="79">
        <v>9.3824474546644401E-3</v>
      </c>
      <c r="V476" s="79">
        <v>2.5065949094671899E-2</v>
      </c>
      <c r="W476" s="79">
        <v>1</v>
      </c>
    </row>
    <row r="477" spans="1:23" x14ac:dyDescent="0.2">
      <c r="A477" s="69"/>
      <c r="B477" s="56" t="s">
        <v>503</v>
      </c>
      <c r="C477" s="78">
        <v>5556</v>
      </c>
      <c r="D477" s="79">
        <v>5.3169799999999998E-3</v>
      </c>
      <c r="E477" s="79">
        <v>1.1772974E-2</v>
      </c>
      <c r="F477" s="79">
        <v>0.65156340000000001</v>
      </c>
      <c r="G477" s="79">
        <v>0.98290913275237002</v>
      </c>
      <c r="H477" s="80">
        <v>1</v>
      </c>
      <c r="I477" s="79">
        <v>1.1957006188990701E-2</v>
      </c>
      <c r="J477" s="79">
        <v>1.1871802316365599E-2</v>
      </c>
      <c r="K477" s="79">
        <v>0.31390888797371003</v>
      </c>
      <c r="L477" s="79">
        <v>0.78754770700353705</v>
      </c>
      <c r="M477" s="80">
        <v>1</v>
      </c>
      <c r="N477" s="79">
        <v>1.50120795724641E-2</v>
      </c>
      <c r="O477" s="79">
        <v>1.1696814965574599E-2</v>
      </c>
      <c r="P477" s="79">
        <v>0.199415128580642</v>
      </c>
      <c r="Q477" s="79">
        <v>0.27446615853452799</v>
      </c>
      <c r="R477" s="80">
        <v>1</v>
      </c>
      <c r="S477" s="79">
        <v>4.6090749209619003E-2</v>
      </c>
      <c r="T477" s="79">
        <v>1.1647460568946E-2</v>
      </c>
      <c r="U477" s="79">
        <v>7.7165084525193997E-5</v>
      </c>
      <c r="V477" s="79">
        <v>6.6163846123291296E-4</v>
      </c>
      <c r="W477" s="79">
        <v>9.7922492262471197E-2</v>
      </c>
    </row>
    <row r="478" spans="1:23" x14ac:dyDescent="0.2">
      <c r="A478" s="69"/>
      <c r="B478" s="56" t="s">
        <v>504</v>
      </c>
      <c r="C478" s="78">
        <v>5556</v>
      </c>
      <c r="D478" s="79">
        <v>-1.4171065E-2</v>
      </c>
      <c r="E478" s="79">
        <v>1.1600232E-2</v>
      </c>
      <c r="F478" s="79">
        <v>0.221927131</v>
      </c>
      <c r="G478" s="79">
        <v>0.74224234113157905</v>
      </c>
      <c r="H478" s="80">
        <v>1</v>
      </c>
      <c r="I478" s="79">
        <v>2.6121531174897899E-3</v>
      </c>
      <c r="J478" s="79">
        <v>1.1700242490646599E-2</v>
      </c>
      <c r="K478" s="79">
        <v>0.82334742544599804</v>
      </c>
      <c r="L478" s="79">
        <v>0.96329235519434897</v>
      </c>
      <c r="M478" s="80">
        <v>1</v>
      </c>
      <c r="N478" s="79">
        <v>2.1203222990588699E-2</v>
      </c>
      <c r="O478" s="79">
        <v>1.1516396079557E-2</v>
      </c>
      <c r="P478" s="79">
        <v>6.5678699013486802E-2</v>
      </c>
      <c r="Q478" s="79">
        <v>0.11112835873082</v>
      </c>
      <c r="R478" s="80">
        <v>1</v>
      </c>
      <c r="S478" s="79">
        <v>4.4455118822884297E-2</v>
      </c>
      <c r="T478" s="79">
        <v>1.14712228262731E-2</v>
      </c>
      <c r="U478" s="79">
        <v>1.08228005363297E-4</v>
      </c>
      <c r="V478" s="79">
        <v>8.4906478864953604E-4</v>
      </c>
      <c r="W478" s="79">
        <v>0.137341338806024</v>
      </c>
    </row>
    <row r="479" spans="1:23" x14ac:dyDescent="0.2">
      <c r="A479" s="69"/>
      <c r="B479" s="56" t="s">
        <v>505</v>
      </c>
      <c r="C479" s="78">
        <v>5556</v>
      </c>
      <c r="D479" s="79">
        <v>-4.6386459999999997E-3</v>
      </c>
      <c r="E479" s="79">
        <v>1.2619373999999999E-2</v>
      </c>
      <c r="F479" s="79">
        <v>0.71320104100000004</v>
      </c>
      <c r="G479" s="79">
        <v>0.98545101377932998</v>
      </c>
      <c r="H479" s="80">
        <v>1</v>
      </c>
      <c r="I479" s="79">
        <v>8.8746465933038799E-3</v>
      </c>
      <c r="J479" s="79">
        <v>1.2668632459489499E-2</v>
      </c>
      <c r="K479" s="79">
        <v>0.48363367480360597</v>
      </c>
      <c r="L479" s="79">
        <v>0.88053247249035305</v>
      </c>
      <c r="M479" s="80">
        <v>1</v>
      </c>
      <c r="N479" s="79">
        <v>2.2872330725017299E-2</v>
      </c>
      <c r="O479" s="79">
        <v>1.2514412365412699E-2</v>
      </c>
      <c r="P479" s="79">
        <v>6.7657032551548105E-2</v>
      </c>
      <c r="Q479" s="79">
        <v>0.11401962059484</v>
      </c>
      <c r="R479" s="80">
        <v>1</v>
      </c>
      <c r="S479" s="79">
        <v>4.3577470190463798E-2</v>
      </c>
      <c r="T479" s="79">
        <v>1.24699824380297E-2</v>
      </c>
      <c r="U479" s="79">
        <v>4.7887795465249101E-4</v>
      </c>
      <c r="V479" s="79">
        <v>2.5859409551234501E-3</v>
      </c>
      <c r="W479" s="79">
        <v>0.607696124454011</v>
      </c>
    </row>
    <row r="480" spans="1:23" x14ac:dyDescent="0.2">
      <c r="A480" s="69"/>
      <c r="B480" s="56" t="s">
        <v>506</v>
      </c>
      <c r="C480" s="78">
        <v>5556</v>
      </c>
      <c r="D480" s="79">
        <v>2.6919243999999998E-2</v>
      </c>
      <c r="E480" s="79">
        <v>1.1443564999999999E-2</v>
      </c>
      <c r="F480" s="79">
        <v>1.8710909000000001E-2</v>
      </c>
      <c r="G480" s="79">
        <v>0.349577479479452</v>
      </c>
      <c r="H480" s="80">
        <v>1</v>
      </c>
      <c r="I480" s="79">
        <v>3.5081422913583099E-2</v>
      </c>
      <c r="J480" s="79">
        <v>1.15590892761234E-2</v>
      </c>
      <c r="K480" s="79">
        <v>2.4225426110361398E-3</v>
      </c>
      <c r="L480" s="79">
        <v>0.19370076628026101</v>
      </c>
      <c r="M480" s="80">
        <v>1</v>
      </c>
      <c r="N480" s="79">
        <v>1.42222298593282E-2</v>
      </c>
      <c r="O480" s="79">
        <v>1.13839321311878E-2</v>
      </c>
      <c r="P480" s="79">
        <v>0.21162904837204</v>
      </c>
      <c r="Q480" s="79">
        <v>0.28753454216715102</v>
      </c>
      <c r="R480" s="80">
        <v>1</v>
      </c>
      <c r="S480" s="81">
        <v>5.1266921966984E-2</v>
      </c>
      <c r="T480" s="81">
        <v>1.1330803932335201E-2</v>
      </c>
      <c r="U480" s="81">
        <v>6.2504980571766798E-6</v>
      </c>
      <c r="V480" s="81">
        <v>1.11716648374045E-4</v>
      </c>
      <c r="W480" s="81">
        <v>7.9318820345572107E-3</v>
      </c>
    </row>
    <row r="481" spans="1:23" x14ac:dyDescent="0.2">
      <c r="A481" s="69"/>
      <c r="B481" s="56" t="s">
        <v>507</v>
      </c>
      <c r="C481" s="78">
        <v>5556</v>
      </c>
      <c r="D481" s="79">
        <v>7.5762809999999998E-3</v>
      </c>
      <c r="E481" s="79">
        <v>1.2090450000000001E-2</v>
      </c>
      <c r="F481" s="79">
        <v>0.530932815</v>
      </c>
      <c r="G481" s="79">
        <v>0.93839135459751</v>
      </c>
      <c r="H481" s="80">
        <v>1</v>
      </c>
      <c r="I481" s="79">
        <v>-5.8186497271709601E-3</v>
      </c>
      <c r="J481" s="79">
        <v>1.21687734125536E-2</v>
      </c>
      <c r="K481" s="79">
        <v>0.63255798610857505</v>
      </c>
      <c r="L481" s="79">
        <v>0.91965825061269202</v>
      </c>
      <c r="M481" s="80">
        <v>1</v>
      </c>
      <c r="N481" s="79">
        <v>1.48175746913746E-2</v>
      </c>
      <c r="O481" s="79">
        <v>1.1994881277550299E-2</v>
      </c>
      <c r="P481" s="79">
        <v>0.21677657921142801</v>
      </c>
      <c r="Q481" s="79">
        <v>0.29358535647737699</v>
      </c>
      <c r="R481" s="80">
        <v>1</v>
      </c>
      <c r="S481" s="79">
        <v>1.43690255972398E-2</v>
      </c>
      <c r="T481" s="79">
        <v>1.1967442617008E-2</v>
      </c>
      <c r="U481" s="79">
        <v>0.229941920880739</v>
      </c>
      <c r="V481" s="79">
        <v>0.31682551313535001</v>
      </c>
      <c r="W481" s="79">
        <v>1</v>
      </c>
    </row>
    <row r="482" spans="1:23" x14ac:dyDescent="0.2">
      <c r="A482" s="69"/>
      <c r="B482" s="56" t="s">
        <v>508</v>
      </c>
      <c r="C482" s="78">
        <v>5556</v>
      </c>
      <c r="D482" s="79">
        <v>-2.3085900000000001E-4</v>
      </c>
      <c r="E482" s="79">
        <v>1.1772763E-2</v>
      </c>
      <c r="F482" s="79">
        <v>0.98435583500000001</v>
      </c>
      <c r="G482" s="79">
        <v>0.99355472541428602</v>
      </c>
      <c r="H482" s="80">
        <v>1</v>
      </c>
      <c r="I482" s="79">
        <v>2.20967112064103E-3</v>
      </c>
      <c r="J482" s="79">
        <v>1.1871220574549901E-2</v>
      </c>
      <c r="K482" s="79">
        <v>0.85234658446963596</v>
      </c>
      <c r="L482" s="79">
        <v>0.96964513668720897</v>
      </c>
      <c r="M482" s="80">
        <v>1</v>
      </c>
      <c r="N482" s="79">
        <v>2.5164467163894901E-2</v>
      </c>
      <c r="O482" s="79">
        <v>1.1683391805996099E-2</v>
      </c>
      <c r="P482" s="79">
        <v>3.13102365506744E-2</v>
      </c>
      <c r="Q482" s="79">
        <v>5.9658693968176899E-2</v>
      </c>
      <c r="R482" s="80">
        <v>1</v>
      </c>
      <c r="S482" s="79">
        <v>3.6148147812884397E-2</v>
      </c>
      <c r="T482" s="79">
        <v>1.1654920265163101E-2</v>
      </c>
      <c r="U482" s="79">
        <v>1.93851296425154E-3</v>
      </c>
      <c r="V482" s="79">
        <v>7.5459292994944898E-3</v>
      </c>
      <c r="W482" s="79">
        <v>1</v>
      </c>
    </row>
    <row r="483" spans="1:23" x14ac:dyDescent="0.2">
      <c r="A483" s="69"/>
      <c r="B483" s="56" t="s">
        <v>509</v>
      </c>
      <c r="C483" s="78">
        <v>5556</v>
      </c>
      <c r="D483" s="79">
        <v>6.4151039999999996E-3</v>
      </c>
      <c r="E483" s="79">
        <v>9.8088800000000007E-3</v>
      </c>
      <c r="F483" s="79">
        <v>0.51316436799999998</v>
      </c>
      <c r="G483" s="79">
        <v>0.93029368998857198</v>
      </c>
      <c r="H483" s="80">
        <v>1</v>
      </c>
      <c r="I483" s="79">
        <v>-3.9713771997233497E-3</v>
      </c>
      <c r="J483" s="79">
        <v>9.9576036930372498E-3</v>
      </c>
      <c r="K483" s="79">
        <v>0.69005111093302096</v>
      </c>
      <c r="L483" s="79">
        <v>0.93616360447106906</v>
      </c>
      <c r="M483" s="80">
        <v>1</v>
      </c>
      <c r="N483" s="79">
        <v>1.86789798918119E-2</v>
      </c>
      <c r="O483" s="79">
        <v>9.7463325159897005E-3</v>
      </c>
      <c r="P483" s="79">
        <v>5.5409920819483399E-2</v>
      </c>
      <c r="Q483" s="79">
        <v>9.6719655460693901E-2</v>
      </c>
      <c r="R483" s="80">
        <v>1</v>
      </c>
      <c r="S483" s="79">
        <v>2.4342952313018602E-2</v>
      </c>
      <c r="T483" s="79">
        <v>9.7365734769891497E-3</v>
      </c>
      <c r="U483" s="79">
        <v>1.24748336648066E-2</v>
      </c>
      <c r="V483" s="79">
        <v>3.0560934209728899E-2</v>
      </c>
      <c r="W483" s="79">
        <v>1</v>
      </c>
    </row>
    <row r="484" spans="1:23" x14ac:dyDescent="0.2">
      <c r="A484" s="69"/>
      <c r="B484" s="56" t="s">
        <v>510</v>
      </c>
      <c r="C484" s="78">
        <v>5556</v>
      </c>
      <c r="D484" s="79">
        <v>4.2633469999999998E-3</v>
      </c>
      <c r="E484" s="79">
        <v>1.1977285000000001E-2</v>
      </c>
      <c r="F484" s="79">
        <v>0.72189397899999996</v>
      </c>
      <c r="G484" s="79">
        <v>0.98545101377932998</v>
      </c>
      <c r="H484" s="80">
        <v>1</v>
      </c>
      <c r="I484" s="79">
        <v>6.1205816391372001E-4</v>
      </c>
      <c r="J484" s="79">
        <v>1.20668892894933E-2</v>
      </c>
      <c r="K484" s="79">
        <v>0.95954927581092098</v>
      </c>
      <c r="L484" s="79">
        <v>0.98719988166166295</v>
      </c>
      <c r="M484" s="80">
        <v>1</v>
      </c>
      <c r="N484" s="79">
        <v>2.9615513037604201E-2</v>
      </c>
      <c r="O484" s="79">
        <v>1.1883196153008599E-2</v>
      </c>
      <c r="P484" s="79">
        <v>1.2732927287227601E-2</v>
      </c>
      <c r="Q484" s="79">
        <v>2.8905339405173199E-2</v>
      </c>
      <c r="R484" s="80">
        <v>1</v>
      </c>
      <c r="S484" s="79">
        <v>2.0260522308191701E-2</v>
      </c>
      <c r="T484" s="79">
        <v>1.1855356423307E-2</v>
      </c>
      <c r="U484" s="79">
        <v>8.7528571113041603E-2</v>
      </c>
      <c r="V484" s="79">
        <v>0.14692295865403401</v>
      </c>
      <c r="W484" s="79">
        <v>1</v>
      </c>
    </row>
    <row r="485" spans="1:23" x14ac:dyDescent="0.2">
      <c r="A485" s="69"/>
      <c r="B485" s="56" t="s">
        <v>511</v>
      </c>
      <c r="C485" s="78">
        <v>5556</v>
      </c>
      <c r="D485" s="79">
        <v>-1.1423353000000001E-2</v>
      </c>
      <c r="E485" s="79">
        <v>1.2283568999999999E-2</v>
      </c>
      <c r="F485" s="79">
        <v>0.352437202</v>
      </c>
      <c r="G485" s="79">
        <v>0.87466935069364204</v>
      </c>
      <c r="H485" s="80">
        <v>1</v>
      </c>
      <c r="I485" s="79">
        <v>1.4630738429427199E-2</v>
      </c>
      <c r="J485" s="79">
        <v>1.23612672817751E-2</v>
      </c>
      <c r="K485" s="79">
        <v>0.23663434607073799</v>
      </c>
      <c r="L485" s="79">
        <v>0.74312835742433903</v>
      </c>
      <c r="M485" s="80">
        <v>1</v>
      </c>
      <c r="N485" s="79">
        <v>3.2649185904984002E-2</v>
      </c>
      <c r="O485" s="79">
        <v>1.2193545422710899E-2</v>
      </c>
      <c r="P485" s="79">
        <v>7.4426444531815704E-3</v>
      </c>
      <c r="Q485" s="79">
        <v>1.8562001282909999E-2</v>
      </c>
      <c r="R485" s="80">
        <v>1</v>
      </c>
      <c r="S485" s="79">
        <v>2.9492520477160101E-2</v>
      </c>
      <c r="T485" s="79">
        <v>1.21570851540653E-2</v>
      </c>
      <c r="U485" s="79">
        <v>1.5307302569073301E-2</v>
      </c>
      <c r="V485" s="79">
        <v>3.5642141211291799E-2</v>
      </c>
      <c r="W485" s="79">
        <v>1</v>
      </c>
    </row>
    <row r="486" spans="1:23" x14ac:dyDescent="0.2">
      <c r="A486" s="69"/>
      <c r="B486" s="56" t="s">
        <v>512</v>
      </c>
      <c r="C486" s="78">
        <v>5556</v>
      </c>
      <c r="D486" s="79">
        <v>-3.0570049999999998E-3</v>
      </c>
      <c r="E486" s="79">
        <v>1.1402195E-2</v>
      </c>
      <c r="F486" s="79">
        <v>0.78863294900000003</v>
      </c>
      <c r="G486" s="79">
        <v>0.98545101377932998</v>
      </c>
      <c r="H486" s="80">
        <v>1</v>
      </c>
      <c r="I486" s="79">
        <v>-1.0823102897554099E-3</v>
      </c>
      <c r="J486" s="79">
        <v>1.15168757236598E-2</v>
      </c>
      <c r="K486" s="79">
        <v>0.925133296905289</v>
      </c>
      <c r="L486" s="79">
        <v>0.981200184300273</v>
      </c>
      <c r="M486" s="80">
        <v>1</v>
      </c>
      <c r="N486" s="79">
        <v>2.4838131448374698E-3</v>
      </c>
      <c r="O486" s="79">
        <v>1.1322890887844401E-2</v>
      </c>
      <c r="P486" s="79">
        <v>0.82638062748499697</v>
      </c>
      <c r="Q486" s="79">
        <v>0.86098277198560003</v>
      </c>
      <c r="R486" s="80">
        <v>1</v>
      </c>
      <c r="S486" s="79">
        <v>3.3575744244975197E-2</v>
      </c>
      <c r="T486" s="79">
        <v>1.1291197809598899E-2</v>
      </c>
      <c r="U486" s="79">
        <v>2.96276045832652E-3</v>
      </c>
      <c r="V486" s="79">
        <v>1.03983633544953E-2</v>
      </c>
      <c r="W486" s="79">
        <v>1</v>
      </c>
    </row>
    <row r="487" spans="1:23" x14ac:dyDescent="0.2">
      <c r="A487" s="69"/>
      <c r="B487" s="56" t="s">
        <v>513</v>
      </c>
      <c r="C487" s="78">
        <v>5556</v>
      </c>
      <c r="D487" s="79">
        <v>-6.6888019999999998E-3</v>
      </c>
      <c r="E487" s="79">
        <v>1.1784573E-2</v>
      </c>
      <c r="F487" s="79">
        <v>0.57034633700000004</v>
      </c>
      <c r="G487" s="79">
        <v>0.95028446965399804</v>
      </c>
      <c r="H487" s="80">
        <v>1</v>
      </c>
      <c r="I487" s="79">
        <v>3.08919453654474E-3</v>
      </c>
      <c r="J487" s="79">
        <v>1.1883645324181E-2</v>
      </c>
      <c r="K487" s="79">
        <v>0.79491279679126203</v>
      </c>
      <c r="L487" s="79">
        <v>0.95979480411808904</v>
      </c>
      <c r="M487" s="80">
        <v>1</v>
      </c>
      <c r="N487" s="79">
        <v>3.7915975483427997E-2</v>
      </c>
      <c r="O487" s="79">
        <v>1.16817229207279E-2</v>
      </c>
      <c r="P487" s="79">
        <v>1.18125088314579E-3</v>
      </c>
      <c r="Q487" s="79">
        <v>4.0359436008394903E-3</v>
      </c>
      <c r="R487" s="80">
        <v>1</v>
      </c>
      <c r="S487" s="79">
        <v>2.3884213910080401E-2</v>
      </c>
      <c r="T487" s="79">
        <v>1.16771647710319E-2</v>
      </c>
      <c r="U487" s="79">
        <v>4.0883425139402303E-2</v>
      </c>
      <c r="V487" s="79">
        <v>7.9694418589710506E-2</v>
      </c>
      <c r="W487" s="79">
        <v>1</v>
      </c>
    </row>
    <row r="488" spans="1:23" x14ac:dyDescent="0.2">
      <c r="A488" s="69"/>
      <c r="B488" s="56" t="s">
        <v>514</v>
      </c>
      <c r="C488" s="78">
        <v>5556</v>
      </c>
      <c r="D488" s="79">
        <v>8.0352449999999999E-3</v>
      </c>
      <c r="E488" s="79">
        <v>1.2000975000000001E-2</v>
      </c>
      <c r="F488" s="79">
        <v>0.503183936</v>
      </c>
      <c r="G488" s="79">
        <v>0.92884339055395704</v>
      </c>
      <c r="H488" s="80">
        <v>1</v>
      </c>
      <c r="I488" s="79">
        <v>-1.3667648469015299E-3</v>
      </c>
      <c r="J488" s="79">
        <v>1.2099219259666401E-2</v>
      </c>
      <c r="K488" s="79">
        <v>0.91006527586105401</v>
      </c>
      <c r="L488" s="79">
        <v>0.981200184300273</v>
      </c>
      <c r="M488" s="80">
        <v>1</v>
      </c>
      <c r="N488" s="79">
        <v>2.9618674704453701E-2</v>
      </c>
      <c r="O488" s="79">
        <v>1.1911397467141999E-2</v>
      </c>
      <c r="P488" s="79">
        <v>1.2937902115519101E-2</v>
      </c>
      <c r="Q488" s="79">
        <v>2.9318210329631701E-2</v>
      </c>
      <c r="R488" s="80">
        <v>1</v>
      </c>
      <c r="S488" s="79">
        <v>3.88388831831918E-2</v>
      </c>
      <c r="T488" s="79">
        <v>1.18798264701896E-2</v>
      </c>
      <c r="U488" s="79">
        <v>1.08709016829727E-3</v>
      </c>
      <c r="V488" s="79">
        <v>4.7569566329973599E-3</v>
      </c>
      <c r="W488" s="79">
        <v>1</v>
      </c>
    </row>
    <row r="489" spans="1:23" x14ac:dyDescent="0.2">
      <c r="A489" s="69"/>
      <c r="B489" s="56" t="s">
        <v>515</v>
      </c>
      <c r="C489" s="78">
        <v>5556</v>
      </c>
      <c r="D489" s="79">
        <v>-3.8096710000000002E-3</v>
      </c>
      <c r="E489" s="79">
        <v>1.2297272E-2</v>
      </c>
      <c r="F489" s="79">
        <v>0.75672906600000001</v>
      </c>
      <c r="G489" s="79">
        <v>0.98545101377932998</v>
      </c>
      <c r="H489" s="80">
        <v>1</v>
      </c>
      <c r="I489" s="79">
        <v>4.8935706612109097E-3</v>
      </c>
      <c r="J489" s="79">
        <v>1.23740099012034E-2</v>
      </c>
      <c r="K489" s="79">
        <v>0.69251310491378504</v>
      </c>
      <c r="L489" s="79">
        <v>0.93616360447106906</v>
      </c>
      <c r="M489" s="80">
        <v>1</v>
      </c>
      <c r="N489" s="79">
        <v>1.2292149378680299E-2</v>
      </c>
      <c r="O489" s="79">
        <v>1.22018244848705E-2</v>
      </c>
      <c r="P489" s="79">
        <v>0.313795805169992</v>
      </c>
      <c r="Q489" s="79">
        <v>0.39701582927290102</v>
      </c>
      <c r="R489" s="80">
        <v>1</v>
      </c>
      <c r="S489" s="79">
        <v>2.2961369098916998E-2</v>
      </c>
      <c r="T489" s="79">
        <v>1.21697117856707E-2</v>
      </c>
      <c r="U489" s="79">
        <v>5.9256404036680803E-2</v>
      </c>
      <c r="V489" s="79">
        <v>0.106510448615507</v>
      </c>
      <c r="W489" s="79">
        <v>1</v>
      </c>
    </row>
    <row r="490" spans="1:23" x14ac:dyDescent="0.2">
      <c r="A490" s="69"/>
      <c r="B490" s="56" t="s">
        <v>516</v>
      </c>
      <c r="C490" s="78">
        <v>5556</v>
      </c>
      <c r="D490" s="79">
        <v>-1.4661240000000001E-3</v>
      </c>
      <c r="E490" s="79">
        <v>1.1400003000000001E-2</v>
      </c>
      <c r="F490" s="79">
        <v>0.89767571599999996</v>
      </c>
      <c r="G490" s="79">
        <v>0.991673151733656</v>
      </c>
      <c r="H490" s="80">
        <v>1</v>
      </c>
      <c r="I490" s="79">
        <v>-1.8365494966621699E-2</v>
      </c>
      <c r="J490" s="79">
        <v>1.1515832029269601E-2</v>
      </c>
      <c r="K490" s="79">
        <v>0.110841139489395</v>
      </c>
      <c r="L490" s="79">
        <v>0.62424045135977002</v>
      </c>
      <c r="M490" s="80">
        <v>1</v>
      </c>
      <c r="N490" s="79">
        <v>1.6515604245238801E-3</v>
      </c>
      <c r="O490" s="79">
        <v>1.1322631766563101E-2</v>
      </c>
      <c r="P490" s="79">
        <v>0.884037278226803</v>
      </c>
      <c r="Q490" s="79">
        <v>0.90703223335507099</v>
      </c>
      <c r="R490" s="80">
        <v>1</v>
      </c>
      <c r="S490" s="79">
        <v>1.55139034995095E-2</v>
      </c>
      <c r="T490" s="79">
        <v>1.13042248898408E-2</v>
      </c>
      <c r="U490" s="79">
        <v>0.17002496288374899</v>
      </c>
      <c r="V490" s="79">
        <v>0.24886006678140399</v>
      </c>
      <c r="W490" s="79">
        <v>1</v>
      </c>
    </row>
    <row r="491" spans="1:23" x14ac:dyDescent="0.2">
      <c r="A491" s="69"/>
      <c r="B491" s="56" t="s">
        <v>517</v>
      </c>
      <c r="C491" s="78">
        <v>5556</v>
      </c>
      <c r="D491" s="79">
        <v>-6.3910640000000001E-3</v>
      </c>
      <c r="E491" s="79">
        <v>1.1825769E-2</v>
      </c>
      <c r="F491" s="79">
        <v>0.58892582500000001</v>
      </c>
      <c r="G491" s="79">
        <v>0.95350818012595395</v>
      </c>
      <c r="H491" s="80">
        <v>1</v>
      </c>
      <c r="I491" s="79">
        <v>2.6595235028918002E-2</v>
      </c>
      <c r="J491" s="79">
        <v>1.1908080737168701E-2</v>
      </c>
      <c r="K491" s="79">
        <v>2.5575044157108099E-2</v>
      </c>
      <c r="L491" s="79">
        <v>0.45891948479274403</v>
      </c>
      <c r="M491" s="80">
        <v>1</v>
      </c>
      <c r="N491" s="79">
        <v>3.7110406791848197E-2</v>
      </c>
      <c r="O491" s="79">
        <v>1.17326323711933E-2</v>
      </c>
      <c r="P491" s="79">
        <v>1.57264212660727E-3</v>
      </c>
      <c r="Q491" s="79">
        <v>5.1302901251018699E-3</v>
      </c>
      <c r="R491" s="80">
        <v>1</v>
      </c>
      <c r="S491" s="79">
        <v>3.8825516605518903E-2</v>
      </c>
      <c r="T491" s="79">
        <v>1.17037376895374E-2</v>
      </c>
      <c r="U491" s="79">
        <v>9.1642199026009295E-4</v>
      </c>
      <c r="V491" s="79">
        <v>4.18323563179877E-3</v>
      </c>
      <c r="W491" s="79">
        <v>1</v>
      </c>
    </row>
    <row r="492" spans="1:23" x14ac:dyDescent="0.2">
      <c r="A492" s="69"/>
      <c r="B492" s="56" t="s">
        <v>518</v>
      </c>
      <c r="C492" s="78">
        <v>5556</v>
      </c>
      <c r="D492" s="79">
        <v>4.3288400000000002E-4</v>
      </c>
      <c r="E492" s="79">
        <v>1.1792049000000001E-2</v>
      </c>
      <c r="F492" s="79">
        <v>0.970718258</v>
      </c>
      <c r="G492" s="79">
        <v>0.992299742561502</v>
      </c>
      <c r="H492" s="80">
        <v>1</v>
      </c>
      <c r="I492" s="79">
        <v>-4.8112585471065004E-3</v>
      </c>
      <c r="J492" s="79">
        <v>1.18914797654208E-2</v>
      </c>
      <c r="K492" s="79">
        <v>0.68579507762551395</v>
      </c>
      <c r="L492" s="79">
        <v>0.93616360447106906</v>
      </c>
      <c r="M492" s="80">
        <v>1</v>
      </c>
      <c r="N492" s="79">
        <v>3.6706763069217899E-2</v>
      </c>
      <c r="O492" s="79">
        <v>1.1695164236604501E-2</v>
      </c>
      <c r="P492" s="79">
        <v>1.7101048404342899E-3</v>
      </c>
      <c r="Q492" s="79">
        <v>5.4939823861040902E-3</v>
      </c>
      <c r="R492" s="80">
        <v>1</v>
      </c>
      <c r="S492" s="79">
        <v>2.27239355887221E-2</v>
      </c>
      <c r="T492" s="79">
        <v>1.1682670540628701E-2</v>
      </c>
      <c r="U492" s="79">
        <v>5.1834462249023799E-2</v>
      </c>
      <c r="V492" s="79">
        <v>9.6590209389150097E-2</v>
      </c>
      <c r="W492" s="79">
        <v>1</v>
      </c>
    </row>
    <row r="493" spans="1:23" x14ac:dyDescent="0.2">
      <c r="A493" s="69"/>
      <c r="B493" s="56" t="s">
        <v>519</v>
      </c>
      <c r="C493" s="78">
        <v>5556</v>
      </c>
      <c r="D493" s="79">
        <v>-3.0502929999999999E-3</v>
      </c>
      <c r="E493" s="79">
        <v>1.2540192E-2</v>
      </c>
      <c r="F493" s="79">
        <v>0.80782950499999995</v>
      </c>
      <c r="G493" s="79">
        <v>0.98545101377932998</v>
      </c>
      <c r="H493" s="80">
        <v>1</v>
      </c>
      <c r="I493" s="79">
        <v>-5.8064529044848604E-3</v>
      </c>
      <c r="J493" s="79">
        <v>1.26125705480891E-2</v>
      </c>
      <c r="K493" s="79">
        <v>0.64527182842717001</v>
      </c>
      <c r="L493" s="79">
        <v>0.92212832238071896</v>
      </c>
      <c r="M493" s="80">
        <v>1</v>
      </c>
      <c r="N493" s="79">
        <v>3.33162098922518E-2</v>
      </c>
      <c r="O493" s="79">
        <v>1.2443305140838501E-2</v>
      </c>
      <c r="P493" s="79">
        <v>7.4452786863681503E-3</v>
      </c>
      <c r="Q493" s="79">
        <v>1.8562001282909999E-2</v>
      </c>
      <c r="R493" s="80">
        <v>1</v>
      </c>
      <c r="S493" s="79">
        <v>3.1338012228570501E-2</v>
      </c>
      <c r="T493" s="79">
        <v>1.2399906845989E-2</v>
      </c>
      <c r="U493" s="79">
        <v>1.15285436816468E-2</v>
      </c>
      <c r="V493" s="79">
        <v>2.8855467321518301E-2</v>
      </c>
      <c r="W493" s="79">
        <v>1</v>
      </c>
    </row>
    <row r="494" spans="1:23" x14ac:dyDescent="0.2">
      <c r="A494" s="69"/>
      <c r="B494" s="56" t="s">
        <v>520</v>
      </c>
      <c r="C494" s="78">
        <v>5556</v>
      </c>
      <c r="D494" s="79">
        <v>3.25252E-4</v>
      </c>
      <c r="E494" s="79">
        <v>1.2359525E-2</v>
      </c>
      <c r="F494" s="79">
        <v>0.97900652300000002</v>
      </c>
      <c r="G494" s="79">
        <v>0.992299742561502</v>
      </c>
      <c r="H494" s="80">
        <v>1</v>
      </c>
      <c r="I494" s="79">
        <v>1.7709508060368299E-2</v>
      </c>
      <c r="J494" s="79">
        <v>1.2426646469716999E-2</v>
      </c>
      <c r="K494" s="79">
        <v>0.15418716037904501</v>
      </c>
      <c r="L494" s="79">
        <v>0.66470888806839401</v>
      </c>
      <c r="M494" s="80">
        <v>1</v>
      </c>
      <c r="N494" s="79">
        <v>4.61534324640494E-4</v>
      </c>
      <c r="O494" s="79">
        <v>1.2263427707469699E-2</v>
      </c>
      <c r="P494" s="79">
        <v>0.96998031404738505</v>
      </c>
      <c r="Q494" s="79">
        <v>0.97536055350723605</v>
      </c>
      <c r="R494" s="80">
        <v>1</v>
      </c>
      <c r="S494" s="79">
        <v>3.0661023547689899E-2</v>
      </c>
      <c r="T494" s="79">
        <v>1.22254047926718E-2</v>
      </c>
      <c r="U494" s="79">
        <v>1.2176306639107E-2</v>
      </c>
      <c r="V494" s="79">
        <v>2.9945219234548001E-2</v>
      </c>
      <c r="W494" s="79">
        <v>1</v>
      </c>
    </row>
    <row r="495" spans="1:23" x14ac:dyDescent="0.2">
      <c r="A495" s="69"/>
      <c r="B495" s="56" t="s">
        <v>521</v>
      </c>
      <c r="C495" s="78">
        <v>5556</v>
      </c>
      <c r="D495" s="79">
        <v>7.3610719999999998E-3</v>
      </c>
      <c r="E495" s="79">
        <v>1.1567314E-2</v>
      </c>
      <c r="F495" s="79">
        <v>0.52457733200000001</v>
      </c>
      <c r="G495" s="79">
        <v>0.93839135459751</v>
      </c>
      <c r="H495" s="80">
        <v>1</v>
      </c>
      <c r="I495" s="79">
        <v>-2.50641365219288E-2</v>
      </c>
      <c r="J495" s="79">
        <v>1.16751944135342E-2</v>
      </c>
      <c r="K495" s="79">
        <v>3.1874489766284701E-2</v>
      </c>
      <c r="L495" s="79">
        <v>0.475366306938526</v>
      </c>
      <c r="M495" s="80">
        <v>1</v>
      </c>
      <c r="N495" s="79">
        <v>3.2403415318416597E-2</v>
      </c>
      <c r="O495" s="79">
        <v>1.1481471465317E-2</v>
      </c>
      <c r="P495" s="79">
        <v>4.7952159894717097E-3</v>
      </c>
      <c r="Q495" s="79">
        <v>1.3002412586836799E-2</v>
      </c>
      <c r="R495" s="80">
        <v>1</v>
      </c>
      <c r="S495" s="79">
        <v>3.4786808479780502E-2</v>
      </c>
      <c r="T495" s="79">
        <v>1.14639779036997E-2</v>
      </c>
      <c r="U495" s="79">
        <v>2.4268587213492E-3</v>
      </c>
      <c r="V495" s="79">
        <v>9.0049231502694008E-3</v>
      </c>
      <c r="W495" s="79">
        <v>1</v>
      </c>
    </row>
    <row r="496" spans="1:23" x14ac:dyDescent="0.2">
      <c r="A496" s="69"/>
      <c r="B496" s="56" t="s">
        <v>522</v>
      </c>
      <c r="C496" s="78">
        <v>5556</v>
      </c>
      <c r="D496" s="79">
        <v>-2.5658889000000001E-2</v>
      </c>
      <c r="E496" s="79">
        <v>1.1317071E-2</v>
      </c>
      <c r="F496" s="79">
        <v>2.3431785E-2</v>
      </c>
      <c r="G496" s="79">
        <v>0.37436086021348303</v>
      </c>
      <c r="H496" s="80">
        <v>1</v>
      </c>
      <c r="I496" s="79">
        <v>-4.8814022066462001E-3</v>
      </c>
      <c r="J496" s="79">
        <v>1.1431164727187399E-2</v>
      </c>
      <c r="K496" s="79">
        <v>0.669384487492939</v>
      </c>
      <c r="L496" s="79">
        <v>0.92967939975467695</v>
      </c>
      <c r="M496" s="80">
        <v>1</v>
      </c>
      <c r="N496" s="79">
        <v>3.9050093333654799E-2</v>
      </c>
      <c r="O496" s="79">
        <v>1.12338102559888E-2</v>
      </c>
      <c r="P496" s="79">
        <v>5.1457891085215305E-4</v>
      </c>
      <c r="Q496" s="79">
        <v>2.1912773082932301E-3</v>
      </c>
      <c r="R496" s="80">
        <v>0.65300063787138196</v>
      </c>
      <c r="S496" s="79">
        <v>8.7670331465650592E-3</v>
      </c>
      <c r="T496" s="79">
        <v>1.1224519379818099E-2</v>
      </c>
      <c r="U496" s="79">
        <v>0.43481644551642801</v>
      </c>
      <c r="V496" s="79">
        <v>0.52358258783684397</v>
      </c>
      <c r="W496" s="79">
        <v>1</v>
      </c>
    </row>
    <row r="497" spans="1:23" x14ac:dyDescent="0.2">
      <c r="A497" s="69"/>
      <c r="B497" s="56" t="s">
        <v>523</v>
      </c>
      <c r="C497" s="78">
        <v>5556</v>
      </c>
      <c r="D497" s="79">
        <v>-1.17389E-2</v>
      </c>
      <c r="E497" s="79">
        <v>1.1289558999999999E-2</v>
      </c>
      <c r="F497" s="79">
        <v>0.29850479000000002</v>
      </c>
      <c r="G497" s="79">
        <v>0.84338459475166305</v>
      </c>
      <c r="H497" s="80">
        <v>1</v>
      </c>
      <c r="I497" s="79">
        <v>-1.1176505603344799E-2</v>
      </c>
      <c r="J497" s="79">
        <v>1.14061402993328E-2</v>
      </c>
      <c r="K497" s="79">
        <v>0.32721675854177101</v>
      </c>
      <c r="L497" s="79">
        <v>0.79366538468944703</v>
      </c>
      <c r="M497" s="80">
        <v>1</v>
      </c>
      <c r="N497" s="79">
        <v>2.1752205445923399E-2</v>
      </c>
      <c r="O497" s="79">
        <v>1.1225226686066399E-2</v>
      </c>
      <c r="P497" s="79">
        <v>5.27281071897878E-2</v>
      </c>
      <c r="Q497" s="79">
        <v>9.2804393930430995E-2</v>
      </c>
      <c r="R497" s="80">
        <v>1</v>
      </c>
      <c r="S497" s="79">
        <v>2.1704020476257298E-2</v>
      </c>
      <c r="T497" s="79">
        <v>1.12079232882285E-2</v>
      </c>
      <c r="U497" s="79">
        <v>5.2887345445384898E-2</v>
      </c>
      <c r="V497" s="79">
        <v>9.7691472154575604E-2</v>
      </c>
      <c r="W497" s="79">
        <v>1</v>
      </c>
    </row>
    <row r="498" spans="1:23" x14ac:dyDescent="0.2">
      <c r="A498" s="69"/>
      <c r="B498" s="56" t="s">
        <v>524</v>
      </c>
      <c r="C498" s="78">
        <v>5556</v>
      </c>
      <c r="D498" s="79">
        <v>1.777072E-2</v>
      </c>
      <c r="E498" s="79">
        <v>1.1346683999999999E-2</v>
      </c>
      <c r="F498" s="79">
        <v>0.117400264</v>
      </c>
      <c r="G498" s="79">
        <v>0.64215920265517301</v>
      </c>
      <c r="H498" s="80">
        <v>1</v>
      </c>
      <c r="I498" s="79">
        <v>-5.1619392300135203E-3</v>
      </c>
      <c r="J498" s="79">
        <v>1.14647064908292E-2</v>
      </c>
      <c r="K498" s="79">
        <v>0.65255911164370295</v>
      </c>
      <c r="L498" s="79">
        <v>0.92464388912011197</v>
      </c>
      <c r="M498" s="80">
        <v>1</v>
      </c>
      <c r="N498" s="79">
        <v>2.2551359170763001E-2</v>
      </c>
      <c r="O498" s="79">
        <v>1.12700866578431E-2</v>
      </c>
      <c r="P498" s="79">
        <v>4.5468300543740903E-2</v>
      </c>
      <c r="Q498" s="79">
        <v>8.1611419222075293E-2</v>
      </c>
      <c r="R498" s="80">
        <v>1</v>
      </c>
      <c r="S498" s="79">
        <v>4.5928915480995203E-2</v>
      </c>
      <c r="T498" s="79">
        <v>1.12471041754145E-2</v>
      </c>
      <c r="U498" s="79">
        <v>4.5294785231030301E-5</v>
      </c>
      <c r="V498" s="79">
        <v>4.5216696200680299E-4</v>
      </c>
      <c r="W498" s="79">
        <v>5.7479082458177497E-2</v>
      </c>
    </row>
    <row r="499" spans="1:23" x14ac:dyDescent="0.2">
      <c r="A499" s="69"/>
      <c r="B499" s="56" t="s">
        <v>525</v>
      </c>
      <c r="C499" s="78">
        <v>5556</v>
      </c>
      <c r="D499" s="79">
        <v>3.4530120000000001E-3</v>
      </c>
      <c r="E499" s="79">
        <v>1.141881E-2</v>
      </c>
      <c r="F499" s="79">
        <v>0.76236677399999997</v>
      </c>
      <c r="G499" s="79">
        <v>0.98545101377932998</v>
      </c>
      <c r="H499" s="80">
        <v>1</v>
      </c>
      <c r="I499" s="79">
        <v>-2.1949094696567199E-2</v>
      </c>
      <c r="J499" s="79">
        <v>1.15222910598825E-2</v>
      </c>
      <c r="K499" s="79">
        <v>5.6864518188115901E-2</v>
      </c>
      <c r="L499" s="79">
        <v>0.56477779537004102</v>
      </c>
      <c r="M499" s="80">
        <v>1</v>
      </c>
      <c r="N499" s="81">
        <v>5.5169887352586301E-2</v>
      </c>
      <c r="O499" s="81">
        <v>1.13142558690173E-2</v>
      </c>
      <c r="P499" s="81">
        <v>1.12740434238568E-6</v>
      </c>
      <c r="Q499" s="81">
        <v>1.2777687191453199E-5</v>
      </c>
      <c r="R499" s="82">
        <v>1.4306761104874301E-3</v>
      </c>
      <c r="S499" s="79">
        <v>2.9307037018704699E-2</v>
      </c>
      <c r="T499" s="79">
        <v>1.13226435223511E-2</v>
      </c>
      <c r="U499" s="79">
        <v>9.6808867941609693E-3</v>
      </c>
      <c r="V499" s="79">
        <v>2.5642736111351001E-2</v>
      </c>
      <c r="W499" s="79">
        <v>1</v>
      </c>
    </row>
    <row r="500" spans="1:23" x14ac:dyDescent="0.2">
      <c r="A500" s="69"/>
      <c r="B500" s="56" t="s">
        <v>526</v>
      </c>
      <c r="C500" s="78">
        <v>5556</v>
      </c>
      <c r="D500" s="79">
        <v>1.8673064999999999E-2</v>
      </c>
      <c r="E500" s="79">
        <v>1.2267676E-2</v>
      </c>
      <c r="F500" s="79">
        <v>0.12804538200000001</v>
      </c>
      <c r="G500" s="79">
        <v>0.65626131345967698</v>
      </c>
      <c r="H500" s="80">
        <v>1</v>
      </c>
      <c r="I500" s="79">
        <v>-7.2411666181948697E-3</v>
      </c>
      <c r="J500" s="79">
        <v>1.23403102537491E-2</v>
      </c>
      <c r="K500" s="79">
        <v>0.55737336419174299</v>
      </c>
      <c r="L500" s="79">
        <v>0.90966865230418403</v>
      </c>
      <c r="M500" s="80">
        <v>1</v>
      </c>
      <c r="N500" s="79">
        <v>1.7189797775981699E-2</v>
      </c>
      <c r="O500" s="79">
        <v>1.21673389388362E-2</v>
      </c>
      <c r="P500" s="79">
        <v>0.15778854028491099</v>
      </c>
      <c r="Q500" s="79">
        <v>0.22805655765552599</v>
      </c>
      <c r="R500" s="80">
        <v>1</v>
      </c>
      <c r="S500" s="79">
        <v>-2.4110591205530902E-3</v>
      </c>
      <c r="T500" s="79">
        <v>1.21427167690308E-2</v>
      </c>
      <c r="U500" s="79">
        <v>0.84261571122248102</v>
      </c>
      <c r="V500" s="79">
        <v>0.87645847339453098</v>
      </c>
      <c r="W500" s="79">
        <v>1</v>
      </c>
    </row>
    <row r="501" spans="1:23" x14ac:dyDescent="0.2">
      <c r="A501" s="69"/>
      <c r="B501" s="56" t="s">
        <v>527</v>
      </c>
      <c r="C501" s="78">
        <v>5556</v>
      </c>
      <c r="D501" s="79">
        <v>5.988241E-3</v>
      </c>
      <c r="E501" s="79">
        <v>1.1419375000000001E-2</v>
      </c>
      <c r="F501" s="79">
        <v>0.60003813100000003</v>
      </c>
      <c r="G501" s="79">
        <v>0.95727586527067698</v>
      </c>
      <c r="H501" s="80">
        <v>1</v>
      </c>
      <c r="I501" s="79">
        <v>7.9844438193512005E-3</v>
      </c>
      <c r="J501" s="79">
        <v>1.1535507133213E-2</v>
      </c>
      <c r="K501" s="79">
        <v>0.488878627325945</v>
      </c>
      <c r="L501" s="79">
        <v>0.88374213401228496</v>
      </c>
      <c r="M501" s="80">
        <v>1</v>
      </c>
      <c r="N501" s="79">
        <v>3.7352144598917399E-3</v>
      </c>
      <c r="O501" s="79">
        <v>1.1341641001458401E-2</v>
      </c>
      <c r="P501" s="79">
        <v>0.74192082224029299</v>
      </c>
      <c r="Q501" s="79">
        <v>0.79384276848476498</v>
      </c>
      <c r="R501" s="80">
        <v>1</v>
      </c>
      <c r="S501" s="79">
        <v>3.3456245391227803E-2</v>
      </c>
      <c r="T501" s="79">
        <v>1.1306561313532301E-2</v>
      </c>
      <c r="U501" s="79">
        <v>3.1064357285672099E-3</v>
      </c>
      <c r="V501" s="79">
        <v>1.06544353391218E-2</v>
      </c>
      <c r="W501" s="79">
        <v>1</v>
      </c>
    </row>
    <row r="502" spans="1:23" x14ac:dyDescent="0.2">
      <c r="A502" s="69"/>
      <c r="B502" s="56" t="s">
        <v>528</v>
      </c>
      <c r="C502" s="78">
        <v>5556</v>
      </c>
      <c r="D502" s="79">
        <v>3.1204470000000002E-3</v>
      </c>
      <c r="E502" s="79">
        <v>1.1524754E-2</v>
      </c>
      <c r="F502" s="79">
        <v>0.78659045900000002</v>
      </c>
      <c r="G502" s="79">
        <v>0.98545101377932998</v>
      </c>
      <c r="H502" s="80">
        <v>1</v>
      </c>
      <c r="I502" s="79">
        <v>-7.89400235858774E-3</v>
      </c>
      <c r="J502" s="79">
        <v>1.16313338431486E-2</v>
      </c>
      <c r="K502" s="79">
        <v>0.49737851487592399</v>
      </c>
      <c r="L502" s="79">
        <v>0.88650784260657001</v>
      </c>
      <c r="M502" s="80">
        <v>1</v>
      </c>
      <c r="N502" s="79">
        <v>2.4491182158640101E-2</v>
      </c>
      <c r="O502" s="79">
        <v>1.1439958509035101E-2</v>
      </c>
      <c r="P502" s="79">
        <v>3.2351149114542697E-2</v>
      </c>
      <c r="Q502" s="79">
        <v>6.1274042128887603E-2</v>
      </c>
      <c r="R502" s="80">
        <v>1</v>
      </c>
      <c r="S502" s="79">
        <v>6.5200654570014499E-3</v>
      </c>
      <c r="T502" s="79">
        <v>1.14201185984212E-2</v>
      </c>
      <c r="U502" s="79">
        <v>0.56808259078150602</v>
      </c>
      <c r="V502" s="79">
        <v>0.644482730254747</v>
      </c>
      <c r="W502" s="79">
        <v>1</v>
      </c>
    </row>
    <row r="503" spans="1:23" x14ac:dyDescent="0.2">
      <c r="A503" s="69"/>
      <c r="B503" s="56" t="s">
        <v>529</v>
      </c>
      <c r="C503" s="78">
        <v>5556</v>
      </c>
      <c r="D503" s="79">
        <v>-4.1870650000000002E-3</v>
      </c>
      <c r="E503" s="79">
        <v>1.2254854000000001E-2</v>
      </c>
      <c r="F503" s="79">
        <v>0.73261823999999998</v>
      </c>
      <c r="G503" s="79">
        <v>0.98545101377932998</v>
      </c>
      <c r="H503" s="80">
        <v>1</v>
      </c>
      <c r="I503" s="79">
        <v>9.6513623896061801E-4</v>
      </c>
      <c r="J503" s="79">
        <v>1.23270183366658E-2</v>
      </c>
      <c r="K503" s="79">
        <v>0.93759721983187005</v>
      </c>
      <c r="L503" s="79">
        <v>0.981200184300273</v>
      </c>
      <c r="M503" s="80">
        <v>1</v>
      </c>
      <c r="N503" s="79">
        <v>-5.2998745472908502E-3</v>
      </c>
      <c r="O503" s="79">
        <v>1.2159147547811999E-2</v>
      </c>
      <c r="P503" s="79">
        <v>0.66294764778877802</v>
      </c>
      <c r="Q503" s="79">
        <v>0.73346169576631204</v>
      </c>
      <c r="R503" s="80">
        <v>1</v>
      </c>
      <c r="S503" s="79">
        <v>3.0213641290637701E-2</v>
      </c>
      <c r="T503" s="79">
        <v>1.2131034391480101E-2</v>
      </c>
      <c r="U503" s="79">
        <v>1.27874450005872E-2</v>
      </c>
      <c r="V503" s="79">
        <v>3.1086719742806801E-2</v>
      </c>
      <c r="W503" s="79">
        <v>1</v>
      </c>
    </row>
    <row r="504" spans="1:23" x14ac:dyDescent="0.2">
      <c r="A504" s="69"/>
      <c r="B504" s="56" t="s">
        <v>530</v>
      </c>
      <c r="C504" s="78">
        <v>5556</v>
      </c>
      <c r="D504" s="79">
        <v>1.8146599999999999E-2</v>
      </c>
      <c r="E504" s="79">
        <v>1.0611776E-2</v>
      </c>
      <c r="F504" s="79">
        <v>8.7366075000000001E-2</v>
      </c>
      <c r="G504" s="79">
        <v>0.59336855393782395</v>
      </c>
      <c r="H504" s="80">
        <v>1</v>
      </c>
      <c r="I504" s="79">
        <v>1.7189699851924201E-2</v>
      </c>
      <c r="J504" s="79">
        <v>1.0757672950051899E-2</v>
      </c>
      <c r="K504" s="79">
        <v>0.110169093886701</v>
      </c>
      <c r="L504" s="79">
        <v>0.62424045135977002</v>
      </c>
      <c r="M504" s="80">
        <v>1</v>
      </c>
      <c r="N504" s="79">
        <v>2.8513115840505698E-2</v>
      </c>
      <c r="O504" s="79">
        <v>1.05362328556794E-2</v>
      </c>
      <c r="P504" s="79">
        <v>6.8457077434804703E-3</v>
      </c>
      <c r="Q504" s="79">
        <v>1.73397267993547E-2</v>
      </c>
      <c r="R504" s="80">
        <v>1</v>
      </c>
      <c r="S504" s="79">
        <v>1.39737528661681E-2</v>
      </c>
      <c r="T504" s="79">
        <v>1.05348156730194E-2</v>
      </c>
      <c r="U504" s="79">
        <v>0.18479889174672101</v>
      </c>
      <c r="V504" s="79">
        <v>0.26709543693233401</v>
      </c>
      <c r="W504" s="79">
        <v>1</v>
      </c>
    </row>
    <row r="505" spans="1:23" x14ac:dyDescent="0.2">
      <c r="A505" s="69"/>
      <c r="B505" s="56" t="s">
        <v>531</v>
      </c>
      <c r="C505" s="78">
        <v>5556</v>
      </c>
      <c r="D505" s="79">
        <v>2.3216977999999999E-2</v>
      </c>
      <c r="E505" s="79">
        <v>1.1439553999999999E-2</v>
      </c>
      <c r="F505" s="79">
        <v>4.2477254999999998E-2</v>
      </c>
      <c r="G505" s="79">
        <v>0.450921001285714</v>
      </c>
      <c r="H505" s="80">
        <v>1</v>
      </c>
      <c r="I505" s="79">
        <v>3.1984141826513102E-2</v>
      </c>
      <c r="J505" s="79">
        <v>1.1544345273031499E-2</v>
      </c>
      <c r="K505" s="79">
        <v>5.6235929884065504E-3</v>
      </c>
      <c r="L505" s="79">
        <v>0.238166276214551</v>
      </c>
      <c r="M505" s="80">
        <v>1</v>
      </c>
      <c r="N505" s="79">
        <v>7.00646770665254E-3</v>
      </c>
      <c r="O505" s="79">
        <v>1.1367113508763601E-2</v>
      </c>
      <c r="P505" s="79">
        <v>0.53768194259679003</v>
      </c>
      <c r="Q505" s="79">
        <v>0.61636710492802804</v>
      </c>
      <c r="R505" s="80">
        <v>1</v>
      </c>
      <c r="S505" s="79">
        <v>4.2704205298673401E-2</v>
      </c>
      <c r="T505" s="79">
        <v>1.1329268438919E-2</v>
      </c>
      <c r="U505" s="79">
        <v>1.6623576782270099E-4</v>
      </c>
      <c r="V505" s="79">
        <v>1.17415477908509E-3</v>
      </c>
      <c r="W505" s="79">
        <v>0.21095318936700799</v>
      </c>
    </row>
    <row r="506" spans="1:23" x14ac:dyDescent="0.2">
      <c r="A506" s="69"/>
      <c r="B506" s="56" t="s">
        <v>532</v>
      </c>
      <c r="C506" s="78">
        <v>5556</v>
      </c>
      <c r="D506" s="79">
        <v>-1.5495584999999999E-2</v>
      </c>
      <c r="E506" s="79">
        <v>1.2438390000000001E-2</v>
      </c>
      <c r="F506" s="79">
        <v>0.21290494600000001</v>
      </c>
      <c r="G506" s="79">
        <v>0.74224234113157905</v>
      </c>
      <c r="H506" s="80">
        <v>1</v>
      </c>
      <c r="I506" s="79">
        <v>-5.2201378031398798E-3</v>
      </c>
      <c r="J506" s="79">
        <v>1.2501173038853E-2</v>
      </c>
      <c r="K506" s="79">
        <v>0.67627870781419297</v>
      </c>
      <c r="L506" s="79">
        <v>0.93057850825384603</v>
      </c>
      <c r="M506" s="80">
        <v>1</v>
      </c>
      <c r="N506" s="79">
        <v>1.2691505268263899E-2</v>
      </c>
      <c r="O506" s="79">
        <v>1.23327717381858E-2</v>
      </c>
      <c r="P506" s="79">
        <v>0.30349125267447302</v>
      </c>
      <c r="Q506" s="79">
        <v>0.38667710807621097</v>
      </c>
      <c r="R506" s="80">
        <v>1</v>
      </c>
      <c r="S506" s="79">
        <v>-1.6128066037439801E-2</v>
      </c>
      <c r="T506" s="79">
        <v>1.2304670963065501E-2</v>
      </c>
      <c r="U506" s="79">
        <v>0.190013422448011</v>
      </c>
      <c r="V506" s="79">
        <v>0.27269800333580801</v>
      </c>
      <c r="W506" s="79">
        <v>1</v>
      </c>
    </row>
    <row r="507" spans="1:23" x14ac:dyDescent="0.2">
      <c r="A507" s="69"/>
      <c r="B507" s="56" t="s">
        <v>533</v>
      </c>
      <c r="C507" s="78">
        <v>5556</v>
      </c>
      <c r="D507" s="79">
        <v>-7.3763699999999997E-4</v>
      </c>
      <c r="E507" s="79">
        <v>1.2336219000000001E-2</v>
      </c>
      <c r="F507" s="79">
        <v>0.95232198700000004</v>
      </c>
      <c r="G507" s="79">
        <v>0.991673151733656</v>
      </c>
      <c r="H507" s="80">
        <v>1</v>
      </c>
      <c r="I507" s="79">
        <v>-1.0793675721643299E-4</v>
      </c>
      <c r="J507" s="79">
        <v>1.2403377199592299E-2</v>
      </c>
      <c r="K507" s="79">
        <v>0.99305709481704896</v>
      </c>
      <c r="L507" s="79">
        <v>0.99523523065353503</v>
      </c>
      <c r="M507" s="80">
        <v>1</v>
      </c>
      <c r="N507" s="79">
        <v>3.7490353500780699E-2</v>
      </c>
      <c r="O507" s="79">
        <v>1.22249231215351E-2</v>
      </c>
      <c r="P507" s="79">
        <v>2.1767132876843302E-3</v>
      </c>
      <c r="Q507" s="79">
        <v>6.7044882574548896E-3</v>
      </c>
      <c r="R507" s="80">
        <v>1</v>
      </c>
      <c r="S507" s="79">
        <v>1.52593046038233E-2</v>
      </c>
      <c r="T507" s="79">
        <v>1.22067576412503E-2</v>
      </c>
      <c r="U507" s="79">
        <v>0.21133648634876501</v>
      </c>
      <c r="V507" s="79">
        <v>0.29670639580327801</v>
      </c>
      <c r="W507" s="79">
        <v>1</v>
      </c>
    </row>
    <row r="508" spans="1:23" x14ac:dyDescent="0.2">
      <c r="A508" s="69"/>
      <c r="B508" s="56" t="s">
        <v>534</v>
      </c>
      <c r="C508" s="78">
        <v>5556</v>
      </c>
      <c r="D508" s="79">
        <v>-9.0224999999999995E-4</v>
      </c>
      <c r="E508" s="79">
        <v>1.1630613999999999E-2</v>
      </c>
      <c r="F508" s="79">
        <v>0.93816985500000005</v>
      </c>
      <c r="G508" s="79">
        <v>0.991673151733656</v>
      </c>
      <c r="H508" s="80">
        <v>1</v>
      </c>
      <c r="I508" s="79">
        <v>3.85171792009232E-2</v>
      </c>
      <c r="J508" s="79">
        <v>1.17220073551967E-2</v>
      </c>
      <c r="K508" s="79">
        <v>1.02542482090501E-3</v>
      </c>
      <c r="L508" s="79">
        <v>0.18043336354349901</v>
      </c>
      <c r="M508" s="80">
        <v>1</v>
      </c>
      <c r="N508" s="79">
        <v>4.9781978054757496E-3</v>
      </c>
      <c r="O508" s="79">
        <v>1.15513909611159E-2</v>
      </c>
      <c r="P508" s="79">
        <v>0.66652101366835403</v>
      </c>
      <c r="Q508" s="79">
        <v>0.735436719304845</v>
      </c>
      <c r="R508" s="80">
        <v>1</v>
      </c>
      <c r="S508" s="79">
        <v>3.9751748776548003E-2</v>
      </c>
      <c r="T508" s="79">
        <v>1.1517140782289201E-2</v>
      </c>
      <c r="U508" s="79">
        <v>5.6338217204952097E-4</v>
      </c>
      <c r="V508" s="79">
        <v>2.9300490833231202E-3</v>
      </c>
      <c r="W508" s="79">
        <v>0.71493197633084205</v>
      </c>
    </row>
    <row r="509" spans="1:23" x14ac:dyDescent="0.2">
      <c r="A509" s="69"/>
      <c r="B509" s="56" t="s">
        <v>535</v>
      </c>
      <c r="C509" s="78">
        <v>5556</v>
      </c>
      <c r="D509" s="79">
        <v>7.5454930000000003E-3</v>
      </c>
      <c r="E509" s="79">
        <v>1.2142295000000001E-2</v>
      </c>
      <c r="F509" s="79">
        <v>0.53435545500000003</v>
      </c>
      <c r="G509" s="79">
        <v>0.93839135459751</v>
      </c>
      <c r="H509" s="80">
        <v>1</v>
      </c>
      <c r="I509" s="79">
        <v>-7.4640671126882698E-3</v>
      </c>
      <c r="J509" s="79">
        <v>1.2228280141100899E-2</v>
      </c>
      <c r="K509" s="79">
        <v>0.54163255605759497</v>
      </c>
      <c r="L509" s="79">
        <v>0.90319541870839404</v>
      </c>
      <c r="M509" s="80">
        <v>1</v>
      </c>
      <c r="N509" s="79">
        <v>1.1958337050270801E-2</v>
      </c>
      <c r="O509" s="79">
        <v>1.2056704810693901E-2</v>
      </c>
      <c r="P509" s="79">
        <v>0.32133142842243401</v>
      </c>
      <c r="Q509" s="79">
        <v>0.40413239114773902</v>
      </c>
      <c r="R509" s="80">
        <v>1</v>
      </c>
      <c r="S509" s="79">
        <v>3.06209155630126E-2</v>
      </c>
      <c r="T509" s="79">
        <v>1.2025190476314699E-2</v>
      </c>
      <c r="U509" s="79">
        <v>1.09188094591233E-2</v>
      </c>
      <c r="V509" s="79">
        <v>2.7711938407254898E-2</v>
      </c>
      <c r="W509" s="79">
        <v>1</v>
      </c>
    </row>
    <row r="510" spans="1:23" x14ac:dyDescent="0.2">
      <c r="A510" s="69"/>
      <c r="B510" s="56" t="s">
        <v>536</v>
      </c>
      <c r="C510" s="78">
        <v>5556</v>
      </c>
      <c r="D510" s="79">
        <v>-6.5391629999999997E-3</v>
      </c>
      <c r="E510" s="79">
        <v>1.2402642E-2</v>
      </c>
      <c r="F510" s="79">
        <v>0.59805328599999996</v>
      </c>
      <c r="G510" s="79">
        <v>0.95703609071122298</v>
      </c>
      <c r="H510" s="80">
        <v>1</v>
      </c>
      <c r="I510" s="79">
        <v>-1.01906767327429E-2</v>
      </c>
      <c r="J510" s="79">
        <v>1.2474280584977701E-2</v>
      </c>
      <c r="K510" s="79">
        <v>0.41400736472472599</v>
      </c>
      <c r="L510" s="79">
        <v>0.84624271468881096</v>
      </c>
      <c r="M510" s="80">
        <v>1</v>
      </c>
      <c r="N510" s="79">
        <v>4.4224958125455002E-2</v>
      </c>
      <c r="O510" s="79">
        <v>1.22949593166683E-2</v>
      </c>
      <c r="P510" s="79">
        <v>3.2534247916899702E-4</v>
      </c>
      <c r="Q510" s="79">
        <v>1.5425666543863899E-3</v>
      </c>
      <c r="R510" s="80">
        <v>0.41285960606545702</v>
      </c>
      <c r="S510" s="79">
        <v>2.8393416916076102E-2</v>
      </c>
      <c r="T510" s="79">
        <v>1.2276698278372701E-2</v>
      </c>
      <c r="U510" s="79">
        <v>2.0778475184073299E-2</v>
      </c>
      <c r="V510" s="79">
        <v>4.5385868615812501E-2</v>
      </c>
      <c r="W510" s="79">
        <v>1</v>
      </c>
    </row>
    <row r="511" spans="1:23" x14ac:dyDescent="0.2">
      <c r="A511" s="69"/>
      <c r="B511" s="56" t="s">
        <v>537</v>
      </c>
      <c r="C511" s="78">
        <v>5556</v>
      </c>
      <c r="D511" s="79">
        <v>-1.6156269999999999E-3</v>
      </c>
      <c r="E511" s="79">
        <v>1.1552541E-2</v>
      </c>
      <c r="F511" s="79">
        <v>0.888785555</v>
      </c>
      <c r="G511" s="79">
        <v>0.991673151733656</v>
      </c>
      <c r="H511" s="80">
        <v>1</v>
      </c>
      <c r="I511" s="79">
        <v>-1.2745018559752699E-2</v>
      </c>
      <c r="J511" s="79">
        <v>1.1654796624227999E-2</v>
      </c>
      <c r="K511" s="79">
        <v>0.27422104043072099</v>
      </c>
      <c r="L511" s="79">
        <v>0.76524408577223202</v>
      </c>
      <c r="M511" s="80">
        <v>1</v>
      </c>
      <c r="N511" s="79">
        <v>1.9336621047017499E-2</v>
      </c>
      <c r="O511" s="79">
        <v>1.14701866098177E-2</v>
      </c>
      <c r="P511" s="79">
        <v>9.1911775904533602E-2</v>
      </c>
      <c r="Q511" s="79">
        <v>0.14543147583896901</v>
      </c>
      <c r="R511" s="80">
        <v>1</v>
      </c>
      <c r="S511" s="79">
        <v>2.7885806869588699E-2</v>
      </c>
      <c r="T511" s="79">
        <v>1.1452814944879999E-2</v>
      </c>
      <c r="U511" s="79">
        <v>1.49426382000438E-2</v>
      </c>
      <c r="V511" s="79">
        <v>3.51803485637395E-2</v>
      </c>
      <c r="W511" s="79">
        <v>1</v>
      </c>
    </row>
    <row r="512" spans="1:23" x14ac:dyDescent="0.2">
      <c r="A512" s="69"/>
      <c r="B512" s="56" t="s">
        <v>538</v>
      </c>
      <c r="C512" s="78">
        <v>5556</v>
      </c>
      <c r="D512" s="79">
        <v>-6.67565E-3</v>
      </c>
      <c r="E512" s="79">
        <v>1.2008893E-2</v>
      </c>
      <c r="F512" s="79">
        <v>0.578314298</v>
      </c>
      <c r="G512" s="79">
        <v>0.95350818012595395</v>
      </c>
      <c r="H512" s="80">
        <v>1</v>
      </c>
      <c r="I512" s="79">
        <v>8.5684561260311702E-3</v>
      </c>
      <c r="J512" s="79">
        <v>1.20996320683251E-2</v>
      </c>
      <c r="K512" s="79">
        <v>0.47888469778943199</v>
      </c>
      <c r="L512" s="79">
        <v>0.87691873231571305</v>
      </c>
      <c r="M512" s="80">
        <v>1</v>
      </c>
      <c r="N512" s="79">
        <v>3.00762374912973E-2</v>
      </c>
      <c r="O512" s="79">
        <v>1.1918056221575501E-2</v>
      </c>
      <c r="P512" s="79">
        <v>1.16528412730983E-2</v>
      </c>
      <c r="Q512" s="79">
        <v>2.70337396262555E-2</v>
      </c>
      <c r="R512" s="80">
        <v>1</v>
      </c>
      <c r="S512" s="79">
        <v>2.64891493407503E-2</v>
      </c>
      <c r="T512" s="79">
        <v>1.1895649173936901E-2</v>
      </c>
      <c r="U512" s="79">
        <v>2.6013228241943302E-2</v>
      </c>
      <c r="V512" s="79">
        <v>5.37634961547655E-2</v>
      </c>
      <c r="W512" s="79">
        <v>1</v>
      </c>
    </row>
    <row r="513" spans="1:23" x14ac:dyDescent="0.2">
      <c r="A513" s="69"/>
      <c r="B513" s="56" t="s">
        <v>539</v>
      </c>
      <c r="C513" s="78">
        <v>5556</v>
      </c>
      <c r="D513" s="79">
        <v>-5.3493220000000001E-3</v>
      </c>
      <c r="E513" s="79">
        <v>1.2547648999999999E-2</v>
      </c>
      <c r="F513" s="79">
        <v>0.66989340600000002</v>
      </c>
      <c r="G513" s="79">
        <v>0.98545101377932998</v>
      </c>
      <c r="H513" s="80">
        <v>1</v>
      </c>
      <c r="I513" s="79">
        <v>-2.8062123471506099E-2</v>
      </c>
      <c r="J513" s="79">
        <v>1.26047263770705E-2</v>
      </c>
      <c r="K513" s="79">
        <v>2.60379849527798E-2</v>
      </c>
      <c r="L513" s="79">
        <v>0.45891948479274403</v>
      </c>
      <c r="M513" s="80">
        <v>1</v>
      </c>
      <c r="N513" s="79">
        <v>-3.7537699610361901E-2</v>
      </c>
      <c r="O513" s="79">
        <v>1.2446959328362799E-2</v>
      </c>
      <c r="P513" s="79">
        <v>2.5762799500398201E-3</v>
      </c>
      <c r="Q513" s="79">
        <v>7.7840458490488901E-3</v>
      </c>
      <c r="R513" s="80">
        <v>1</v>
      </c>
      <c r="S513" s="79">
        <v>-3.9650568539592999E-2</v>
      </c>
      <c r="T513" s="79">
        <v>1.24110668786348E-2</v>
      </c>
      <c r="U513" s="79">
        <v>1.4083842101278599E-3</v>
      </c>
      <c r="V513" s="79">
        <v>5.9815323848237401E-3</v>
      </c>
      <c r="W513" s="79">
        <v>1</v>
      </c>
    </row>
    <row r="514" spans="1:23" x14ac:dyDescent="0.2">
      <c r="A514" s="69"/>
      <c r="B514" s="56" t="s">
        <v>540</v>
      </c>
      <c r="C514" s="78">
        <v>5556</v>
      </c>
      <c r="D514" s="79">
        <v>-3.1687912999999998E-2</v>
      </c>
      <c r="E514" s="79">
        <v>1.191622E-2</v>
      </c>
      <c r="F514" s="79">
        <v>7.8624149999999993E-3</v>
      </c>
      <c r="G514" s="79">
        <v>0.26256327986842098</v>
      </c>
      <c r="H514" s="80">
        <v>1</v>
      </c>
      <c r="I514" s="79">
        <v>-1.3062147150147901E-2</v>
      </c>
      <c r="J514" s="79">
        <v>1.20088093963663E-2</v>
      </c>
      <c r="K514" s="79">
        <v>0.276782551188546</v>
      </c>
      <c r="L514" s="79">
        <v>0.76689313855516394</v>
      </c>
      <c r="M514" s="80">
        <v>1</v>
      </c>
      <c r="N514" s="79">
        <v>2.0557748674895401E-2</v>
      </c>
      <c r="O514" s="79">
        <v>1.1831665202368599E-2</v>
      </c>
      <c r="P514" s="79">
        <v>8.2369647340744895E-2</v>
      </c>
      <c r="Q514" s="79">
        <v>0.13281713148082</v>
      </c>
      <c r="R514" s="80">
        <v>1</v>
      </c>
      <c r="S514" s="79">
        <v>1.4628847943272899E-2</v>
      </c>
      <c r="T514" s="79">
        <v>1.18056184727081E-2</v>
      </c>
      <c r="U514" s="79">
        <v>0.215362169530392</v>
      </c>
      <c r="V514" s="79">
        <v>0.30032372871875501</v>
      </c>
      <c r="W514" s="79">
        <v>1</v>
      </c>
    </row>
    <row r="515" spans="1:23" x14ac:dyDescent="0.2">
      <c r="A515" s="69"/>
      <c r="B515" s="56" t="s">
        <v>541</v>
      </c>
      <c r="C515" s="78">
        <v>5556</v>
      </c>
      <c r="D515" s="79">
        <v>-7.4244940000000002E-3</v>
      </c>
      <c r="E515" s="79">
        <v>1.1088788E-2</v>
      </c>
      <c r="F515" s="79">
        <v>0.50319063100000005</v>
      </c>
      <c r="G515" s="79">
        <v>0.92884339055395704</v>
      </c>
      <c r="H515" s="80">
        <v>1</v>
      </c>
      <c r="I515" s="79">
        <v>2.71985900940825E-3</v>
      </c>
      <c r="J515" s="79">
        <v>1.1216483596305201E-2</v>
      </c>
      <c r="K515" s="79">
        <v>0.808416226732387</v>
      </c>
      <c r="L515" s="79">
        <v>0.96211732726388599</v>
      </c>
      <c r="M515" s="80">
        <v>1</v>
      </c>
      <c r="N515" s="79">
        <v>3.5755104509462999E-3</v>
      </c>
      <c r="O515" s="79">
        <v>1.1021972235823E-2</v>
      </c>
      <c r="P515" s="79">
        <v>0.74565616373435295</v>
      </c>
      <c r="Q515" s="79">
        <v>0.79649635671624097</v>
      </c>
      <c r="R515" s="80">
        <v>1</v>
      </c>
      <c r="S515" s="79">
        <v>-4.1465885414551599E-3</v>
      </c>
      <c r="T515" s="79">
        <v>1.09959426004842E-2</v>
      </c>
      <c r="U515" s="79">
        <v>0.70612127126888202</v>
      </c>
      <c r="V515" s="79">
        <v>0.764563048839771</v>
      </c>
      <c r="W515" s="79">
        <v>1</v>
      </c>
    </row>
    <row r="516" spans="1:23" x14ac:dyDescent="0.2">
      <c r="A516" s="69"/>
      <c r="B516" s="56" t="s">
        <v>542</v>
      </c>
      <c r="C516" s="78">
        <v>5556</v>
      </c>
      <c r="D516" s="79">
        <v>2.3702480000000001E-3</v>
      </c>
      <c r="E516" s="79">
        <v>1.2315717E-2</v>
      </c>
      <c r="F516" s="79">
        <v>0.84739184199999995</v>
      </c>
      <c r="G516" s="79">
        <v>0.98552821438803295</v>
      </c>
      <c r="H516" s="80">
        <v>1</v>
      </c>
      <c r="I516" s="79">
        <v>2.2321226094478698E-3</v>
      </c>
      <c r="J516" s="79">
        <v>1.2361877002438199E-2</v>
      </c>
      <c r="K516" s="79">
        <v>0.85671609612359301</v>
      </c>
      <c r="L516" s="79">
        <v>0.96964513668720897</v>
      </c>
      <c r="M516" s="80">
        <v>1</v>
      </c>
      <c r="N516" s="79">
        <v>1.14088667489145E-2</v>
      </c>
      <c r="O516" s="79">
        <v>1.22136183587075E-2</v>
      </c>
      <c r="P516" s="79">
        <v>0.35029140957202498</v>
      </c>
      <c r="Q516" s="79">
        <v>0.43594436544962001</v>
      </c>
      <c r="R516" s="80">
        <v>1</v>
      </c>
      <c r="S516" s="79">
        <v>1.91821794976271E-2</v>
      </c>
      <c r="T516" s="79">
        <v>1.2177493652655601E-2</v>
      </c>
      <c r="U516" s="79">
        <v>0.11526877425685</v>
      </c>
      <c r="V516" s="79">
        <v>0.18307393558440899</v>
      </c>
      <c r="W516" s="79">
        <v>1</v>
      </c>
    </row>
    <row r="517" spans="1:23" x14ac:dyDescent="0.2">
      <c r="A517" s="69"/>
      <c r="B517" s="56" t="s">
        <v>543</v>
      </c>
      <c r="C517" s="78">
        <v>5556</v>
      </c>
      <c r="D517" s="79">
        <v>-1.6037843999999999E-2</v>
      </c>
      <c r="E517" s="79">
        <v>1.1273712999999999E-2</v>
      </c>
      <c r="F517" s="79">
        <v>0.154945949</v>
      </c>
      <c r="G517" s="79">
        <v>0.68273058778124995</v>
      </c>
      <c r="H517" s="80">
        <v>1</v>
      </c>
      <c r="I517" s="79">
        <v>1.63652009041046E-3</v>
      </c>
      <c r="J517" s="79">
        <v>1.1391359929912101E-2</v>
      </c>
      <c r="K517" s="79">
        <v>0.88577432603808104</v>
      </c>
      <c r="L517" s="79">
        <v>0.97573578102632397</v>
      </c>
      <c r="M517" s="80">
        <v>1</v>
      </c>
      <c r="N517" s="79">
        <v>1.23480682636659E-2</v>
      </c>
      <c r="O517" s="79">
        <v>1.1196509481746201E-2</v>
      </c>
      <c r="P517" s="79">
        <v>0.27016835081466001</v>
      </c>
      <c r="Q517" s="79">
        <v>0.349483829952909</v>
      </c>
      <c r="R517" s="80">
        <v>1</v>
      </c>
      <c r="S517" s="79">
        <v>1.14373964136474E-2</v>
      </c>
      <c r="T517" s="79">
        <v>1.117684512062E-2</v>
      </c>
      <c r="U517" s="79">
        <v>0.30623076966061302</v>
      </c>
      <c r="V517" s="79">
        <v>0.39874092528419702</v>
      </c>
      <c r="W517" s="79">
        <v>1</v>
      </c>
    </row>
    <row r="518" spans="1:23" x14ac:dyDescent="0.2">
      <c r="A518" s="69"/>
      <c r="B518" s="56" t="s">
        <v>544</v>
      </c>
      <c r="C518" s="78">
        <v>5556</v>
      </c>
      <c r="D518" s="79">
        <v>-1.1316479000000001E-2</v>
      </c>
      <c r="E518" s="79">
        <v>1.2755986E-2</v>
      </c>
      <c r="F518" s="79">
        <v>0.375040755</v>
      </c>
      <c r="G518" s="79">
        <v>0.880152082540541</v>
      </c>
      <c r="H518" s="80">
        <v>1</v>
      </c>
      <c r="I518" s="79">
        <v>-9.5754636097957098E-3</v>
      </c>
      <c r="J518" s="79">
        <v>1.2805333522472401E-2</v>
      </c>
      <c r="K518" s="79">
        <v>0.45463241658540998</v>
      </c>
      <c r="L518" s="79">
        <v>0.87326336285163797</v>
      </c>
      <c r="M518" s="80">
        <v>1</v>
      </c>
      <c r="N518" s="79">
        <v>-1.23326653919251E-2</v>
      </c>
      <c r="O518" s="79">
        <v>1.2651815581129299E-2</v>
      </c>
      <c r="P518" s="79">
        <v>0.32971928467984701</v>
      </c>
      <c r="Q518" s="79">
        <v>0.41304419768877199</v>
      </c>
      <c r="R518" s="80">
        <v>1</v>
      </c>
      <c r="S518" s="79">
        <v>1.3469712923897301E-2</v>
      </c>
      <c r="T518" s="79">
        <v>1.2615568372927599E-2</v>
      </c>
      <c r="U518" s="79">
        <v>0.28570464634083298</v>
      </c>
      <c r="V518" s="79">
        <v>0.37805964150836002</v>
      </c>
      <c r="W518" s="79">
        <v>1</v>
      </c>
    </row>
    <row r="519" spans="1:23" x14ac:dyDescent="0.2">
      <c r="A519" s="69"/>
      <c r="B519" s="56" t="s">
        <v>545</v>
      </c>
      <c r="C519" s="78">
        <v>5556</v>
      </c>
      <c r="D519" s="79">
        <v>-8.4663599999999992E-3</v>
      </c>
      <c r="E519" s="79">
        <v>1.1528953999999999E-2</v>
      </c>
      <c r="F519" s="79">
        <v>0.462777779</v>
      </c>
      <c r="G519" s="79">
        <v>0.91552091378972</v>
      </c>
      <c r="H519" s="80">
        <v>1</v>
      </c>
      <c r="I519" s="79">
        <v>-1.10054552741174E-2</v>
      </c>
      <c r="J519" s="79">
        <v>1.1629962353644999E-2</v>
      </c>
      <c r="K519" s="79">
        <v>0.34405298297213999</v>
      </c>
      <c r="L519" s="79">
        <v>0.80020788839305201</v>
      </c>
      <c r="M519" s="80">
        <v>1</v>
      </c>
      <c r="N519" s="79">
        <v>3.2782315956560101E-2</v>
      </c>
      <c r="O519" s="79">
        <v>1.1433677995146699E-2</v>
      </c>
      <c r="P519" s="79">
        <v>4.1645324629659497E-3</v>
      </c>
      <c r="Q519" s="79">
        <v>1.1564095613793899E-2</v>
      </c>
      <c r="R519" s="80">
        <v>1</v>
      </c>
      <c r="S519" s="79">
        <v>3.3343993303540397E-2</v>
      </c>
      <c r="T519" s="79">
        <v>1.1413134417641701E-2</v>
      </c>
      <c r="U519" s="79">
        <v>3.5034907839385202E-3</v>
      </c>
      <c r="V519" s="79">
        <v>1.1761719060365E-2</v>
      </c>
      <c r="W519" s="79">
        <v>1</v>
      </c>
    </row>
    <row r="520" spans="1:23" x14ac:dyDescent="0.2">
      <c r="A520" s="69"/>
      <c r="B520" s="56" t="s">
        <v>546</v>
      </c>
      <c r="C520" s="78">
        <v>5556</v>
      </c>
      <c r="D520" s="79">
        <v>-6.6549729999999998E-3</v>
      </c>
      <c r="E520" s="79">
        <v>1.1446469000000001E-2</v>
      </c>
      <c r="F520" s="79">
        <v>0.56100829399999996</v>
      </c>
      <c r="G520" s="79">
        <v>0.94612219734263003</v>
      </c>
      <c r="H520" s="80">
        <v>1</v>
      </c>
      <c r="I520" s="79">
        <v>-8.6643649873032903E-3</v>
      </c>
      <c r="J520" s="79">
        <v>1.1561423635354701E-2</v>
      </c>
      <c r="K520" s="79">
        <v>0.453651440698285</v>
      </c>
      <c r="L520" s="79">
        <v>0.87326336285163797</v>
      </c>
      <c r="M520" s="80">
        <v>1</v>
      </c>
      <c r="N520" s="79">
        <v>9.7063832765047608E-3</v>
      </c>
      <c r="O520" s="79">
        <v>1.1371036235708299E-2</v>
      </c>
      <c r="P520" s="79">
        <v>0.393380717704573</v>
      </c>
      <c r="Q520" s="79">
        <v>0.47770347441828098</v>
      </c>
      <c r="R520" s="80">
        <v>1</v>
      </c>
      <c r="S520" s="79">
        <v>2.6058466614487501E-2</v>
      </c>
      <c r="T520" s="79">
        <v>1.13466170610132E-2</v>
      </c>
      <c r="U520" s="79">
        <v>2.16996441816871E-2</v>
      </c>
      <c r="V520" s="79">
        <v>4.6831374943130798E-2</v>
      </c>
      <c r="W520" s="79">
        <v>1</v>
      </c>
    </row>
    <row r="521" spans="1:23" x14ac:dyDescent="0.2">
      <c r="A521" s="69"/>
      <c r="B521" s="56" t="s">
        <v>547</v>
      </c>
      <c r="C521" s="78">
        <v>5556</v>
      </c>
      <c r="D521" s="79">
        <v>-9.6478710000000006E-3</v>
      </c>
      <c r="E521" s="79">
        <v>1.2280080000000001E-2</v>
      </c>
      <c r="F521" s="79">
        <v>0.43211269299999999</v>
      </c>
      <c r="G521" s="79">
        <v>0.89599837813235295</v>
      </c>
      <c r="H521" s="80">
        <v>1</v>
      </c>
      <c r="I521" s="79">
        <v>-9.5004715872167005E-3</v>
      </c>
      <c r="J521" s="79">
        <v>1.23479093296931E-2</v>
      </c>
      <c r="K521" s="79">
        <v>0.441695310655281</v>
      </c>
      <c r="L521" s="79">
        <v>0.86970662028650003</v>
      </c>
      <c r="M521" s="80">
        <v>1</v>
      </c>
      <c r="N521" s="79">
        <v>1.43266680663697E-2</v>
      </c>
      <c r="O521" s="79">
        <v>1.21758276746518E-2</v>
      </c>
      <c r="P521" s="79">
        <v>0.23939763723487301</v>
      </c>
      <c r="Q521" s="79">
        <v>0.31777782599482601</v>
      </c>
      <c r="R521" s="80">
        <v>1</v>
      </c>
      <c r="S521" s="79">
        <v>7.0032253685499797E-3</v>
      </c>
      <c r="T521" s="79">
        <v>1.2147489623466101E-2</v>
      </c>
      <c r="U521" s="79">
        <v>0.56429474952455605</v>
      </c>
      <c r="V521" s="79">
        <v>0.64275410058355997</v>
      </c>
      <c r="W521" s="79">
        <v>1</v>
      </c>
    </row>
    <row r="522" spans="1:23" x14ac:dyDescent="0.2">
      <c r="A522" s="69"/>
      <c r="B522" s="56" t="s">
        <v>548</v>
      </c>
      <c r="C522" s="78">
        <v>5556</v>
      </c>
      <c r="D522" s="79">
        <v>-1.0955075E-2</v>
      </c>
      <c r="E522" s="79">
        <v>1.1495675E-2</v>
      </c>
      <c r="F522" s="79">
        <v>0.34066539400000001</v>
      </c>
      <c r="G522" s="79">
        <v>0.861253401065737</v>
      </c>
      <c r="H522" s="80">
        <v>1</v>
      </c>
      <c r="I522" s="79">
        <v>9.6861963675631095E-3</v>
      </c>
      <c r="J522" s="79">
        <v>1.16035604168679E-2</v>
      </c>
      <c r="K522" s="79">
        <v>0.40390349798601599</v>
      </c>
      <c r="L522" s="79">
        <v>0.83581181467964405</v>
      </c>
      <c r="M522" s="80">
        <v>1</v>
      </c>
      <c r="N522" s="79">
        <v>1.59706443416925E-2</v>
      </c>
      <c r="O522" s="79">
        <v>1.14154571678466E-2</v>
      </c>
      <c r="P522" s="79">
        <v>0.161884452592546</v>
      </c>
      <c r="Q522" s="79">
        <v>0.232991492810981</v>
      </c>
      <c r="R522" s="80">
        <v>1</v>
      </c>
      <c r="S522" s="79">
        <v>1.9330439476203901E-2</v>
      </c>
      <c r="T522" s="79">
        <v>1.13949549309051E-2</v>
      </c>
      <c r="U522" s="79">
        <v>8.9891613392788797E-2</v>
      </c>
      <c r="V522" s="79">
        <v>0.15049136859557899</v>
      </c>
      <c r="W522" s="79">
        <v>1</v>
      </c>
    </row>
    <row r="523" spans="1:23" x14ac:dyDescent="0.2">
      <c r="A523" s="69"/>
      <c r="B523" s="56" t="s">
        <v>591</v>
      </c>
      <c r="C523" s="78">
        <v>5556</v>
      </c>
      <c r="D523" s="79">
        <v>-2.171961E-3</v>
      </c>
      <c r="E523" s="79">
        <v>9.2475549999999993E-3</v>
      </c>
      <c r="F523" s="79">
        <v>0.81433286400000005</v>
      </c>
      <c r="G523" s="79">
        <v>0.98545101377932998</v>
      </c>
      <c r="H523" s="80">
        <v>1</v>
      </c>
      <c r="I523" s="79">
        <v>-6.6251625980770501E-3</v>
      </c>
      <c r="J523" s="79">
        <v>9.4097079323459502E-3</v>
      </c>
      <c r="K523" s="79">
        <v>0.48145661258366401</v>
      </c>
      <c r="L523" s="79">
        <v>0.88035798468107995</v>
      </c>
      <c r="M523" s="80">
        <v>1</v>
      </c>
      <c r="N523" s="79">
        <v>3.2289496962163697E-2</v>
      </c>
      <c r="O523" s="79">
        <v>9.2080065389798897E-3</v>
      </c>
      <c r="P523" s="79">
        <v>4.62863209375603E-4</v>
      </c>
      <c r="Q523" s="79">
        <v>2.0090536557355598E-3</v>
      </c>
      <c r="R523" s="80">
        <v>0.58737341269763998</v>
      </c>
      <c r="S523" s="79">
        <v>1.5576898598824499E-2</v>
      </c>
      <c r="T523" s="79">
        <v>9.2133979450292006E-3</v>
      </c>
      <c r="U523" s="79">
        <v>9.1040360482493796E-2</v>
      </c>
      <c r="V523" s="79">
        <v>0.151813689162003</v>
      </c>
      <c r="W523" s="79">
        <v>1</v>
      </c>
    </row>
    <row r="524" spans="1:23" x14ac:dyDescent="0.2">
      <c r="A524" s="69"/>
      <c r="B524" s="56" t="s">
        <v>581</v>
      </c>
      <c r="C524" s="78">
        <v>5556</v>
      </c>
      <c r="D524" s="79">
        <v>-1.5187834000000001E-2</v>
      </c>
      <c r="E524" s="79">
        <v>9.9754249999999996E-3</v>
      </c>
      <c r="F524" s="79">
        <v>0.12800224800000001</v>
      </c>
      <c r="G524" s="79">
        <v>0.65626131345967698</v>
      </c>
      <c r="H524" s="80">
        <v>1</v>
      </c>
      <c r="I524" s="79">
        <v>-9.8276788597267493E-3</v>
      </c>
      <c r="J524" s="79">
        <v>1.01330288734284E-2</v>
      </c>
      <c r="K524" s="79">
        <v>0.33220088077979498</v>
      </c>
      <c r="L524" s="79">
        <v>0.79366538468944703</v>
      </c>
      <c r="M524" s="80">
        <v>1</v>
      </c>
      <c r="N524" s="81">
        <v>4.1648835751158998E-2</v>
      </c>
      <c r="O524" s="81">
        <v>9.9172116978251505E-3</v>
      </c>
      <c r="P524" s="81">
        <v>2.7640832697699601E-5</v>
      </c>
      <c r="Q524" s="81">
        <v>1.99420657102996E-4</v>
      </c>
      <c r="R524" s="82">
        <v>3.5076216693380798E-2</v>
      </c>
      <c r="S524" s="79">
        <v>2.2796231029715199E-2</v>
      </c>
      <c r="T524" s="79">
        <v>9.9384675107529897E-3</v>
      </c>
      <c r="U524" s="79">
        <v>2.1885322716129099E-2</v>
      </c>
      <c r="V524" s="79">
        <v>4.7071990723335302E-2</v>
      </c>
      <c r="W524" s="79">
        <v>1</v>
      </c>
    </row>
    <row r="525" spans="1:23" x14ac:dyDescent="0.2">
      <c r="A525" s="69"/>
      <c r="B525" s="56" t="s">
        <v>592</v>
      </c>
      <c r="C525" s="78">
        <v>5556</v>
      </c>
      <c r="D525" s="79">
        <v>-1.3108082E-2</v>
      </c>
      <c r="E525" s="79">
        <v>1.0011068E-2</v>
      </c>
      <c r="F525" s="79">
        <v>0.19053176799999999</v>
      </c>
      <c r="G525" s="79">
        <v>0.71824426474260405</v>
      </c>
      <c r="H525" s="80">
        <v>1</v>
      </c>
      <c r="I525" s="79">
        <v>-4.0197420266554797E-3</v>
      </c>
      <c r="J525" s="79">
        <v>1.01710613867185E-2</v>
      </c>
      <c r="K525" s="79">
        <v>0.69271680425400595</v>
      </c>
      <c r="L525" s="79">
        <v>0.93616360447106906</v>
      </c>
      <c r="M525" s="80">
        <v>1</v>
      </c>
      <c r="N525" s="79">
        <v>2.8749073702270499E-2</v>
      </c>
      <c r="O525" s="79">
        <v>9.9729427830222497E-3</v>
      </c>
      <c r="P525" s="79">
        <v>3.97551963878037E-3</v>
      </c>
      <c r="Q525" s="79">
        <v>1.10888451770942E-2</v>
      </c>
      <c r="R525" s="80">
        <v>1</v>
      </c>
      <c r="S525" s="81">
        <v>4.6997040619091102E-2</v>
      </c>
      <c r="T525" s="81">
        <v>9.9676756418888603E-3</v>
      </c>
      <c r="U525" s="81">
        <v>2.5456781919371901E-6</v>
      </c>
      <c r="V525" s="81">
        <v>5.5697683199453403E-5</v>
      </c>
      <c r="W525" s="81">
        <v>3.23046562556829E-3</v>
      </c>
    </row>
    <row r="526" spans="1:23" x14ac:dyDescent="0.2">
      <c r="A526" s="69"/>
      <c r="B526" s="56" t="s">
        <v>576</v>
      </c>
      <c r="C526" s="78">
        <v>5556</v>
      </c>
      <c r="D526" s="79">
        <v>-2.328732E-3</v>
      </c>
      <c r="E526" s="79">
        <v>1.0345048000000001E-2</v>
      </c>
      <c r="F526" s="79">
        <v>0.82191324099999996</v>
      </c>
      <c r="G526" s="79">
        <v>0.98545101377932998</v>
      </c>
      <c r="H526" s="80">
        <v>1</v>
      </c>
      <c r="I526" s="79">
        <v>1.01512287096115E-3</v>
      </c>
      <c r="J526" s="79">
        <v>1.04893740282818E-2</v>
      </c>
      <c r="K526" s="79">
        <v>0.92291058587281405</v>
      </c>
      <c r="L526" s="79">
        <v>0.981200184300273</v>
      </c>
      <c r="M526" s="80">
        <v>1</v>
      </c>
      <c r="N526" s="81">
        <v>4.43638983671856E-2</v>
      </c>
      <c r="O526" s="81">
        <v>1.0270691949059101E-2</v>
      </c>
      <c r="P526" s="81">
        <v>1.6177386346961101E-5</v>
      </c>
      <c r="Q526" s="81">
        <v>1.288542789489E-4</v>
      </c>
      <c r="R526" s="82">
        <v>2.0529103274293602E-2</v>
      </c>
      <c r="S526" s="81">
        <v>4.6590072961934501E-2</v>
      </c>
      <c r="T526" s="81">
        <v>1.0302813614050299E-2</v>
      </c>
      <c r="U526" s="81">
        <v>6.3712282764841197E-6</v>
      </c>
      <c r="V526" s="81">
        <v>1.12292898373033E-4</v>
      </c>
      <c r="W526" s="81">
        <v>8.0850886828583504E-3</v>
      </c>
    </row>
    <row r="527" spans="1:23" x14ac:dyDescent="0.2">
      <c r="A527" s="69"/>
      <c r="B527" s="56" t="s">
        <v>588</v>
      </c>
      <c r="C527" s="78">
        <v>5556</v>
      </c>
      <c r="D527" s="79">
        <v>-1.371288E-3</v>
      </c>
      <c r="E527" s="79">
        <v>1.0591358E-2</v>
      </c>
      <c r="F527" s="79">
        <v>0.89699274600000001</v>
      </c>
      <c r="G527" s="79">
        <v>0.991673151733656</v>
      </c>
      <c r="H527" s="80">
        <v>1</v>
      </c>
      <c r="I527" s="79">
        <v>7.2269912786959505E-4</v>
      </c>
      <c r="J527" s="79">
        <v>1.07302687619784E-2</v>
      </c>
      <c r="K527" s="79">
        <v>0.94630625051950001</v>
      </c>
      <c r="L527" s="79">
        <v>0.98512110903137495</v>
      </c>
      <c r="M527" s="80">
        <v>1</v>
      </c>
      <c r="N527" s="79">
        <v>4.3162763041542998E-2</v>
      </c>
      <c r="O527" s="79">
        <v>1.05104225070871E-2</v>
      </c>
      <c r="P527" s="79">
        <v>4.1221849840707203E-5</v>
      </c>
      <c r="Q527" s="79">
        <v>2.7731035590200699E-4</v>
      </c>
      <c r="R527" s="80">
        <v>5.2310527447857399E-2</v>
      </c>
      <c r="S527" s="79">
        <v>3.5766772641927999E-2</v>
      </c>
      <c r="T527" s="79">
        <v>1.05288371516539E-2</v>
      </c>
      <c r="U527" s="79">
        <v>6.9004249915425697E-4</v>
      </c>
      <c r="V527" s="79">
        <v>3.38094182018051E-3</v>
      </c>
      <c r="W527" s="79">
        <v>0.87566393142675203</v>
      </c>
    </row>
    <row r="528" spans="1:23" x14ac:dyDescent="0.2">
      <c r="A528" s="69"/>
      <c r="B528" s="56" t="s">
        <v>580</v>
      </c>
      <c r="C528" s="78">
        <v>5556</v>
      </c>
      <c r="D528" s="79">
        <v>7.2935689999999997E-3</v>
      </c>
      <c r="E528" s="79">
        <v>9.1821769999999997E-3</v>
      </c>
      <c r="F528" s="79">
        <v>0.4270987</v>
      </c>
      <c r="G528" s="79">
        <v>0.89290078772322901</v>
      </c>
      <c r="H528" s="80">
        <v>1</v>
      </c>
      <c r="I528" s="79">
        <v>7.8601713136433496E-4</v>
      </c>
      <c r="J528" s="79">
        <v>9.3503874194935301E-3</v>
      </c>
      <c r="K528" s="79">
        <v>0.93301423091365099</v>
      </c>
      <c r="L528" s="79">
        <v>0.981200184300273</v>
      </c>
      <c r="M528" s="80">
        <v>1</v>
      </c>
      <c r="N528" s="79">
        <v>3.10398373162767E-2</v>
      </c>
      <c r="O528" s="79">
        <v>9.14156622422292E-3</v>
      </c>
      <c r="P528" s="79">
        <v>6.9752894827864299E-4</v>
      </c>
      <c r="Q528" s="79">
        <v>2.7279822817994001E-3</v>
      </c>
      <c r="R528" s="80">
        <v>0.88516423536559796</v>
      </c>
      <c r="S528" s="79">
        <v>2.1895322048022799E-2</v>
      </c>
      <c r="T528" s="79">
        <v>9.1548876025551694E-3</v>
      </c>
      <c r="U528" s="79">
        <v>1.6857599496173901E-2</v>
      </c>
      <c r="V528" s="79">
        <v>3.84753484903681E-2</v>
      </c>
      <c r="W528" s="79">
        <v>1</v>
      </c>
    </row>
    <row r="529" spans="1:23" x14ac:dyDescent="0.2">
      <c r="A529" s="69"/>
      <c r="B529" s="56" t="s">
        <v>590</v>
      </c>
      <c r="C529" s="78">
        <v>5556</v>
      </c>
      <c r="D529" s="79">
        <v>1.2034942E-2</v>
      </c>
      <c r="E529" s="79">
        <v>1.0869747000000001E-2</v>
      </c>
      <c r="F529" s="79">
        <v>0.26829489200000001</v>
      </c>
      <c r="G529" s="79">
        <v>0.82078783688755996</v>
      </c>
      <c r="H529" s="80">
        <v>1</v>
      </c>
      <c r="I529" s="79">
        <v>-4.6857374524925102E-3</v>
      </c>
      <c r="J529" s="79">
        <v>1.10017127059218E-2</v>
      </c>
      <c r="K529" s="79">
        <v>0.67020155620150801</v>
      </c>
      <c r="L529" s="79">
        <v>0.92967939975467695</v>
      </c>
      <c r="M529" s="80">
        <v>1</v>
      </c>
      <c r="N529" s="79">
        <v>4.1580409928049303E-2</v>
      </c>
      <c r="O529" s="79">
        <v>1.0790586600901399E-2</v>
      </c>
      <c r="P529" s="79">
        <v>1.18819979792552E-4</v>
      </c>
      <c r="Q529" s="79">
        <v>6.7615495227241499E-4</v>
      </c>
      <c r="R529" s="80">
        <v>0.15078255435674801</v>
      </c>
      <c r="S529" s="79">
        <v>3.9955133847559797E-2</v>
      </c>
      <c r="T529" s="79">
        <v>1.0795039960183399E-2</v>
      </c>
      <c r="U529" s="79">
        <v>2.1817788308530899E-4</v>
      </c>
      <c r="V529" s="79">
        <v>1.4571985980803E-3</v>
      </c>
      <c r="W529" s="79">
        <v>0.27686773363525702</v>
      </c>
    </row>
    <row r="530" spans="1:23" x14ac:dyDescent="0.2">
      <c r="A530" s="69"/>
      <c r="B530" s="56" t="s">
        <v>587</v>
      </c>
      <c r="C530" s="78">
        <v>5556</v>
      </c>
      <c r="D530" s="79">
        <v>6.1567389999999996E-3</v>
      </c>
      <c r="E530" s="79">
        <v>1.0107343E-2</v>
      </c>
      <c r="F530" s="79">
        <v>0.54248648399999999</v>
      </c>
      <c r="G530" s="79">
        <v>0.94233160000673799</v>
      </c>
      <c r="H530" s="80">
        <v>1</v>
      </c>
      <c r="I530" s="79">
        <v>3.5345007624472701E-3</v>
      </c>
      <c r="J530" s="79">
        <v>1.02557929527937E-2</v>
      </c>
      <c r="K530" s="79">
        <v>0.73039476774814704</v>
      </c>
      <c r="L530" s="79">
        <v>0.94665651256802896</v>
      </c>
      <c r="M530" s="80">
        <v>1</v>
      </c>
      <c r="N530" s="79">
        <v>3.9228421317177402E-2</v>
      </c>
      <c r="O530" s="79">
        <v>1.0055246501964699E-2</v>
      </c>
      <c r="P530" s="79">
        <v>9.8004955752780702E-5</v>
      </c>
      <c r="Q530" s="79">
        <v>5.7312575507040904E-4</v>
      </c>
      <c r="R530" s="80">
        <v>0.12436828885027899</v>
      </c>
      <c r="S530" s="81">
        <v>4.1909237550822903E-2</v>
      </c>
      <c r="T530" s="81">
        <v>1.0065222042916201E-2</v>
      </c>
      <c r="U530" s="81">
        <v>3.22704021474163E-5</v>
      </c>
      <c r="V530" s="81">
        <v>3.5922052916729201E-4</v>
      </c>
      <c r="W530" s="81">
        <v>4.09511403250713E-2</v>
      </c>
    </row>
    <row r="531" spans="1:23" x14ac:dyDescent="0.2">
      <c r="A531" s="69"/>
      <c r="B531" s="56" t="s">
        <v>585</v>
      </c>
      <c r="C531" s="78">
        <v>5556</v>
      </c>
      <c r="D531" s="79">
        <v>-1.8500723E-2</v>
      </c>
      <c r="E531" s="79">
        <v>9.3689240000000007E-3</v>
      </c>
      <c r="F531" s="79">
        <v>4.8427132999999997E-2</v>
      </c>
      <c r="G531" s="79">
        <v>0.45521505020000003</v>
      </c>
      <c r="H531" s="80">
        <v>1</v>
      </c>
      <c r="I531" s="79">
        <v>-6.2411826326728599E-3</v>
      </c>
      <c r="J531" s="79">
        <v>9.5432979827120498E-3</v>
      </c>
      <c r="K531" s="79">
        <v>0.51318513940121702</v>
      </c>
      <c r="L531" s="79">
        <v>0.89454937074195695</v>
      </c>
      <c r="M531" s="80">
        <v>1</v>
      </c>
      <c r="N531" s="79">
        <v>3.19436971052015E-2</v>
      </c>
      <c r="O531" s="79">
        <v>9.3432999404507704E-3</v>
      </c>
      <c r="P531" s="79">
        <v>6.3994800469664498E-4</v>
      </c>
      <c r="Q531" s="79">
        <v>2.5537547734592499E-3</v>
      </c>
      <c r="R531" s="80">
        <v>0.81209401796004199</v>
      </c>
      <c r="S531" s="79">
        <v>2.4133811643509299E-2</v>
      </c>
      <c r="T531" s="79">
        <v>9.3546264200737791E-3</v>
      </c>
      <c r="U531" s="79">
        <v>9.9460842614832509E-3</v>
      </c>
      <c r="V531" s="79">
        <v>2.5909469748836199E-2</v>
      </c>
      <c r="W531" s="79">
        <v>1</v>
      </c>
    </row>
    <row r="532" spans="1:23" x14ac:dyDescent="0.2">
      <c r="A532" s="69"/>
      <c r="B532" s="56" t="s">
        <v>594</v>
      </c>
      <c r="C532" s="78">
        <v>5556</v>
      </c>
      <c r="D532" s="79">
        <v>-1.5385337000000001E-2</v>
      </c>
      <c r="E532" s="79">
        <v>1.0539714E-2</v>
      </c>
      <c r="F532" s="79">
        <v>0.144466072</v>
      </c>
      <c r="G532" s="79">
        <v>0.67644481499999998</v>
      </c>
      <c r="H532" s="80">
        <v>1</v>
      </c>
      <c r="I532" s="79">
        <v>-6.8251895902239302E-3</v>
      </c>
      <c r="J532" s="79">
        <v>1.0679906679158401E-2</v>
      </c>
      <c r="K532" s="79">
        <v>0.52282574974085605</v>
      </c>
      <c r="L532" s="79">
        <v>0.89943234111445602</v>
      </c>
      <c r="M532" s="80">
        <v>1</v>
      </c>
      <c r="N532" s="79">
        <v>3.0638699195061202E-2</v>
      </c>
      <c r="O532" s="79">
        <v>1.04842635423632E-2</v>
      </c>
      <c r="P532" s="79">
        <v>3.5001635380904699E-3</v>
      </c>
      <c r="Q532" s="79">
        <v>1.0049112058454299E-2</v>
      </c>
      <c r="R532" s="80">
        <v>1</v>
      </c>
      <c r="S532" s="79">
        <v>2.2258938255433701E-2</v>
      </c>
      <c r="T532" s="79">
        <v>1.0481772325798401E-2</v>
      </c>
      <c r="U532" s="79">
        <v>3.3786665950378901E-2</v>
      </c>
      <c r="V532" s="79">
        <v>6.72026318041236E-2</v>
      </c>
      <c r="W532" s="79">
        <v>1</v>
      </c>
    </row>
    <row r="533" spans="1:23" x14ac:dyDescent="0.2">
      <c r="A533" s="69"/>
      <c r="B533" s="56" t="s">
        <v>593</v>
      </c>
      <c r="C533" s="78">
        <v>5556</v>
      </c>
      <c r="D533" s="79">
        <v>7.0122830000000002E-3</v>
      </c>
      <c r="E533" s="79">
        <v>9.4355280000000003E-3</v>
      </c>
      <c r="F533" s="79">
        <v>0.45745124300000001</v>
      </c>
      <c r="G533" s="79">
        <v>0.91508141765196804</v>
      </c>
      <c r="H533" s="80">
        <v>1</v>
      </c>
      <c r="I533" s="79">
        <v>-3.8431147472071498E-3</v>
      </c>
      <c r="J533" s="79">
        <v>9.5989799039697607E-3</v>
      </c>
      <c r="K533" s="79">
        <v>0.68892239753144202</v>
      </c>
      <c r="L533" s="79">
        <v>0.93616360447106906</v>
      </c>
      <c r="M533" s="80">
        <v>1</v>
      </c>
      <c r="N533" s="79">
        <v>3.3150983586933899E-2</v>
      </c>
      <c r="O533" s="79">
        <v>9.3899604833252003E-3</v>
      </c>
      <c r="P533" s="79">
        <v>4.2306096479749001E-4</v>
      </c>
      <c r="Q533" s="79">
        <v>1.8771481270210299E-3</v>
      </c>
      <c r="R533" s="80">
        <v>0.53686436432801499</v>
      </c>
      <c r="S533" s="79">
        <v>1.8823163429264999E-2</v>
      </c>
      <c r="T533" s="79">
        <v>9.3959068012191196E-3</v>
      </c>
      <c r="U533" s="79">
        <v>4.5259036638022603E-2</v>
      </c>
      <c r="V533" s="79">
        <v>8.67578814103485E-2</v>
      </c>
      <c r="W533" s="79">
        <v>1</v>
      </c>
    </row>
    <row r="534" spans="1:23" x14ac:dyDescent="0.2">
      <c r="A534" s="69"/>
      <c r="B534" s="56" t="s">
        <v>584</v>
      </c>
      <c r="C534" s="78">
        <v>5556</v>
      </c>
      <c r="D534" s="79">
        <v>2.8625909999999998E-3</v>
      </c>
      <c r="E534" s="79">
        <v>9.8155240000000008E-3</v>
      </c>
      <c r="F534" s="79">
        <v>0.77058725900000002</v>
      </c>
      <c r="G534" s="79">
        <v>0.98545101377932998</v>
      </c>
      <c r="H534" s="80">
        <v>1</v>
      </c>
      <c r="I534" s="79">
        <v>6.3198238928291904E-3</v>
      </c>
      <c r="J534" s="79">
        <v>9.9719475531181503E-3</v>
      </c>
      <c r="K534" s="79">
        <v>0.52629341052380296</v>
      </c>
      <c r="L534" s="79">
        <v>0.89965480158269595</v>
      </c>
      <c r="M534" s="80">
        <v>1</v>
      </c>
      <c r="N534" s="81">
        <v>4.2420833754904998E-2</v>
      </c>
      <c r="O534" s="81">
        <v>9.7613739254187992E-3</v>
      </c>
      <c r="P534" s="81">
        <v>1.44364888062459E-5</v>
      </c>
      <c r="Q534" s="81">
        <v>1.17435283943116E-4</v>
      </c>
      <c r="R534" s="82">
        <v>1.8319904295126001E-2</v>
      </c>
      <c r="S534" s="81">
        <v>4.9957487934942202E-2</v>
      </c>
      <c r="T534" s="81">
        <v>9.7819471132895592E-3</v>
      </c>
      <c r="U534" s="81">
        <v>3.51710541007461E-7</v>
      </c>
      <c r="V534" s="81">
        <v>1.1745280961538599E-5</v>
      </c>
      <c r="W534" s="81">
        <v>4.4632067653846798E-4</v>
      </c>
    </row>
    <row r="535" spans="1:23" x14ac:dyDescent="0.2">
      <c r="A535" s="69"/>
      <c r="B535" s="56" t="s">
        <v>583</v>
      </c>
      <c r="C535" s="78">
        <v>5556</v>
      </c>
      <c r="D535" s="79">
        <v>-7.5670119999999997E-3</v>
      </c>
      <c r="E535" s="79">
        <v>1.1379171E-2</v>
      </c>
      <c r="F535" s="79">
        <v>0.50610138900000001</v>
      </c>
      <c r="G535" s="79">
        <v>0.92884339055395704</v>
      </c>
      <c r="H535" s="80">
        <v>1</v>
      </c>
      <c r="I535" s="79">
        <v>4.6221084579711304E-3</v>
      </c>
      <c r="J535" s="79">
        <v>1.1494344060191499E-2</v>
      </c>
      <c r="K535" s="79">
        <v>0.68761853870082801</v>
      </c>
      <c r="L535" s="79">
        <v>0.93616360447106906</v>
      </c>
      <c r="M535" s="80">
        <v>1</v>
      </c>
      <c r="N535" s="79">
        <v>8.52692900464571E-3</v>
      </c>
      <c r="O535" s="79">
        <v>1.1303042835841401E-2</v>
      </c>
      <c r="P535" s="79">
        <v>0.45066316058440298</v>
      </c>
      <c r="Q535" s="79">
        <v>0.53348092423657401</v>
      </c>
      <c r="R535" s="80">
        <v>1</v>
      </c>
      <c r="S535" s="79">
        <v>2.24208443980786E-2</v>
      </c>
      <c r="T535" s="79">
        <v>1.12796949011011E-2</v>
      </c>
      <c r="U535" s="79">
        <v>4.6918180314972101E-2</v>
      </c>
      <c r="V535" s="79">
        <v>8.9264124167465694E-2</v>
      </c>
      <c r="W535" s="79">
        <v>1</v>
      </c>
    </row>
    <row r="536" spans="1:23" x14ac:dyDescent="0.2">
      <c r="A536" s="69"/>
      <c r="B536" s="56" t="s">
        <v>575</v>
      </c>
      <c r="C536" s="78">
        <v>5556</v>
      </c>
      <c r="D536" s="79">
        <v>7.376718E-3</v>
      </c>
      <c r="E536" s="79">
        <v>1.1080453000000001E-2</v>
      </c>
      <c r="F536" s="79">
        <v>0.50562256800000005</v>
      </c>
      <c r="G536" s="79">
        <v>0.92884339055395704</v>
      </c>
      <c r="H536" s="80">
        <v>1</v>
      </c>
      <c r="I536" s="79">
        <v>-2.2805936848722501E-3</v>
      </c>
      <c r="J536" s="79">
        <v>1.12057528822676E-2</v>
      </c>
      <c r="K536" s="79">
        <v>0.838740526264945</v>
      </c>
      <c r="L536" s="79">
        <v>0.96885318781001994</v>
      </c>
      <c r="M536" s="80">
        <v>1</v>
      </c>
      <c r="N536" s="79">
        <v>-1.02678830788277E-2</v>
      </c>
      <c r="O536" s="79">
        <v>1.1012919621410801E-2</v>
      </c>
      <c r="P536" s="79">
        <v>0.35122331164231402</v>
      </c>
      <c r="Q536" s="79">
        <v>0.43610800633473201</v>
      </c>
      <c r="R536" s="80">
        <v>1</v>
      </c>
      <c r="S536" s="79">
        <v>-2.4678337310259899E-2</v>
      </c>
      <c r="T536" s="79">
        <v>1.0997935440163399E-2</v>
      </c>
      <c r="U536" s="79">
        <v>2.4902703404068201E-2</v>
      </c>
      <c r="V536" s="79">
        <v>5.1976201677240999E-2</v>
      </c>
      <c r="W536" s="79">
        <v>1</v>
      </c>
    </row>
    <row r="537" spans="1:23" x14ac:dyDescent="0.2">
      <c r="A537" s="69"/>
      <c r="B537" s="56" t="s">
        <v>582</v>
      </c>
      <c r="C537" s="78">
        <v>5556</v>
      </c>
      <c r="D537" s="79">
        <v>-1.7777152000000001E-2</v>
      </c>
      <c r="E537" s="79">
        <v>1.0324658E-2</v>
      </c>
      <c r="F537" s="79">
        <v>8.5214538000000006E-2</v>
      </c>
      <c r="G537" s="79">
        <v>0.59336855393782395</v>
      </c>
      <c r="H537" s="80">
        <v>1</v>
      </c>
      <c r="I537" s="79">
        <v>4.1612185232017202E-3</v>
      </c>
      <c r="J537" s="79">
        <v>1.0482799459257E-2</v>
      </c>
      <c r="K537" s="79">
        <v>0.69142814627870797</v>
      </c>
      <c r="L537" s="79">
        <v>0.93616360447106906</v>
      </c>
      <c r="M537" s="80">
        <v>1</v>
      </c>
      <c r="N537" s="79">
        <v>2.6163160893615801E-2</v>
      </c>
      <c r="O537" s="79">
        <v>1.02931172609921E-2</v>
      </c>
      <c r="P537" s="79">
        <v>1.1081068193452301E-2</v>
      </c>
      <c r="Q537" s="79">
        <v>2.6088822889593601E-2</v>
      </c>
      <c r="R537" s="80">
        <v>1</v>
      </c>
      <c r="S537" s="79">
        <v>3.6397693962607197E-2</v>
      </c>
      <c r="T537" s="79">
        <v>1.0284602750939301E-2</v>
      </c>
      <c r="U537" s="79">
        <v>4.0799564887896301E-4</v>
      </c>
      <c r="V537" s="79">
        <v>2.2609016525214202E-3</v>
      </c>
      <c r="W537" s="79">
        <v>0.51774647842740396</v>
      </c>
    </row>
    <row r="538" spans="1:23" x14ac:dyDescent="0.2">
      <c r="A538" s="69"/>
      <c r="B538" s="56" t="s">
        <v>578</v>
      </c>
      <c r="C538" s="78">
        <v>5556</v>
      </c>
      <c r="D538" s="79">
        <v>8.0154670000000001E-3</v>
      </c>
      <c r="E538" s="79">
        <v>1.0656314E-2</v>
      </c>
      <c r="F538" s="79">
        <v>0.45200212400000001</v>
      </c>
      <c r="G538" s="79">
        <v>0.91096829001428603</v>
      </c>
      <c r="H538" s="80">
        <v>1</v>
      </c>
      <c r="I538" s="79">
        <v>1.16026093904982E-2</v>
      </c>
      <c r="J538" s="79">
        <v>1.0794153312120599E-2</v>
      </c>
      <c r="K538" s="79">
        <v>0.28250287089570097</v>
      </c>
      <c r="L538" s="79">
        <v>0.76694710984058201</v>
      </c>
      <c r="M538" s="80">
        <v>1</v>
      </c>
      <c r="N538" s="79">
        <v>3.2592620198062E-2</v>
      </c>
      <c r="O538" s="79">
        <v>1.0604261837591901E-2</v>
      </c>
      <c r="P538" s="79">
        <v>2.1341694525580401E-3</v>
      </c>
      <c r="Q538" s="79">
        <v>6.6055147202345203E-3</v>
      </c>
      <c r="R538" s="80">
        <v>1</v>
      </c>
      <c r="S538" s="81">
        <v>5.5302824478846803E-2</v>
      </c>
      <c r="T538" s="81">
        <v>1.0569654883728101E-2</v>
      </c>
      <c r="U538" s="81">
        <v>1.7877969629279499E-7</v>
      </c>
      <c r="V538" s="81">
        <v>6.6726892528104903E-6</v>
      </c>
      <c r="W538" s="81">
        <v>2.2687143459555699E-4</v>
      </c>
    </row>
    <row r="539" spans="1:23" x14ac:dyDescent="0.2">
      <c r="A539" s="69"/>
      <c r="B539" s="56" t="s">
        <v>589</v>
      </c>
      <c r="C539" s="78">
        <v>5556</v>
      </c>
      <c r="D539" s="79">
        <v>3.479986E-3</v>
      </c>
      <c r="E539" s="79">
        <v>1.1236443E-2</v>
      </c>
      <c r="F539" s="79">
        <v>0.75680351099999998</v>
      </c>
      <c r="G539" s="79">
        <v>0.98545101377932998</v>
      </c>
      <c r="H539" s="80">
        <v>1</v>
      </c>
      <c r="I539" s="79">
        <v>1.3905104005047001E-2</v>
      </c>
      <c r="J539" s="79">
        <v>1.1351057518103599E-2</v>
      </c>
      <c r="K539" s="79">
        <v>0.22065163210151201</v>
      </c>
      <c r="L539" s="79">
        <v>0.73459417908661795</v>
      </c>
      <c r="M539" s="80">
        <v>1</v>
      </c>
      <c r="N539" s="79">
        <v>3.2863691360165197E-2</v>
      </c>
      <c r="O539" s="79">
        <v>1.11693225851458E-2</v>
      </c>
      <c r="P539" s="79">
        <v>3.2787240207001098E-3</v>
      </c>
      <c r="Q539" s="79">
        <v>9.5428917024505504E-3</v>
      </c>
      <c r="R539" s="80">
        <v>1</v>
      </c>
      <c r="S539" s="81">
        <v>5.8287843567231601E-2</v>
      </c>
      <c r="T539" s="81">
        <v>1.11165892587861E-2</v>
      </c>
      <c r="U539" s="81">
        <v>1.6686779664981701E-7</v>
      </c>
      <c r="V539" s="81">
        <v>6.5797031387490804E-6</v>
      </c>
      <c r="W539" s="81">
        <v>2.1175523394861799E-4</v>
      </c>
    </row>
    <row r="540" spans="1:23" x14ac:dyDescent="0.2">
      <c r="A540" s="69"/>
      <c r="B540" s="56" t="s">
        <v>579</v>
      </c>
      <c r="C540" s="78">
        <v>5556</v>
      </c>
      <c r="D540" s="79">
        <v>-4.4810780000000003E-3</v>
      </c>
      <c r="E540" s="79">
        <v>1.0979881E-2</v>
      </c>
      <c r="F540" s="79">
        <v>0.68321424799999997</v>
      </c>
      <c r="G540" s="79">
        <v>0.98545101377932998</v>
      </c>
      <c r="H540" s="80">
        <v>1</v>
      </c>
      <c r="I540" s="79">
        <v>-1.9847491900407402E-3</v>
      </c>
      <c r="J540" s="79">
        <v>1.1105736670488199E-2</v>
      </c>
      <c r="K540" s="79">
        <v>0.85817283751393503</v>
      </c>
      <c r="L540" s="79">
        <v>0.96964513668720897</v>
      </c>
      <c r="M540" s="80">
        <v>1</v>
      </c>
      <c r="N540" s="79">
        <v>3.25655951424672E-2</v>
      </c>
      <c r="O540" s="79">
        <v>1.0924103242374099E-2</v>
      </c>
      <c r="P540" s="79">
        <v>2.8931325857016999E-3</v>
      </c>
      <c r="Q540" s="79">
        <v>8.6385535323657801E-3</v>
      </c>
      <c r="R540" s="80">
        <v>1</v>
      </c>
      <c r="S540" s="79">
        <v>4.2924589144411197E-2</v>
      </c>
      <c r="T540" s="79">
        <v>1.0906747226186E-2</v>
      </c>
      <c r="U540" s="79">
        <v>8.4665086205485895E-5</v>
      </c>
      <c r="V540" s="79">
        <v>7.1152314168716302E-4</v>
      </c>
      <c r="W540" s="79">
        <v>0.107439994394762</v>
      </c>
    </row>
    <row r="541" spans="1:23" x14ac:dyDescent="0.2">
      <c r="A541" s="69"/>
      <c r="B541" s="56" t="s">
        <v>586</v>
      </c>
      <c r="C541" s="78">
        <v>5556</v>
      </c>
      <c r="D541" s="79">
        <v>-2.9399729999999998E-3</v>
      </c>
      <c r="E541" s="79">
        <v>9.1401420000000004E-3</v>
      </c>
      <c r="F541" s="79">
        <v>0.74774559100000004</v>
      </c>
      <c r="G541" s="79">
        <v>0.98545101377932998</v>
      </c>
      <c r="H541" s="80">
        <v>1</v>
      </c>
      <c r="I541" s="79">
        <v>4.6716492948368203E-4</v>
      </c>
      <c r="J541" s="79">
        <v>9.3071589185171402E-3</v>
      </c>
      <c r="K541" s="79">
        <v>0.95997214654885099</v>
      </c>
      <c r="L541" s="79">
        <v>0.98719988166166295</v>
      </c>
      <c r="M541" s="80">
        <v>1</v>
      </c>
      <c r="N541" s="81">
        <v>3.84039432814922E-2</v>
      </c>
      <c r="O541" s="81">
        <v>9.1043940973824702E-3</v>
      </c>
      <c r="P541" s="81">
        <v>2.5646333221890502E-5</v>
      </c>
      <c r="Q541" s="81">
        <v>1.8921626080569201E-4</v>
      </c>
      <c r="R541" s="82">
        <v>3.2545196858579102E-2</v>
      </c>
      <c r="S541" s="79">
        <v>3.6458000782451698E-2</v>
      </c>
      <c r="T541" s="79">
        <v>9.1311869793298701E-3</v>
      </c>
      <c r="U541" s="79">
        <v>6.7506797129673494E-5</v>
      </c>
      <c r="V541" s="79">
        <v>5.9906381508780199E-4</v>
      </c>
      <c r="W541" s="79">
        <v>8.5666125557555706E-2</v>
      </c>
    </row>
    <row r="542" spans="1:23" x14ac:dyDescent="0.2">
      <c r="A542" s="69"/>
      <c r="B542" s="56" t="s">
        <v>577</v>
      </c>
      <c r="C542" s="78">
        <v>5556</v>
      </c>
      <c r="D542" s="79">
        <v>4.4134220000000002E-3</v>
      </c>
      <c r="E542" s="79">
        <v>1.0704964000000001E-2</v>
      </c>
      <c r="F542" s="79">
        <v>0.68016549400000004</v>
      </c>
      <c r="G542" s="79">
        <v>0.98545101377932998</v>
      </c>
      <c r="H542" s="80">
        <v>1</v>
      </c>
      <c r="I542" s="79">
        <v>6.82072918145743E-3</v>
      </c>
      <c r="J542" s="79">
        <v>1.0845250905331699E-2</v>
      </c>
      <c r="K542" s="79">
        <v>0.52945142403894296</v>
      </c>
      <c r="L542" s="79">
        <v>0.89965480158269595</v>
      </c>
      <c r="M542" s="80">
        <v>1</v>
      </c>
      <c r="N542" s="79">
        <v>3.7297741167861199E-2</v>
      </c>
      <c r="O542" s="79">
        <v>1.0640171658112501E-2</v>
      </c>
      <c r="P542" s="79">
        <v>4.6265787945835998E-4</v>
      </c>
      <c r="Q542" s="79">
        <v>2.0090536557355598E-3</v>
      </c>
      <c r="R542" s="80">
        <v>0.58711284903265903</v>
      </c>
      <c r="S542" s="79">
        <v>4.2036659442912801E-2</v>
      </c>
      <c r="T542" s="79">
        <v>1.0632355570517499E-2</v>
      </c>
      <c r="U542" s="79">
        <v>7.8727627734538998E-5</v>
      </c>
      <c r="V542" s="79">
        <v>6.7050576909483204E-4</v>
      </c>
      <c r="W542" s="79">
        <v>9.990535959513E-2</v>
      </c>
    </row>
    <row r="543" spans="1:23" x14ac:dyDescent="0.2">
      <c r="A543" s="69"/>
      <c r="B543" s="84" t="s">
        <v>2356</v>
      </c>
      <c r="C543" s="78">
        <v>5424</v>
      </c>
      <c r="D543" s="79">
        <v>1.038349813297573</v>
      </c>
      <c r="E543" s="79">
        <v>6.9929241000000003E-2</v>
      </c>
      <c r="F543" s="79">
        <v>0.59047040100000003</v>
      </c>
      <c r="G543" s="79">
        <v>0.95350818012595395</v>
      </c>
      <c r="H543" s="80">
        <v>1</v>
      </c>
      <c r="I543" s="79">
        <v>1.1625349854927032</v>
      </c>
      <c r="J543" s="79">
        <v>6.9239414274961997E-2</v>
      </c>
      <c r="K543" s="79">
        <v>2.9622295519523199E-2</v>
      </c>
      <c r="L543" s="79">
        <v>0.46602025326235702</v>
      </c>
      <c r="M543" s="80">
        <v>1</v>
      </c>
      <c r="N543" s="79">
        <v>1.2307903262277227</v>
      </c>
      <c r="O543" s="79">
        <v>6.95640969288365E-2</v>
      </c>
      <c r="P543" s="79">
        <v>2.8347605309799601E-3</v>
      </c>
      <c r="Q543" s="79">
        <v>8.4842243250319999E-3</v>
      </c>
      <c r="R543" s="80">
        <v>1</v>
      </c>
      <c r="S543" s="79">
        <v>1.2664939451169548</v>
      </c>
      <c r="T543" s="79">
        <v>6.9008975463487096E-2</v>
      </c>
      <c r="U543" s="79">
        <v>6.1819651430573505E-4</v>
      </c>
      <c r="V543" s="79">
        <v>3.1632716800563598E-3</v>
      </c>
      <c r="W543" s="79">
        <v>0.78449137665397795</v>
      </c>
    </row>
    <row r="544" spans="1:23" x14ac:dyDescent="0.2">
      <c r="A544" s="69"/>
      <c r="B544" s="84" t="s">
        <v>2357</v>
      </c>
      <c r="C544" s="78">
        <v>5407</v>
      </c>
      <c r="D544" s="79">
        <v>1.0970903676783861</v>
      </c>
      <c r="E544" s="79">
        <v>6.3244234999999996E-2</v>
      </c>
      <c r="F544" s="79">
        <v>0.142883169</v>
      </c>
      <c r="G544" s="79">
        <v>0.674047366026022</v>
      </c>
      <c r="H544" s="80">
        <v>1</v>
      </c>
      <c r="I544" s="79">
        <v>1.1597419100867496</v>
      </c>
      <c r="J544" s="79">
        <v>6.2929941811704096E-2</v>
      </c>
      <c r="K544" s="79">
        <v>1.85247049723332E-2</v>
      </c>
      <c r="L544" s="79">
        <v>0.41909202640396798</v>
      </c>
      <c r="M544" s="80">
        <v>1</v>
      </c>
      <c r="N544" s="79">
        <v>1.23217840085319</v>
      </c>
      <c r="O544" s="79">
        <v>6.3007568738473296E-2</v>
      </c>
      <c r="P544" s="79">
        <v>9.2093857153521797E-4</v>
      </c>
      <c r="Q544" s="79">
        <v>3.34869776037544E-3</v>
      </c>
      <c r="R544" s="80">
        <v>1</v>
      </c>
      <c r="S544" s="81">
        <v>1.3423475336128803</v>
      </c>
      <c r="T544" s="81">
        <v>6.1592078555806597E-2</v>
      </c>
      <c r="U544" s="81">
        <v>1.75156000473187E-6</v>
      </c>
      <c r="V544" s="81">
        <v>4.5361829510300897E-5</v>
      </c>
      <c r="W544" s="81">
        <v>2.2227296460047398E-3</v>
      </c>
    </row>
    <row r="545" spans="1:23" x14ac:dyDescent="0.2">
      <c r="A545" s="69"/>
      <c r="B545" s="84" t="s">
        <v>2358</v>
      </c>
      <c r="C545" s="78">
        <v>5213</v>
      </c>
      <c r="D545" s="79">
        <v>1.0770615908953773</v>
      </c>
      <c r="E545" s="79">
        <v>4.8716865999999998E-2</v>
      </c>
      <c r="F545" s="79">
        <v>0.12754932299999999</v>
      </c>
      <c r="G545" s="79">
        <v>0.65626131345967698</v>
      </c>
      <c r="H545" s="80">
        <v>1</v>
      </c>
      <c r="I545" s="79">
        <v>1.1330133817014878</v>
      </c>
      <c r="J545" s="79">
        <v>4.8531583935457E-2</v>
      </c>
      <c r="K545" s="79">
        <v>1.0076703425095399E-2</v>
      </c>
      <c r="L545" s="79">
        <v>0.340967520375549</v>
      </c>
      <c r="M545" s="80">
        <v>1</v>
      </c>
      <c r="N545" s="79">
        <v>1.1386215956984669</v>
      </c>
      <c r="O545" s="79">
        <v>4.8286327332302599E-2</v>
      </c>
      <c r="P545" s="79">
        <v>7.1771105635630196E-3</v>
      </c>
      <c r="Q545" s="79">
        <v>1.8035155059725701E-2</v>
      </c>
      <c r="R545" s="80">
        <v>1</v>
      </c>
      <c r="S545" s="81">
        <v>1.3310974396748578</v>
      </c>
      <c r="T545" s="81">
        <v>4.7881758516649497E-2</v>
      </c>
      <c r="U545" s="81">
        <v>2.32750952176795E-9</v>
      </c>
      <c r="V545" s="81">
        <v>1.7374174018373699E-7</v>
      </c>
      <c r="W545" s="81">
        <v>2.9536095831235301E-6</v>
      </c>
    </row>
    <row r="546" spans="1:23" x14ac:dyDescent="0.2">
      <c r="A546" s="69"/>
      <c r="B546" s="84" t="s">
        <v>2359</v>
      </c>
      <c r="C546" s="78">
        <v>5324</v>
      </c>
      <c r="D546" s="79">
        <v>1.1625174591613323</v>
      </c>
      <c r="E546" s="79">
        <v>0.10445673799999999</v>
      </c>
      <c r="F546" s="79">
        <v>0.149407024</v>
      </c>
      <c r="G546" s="79">
        <v>0.67644481499999998</v>
      </c>
      <c r="H546" s="80">
        <v>1</v>
      </c>
      <c r="I546" s="79">
        <v>1.2159129013033041</v>
      </c>
      <c r="J546" s="79">
        <v>0.105358581687932</v>
      </c>
      <c r="K546" s="79">
        <v>6.3521737441443599E-2</v>
      </c>
      <c r="L546" s="79">
        <v>0.57459637698370203</v>
      </c>
      <c r="M546" s="80">
        <v>1</v>
      </c>
      <c r="N546" s="79">
        <v>1.2537589654026595</v>
      </c>
      <c r="O546" s="79">
        <v>0.103336912940016</v>
      </c>
      <c r="P546" s="79">
        <v>2.8637864903262499E-2</v>
      </c>
      <c r="Q546" s="79">
        <v>5.5314232210411103E-2</v>
      </c>
      <c r="R546" s="80">
        <v>1</v>
      </c>
      <c r="S546" s="79">
        <v>1.3839767553069049</v>
      </c>
      <c r="T546" s="79">
        <v>0.104229128145718</v>
      </c>
      <c r="U546" s="79">
        <v>1.8223317751442101E-3</v>
      </c>
      <c r="V546" s="79">
        <v>7.3018215280239796E-3</v>
      </c>
      <c r="W546" s="79">
        <v>1</v>
      </c>
    </row>
    <row r="547" spans="1:23" x14ac:dyDescent="0.2">
      <c r="A547" s="69"/>
      <c r="B547" s="84" t="s">
        <v>2360</v>
      </c>
      <c r="C547" s="78">
        <v>5358</v>
      </c>
      <c r="D547" s="79">
        <v>1.0122363600938711</v>
      </c>
      <c r="E547" s="79">
        <v>0.14358949900000001</v>
      </c>
      <c r="F547" s="79">
        <v>0.93249950400000003</v>
      </c>
      <c r="G547" s="79">
        <v>0.991673151733656</v>
      </c>
      <c r="H547" s="80">
        <v>1</v>
      </c>
      <c r="I547" s="79">
        <v>1.3803908167524652</v>
      </c>
      <c r="J547" s="79">
        <v>0.102021947336429</v>
      </c>
      <c r="K547" s="79">
        <v>1.5788963246316701E-3</v>
      </c>
      <c r="L547" s="79">
        <v>0.18043336354349901</v>
      </c>
      <c r="M547" s="80">
        <v>1</v>
      </c>
      <c r="N547" s="79">
        <v>1.2107751944400238</v>
      </c>
      <c r="O547" s="79">
        <v>0.13969059431922001</v>
      </c>
      <c r="P547" s="79">
        <v>0.17094470944339399</v>
      </c>
      <c r="Q547" s="79">
        <v>0.24401443901424899</v>
      </c>
      <c r="R547" s="80">
        <v>1</v>
      </c>
      <c r="S547" s="79">
        <v>1.3041458222788864</v>
      </c>
      <c r="T547" s="79">
        <v>9.9578716312028998E-2</v>
      </c>
      <c r="U547" s="79">
        <v>7.6596074880153197E-3</v>
      </c>
      <c r="V547" s="79">
        <v>2.1315881364674199E-2</v>
      </c>
      <c r="W547" s="79">
        <v>1</v>
      </c>
    </row>
    <row r="548" spans="1:23" x14ac:dyDescent="0.2">
      <c r="A548" s="69"/>
      <c r="B548" s="84" t="s">
        <v>2361</v>
      </c>
      <c r="C548" s="78">
        <v>5306</v>
      </c>
      <c r="D548" s="79">
        <v>1.0765651099567584</v>
      </c>
      <c r="E548" s="79">
        <v>9.1234115000000005E-2</v>
      </c>
      <c r="F548" s="79">
        <v>0.41872247600000001</v>
      </c>
      <c r="G548" s="79">
        <v>0.89158896436589397</v>
      </c>
      <c r="H548" s="80">
        <v>1</v>
      </c>
      <c r="I548" s="79">
        <v>1.1535410346420956</v>
      </c>
      <c r="J548" s="79">
        <v>9.1372310512062793E-2</v>
      </c>
      <c r="K548" s="79">
        <v>0.117997386670407</v>
      </c>
      <c r="L548" s="79">
        <v>0.629154133129187</v>
      </c>
      <c r="M548" s="80">
        <v>1</v>
      </c>
      <c r="N548" s="79">
        <v>1.1226008415465445</v>
      </c>
      <c r="O548" s="79">
        <v>9.1092574246825403E-2</v>
      </c>
      <c r="P548" s="79">
        <v>0.20423872676268201</v>
      </c>
      <c r="Q548" s="79">
        <v>0.28049669292407298</v>
      </c>
      <c r="R548" s="80">
        <v>1</v>
      </c>
      <c r="S548" s="79">
        <v>1.4147414401299736</v>
      </c>
      <c r="T548" s="79">
        <v>9.2994909807482706E-2</v>
      </c>
      <c r="U548" s="79">
        <v>1.9086148706689399E-4</v>
      </c>
      <c r="V548" s="79">
        <v>1.28831503770153E-3</v>
      </c>
      <c r="W548" s="79">
        <v>0.24220322708788899</v>
      </c>
    </row>
    <row r="549" spans="1:23" x14ac:dyDescent="0.2">
      <c r="A549" s="69"/>
      <c r="B549" s="84" t="s">
        <v>2362</v>
      </c>
      <c r="C549" s="78">
        <v>5236</v>
      </c>
      <c r="D549" s="79">
        <v>1.0860036190882767</v>
      </c>
      <c r="E549" s="79">
        <v>4.4288566000000001E-2</v>
      </c>
      <c r="F549" s="79">
        <v>6.2478291999999998E-2</v>
      </c>
      <c r="G549" s="79">
        <v>0.50823687530769202</v>
      </c>
      <c r="H549" s="80">
        <v>1</v>
      </c>
      <c r="I549" s="79">
        <v>1.1205256582810075</v>
      </c>
      <c r="J549" s="79">
        <v>4.4683108745320901E-2</v>
      </c>
      <c r="K549" s="79">
        <v>1.0872289062431E-2</v>
      </c>
      <c r="L549" s="79">
        <v>0.35376755949294703</v>
      </c>
      <c r="M549" s="80">
        <v>1</v>
      </c>
      <c r="N549" s="79">
        <v>1.0589138255707602</v>
      </c>
      <c r="O549" s="79">
        <v>4.3759648273728503E-2</v>
      </c>
      <c r="P549" s="79">
        <v>0.19082626533243699</v>
      </c>
      <c r="Q549" s="79">
        <v>0.26558553825053</v>
      </c>
      <c r="R549" s="80">
        <v>1</v>
      </c>
      <c r="S549" s="81">
        <v>1.2195278018130071</v>
      </c>
      <c r="T549" s="81">
        <v>4.3462420228593597E-2</v>
      </c>
      <c r="U549" s="81">
        <v>4.9633814025083602E-6</v>
      </c>
      <c r="V549" s="81">
        <v>9.1283057967871104E-5</v>
      </c>
      <c r="W549" s="81">
        <v>6.2985309997831097E-3</v>
      </c>
    </row>
    <row r="550" spans="1:23" x14ac:dyDescent="0.2">
      <c r="A550" s="69"/>
      <c r="B550" s="84" t="s">
        <v>2363</v>
      </c>
      <c r="C550" s="78">
        <v>5320</v>
      </c>
      <c r="D550" s="79">
        <v>1.0724008778888043</v>
      </c>
      <c r="E550" s="79">
        <v>9.6714825000000004E-2</v>
      </c>
      <c r="F550" s="79">
        <v>0.469837897</v>
      </c>
      <c r="G550" s="79">
        <v>0.92009921495833302</v>
      </c>
      <c r="H550" s="80">
        <v>1</v>
      </c>
      <c r="I550" s="79">
        <v>1.2200331972196636</v>
      </c>
      <c r="J550" s="79">
        <v>9.69040513806078E-2</v>
      </c>
      <c r="K550" s="79">
        <v>4.0138627200743002E-2</v>
      </c>
      <c r="L550" s="79">
        <v>0.50307562413000395</v>
      </c>
      <c r="M550" s="80">
        <v>1</v>
      </c>
      <c r="N550" s="79">
        <v>1.408385665139837</v>
      </c>
      <c r="O550" s="79">
        <v>9.5168406542024103E-2</v>
      </c>
      <c r="P550" s="79">
        <v>3.20308516401534E-4</v>
      </c>
      <c r="Q550" s="79">
        <v>1.5425666543863899E-3</v>
      </c>
      <c r="R550" s="80">
        <v>0.40647150731354698</v>
      </c>
      <c r="S550" s="81">
        <v>1.5272713385147685</v>
      </c>
      <c r="T550" s="81">
        <v>9.7806441206338898E-2</v>
      </c>
      <c r="U550" s="81">
        <v>1.49242225701387E-5</v>
      </c>
      <c r="V550" s="81">
        <v>2.01477004696872E-4</v>
      </c>
      <c r="W550" s="81">
        <v>1.8938838441506001E-2</v>
      </c>
    </row>
    <row r="551" spans="1:23" x14ac:dyDescent="0.2">
      <c r="A551" s="69"/>
      <c r="B551" s="84" t="s">
        <v>2364</v>
      </c>
      <c r="C551" s="78">
        <v>5445</v>
      </c>
      <c r="D551" s="79">
        <v>0.95516291827378885</v>
      </c>
      <c r="E551" s="79">
        <v>7.7214254999999996E-2</v>
      </c>
      <c r="F551" s="79">
        <v>0.55244203300000005</v>
      </c>
      <c r="G551" s="79">
        <v>0.94301103320564506</v>
      </c>
      <c r="H551" s="80">
        <v>1</v>
      </c>
      <c r="I551" s="79">
        <v>1.1157913358559968</v>
      </c>
      <c r="J551" s="79">
        <v>7.6528119555469301E-2</v>
      </c>
      <c r="K551" s="79">
        <v>0.1522350739185</v>
      </c>
      <c r="L551" s="79">
        <v>0.66470888806839401</v>
      </c>
      <c r="M551" s="80">
        <v>1</v>
      </c>
      <c r="N551" s="79">
        <v>1.313723161537679</v>
      </c>
      <c r="O551" s="79">
        <v>7.8186251642702695E-2</v>
      </c>
      <c r="P551" s="79">
        <v>4.8313161687959301E-4</v>
      </c>
      <c r="Q551" s="79">
        <v>2.0782848197295001E-3</v>
      </c>
      <c r="R551" s="80">
        <v>0.613094021820204</v>
      </c>
      <c r="S551" s="79">
        <v>1.3640596665035096</v>
      </c>
      <c r="T551" s="79">
        <v>7.6697592266894099E-2</v>
      </c>
      <c r="U551" s="79">
        <v>5.1675996727622498E-5</v>
      </c>
      <c r="V551" s="79">
        <v>4.8218264593641899E-4</v>
      </c>
      <c r="W551" s="79">
        <v>6.5576839847353005E-2</v>
      </c>
    </row>
    <row r="552" spans="1:23" x14ac:dyDescent="0.2">
      <c r="A552" s="69"/>
      <c r="B552" s="84" t="s">
        <v>2365</v>
      </c>
      <c r="C552" s="78">
        <v>2477</v>
      </c>
      <c r="D552" s="79">
        <v>1.0332144078269552</v>
      </c>
      <c r="E552" s="79">
        <v>0.130939799</v>
      </c>
      <c r="F552" s="79">
        <v>0.80294304800000005</v>
      </c>
      <c r="G552" s="79">
        <v>0.98545101377932998</v>
      </c>
      <c r="H552" s="80">
        <v>1</v>
      </c>
      <c r="I552" s="79">
        <v>0.93650070140609976</v>
      </c>
      <c r="J552" s="79">
        <v>0.12786885757459199</v>
      </c>
      <c r="K552" s="79">
        <v>0.60790600255425198</v>
      </c>
      <c r="L552" s="79">
        <v>0.91965825061269202</v>
      </c>
      <c r="M552" s="80">
        <v>1</v>
      </c>
      <c r="N552" s="79">
        <v>1.259388582166463</v>
      </c>
      <c r="O552" s="79">
        <v>0.12658401312616999</v>
      </c>
      <c r="P552" s="79">
        <v>6.8466638742104097E-2</v>
      </c>
      <c r="Q552" s="79">
        <v>0.11507836366057</v>
      </c>
      <c r="R552" s="80">
        <v>1</v>
      </c>
      <c r="S552" s="79">
        <v>1.1703417676750858</v>
      </c>
      <c r="T552" s="79">
        <v>0.13296780938236899</v>
      </c>
      <c r="U552" s="79">
        <v>0.23682435823558501</v>
      </c>
      <c r="V552" s="79">
        <v>0.32454655572457602</v>
      </c>
      <c r="W552" s="79">
        <v>1</v>
      </c>
    </row>
    <row r="553" spans="1:23" x14ac:dyDescent="0.2">
      <c r="A553" s="69"/>
      <c r="B553" s="84" t="s">
        <v>2366</v>
      </c>
      <c r="C553" s="78">
        <v>2484</v>
      </c>
      <c r="D553" s="79">
        <v>1.0373121235606062</v>
      </c>
      <c r="E553" s="79">
        <v>6.8932981000000004E-2</v>
      </c>
      <c r="F553" s="79">
        <v>0.59512268000000001</v>
      </c>
      <c r="G553" s="79">
        <v>0.95648801765233904</v>
      </c>
      <c r="H553" s="80">
        <v>1</v>
      </c>
      <c r="I553" s="79">
        <v>0.99908143221155876</v>
      </c>
      <c r="J553" s="79">
        <v>6.8243449753458599E-2</v>
      </c>
      <c r="K553" s="79">
        <v>0.98925573489143903</v>
      </c>
      <c r="L553" s="79">
        <v>0.99523523065353503</v>
      </c>
      <c r="M553" s="80">
        <v>1</v>
      </c>
      <c r="N553" s="79">
        <v>1.1128771040547973</v>
      </c>
      <c r="O553" s="79">
        <v>6.6320539052864197E-2</v>
      </c>
      <c r="P553" s="79">
        <v>0.10683095898723299</v>
      </c>
      <c r="Q553" s="79">
        <v>0.16654605277002299</v>
      </c>
      <c r="R553" s="80">
        <v>1</v>
      </c>
      <c r="S553" s="79">
        <v>1.1816791943681204</v>
      </c>
      <c r="T553" s="79">
        <v>6.9480467240344707E-2</v>
      </c>
      <c r="U553" s="79">
        <v>1.6277251883207999E-2</v>
      </c>
      <c r="V553" s="79">
        <v>3.7352319420960102E-2</v>
      </c>
      <c r="W553" s="79">
        <v>1</v>
      </c>
    </row>
    <row r="554" spans="1:23" x14ac:dyDescent="0.2">
      <c r="A554" s="69"/>
      <c r="B554" s="84" t="s">
        <v>2367</v>
      </c>
      <c r="C554" s="78">
        <v>817</v>
      </c>
      <c r="D554" s="79">
        <v>1.0760832557730005</v>
      </c>
      <c r="E554" s="79">
        <v>0.109369332</v>
      </c>
      <c r="F554" s="79">
        <v>0.50256417799999997</v>
      </c>
      <c r="G554" s="79">
        <v>0.92884339055395704</v>
      </c>
      <c r="H554" s="80">
        <v>1</v>
      </c>
      <c r="I554" s="79">
        <v>1.0739300694084457</v>
      </c>
      <c r="J554" s="79">
        <v>0.111687014842019</v>
      </c>
      <c r="K554" s="79">
        <v>0.52307412745663395</v>
      </c>
      <c r="L554" s="79">
        <v>0.89943234111445602</v>
      </c>
      <c r="M554" s="80">
        <v>1</v>
      </c>
      <c r="N554" s="79">
        <v>0.97983213616102005</v>
      </c>
      <c r="O554" s="79">
        <v>0.10891538497914401</v>
      </c>
      <c r="P554" s="79">
        <v>0.85161143240694503</v>
      </c>
      <c r="Q554" s="79">
        <v>0.88219992467299002</v>
      </c>
      <c r="R554" s="80">
        <v>1</v>
      </c>
      <c r="S554" s="79">
        <v>1.2800378036970756</v>
      </c>
      <c r="T554" s="79">
        <v>0.108442528528007</v>
      </c>
      <c r="U554" s="79">
        <v>2.2804969289800799E-2</v>
      </c>
      <c r="V554" s="79">
        <v>4.8556218169055698E-2</v>
      </c>
      <c r="W554" s="79">
        <v>1</v>
      </c>
    </row>
    <row r="555" spans="1:23" x14ac:dyDescent="0.2">
      <c r="A555" s="69"/>
      <c r="B555" s="84" t="s">
        <v>2368</v>
      </c>
      <c r="C555" s="78">
        <v>2422</v>
      </c>
      <c r="D555" s="79">
        <v>1.0136818514795787</v>
      </c>
      <c r="E555" s="79">
        <v>0.101815001</v>
      </c>
      <c r="F555" s="79">
        <v>0.89382283799999995</v>
      </c>
      <c r="G555" s="79">
        <v>0.991673151733656</v>
      </c>
      <c r="H555" s="80">
        <v>1</v>
      </c>
      <c r="I555" s="79">
        <v>1.0475990549732361</v>
      </c>
      <c r="J555" s="79">
        <v>0.10081313624030599</v>
      </c>
      <c r="K555" s="79">
        <v>0.64461304456903001</v>
      </c>
      <c r="L555" s="79">
        <v>0.92212832238071896</v>
      </c>
      <c r="M555" s="80">
        <v>1</v>
      </c>
      <c r="N555" s="79">
        <v>1.1376392581908623</v>
      </c>
      <c r="O555" s="79">
        <v>9.8925423331219106E-2</v>
      </c>
      <c r="P555" s="79">
        <v>0.19238342470049799</v>
      </c>
      <c r="Q555" s="79">
        <v>0.26681373327315</v>
      </c>
      <c r="R555" s="80">
        <v>1</v>
      </c>
      <c r="S555" s="79">
        <v>1.066175503755256</v>
      </c>
      <c r="T555" s="79">
        <v>0.100590153130889</v>
      </c>
      <c r="U555" s="79">
        <v>0.52411174817767303</v>
      </c>
      <c r="V555" s="79">
        <v>0.60684106609257904</v>
      </c>
      <c r="W555" s="79">
        <v>1</v>
      </c>
    </row>
    <row r="556" spans="1:23" x14ac:dyDescent="0.2">
      <c r="A556" s="69"/>
      <c r="B556" s="84" t="s">
        <v>2369</v>
      </c>
      <c r="C556" s="78">
        <v>741</v>
      </c>
      <c r="D556" s="79">
        <v>1.1431834950165061</v>
      </c>
      <c r="E556" s="79">
        <v>0.152942732</v>
      </c>
      <c r="F556" s="79">
        <v>0.38160229600000001</v>
      </c>
      <c r="G556" s="79">
        <v>0.880152082540541</v>
      </c>
      <c r="H556" s="80">
        <v>1</v>
      </c>
      <c r="I556" s="79">
        <v>1.1467541843392939</v>
      </c>
      <c r="J556" s="79">
        <v>0.15496781347871</v>
      </c>
      <c r="K556" s="79">
        <v>0.37689146875615798</v>
      </c>
      <c r="L556" s="79">
        <v>0.82335395559380298</v>
      </c>
      <c r="M556" s="80">
        <v>1</v>
      </c>
      <c r="N556" s="79">
        <v>1.2220966811324903</v>
      </c>
      <c r="O556" s="79">
        <v>0.144386435954173</v>
      </c>
      <c r="P556" s="79">
        <v>0.16480070853072101</v>
      </c>
      <c r="Q556" s="79">
        <v>0.23630745663896599</v>
      </c>
      <c r="R556" s="80">
        <v>1</v>
      </c>
      <c r="S556" s="79">
        <v>1.0871688313448236</v>
      </c>
      <c r="T556" s="79">
        <v>0.143313224191158</v>
      </c>
      <c r="U556" s="79">
        <v>0.55977444129474496</v>
      </c>
      <c r="V556" s="79">
        <v>0.63938232763549196</v>
      </c>
      <c r="W556" s="79">
        <v>1</v>
      </c>
    </row>
    <row r="557" spans="1:23" x14ac:dyDescent="0.2">
      <c r="A557" s="69"/>
      <c r="B557" s="84" t="s">
        <v>2370</v>
      </c>
      <c r="C557" s="78">
        <v>3142</v>
      </c>
      <c r="D557" s="79">
        <v>1.1665812676605851</v>
      </c>
      <c r="E557" s="79">
        <v>0.13109731899999999</v>
      </c>
      <c r="F557" s="79">
        <v>0.239878379</v>
      </c>
      <c r="G557" s="79">
        <v>0.77257570165909095</v>
      </c>
      <c r="H557" s="80">
        <v>1</v>
      </c>
      <c r="I557" s="79">
        <v>1.0597252547778335</v>
      </c>
      <c r="J557" s="79">
        <v>0.13039868557909901</v>
      </c>
      <c r="K557" s="79">
        <v>0.65641803976131097</v>
      </c>
      <c r="L557" s="79">
        <v>0.92464388912011197</v>
      </c>
      <c r="M557" s="80">
        <v>1</v>
      </c>
      <c r="N557" s="79">
        <v>1.2208114829964012</v>
      </c>
      <c r="O557" s="79">
        <v>0.12881891929624001</v>
      </c>
      <c r="P557" s="79">
        <v>0.121427854098837</v>
      </c>
      <c r="Q557" s="79">
        <v>0.18278997254024201</v>
      </c>
      <c r="R557" s="80">
        <v>1</v>
      </c>
      <c r="S557" s="79">
        <v>1.3329960664225742</v>
      </c>
      <c r="T557" s="79">
        <v>0.12778428401380201</v>
      </c>
      <c r="U557" s="79">
        <v>2.4491475324549799E-2</v>
      </c>
      <c r="V557" s="79">
        <v>5.1383865162103401E-2</v>
      </c>
      <c r="W557" s="79">
        <v>1</v>
      </c>
    </row>
    <row r="558" spans="1:23" x14ac:dyDescent="0.2">
      <c r="A558" s="69"/>
      <c r="B558" s="84" t="s">
        <v>2371</v>
      </c>
      <c r="C558" s="78">
        <v>3135</v>
      </c>
      <c r="D558" s="79">
        <v>1.0479077288162524</v>
      </c>
      <c r="E558" s="79">
        <v>0.15018157700000001</v>
      </c>
      <c r="F558" s="79">
        <v>0.75534981199999995</v>
      </c>
      <c r="G558" s="79">
        <v>0.98545101377932998</v>
      </c>
      <c r="H558" s="80">
        <v>1</v>
      </c>
      <c r="I558" s="79">
        <v>1.0362217999014238</v>
      </c>
      <c r="J558" s="79">
        <v>0.149564269655689</v>
      </c>
      <c r="K558" s="79">
        <v>0.81195931027940604</v>
      </c>
      <c r="L558" s="79">
        <v>0.96211732726388599</v>
      </c>
      <c r="M558" s="80">
        <v>1</v>
      </c>
      <c r="N558" s="79">
        <v>1.4285226336788495</v>
      </c>
      <c r="O558" s="79">
        <v>0.148288357238996</v>
      </c>
      <c r="P558" s="79">
        <v>1.6170290995959801E-2</v>
      </c>
      <c r="Q558" s="79">
        <v>3.53794815066776E-2</v>
      </c>
      <c r="R558" s="80">
        <v>1</v>
      </c>
      <c r="S558" s="79">
        <v>1.3247236763642409</v>
      </c>
      <c r="T558" s="79">
        <v>0.15054204205126701</v>
      </c>
      <c r="U558" s="79">
        <v>6.1770073902454099E-2</v>
      </c>
      <c r="V558" s="79">
        <v>0.11009301093007599</v>
      </c>
      <c r="W558" s="79">
        <v>1</v>
      </c>
    </row>
    <row r="559" spans="1:23" x14ac:dyDescent="0.2">
      <c r="A559" s="69"/>
      <c r="B559" s="84" t="s">
        <v>2372</v>
      </c>
      <c r="C559" s="78">
        <v>3031</v>
      </c>
      <c r="D559" s="79">
        <v>1.0186479604143852</v>
      </c>
      <c r="E559" s="79">
        <v>6.4017159000000004E-2</v>
      </c>
      <c r="F559" s="79">
        <v>0.77287713099999999</v>
      </c>
      <c r="G559" s="79">
        <v>0.98545101377932998</v>
      </c>
      <c r="H559" s="80">
        <v>1</v>
      </c>
      <c r="I559" s="79">
        <v>1.1155446025651394</v>
      </c>
      <c r="J559" s="79">
        <v>6.28101082810439E-2</v>
      </c>
      <c r="K559" s="79">
        <v>8.1710596682226896E-2</v>
      </c>
      <c r="L559" s="79">
        <v>0.592518555369977</v>
      </c>
      <c r="M559" s="80">
        <v>1</v>
      </c>
      <c r="N559" s="79">
        <v>1.1002866687645689</v>
      </c>
      <c r="O559" s="79">
        <v>6.3442341326378798E-2</v>
      </c>
      <c r="P559" s="79">
        <v>0.13195962422700699</v>
      </c>
      <c r="Q559" s="79">
        <v>0.19631507988753999</v>
      </c>
      <c r="R559" s="80">
        <v>1</v>
      </c>
      <c r="S559" s="79">
        <v>1.1696429532748345</v>
      </c>
      <c r="T559" s="79">
        <v>6.1468022979655902E-2</v>
      </c>
      <c r="U559" s="79">
        <v>1.07948955741798E-2</v>
      </c>
      <c r="V559" s="79">
        <v>2.7452349666601501E-2</v>
      </c>
      <c r="W559" s="79">
        <v>1</v>
      </c>
    </row>
    <row r="560" spans="1:23" x14ac:dyDescent="0.2">
      <c r="A560" s="69"/>
      <c r="B560" s="84" t="s">
        <v>2373</v>
      </c>
      <c r="C560" s="78">
        <v>3119</v>
      </c>
      <c r="D560" s="79">
        <v>0.96852538387997456</v>
      </c>
      <c r="E560" s="79">
        <v>0.119745765</v>
      </c>
      <c r="F560" s="79">
        <v>0.78941471299999999</v>
      </c>
      <c r="G560" s="79">
        <v>0.98545101377932998</v>
      </c>
      <c r="H560" s="80">
        <v>1</v>
      </c>
      <c r="I560" s="79">
        <v>1.1205616433799708</v>
      </c>
      <c r="J560" s="79">
        <v>0.12517568152410699</v>
      </c>
      <c r="K560" s="79">
        <v>0.36315899407583602</v>
      </c>
      <c r="L560" s="79">
        <v>0.81642974499659005</v>
      </c>
      <c r="M560" s="80">
        <v>1</v>
      </c>
      <c r="N560" s="79">
        <v>1.3070629532305722</v>
      </c>
      <c r="O560" s="79">
        <v>0.120332823581852</v>
      </c>
      <c r="P560" s="79">
        <v>2.6057778780433E-2</v>
      </c>
      <c r="Q560" s="79">
        <v>5.1223558298392501E-2</v>
      </c>
      <c r="R560" s="80">
        <v>1</v>
      </c>
      <c r="S560" s="79">
        <v>1.2248422781276975</v>
      </c>
      <c r="T560" s="79">
        <v>0.119772884573685</v>
      </c>
      <c r="U560" s="79">
        <v>9.03973334297348E-2</v>
      </c>
      <c r="V560" s="79">
        <v>0.15113862466710601</v>
      </c>
      <c r="W560" s="79">
        <v>1</v>
      </c>
    </row>
    <row r="561" spans="1:24" x14ac:dyDescent="0.2">
      <c r="A561" s="69"/>
      <c r="B561" s="84" t="s">
        <v>2374</v>
      </c>
      <c r="C561" s="78">
        <v>3102</v>
      </c>
      <c r="D561" s="79">
        <v>1.168949510238642</v>
      </c>
      <c r="E561" s="79">
        <v>7.8853491999999997E-2</v>
      </c>
      <c r="F561" s="79">
        <v>4.7738342000000003E-2</v>
      </c>
      <c r="G561" s="79">
        <v>0.45521505020000003</v>
      </c>
      <c r="H561" s="80">
        <v>1</v>
      </c>
      <c r="I561" s="79">
        <v>1.1489460620270593</v>
      </c>
      <c r="J561" s="79">
        <v>7.9465356286551297E-2</v>
      </c>
      <c r="K561" s="79">
        <v>8.0595704484529601E-2</v>
      </c>
      <c r="L561" s="79">
        <v>0.59186625016599403</v>
      </c>
      <c r="M561" s="80">
        <v>1</v>
      </c>
      <c r="N561" s="79">
        <v>1.1621521260994783</v>
      </c>
      <c r="O561" s="79">
        <v>7.8040326855967804E-2</v>
      </c>
      <c r="P561" s="79">
        <v>5.4155757531926897E-2</v>
      </c>
      <c r="Q561" s="79">
        <v>9.5053466539440107E-2</v>
      </c>
      <c r="R561" s="80">
        <v>1</v>
      </c>
      <c r="S561" s="79">
        <v>1.222174267236352</v>
      </c>
      <c r="T561" s="79">
        <v>7.7580314141958401E-2</v>
      </c>
      <c r="U561" s="79">
        <v>9.70651033836273E-3</v>
      </c>
      <c r="V561" s="79">
        <v>2.5642736111351001E-2</v>
      </c>
      <c r="W561" s="79">
        <v>1</v>
      </c>
    </row>
    <row r="562" spans="1:24" x14ac:dyDescent="0.2">
      <c r="A562" s="69"/>
      <c r="B562" s="84" t="s">
        <v>2375</v>
      </c>
      <c r="C562" s="78">
        <v>3000</v>
      </c>
      <c r="D562" s="79">
        <v>1.1043323619073315</v>
      </c>
      <c r="E562" s="79">
        <v>6.6330036999999994E-2</v>
      </c>
      <c r="F562" s="79">
        <v>0.13460958200000001</v>
      </c>
      <c r="G562" s="79">
        <v>0.65953497898841695</v>
      </c>
      <c r="H562" s="80">
        <v>1</v>
      </c>
      <c r="I562" s="79">
        <v>1.0872500650995032</v>
      </c>
      <c r="J562" s="79">
        <v>6.6086888648586695E-2</v>
      </c>
      <c r="K562" s="79">
        <v>0.205590933701918</v>
      </c>
      <c r="L562" s="79">
        <v>0.72311176315330705</v>
      </c>
      <c r="M562" s="80">
        <v>1</v>
      </c>
      <c r="N562" s="79">
        <v>1.0192083037078721</v>
      </c>
      <c r="O562" s="79">
        <v>6.4624250853868706E-2</v>
      </c>
      <c r="P562" s="79">
        <v>0.76844312035716</v>
      </c>
      <c r="Q562" s="79">
        <v>0.81398524184744203</v>
      </c>
      <c r="R562" s="80">
        <v>1</v>
      </c>
      <c r="S562" s="79">
        <v>1.0872639209516752</v>
      </c>
      <c r="T562" s="79">
        <v>6.31733602238886E-2</v>
      </c>
      <c r="U562" s="79">
        <v>0.185382961306535</v>
      </c>
      <c r="V562" s="79">
        <v>0.26763478714219902</v>
      </c>
      <c r="W562" s="79">
        <v>1</v>
      </c>
    </row>
    <row r="563" spans="1:24" x14ac:dyDescent="0.2">
      <c r="A563" s="69"/>
      <c r="B563" s="84" t="s">
        <v>2376</v>
      </c>
      <c r="C563" s="78">
        <v>3104</v>
      </c>
      <c r="D563" s="79">
        <v>1.0185104399996157</v>
      </c>
      <c r="E563" s="79">
        <v>0.16359463799999999</v>
      </c>
      <c r="F563" s="79">
        <v>0.91073322300000004</v>
      </c>
      <c r="G563" s="79">
        <v>0.991673151733656</v>
      </c>
      <c r="H563" s="80">
        <v>1</v>
      </c>
      <c r="I563" s="79">
        <v>1.2939994256682859</v>
      </c>
      <c r="J563" s="79">
        <v>0.17219622729145001</v>
      </c>
      <c r="K563" s="79">
        <v>0.134453711800848</v>
      </c>
      <c r="L563" s="79">
        <v>0.65283885689403798</v>
      </c>
      <c r="M563" s="80">
        <v>1</v>
      </c>
      <c r="N563" s="79">
        <v>1.2080794708245706</v>
      </c>
      <c r="O563" s="79">
        <v>0.164282820330829</v>
      </c>
      <c r="P563" s="79">
        <v>0.249876611819838</v>
      </c>
      <c r="Q563" s="79">
        <v>0.329961935899453</v>
      </c>
      <c r="R563" s="80">
        <v>1</v>
      </c>
      <c r="S563" s="79">
        <v>1.310634658458449</v>
      </c>
      <c r="T563" s="79">
        <v>0.16492451751061701</v>
      </c>
      <c r="U563" s="79">
        <v>0.10096069272052401</v>
      </c>
      <c r="V563" s="79">
        <v>0.16425528084916</v>
      </c>
      <c r="W563" s="79">
        <v>1</v>
      </c>
    </row>
    <row r="564" spans="1:24" x14ac:dyDescent="0.2">
      <c r="A564" s="69"/>
      <c r="B564" s="84" t="s">
        <v>2377</v>
      </c>
      <c r="C564" s="78">
        <v>3155</v>
      </c>
      <c r="D564" s="79">
        <v>1.01603689045493</v>
      </c>
      <c r="E564" s="79">
        <v>0.152146489</v>
      </c>
      <c r="F564" s="79">
        <v>0.91671858799999995</v>
      </c>
      <c r="G564" s="79">
        <v>0.991673151733656</v>
      </c>
      <c r="H564" s="80">
        <v>1</v>
      </c>
      <c r="I564" s="79">
        <v>0.99803916711607121</v>
      </c>
      <c r="J564" s="79">
        <v>0.153338992403695</v>
      </c>
      <c r="K564" s="79">
        <v>0.98978725904029596</v>
      </c>
      <c r="L564" s="79">
        <v>0.99523523065353503</v>
      </c>
      <c r="M564" s="80">
        <v>1</v>
      </c>
      <c r="N564" s="79">
        <v>1.3747533427731731</v>
      </c>
      <c r="O564" s="79">
        <v>0.14721925111504899</v>
      </c>
      <c r="P564" s="79">
        <v>3.06253461602474E-2</v>
      </c>
      <c r="Q564" s="79">
        <v>5.8617744008075297E-2</v>
      </c>
      <c r="R564" s="80">
        <v>1</v>
      </c>
      <c r="S564" s="79">
        <v>1.2104618247706949</v>
      </c>
      <c r="T564" s="79">
        <v>0.14958886512143599</v>
      </c>
      <c r="U564" s="79">
        <v>0.20165658379320001</v>
      </c>
      <c r="V564" s="79">
        <v>0.286564619074547</v>
      </c>
      <c r="W564" s="79">
        <v>1</v>
      </c>
    </row>
    <row r="565" spans="1:24" x14ac:dyDescent="0.2">
      <c r="A565" s="69"/>
      <c r="B565" s="84" t="s">
        <v>2378</v>
      </c>
      <c r="C565" s="78">
        <v>1207</v>
      </c>
      <c r="D565" s="79">
        <v>0.90188853404725156</v>
      </c>
      <c r="E565" s="79">
        <v>9.8598146999999997E-2</v>
      </c>
      <c r="F565" s="79">
        <v>0.29494953099999999</v>
      </c>
      <c r="G565" s="79">
        <v>0.84338459475166305</v>
      </c>
      <c r="H565" s="80">
        <v>1</v>
      </c>
      <c r="I565" s="79">
        <v>1.0844022144884526</v>
      </c>
      <c r="J565" s="79">
        <v>9.7182330842011402E-2</v>
      </c>
      <c r="K565" s="79">
        <v>0.40440382522718799</v>
      </c>
      <c r="L565" s="79">
        <v>0.83581181467964405</v>
      </c>
      <c r="M565" s="80">
        <v>1</v>
      </c>
      <c r="N565" s="79">
        <v>1.1208399200721233</v>
      </c>
      <c r="O565" s="79">
        <v>9.4275120876804203E-2</v>
      </c>
      <c r="P565" s="79">
        <v>0.22625676540640499</v>
      </c>
      <c r="Q565" s="79">
        <v>0.30384811046557503</v>
      </c>
      <c r="R565" s="80">
        <v>1</v>
      </c>
      <c r="S565" s="79">
        <v>1.2071432051946034</v>
      </c>
      <c r="T565" s="79">
        <v>9.3232490987771602E-2</v>
      </c>
      <c r="U565" s="79">
        <v>4.3464725995449802E-2</v>
      </c>
      <c r="V565" s="79">
        <v>8.3824828705510293E-2</v>
      </c>
      <c r="W565" s="79">
        <v>1</v>
      </c>
    </row>
    <row r="566" spans="1:24" x14ac:dyDescent="0.2">
      <c r="A566" s="69"/>
      <c r="B566" s="84" t="s">
        <v>2379</v>
      </c>
      <c r="C566" s="78">
        <v>1197</v>
      </c>
      <c r="D566" s="79">
        <v>0.96409295371945825</v>
      </c>
      <c r="E566" s="79">
        <v>0.11607284399999999</v>
      </c>
      <c r="F566" s="79">
        <v>0.75273144700000005</v>
      </c>
      <c r="G566" s="79">
        <v>0.98545101377932998</v>
      </c>
      <c r="H566" s="80">
        <v>1</v>
      </c>
      <c r="I566" s="79">
        <v>1.1109251781434628</v>
      </c>
      <c r="J566" s="79">
        <v>0.11616220882475101</v>
      </c>
      <c r="K566" s="79">
        <v>0.36516280742252999</v>
      </c>
      <c r="L566" s="79">
        <v>0.81642974499659005</v>
      </c>
      <c r="M566" s="80">
        <v>1</v>
      </c>
      <c r="N566" s="79">
        <v>1.2334427774146488</v>
      </c>
      <c r="O566" s="79">
        <v>0.11085328842852001</v>
      </c>
      <c r="P566" s="79">
        <v>5.8401081639742801E-2</v>
      </c>
      <c r="Q566" s="79">
        <v>0.101106374625967</v>
      </c>
      <c r="R566" s="80">
        <v>1</v>
      </c>
      <c r="S566" s="79">
        <v>1.3019951064575239</v>
      </c>
      <c r="T566" s="79">
        <v>0.11534595669481</v>
      </c>
      <c r="U566" s="79">
        <v>2.2144470977873899E-2</v>
      </c>
      <c r="V566" s="79">
        <v>4.7491421614432802E-2</v>
      </c>
      <c r="W566" s="79">
        <v>1</v>
      </c>
    </row>
    <row r="567" spans="1:24" x14ac:dyDescent="0.2">
      <c r="A567" s="69"/>
      <c r="B567" s="84" t="s">
        <v>2380</v>
      </c>
      <c r="C567" s="78">
        <v>5380</v>
      </c>
      <c r="D567" s="79">
        <v>0.93728652943649304</v>
      </c>
      <c r="E567" s="79">
        <v>6.7961417999999996E-2</v>
      </c>
      <c r="F567" s="79">
        <v>0.340597394</v>
      </c>
      <c r="G567" s="79">
        <v>0.861253401065737</v>
      </c>
      <c r="H567" s="80">
        <v>1</v>
      </c>
      <c r="I567" s="79">
        <v>1.1494169898730449</v>
      </c>
      <c r="J567" s="79">
        <v>6.7738362977533606E-2</v>
      </c>
      <c r="K567" s="79">
        <v>3.9804186979022903E-2</v>
      </c>
      <c r="L567" s="79">
        <v>0.50307562413000395</v>
      </c>
      <c r="M567" s="80">
        <v>1</v>
      </c>
      <c r="N567" s="79">
        <v>1.2027765853694086</v>
      </c>
      <c r="O567" s="79">
        <v>6.7458201160008599E-2</v>
      </c>
      <c r="P567" s="79">
        <v>6.2003386604027703E-3</v>
      </c>
      <c r="Q567" s="79">
        <v>1.6040461338308502E-2</v>
      </c>
      <c r="R567" s="80">
        <v>1</v>
      </c>
      <c r="S567" s="79">
        <v>1.2361759792534905</v>
      </c>
      <c r="T567" s="79">
        <v>6.7392442075182801E-2</v>
      </c>
      <c r="U567" s="79">
        <v>1.65468752750419E-3</v>
      </c>
      <c r="V567" s="79">
        <v>6.6872562815376404E-3</v>
      </c>
      <c r="W567" s="79">
        <v>1</v>
      </c>
    </row>
    <row r="568" spans="1:24" x14ac:dyDescent="0.2">
      <c r="A568" s="69"/>
      <c r="B568" s="84" t="s">
        <v>2381</v>
      </c>
      <c r="C568" s="78">
        <v>5389</v>
      </c>
      <c r="D568" s="79">
        <v>1.0925654831484506</v>
      </c>
      <c r="E568" s="79">
        <v>0.127637839</v>
      </c>
      <c r="F568" s="79">
        <v>0.48793810700000001</v>
      </c>
      <c r="G568" s="79">
        <v>0.92884339055395704</v>
      </c>
      <c r="H568" s="80">
        <v>1</v>
      </c>
      <c r="I568" s="79">
        <v>1.1289315294350943</v>
      </c>
      <c r="J568" s="79">
        <v>0.12787277801236299</v>
      </c>
      <c r="K568" s="79">
        <v>0.342937426162923</v>
      </c>
      <c r="L568" s="79">
        <v>0.80020788839305201</v>
      </c>
      <c r="M568" s="80">
        <v>1</v>
      </c>
      <c r="N568" s="79">
        <v>1.4429584644197648</v>
      </c>
      <c r="O568" s="79">
        <v>0.126494556957089</v>
      </c>
      <c r="P568" s="79">
        <v>3.7447030442616701E-3</v>
      </c>
      <c r="Q568" s="79">
        <v>1.0560062584817899E-2</v>
      </c>
      <c r="R568" s="80">
        <v>1</v>
      </c>
      <c r="S568" s="79">
        <v>1.4060052591431904</v>
      </c>
      <c r="T568" s="79">
        <v>0.12758537741298301</v>
      </c>
      <c r="U568" s="79">
        <v>7.5675121864421198E-3</v>
      </c>
      <c r="V568" s="79">
        <v>2.1105874647461699E-2</v>
      </c>
      <c r="W568" s="79">
        <v>1</v>
      </c>
    </row>
    <row r="569" spans="1:24" x14ac:dyDescent="0.2">
      <c r="A569" s="69"/>
      <c r="B569" s="84" t="s">
        <v>2382</v>
      </c>
      <c r="C569" s="78">
        <v>5117</v>
      </c>
      <c r="D569" s="79">
        <v>1.0352834272677318</v>
      </c>
      <c r="E569" s="79">
        <v>5.9580542E-2</v>
      </c>
      <c r="F569" s="79">
        <v>0.56057396000000004</v>
      </c>
      <c r="G569" s="79">
        <v>0.94612219734263003</v>
      </c>
      <c r="H569" s="80">
        <v>1</v>
      </c>
      <c r="I569" s="79">
        <v>1.0768426372571713</v>
      </c>
      <c r="J569" s="79">
        <v>5.9090109256193797E-2</v>
      </c>
      <c r="K569" s="79">
        <v>0.21024655227764399</v>
      </c>
      <c r="L569" s="79">
        <v>0.72698331019163598</v>
      </c>
      <c r="M569" s="80">
        <v>1</v>
      </c>
      <c r="N569" s="79">
        <v>1.1282081454164337</v>
      </c>
      <c r="O569" s="79">
        <v>5.8805703200814602E-2</v>
      </c>
      <c r="P569" s="79">
        <v>4.0233564815544097E-2</v>
      </c>
      <c r="Q569" s="79">
        <v>7.3674449857035307E-2</v>
      </c>
      <c r="R569" s="80">
        <v>1</v>
      </c>
      <c r="S569" s="79">
        <v>1.1900076400492745</v>
      </c>
      <c r="T569" s="79">
        <v>5.9662448172843503E-2</v>
      </c>
      <c r="U569" s="79">
        <v>3.5485482799234701E-3</v>
      </c>
      <c r="V569" s="79">
        <v>1.1801235448673101E-2</v>
      </c>
      <c r="W569" s="79">
        <v>1</v>
      </c>
    </row>
    <row r="570" spans="1:24" x14ac:dyDescent="0.2">
      <c r="A570" s="69"/>
      <c r="B570" s="84" t="s">
        <v>2383</v>
      </c>
      <c r="C570" s="78">
        <v>5326</v>
      </c>
      <c r="D570" s="79">
        <v>1.0553108034833634</v>
      </c>
      <c r="E570" s="79">
        <v>0.12522602299999999</v>
      </c>
      <c r="F570" s="79">
        <v>0.66726456899999997</v>
      </c>
      <c r="G570" s="79">
        <v>0.98545101377932998</v>
      </c>
      <c r="H570" s="80">
        <v>1</v>
      </c>
      <c r="I570" s="79">
        <v>1.2201355224843955</v>
      </c>
      <c r="J570" s="79">
        <v>0.12644466204770699</v>
      </c>
      <c r="K570" s="79">
        <v>0.115600781234835</v>
      </c>
      <c r="L570" s="79">
        <v>0.62424421866810897</v>
      </c>
      <c r="M570" s="80">
        <v>1</v>
      </c>
      <c r="N570" s="79">
        <v>1.1090621759819497</v>
      </c>
      <c r="O570" s="79">
        <v>0.12319226974864</v>
      </c>
      <c r="P570" s="79">
        <v>0.40075700346051002</v>
      </c>
      <c r="Q570" s="79">
        <v>0.48526778377040802</v>
      </c>
      <c r="R570" s="80">
        <v>1</v>
      </c>
      <c r="S570" s="79">
        <v>1.0047042676077946</v>
      </c>
      <c r="T570" s="79">
        <v>0.123750640872286</v>
      </c>
      <c r="U570" s="79">
        <v>0.96974751849961405</v>
      </c>
      <c r="V570" s="79">
        <v>0.97738151010838203</v>
      </c>
      <c r="W570" s="79">
        <v>1</v>
      </c>
    </row>
    <row r="571" spans="1:24" s="60" customFormat="1" x14ac:dyDescent="0.2">
      <c r="A571" s="69"/>
      <c r="B571" s="84" t="s">
        <v>2384</v>
      </c>
      <c r="C571" s="78">
        <v>5293</v>
      </c>
      <c r="D571" s="79">
        <v>1.1759981131372259</v>
      </c>
      <c r="E571" s="79">
        <v>0.115256677</v>
      </c>
      <c r="F571" s="79">
        <v>0.15955323299999999</v>
      </c>
      <c r="G571" s="79">
        <v>0.68875530511224503</v>
      </c>
      <c r="H571" s="80">
        <v>1</v>
      </c>
      <c r="I571" s="79">
        <v>1.1421108602712438</v>
      </c>
      <c r="J571" s="79">
        <v>0.115149507301855</v>
      </c>
      <c r="K571" s="79">
        <v>0.24851565475162701</v>
      </c>
      <c r="L571" s="79">
        <v>0.75087229971384495</v>
      </c>
      <c r="M571" s="80">
        <v>1</v>
      </c>
      <c r="N571" s="79">
        <v>1.154660008802896</v>
      </c>
      <c r="O571" s="79">
        <v>0.11411325815119799</v>
      </c>
      <c r="P571" s="79">
        <v>0.207595933256988</v>
      </c>
      <c r="Q571" s="79">
        <v>0.28371513141384702</v>
      </c>
      <c r="R571" s="80">
        <v>1</v>
      </c>
      <c r="S571" s="79">
        <v>1.1621021503702349</v>
      </c>
      <c r="T571" s="79">
        <v>0.114965901454074</v>
      </c>
      <c r="U571" s="79">
        <v>0.19130096493498999</v>
      </c>
      <c r="V571" s="79">
        <v>0.27368762627114102</v>
      </c>
      <c r="W571" s="79">
        <v>1</v>
      </c>
      <c r="X571"/>
    </row>
    <row r="572" spans="1:24" x14ac:dyDescent="0.2">
      <c r="A572" s="69"/>
      <c r="B572" s="84" t="s">
        <v>2385</v>
      </c>
      <c r="C572" s="78">
        <v>5096</v>
      </c>
      <c r="D572" s="79">
        <v>1.0823060031895344</v>
      </c>
      <c r="E572" s="79">
        <v>5.9962100999999997E-2</v>
      </c>
      <c r="F572" s="79">
        <v>0.18714713499999999</v>
      </c>
      <c r="G572" s="79">
        <v>0.71779241653915704</v>
      </c>
      <c r="H572" s="80">
        <v>1</v>
      </c>
      <c r="I572" s="79">
        <v>1.0957446927995798</v>
      </c>
      <c r="J572" s="79">
        <v>6.0567960699271402E-2</v>
      </c>
      <c r="K572" s="79">
        <v>0.13114205044739399</v>
      </c>
      <c r="L572" s="79">
        <v>0.65283885689403798</v>
      </c>
      <c r="M572" s="80">
        <v>1</v>
      </c>
      <c r="N572" s="79">
        <v>1.0829253322338324</v>
      </c>
      <c r="O572" s="79">
        <v>5.8850739709781802E-2</v>
      </c>
      <c r="P572" s="79">
        <v>0.175833333866841</v>
      </c>
      <c r="Q572" s="79">
        <v>0.24986842181077401</v>
      </c>
      <c r="R572" s="80">
        <v>1</v>
      </c>
      <c r="S572" s="79">
        <v>1.0977552692498578</v>
      </c>
      <c r="T572" s="79">
        <v>5.9378483874909398E-2</v>
      </c>
      <c r="U572" s="79">
        <v>0.116245907902381</v>
      </c>
      <c r="V572" s="79">
        <v>0.18439507141015199</v>
      </c>
      <c r="W572" s="79">
        <v>1</v>
      </c>
    </row>
    <row r="573" spans="1:24" x14ac:dyDescent="0.2">
      <c r="A573" s="69"/>
      <c r="B573" s="84" t="s">
        <v>2386</v>
      </c>
      <c r="C573" s="78">
        <v>5317</v>
      </c>
      <c r="D573" s="79">
        <v>0.87120567707427909</v>
      </c>
      <c r="E573" s="79">
        <v>0.17605079000000001</v>
      </c>
      <c r="F573" s="79">
        <v>0.43352897699999998</v>
      </c>
      <c r="G573" s="79">
        <v>0.89746863264763499</v>
      </c>
      <c r="H573" s="80">
        <v>1</v>
      </c>
      <c r="I573" s="79">
        <v>1.0219841334707911</v>
      </c>
      <c r="J573" s="79">
        <v>0.179372659993314</v>
      </c>
      <c r="K573" s="79">
        <v>0.90350612902717398</v>
      </c>
      <c r="L573" s="79">
        <v>0.981200184300273</v>
      </c>
      <c r="M573" s="80">
        <v>1</v>
      </c>
      <c r="N573" s="79">
        <v>1.0967262738500405</v>
      </c>
      <c r="O573" s="79">
        <v>0.17794421871197899</v>
      </c>
      <c r="P573" s="79">
        <v>0.60385253238564296</v>
      </c>
      <c r="Q573" s="79">
        <v>0.68175165800478699</v>
      </c>
      <c r="R573" s="80">
        <v>1</v>
      </c>
      <c r="S573" s="79">
        <v>1.3005954135983102</v>
      </c>
      <c r="T573" s="79">
        <v>0.17916595376598801</v>
      </c>
      <c r="U573" s="79">
        <v>0.14239774450682299</v>
      </c>
      <c r="V573" s="79">
        <v>0.215378710106267</v>
      </c>
      <c r="W573" s="79">
        <v>1</v>
      </c>
    </row>
    <row r="574" spans="1:24" x14ac:dyDescent="0.2">
      <c r="A574" s="69"/>
      <c r="B574" s="84" t="s">
        <v>2387</v>
      </c>
      <c r="C574" s="78">
        <v>5415</v>
      </c>
      <c r="D574" s="79">
        <v>1.0136941606930363</v>
      </c>
      <c r="E574" s="79">
        <v>0.127919593</v>
      </c>
      <c r="F574" s="79">
        <v>0.915323306</v>
      </c>
      <c r="G574" s="79">
        <v>0.991673151733656</v>
      </c>
      <c r="H574" s="80">
        <v>1</v>
      </c>
      <c r="I574" s="79">
        <v>1.1479082846250404</v>
      </c>
      <c r="J574" s="79">
        <v>0.12795220605142699</v>
      </c>
      <c r="K574" s="79">
        <v>0.28100262838609702</v>
      </c>
      <c r="L574" s="79">
        <v>0.76694710984058201</v>
      </c>
      <c r="M574" s="80">
        <v>1</v>
      </c>
      <c r="N574" s="79">
        <v>1.4443904277575612</v>
      </c>
      <c r="O574" s="79">
        <v>0.12966149007706301</v>
      </c>
      <c r="P574" s="79">
        <v>4.57184245464466E-3</v>
      </c>
      <c r="Q574" s="79">
        <v>1.24499314912963E-2</v>
      </c>
      <c r="R574" s="80">
        <v>1</v>
      </c>
      <c r="S574" s="79">
        <v>1.3383764342003883</v>
      </c>
      <c r="T574" s="79">
        <v>0.13030768307678101</v>
      </c>
      <c r="U574" s="79">
        <v>2.5306923525854699E-2</v>
      </c>
      <c r="V574" s="79">
        <v>5.2733146066189798E-2</v>
      </c>
      <c r="W574" s="79">
        <v>1</v>
      </c>
    </row>
    <row r="575" spans="1:24" x14ac:dyDescent="0.2">
      <c r="A575" s="69"/>
      <c r="B575" s="84" t="s">
        <v>2388</v>
      </c>
      <c r="C575" s="78">
        <v>5423</v>
      </c>
      <c r="D575" s="79">
        <v>1.0193028100180332</v>
      </c>
      <c r="E575" s="79">
        <v>9.1688274E-2</v>
      </c>
      <c r="F575" s="79">
        <v>0.83482267200000004</v>
      </c>
      <c r="G575" s="79">
        <v>0.98546325435376003</v>
      </c>
      <c r="H575" s="80">
        <v>1</v>
      </c>
      <c r="I575" s="79">
        <v>1.0459919802693116</v>
      </c>
      <c r="J575" s="79">
        <v>9.0968314160727107E-2</v>
      </c>
      <c r="K575" s="79">
        <v>0.62109385258553895</v>
      </c>
      <c r="L575" s="79">
        <v>0.91965825061269202</v>
      </c>
      <c r="M575" s="80">
        <v>1</v>
      </c>
      <c r="N575" s="79">
        <v>1.1470627547453431</v>
      </c>
      <c r="O575" s="79">
        <v>9.0688132087043197E-2</v>
      </c>
      <c r="P575" s="79">
        <v>0.13029813238524399</v>
      </c>
      <c r="Q575" s="79">
        <v>0.19429886016084</v>
      </c>
      <c r="R575" s="80">
        <v>1</v>
      </c>
      <c r="S575" s="79">
        <v>1.2468551176690399</v>
      </c>
      <c r="T575" s="79">
        <v>9.1125455359916605E-2</v>
      </c>
      <c r="U575" s="79">
        <v>1.5473323218514299E-2</v>
      </c>
      <c r="V575" s="79">
        <v>3.5896978362513099E-2</v>
      </c>
      <c r="W575" s="79">
        <v>1</v>
      </c>
    </row>
    <row r="576" spans="1:24" x14ac:dyDescent="0.2">
      <c r="A576" s="69"/>
      <c r="B576" s="84" t="s">
        <v>2389</v>
      </c>
      <c r="C576" s="78">
        <v>5417</v>
      </c>
      <c r="D576" s="79">
        <v>1.0799089154141241</v>
      </c>
      <c r="E576" s="79">
        <v>9.4059727999999995E-2</v>
      </c>
      <c r="F576" s="79">
        <v>0.41374677599999998</v>
      </c>
      <c r="G576" s="79">
        <v>0.88889065401015199</v>
      </c>
      <c r="H576" s="80">
        <v>1</v>
      </c>
      <c r="I576" s="79">
        <v>1.0977825756911235</v>
      </c>
      <c r="J576" s="79">
        <v>9.2981336152202901E-2</v>
      </c>
      <c r="K576" s="79">
        <v>0.31569470988695902</v>
      </c>
      <c r="L576" s="79">
        <v>0.78861532843809301</v>
      </c>
      <c r="M576" s="80">
        <v>1</v>
      </c>
      <c r="N576" s="79">
        <v>1.3129715028076849</v>
      </c>
      <c r="O576" s="79">
        <v>9.3328916697910505E-2</v>
      </c>
      <c r="P576" s="79">
        <v>3.5277962388785299E-3</v>
      </c>
      <c r="Q576" s="79">
        <v>1.00601650048019E-2</v>
      </c>
      <c r="R576" s="80">
        <v>1</v>
      </c>
      <c r="S576" s="81">
        <v>1.5563418292229243</v>
      </c>
      <c r="T576" s="81">
        <v>9.4020889331071306E-2</v>
      </c>
      <c r="U576" s="81">
        <v>2.54265926056706E-6</v>
      </c>
      <c r="V576" s="81">
        <v>5.5697683199453403E-5</v>
      </c>
      <c r="W576" s="81">
        <v>3.2266346016596001E-3</v>
      </c>
    </row>
    <row r="577" spans="1:24" x14ac:dyDescent="0.2">
      <c r="A577" s="69"/>
      <c r="B577" s="84" t="s">
        <v>2390</v>
      </c>
      <c r="C577" s="78">
        <v>5219</v>
      </c>
      <c r="D577" s="79">
        <v>0.99186127224888743</v>
      </c>
      <c r="E577" s="79">
        <v>4.9996097000000003E-2</v>
      </c>
      <c r="F577" s="79">
        <v>0.87016152599999996</v>
      </c>
      <c r="G577" s="79">
        <v>0.98768781439534903</v>
      </c>
      <c r="H577" s="80">
        <v>1</v>
      </c>
      <c r="I577" s="79">
        <v>1.071633153987291</v>
      </c>
      <c r="J577" s="79">
        <v>4.97219644005285E-2</v>
      </c>
      <c r="K577" s="79">
        <v>0.16410016788623799</v>
      </c>
      <c r="L577" s="79">
        <v>0.68954673194581495</v>
      </c>
      <c r="M577" s="80">
        <v>1</v>
      </c>
      <c r="N577" s="79">
        <v>1.1327104958060232</v>
      </c>
      <c r="O577" s="79">
        <v>4.9976717444225799E-2</v>
      </c>
      <c r="P577" s="79">
        <v>1.2651565032710499E-2</v>
      </c>
      <c r="Q577" s="79">
        <v>2.8772107574389999E-2</v>
      </c>
      <c r="R577" s="80">
        <v>1</v>
      </c>
      <c r="S577" s="79">
        <v>1.1977230930875196</v>
      </c>
      <c r="T577" s="79">
        <v>4.9368106383275698E-2</v>
      </c>
      <c r="U577" s="79">
        <v>2.5754969359092101E-4</v>
      </c>
      <c r="V577" s="79">
        <v>1.6367281797001899E-3</v>
      </c>
      <c r="W577" s="79">
        <v>0.32683056116687897</v>
      </c>
      <c r="X577" s="60"/>
    </row>
    <row r="578" spans="1:24" x14ac:dyDescent="0.2">
      <c r="A578" s="69"/>
      <c r="B578" s="84" t="s">
        <v>2391</v>
      </c>
      <c r="C578" s="78">
        <v>5351</v>
      </c>
      <c r="D578" s="79">
        <v>0.9913638387453666</v>
      </c>
      <c r="E578" s="79">
        <v>0.101727101</v>
      </c>
      <c r="F578" s="79">
        <v>0.93205143999999995</v>
      </c>
      <c r="G578" s="79">
        <v>0.991673151733656</v>
      </c>
      <c r="H578" s="80">
        <v>1</v>
      </c>
      <c r="I578" s="79">
        <v>1.100558419396704</v>
      </c>
      <c r="J578" s="79">
        <v>0.10183861487067</v>
      </c>
      <c r="K578" s="79">
        <v>0.34676741964448499</v>
      </c>
      <c r="L578" s="79">
        <v>0.80071697353462201</v>
      </c>
      <c r="M578" s="80">
        <v>1</v>
      </c>
      <c r="N578" s="79">
        <v>1.1157763613443614</v>
      </c>
      <c r="O578" s="79">
        <v>0.10085072234115899</v>
      </c>
      <c r="P578" s="79">
        <v>0.27736246477943899</v>
      </c>
      <c r="Q578" s="79">
        <v>0.35805998759420998</v>
      </c>
      <c r="R578" s="80">
        <v>1</v>
      </c>
      <c r="S578" s="79">
        <v>1.1122414340920825</v>
      </c>
      <c r="T578" s="79">
        <v>9.9252523427288603E-2</v>
      </c>
      <c r="U578" s="79">
        <v>0.283816958559588</v>
      </c>
      <c r="V578" s="79">
        <v>0.37595377913582201</v>
      </c>
      <c r="W578" s="79">
        <v>1</v>
      </c>
    </row>
    <row r="579" spans="1:24" x14ac:dyDescent="0.2">
      <c r="A579" s="69"/>
      <c r="B579" s="84" t="s">
        <v>2392</v>
      </c>
      <c r="C579" s="78">
        <v>5360</v>
      </c>
      <c r="D579" s="79">
        <v>0.98879501080337617</v>
      </c>
      <c r="E579" s="79">
        <v>0.16345336099999999</v>
      </c>
      <c r="F579" s="79">
        <v>0.94503853299999996</v>
      </c>
      <c r="G579" s="79">
        <v>0.991673151733656</v>
      </c>
      <c r="H579" s="80">
        <v>1</v>
      </c>
      <c r="I579" s="79">
        <v>1.0949783322742113</v>
      </c>
      <c r="J579" s="79">
        <v>0.16465753871406699</v>
      </c>
      <c r="K579" s="79">
        <v>0.58159923930003998</v>
      </c>
      <c r="L579" s="79">
        <v>0.91342751815810697</v>
      </c>
      <c r="M579" s="80">
        <v>1</v>
      </c>
      <c r="N579" s="79">
        <v>1.129285904253202</v>
      </c>
      <c r="O579" s="79">
        <v>0.15934650686781299</v>
      </c>
      <c r="P579" s="79">
        <v>0.44544803204700001</v>
      </c>
      <c r="Q579" s="79">
        <v>0.52779976906409198</v>
      </c>
      <c r="R579" s="80">
        <v>1</v>
      </c>
      <c r="S579" s="79">
        <v>1.1485294438316032</v>
      </c>
      <c r="T579" s="79">
        <v>0.15918116251748199</v>
      </c>
      <c r="U579" s="79">
        <v>0.38431836589110702</v>
      </c>
      <c r="V579" s="79">
        <v>0.47352055387477998</v>
      </c>
      <c r="W579" s="79">
        <v>1</v>
      </c>
    </row>
    <row r="580" spans="1:24" x14ac:dyDescent="0.2">
      <c r="A580" s="69"/>
      <c r="B580" s="84" t="s">
        <v>2393</v>
      </c>
      <c r="C580" s="78">
        <v>5326</v>
      </c>
      <c r="D580" s="79">
        <v>1.0055362466854643</v>
      </c>
      <c r="E580" s="79">
        <v>6.2513526E-2</v>
      </c>
      <c r="F580" s="79">
        <v>0.92962509500000001</v>
      </c>
      <c r="G580" s="79">
        <v>0.991673151733656</v>
      </c>
      <c r="H580" s="80">
        <v>1</v>
      </c>
      <c r="I580" s="79">
        <v>1.0720365073509064</v>
      </c>
      <c r="J580" s="79">
        <v>6.1311654636241199E-2</v>
      </c>
      <c r="K580" s="79">
        <v>0.25657088924483401</v>
      </c>
      <c r="L580" s="79">
        <v>0.75316534960692805</v>
      </c>
      <c r="M580" s="80">
        <v>1</v>
      </c>
      <c r="N580" s="79">
        <v>1.2334019041167978</v>
      </c>
      <c r="O580" s="79">
        <v>6.2756255843095202E-2</v>
      </c>
      <c r="P580" s="79">
        <v>8.2963775209148299E-4</v>
      </c>
      <c r="Q580" s="79">
        <v>3.1148233946866602E-3</v>
      </c>
      <c r="R580" s="80">
        <v>1</v>
      </c>
      <c r="S580" s="79">
        <v>1.0975646657570466</v>
      </c>
      <c r="T580" s="79">
        <v>6.1859239963752102E-2</v>
      </c>
      <c r="U580" s="79">
        <v>0.13234224404530001</v>
      </c>
      <c r="V580" s="79">
        <v>0.204061127209582</v>
      </c>
      <c r="W580" s="79">
        <v>1</v>
      </c>
    </row>
    <row r="581" spans="1:24" x14ac:dyDescent="0.2">
      <c r="A581" s="69"/>
      <c r="B581" s="84" t="s">
        <v>2394</v>
      </c>
      <c r="C581" s="78">
        <v>5172</v>
      </c>
      <c r="D581" s="79">
        <v>1.0124399129469717</v>
      </c>
      <c r="E581" s="79">
        <v>4.6944471000000002E-2</v>
      </c>
      <c r="F581" s="79">
        <v>0.79227514200000004</v>
      </c>
      <c r="G581" s="79">
        <v>0.98545101377932998</v>
      </c>
      <c r="H581" s="80">
        <v>1</v>
      </c>
      <c r="I581" s="79">
        <v>0.98480098078380685</v>
      </c>
      <c r="J581" s="79">
        <v>4.6854196431732803E-2</v>
      </c>
      <c r="K581" s="79">
        <v>0.74375851197096299</v>
      </c>
      <c r="L581" s="79">
        <v>0.95175527893917999</v>
      </c>
      <c r="M581" s="80">
        <v>1</v>
      </c>
      <c r="N581" s="79">
        <v>1.1238792940418605</v>
      </c>
      <c r="O581" s="79">
        <v>4.6577498635931802E-2</v>
      </c>
      <c r="P581" s="79">
        <v>1.21638240865546E-2</v>
      </c>
      <c r="Q581" s="79">
        <v>2.7913006809833298E-2</v>
      </c>
      <c r="R581" s="80">
        <v>1</v>
      </c>
      <c r="S581" s="79">
        <v>1.0803244249976633</v>
      </c>
      <c r="T581" s="79">
        <v>4.7073540544450398E-2</v>
      </c>
      <c r="U581" s="79">
        <v>0.100736974469774</v>
      </c>
      <c r="V581" s="79">
        <v>0.164101695253072</v>
      </c>
      <c r="W581" s="79">
        <v>1</v>
      </c>
    </row>
    <row r="582" spans="1:24" x14ac:dyDescent="0.2">
      <c r="A582" s="69"/>
      <c r="B582" s="84" t="s">
        <v>2395</v>
      </c>
      <c r="C582" s="78">
        <v>5325</v>
      </c>
      <c r="D582" s="79">
        <v>0.97743184142122963</v>
      </c>
      <c r="E582" s="79">
        <v>0.152995198</v>
      </c>
      <c r="F582" s="79">
        <v>0.88139667799999999</v>
      </c>
      <c r="G582" s="79">
        <v>0.99157126274999996</v>
      </c>
      <c r="H582" s="80">
        <v>1</v>
      </c>
      <c r="I582" s="79">
        <v>1.2903801863313702</v>
      </c>
      <c r="J582" s="79">
        <v>0.15421415458475701</v>
      </c>
      <c r="K582" s="79">
        <v>9.8303290500000806E-2</v>
      </c>
      <c r="L582" s="79">
        <v>0.61451662879064495</v>
      </c>
      <c r="M582" s="80">
        <v>1</v>
      </c>
      <c r="N582" s="79">
        <v>1.2398060047215222</v>
      </c>
      <c r="O582" s="79">
        <v>0.15301996422651701</v>
      </c>
      <c r="P582" s="79">
        <v>0.16009538925924899</v>
      </c>
      <c r="Q582" s="79">
        <v>0.231127473230929</v>
      </c>
      <c r="R582" s="80">
        <v>1</v>
      </c>
      <c r="S582" s="79">
        <v>1.2697661628725212</v>
      </c>
      <c r="T582" s="79">
        <v>0.15107190518014199</v>
      </c>
      <c r="U582" s="79">
        <v>0.113896083302028</v>
      </c>
      <c r="V582" s="79">
        <v>0.18157553983702701</v>
      </c>
      <c r="W582" s="79">
        <v>1</v>
      </c>
    </row>
    <row r="583" spans="1:24" x14ac:dyDescent="0.2">
      <c r="A583" s="69"/>
      <c r="B583" s="84" t="s">
        <v>2396</v>
      </c>
      <c r="C583" s="78">
        <v>3393</v>
      </c>
      <c r="D583" s="79">
        <v>1.0334588446380875</v>
      </c>
      <c r="E583" s="79">
        <v>8.7211550999999998E-2</v>
      </c>
      <c r="F583" s="79">
        <v>0.70589648800000004</v>
      </c>
      <c r="G583" s="79">
        <v>0.98545101377932998</v>
      </c>
      <c r="H583" s="80">
        <v>1</v>
      </c>
      <c r="I583" s="79">
        <v>1.1031309021787787</v>
      </c>
      <c r="J583" s="79">
        <v>8.6480419790878699E-2</v>
      </c>
      <c r="K583" s="79">
        <v>0.25638919898555301</v>
      </c>
      <c r="L583" s="79">
        <v>0.75316534960692805</v>
      </c>
      <c r="M583" s="80">
        <v>1</v>
      </c>
      <c r="N583" s="79">
        <v>1.0867155480944743</v>
      </c>
      <c r="O583" s="79">
        <v>8.5622108100171304E-2</v>
      </c>
      <c r="P583" s="79">
        <v>0.33142719575633101</v>
      </c>
      <c r="Q583" s="79">
        <v>0.41477427161221297</v>
      </c>
      <c r="R583" s="80">
        <v>1</v>
      </c>
      <c r="S583" s="79">
        <v>1.169857484514512</v>
      </c>
      <c r="T583" s="79">
        <v>8.5016592751450501E-2</v>
      </c>
      <c r="U583" s="79">
        <v>6.4992517323581397E-2</v>
      </c>
      <c r="V583" s="79">
        <v>0.11486839064571699</v>
      </c>
      <c r="W583" s="79">
        <v>1</v>
      </c>
    </row>
    <row r="584" spans="1:24" x14ac:dyDescent="0.2">
      <c r="A584" s="69"/>
      <c r="B584" s="84" t="s">
        <v>2397</v>
      </c>
      <c r="C584" s="78">
        <v>3395</v>
      </c>
      <c r="D584" s="79">
        <v>1.0138499216979995</v>
      </c>
      <c r="E584" s="79">
        <v>0.10369764400000001</v>
      </c>
      <c r="F584" s="79">
        <v>0.89447479900000004</v>
      </c>
      <c r="G584" s="79">
        <v>0.991673151733656</v>
      </c>
      <c r="H584" s="80">
        <v>1</v>
      </c>
      <c r="I584" s="79">
        <v>1.0895977193762345</v>
      </c>
      <c r="J584" s="79">
        <v>0.10183478625415</v>
      </c>
      <c r="K584" s="79">
        <v>0.39943805876140398</v>
      </c>
      <c r="L584" s="79">
        <v>0.83369555356615399</v>
      </c>
      <c r="M584" s="80">
        <v>1</v>
      </c>
      <c r="N584" s="79">
        <v>1.2421717412459623</v>
      </c>
      <c r="O584" s="79">
        <v>0.10210330139702101</v>
      </c>
      <c r="P584" s="79">
        <v>3.36751889415755E-2</v>
      </c>
      <c r="Q584" s="79">
        <v>6.3215702317839198E-2</v>
      </c>
      <c r="R584" s="80">
        <v>1</v>
      </c>
      <c r="S584" s="79">
        <v>1.0951626508107362</v>
      </c>
      <c r="T584" s="79">
        <v>0.101264831853007</v>
      </c>
      <c r="U584" s="79">
        <v>0.36935892642609602</v>
      </c>
      <c r="V584" s="79">
        <v>0.46056902253250598</v>
      </c>
      <c r="W584" s="79">
        <v>1</v>
      </c>
    </row>
    <row r="585" spans="1:24" x14ac:dyDescent="0.2">
      <c r="A585" s="69"/>
      <c r="B585" s="84" t="s">
        <v>2398</v>
      </c>
      <c r="C585" s="78">
        <v>3271</v>
      </c>
      <c r="D585" s="79">
        <v>1.0047365993897919</v>
      </c>
      <c r="E585" s="79">
        <v>7.3953537E-2</v>
      </c>
      <c r="F585" s="79">
        <v>0.94905215600000004</v>
      </c>
      <c r="G585" s="79">
        <v>0.991673151733656</v>
      </c>
      <c r="H585" s="80">
        <v>1</v>
      </c>
      <c r="I585" s="79">
        <v>1.0698297788148814</v>
      </c>
      <c r="J585" s="79">
        <v>7.4334196200794594E-2</v>
      </c>
      <c r="K585" s="79">
        <v>0.36384907814877399</v>
      </c>
      <c r="L585" s="79">
        <v>0.81642974499659005</v>
      </c>
      <c r="M585" s="80">
        <v>1</v>
      </c>
      <c r="N585" s="79">
        <v>1.1540923444017468</v>
      </c>
      <c r="O585" s="79">
        <v>7.2822579455355196E-2</v>
      </c>
      <c r="P585" s="79">
        <v>4.9069065255071397E-2</v>
      </c>
      <c r="Q585" s="79">
        <v>8.7455960405457306E-2</v>
      </c>
      <c r="R585" s="80">
        <v>1</v>
      </c>
      <c r="S585" s="79">
        <v>1.0785643909744933</v>
      </c>
      <c r="T585" s="79">
        <v>7.3235146818217203E-2</v>
      </c>
      <c r="U585" s="79">
        <v>0.30173822107533299</v>
      </c>
      <c r="V585" s="79">
        <v>0.39515562698100898</v>
      </c>
      <c r="W585" s="79">
        <v>1</v>
      </c>
    </row>
    <row r="586" spans="1:24" x14ac:dyDescent="0.2">
      <c r="A586" s="69"/>
      <c r="B586" s="84" t="s">
        <v>2399</v>
      </c>
      <c r="C586" s="78">
        <v>3383</v>
      </c>
      <c r="D586" s="79">
        <v>1.1456175401589823</v>
      </c>
      <c r="E586" s="79">
        <v>0.131012873</v>
      </c>
      <c r="F586" s="79">
        <v>0.29943900200000001</v>
      </c>
      <c r="G586" s="79">
        <v>0.84338459475166305</v>
      </c>
      <c r="H586" s="80">
        <v>1</v>
      </c>
      <c r="I586" s="79">
        <v>1.0792517293949278</v>
      </c>
      <c r="J586" s="79">
        <v>0.13091772179764999</v>
      </c>
      <c r="K586" s="79">
        <v>0.56018681419813299</v>
      </c>
      <c r="L586" s="79">
        <v>0.90984167995158605</v>
      </c>
      <c r="M586" s="80">
        <v>1</v>
      </c>
      <c r="N586" s="79">
        <v>1.1501646498693521</v>
      </c>
      <c r="O586" s="79">
        <v>0.13119907837696099</v>
      </c>
      <c r="P586" s="79">
        <v>0.28626211861043399</v>
      </c>
      <c r="Q586" s="79">
        <v>0.36706554230976401</v>
      </c>
      <c r="R586" s="80">
        <v>1</v>
      </c>
      <c r="S586" s="79">
        <v>1.0737635062235731</v>
      </c>
      <c r="T586" s="79">
        <v>0.12998864921450301</v>
      </c>
      <c r="U586" s="79">
        <v>0.58403005357421101</v>
      </c>
      <c r="V586" s="79">
        <v>0.65575551695464795</v>
      </c>
      <c r="W586" s="79">
        <v>1</v>
      </c>
    </row>
    <row r="587" spans="1:24" x14ac:dyDescent="0.2">
      <c r="A587" s="69"/>
      <c r="B587" s="84" t="s">
        <v>2400</v>
      </c>
      <c r="C587" s="78">
        <v>3347</v>
      </c>
      <c r="D587" s="79">
        <v>1.1066813408759031</v>
      </c>
      <c r="E587" s="79">
        <v>0.10383616599999999</v>
      </c>
      <c r="F587" s="79">
        <v>0.32896112300000002</v>
      </c>
      <c r="G587" s="79">
        <v>0.85579729232661295</v>
      </c>
      <c r="H587" s="80">
        <v>1</v>
      </c>
      <c r="I587" s="79">
        <v>1.1295011170327656</v>
      </c>
      <c r="J587" s="79">
        <v>0.105228281709614</v>
      </c>
      <c r="K587" s="79">
        <v>0.24716784065455699</v>
      </c>
      <c r="L587" s="79">
        <v>0.75037318131730402</v>
      </c>
      <c r="M587" s="80">
        <v>1</v>
      </c>
      <c r="N587" s="79">
        <v>0.99578915294361803</v>
      </c>
      <c r="O587" s="79">
        <v>0.103289897434322</v>
      </c>
      <c r="P587" s="79">
        <v>0.96741281301950899</v>
      </c>
      <c r="Q587" s="79">
        <v>0.97355024561598502</v>
      </c>
      <c r="R587" s="80">
        <v>1</v>
      </c>
      <c r="S587" s="79">
        <v>1.0688200171901949</v>
      </c>
      <c r="T587" s="79">
        <v>0.104008032262635</v>
      </c>
      <c r="U587" s="79">
        <v>0.52223441061213505</v>
      </c>
      <c r="V587" s="79">
        <v>0.60521960462721403</v>
      </c>
      <c r="W587" s="79">
        <v>1</v>
      </c>
    </row>
    <row r="588" spans="1:24" x14ac:dyDescent="0.2">
      <c r="A588" s="69"/>
      <c r="B588" s="84" t="s">
        <v>2401</v>
      </c>
      <c r="C588" s="78">
        <v>3226</v>
      </c>
      <c r="D588" s="79">
        <v>1.0817726660123075</v>
      </c>
      <c r="E588" s="79">
        <v>6.4937064000000003E-2</v>
      </c>
      <c r="F588" s="79">
        <v>0.226118176</v>
      </c>
      <c r="G588" s="79">
        <v>0.74920095390078301</v>
      </c>
      <c r="H588" s="80">
        <v>1</v>
      </c>
      <c r="I588" s="79">
        <v>1.0303883992360685</v>
      </c>
      <c r="J588" s="79">
        <v>6.5538585951788006E-2</v>
      </c>
      <c r="K588" s="79">
        <v>0.64783902644406299</v>
      </c>
      <c r="L588" s="79">
        <v>0.92297773253577797</v>
      </c>
      <c r="M588" s="80">
        <v>1</v>
      </c>
      <c r="N588" s="79">
        <v>1.1095772098695513</v>
      </c>
      <c r="O588" s="79">
        <v>6.4645732702672404E-2</v>
      </c>
      <c r="P588" s="79">
        <v>0.107737938233793</v>
      </c>
      <c r="Q588" s="79">
        <v>0.16734326024318599</v>
      </c>
      <c r="R588" s="80">
        <v>1</v>
      </c>
      <c r="S588" s="79">
        <v>1.0665705837313617</v>
      </c>
      <c r="T588" s="79">
        <v>6.4078402156724806E-2</v>
      </c>
      <c r="U588" s="79">
        <v>0.31452393296610698</v>
      </c>
      <c r="V588" s="79">
        <v>0.405620803794705</v>
      </c>
      <c r="W588" s="79">
        <v>1</v>
      </c>
    </row>
    <row r="589" spans="1:24" x14ac:dyDescent="0.2">
      <c r="A589" s="69"/>
      <c r="B589" s="84" t="s">
        <v>2402</v>
      </c>
      <c r="C589" s="78">
        <v>3432</v>
      </c>
      <c r="D589" s="79">
        <v>1.1003297064173356</v>
      </c>
      <c r="E589" s="79">
        <v>9.5787266999999995E-2</v>
      </c>
      <c r="F589" s="79">
        <v>0.31820760300000001</v>
      </c>
      <c r="G589" s="79">
        <v>0.85138679101263204</v>
      </c>
      <c r="H589" s="80">
        <v>1</v>
      </c>
      <c r="I589" s="79">
        <v>1.0847004300807406</v>
      </c>
      <c r="J589" s="79">
        <v>9.3965596006433699E-2</v>
      </c>
      <c r="K589" s="79">
        <v>0.38690091233716101</v>
      </c>
      <c r="L589" s="79">
        <v>0.82935347593894804</v>
      </c>
      <c r="M589" s="80">
        <v>1</v>
      </c>
      <c r="N589" s="79">
        <v>1.2121153978122747</v>
      </c>
      <c r="O589" s="79">
        <v>9.3766932296520597E-2</v>
      </c>
      <c r="P589" s="79">
        <v>4.0213886777584397E-2</v>
      </c>
      <c r="Q589" s="79">
        <v>7.3674449857035307E-2</v>
      </c>
      <c r="R589" s="80">
        <v>1</v>
      </c>
      <c r="S589" s="79">
        <v>1.0931701030698415</v>
      </c>
      <c r="T589" s="79">
        <v>9.3381311652571006E-2</v>
      </c>
      <c r="U589" s="79">
        <v>0.34010502566543099</v>
      </c>
      <c r="V589" s="79">
        <v>0.43419846837970999</v>
      </c>
      <c r="W589" s="79">
        <v>1</v>
      </c>
    </row>
    <row r="590" spans="1:24" x14ac:dyDescent="0.2">
      <c r="A590" s="69"/>
      <c r="B590" s="84" t="s">
        <v>2403</v>
      </c>
      <c r="C590" s="78">
        <v>1275</v>
      </c>
      <c r="D590" s="79">
        <v>0.99296325167340205</v>
      </c>
      <c r="E590" s="79">
        <v>0.176962023</v>
      </c>
      <c r="F590" s="79">
        <v>0.96816907399999996</v>
      </c>
      <c r="G590" s="79">
        <v>0.991673151733656</v>
      </c>
      <c r="H590" s="80">
        <v>1</v>
      </c>
      <c r="I590" s="79">
        <v>1.1387029307981189</v>
      </c>
      <c r="J590" s="79">
        <v>0.17812246320987901</v>
      </c>
      <c r="K590" s="79">
        <v>0.46586925531862799</v>
      </c>
      <c r="L590" s="79">
        <v>0.87326336285163797</v>
      </c>
      <c r="M590" s="80">
        <v>1</v>
      </c>
      <c r="N590" s="79">
        <v>1.3704328948398246</v>
      </c>
      <c r="O590" s="79">
        <v>0.17212785418881901</v>
      </c>
      <c r="P590" s="79">
        <v>6.7134741132918202E-2</v>
      </c>
      <c r="Q590" s="79">
        <v>0.113440727693307</v>
      </c>
      <c r="R590" s="80">
        <v>1</v>
      </c>
      <c r="S590" s="79">
        <v>1.2936036030133395</v>
      </c>
      <c r="T590" s="79">
        <v>0.181621089476147</v>
      </c>
      <c r="U590" s="79">
        <v>0.156362662556017</v>
      </c>
      <c r="V590" s="79">
        <v>0.231378677173007</v>
      </c>
      <c r="W590" s="79">
        <v>1</v>
      </c>
    </row>
    <row r="591" spans="1:24" x14ac:dyDescent="0.2">
      <c r="A591" s="69"/>
      <c r="B591" s="84" t="s">
        <v>2404</v>
      </c>
      <c r="C591" s="78">
        <v>1241</v>
      </c>
      <c r="D591" s="79">
        <v>0.8814570527303669</v>
      </c>
      <c r="E591" s="79">
        <v>0.126326085</v>
      </c>
      <c r="F591" s="79">
        <v>0.31787430799999999</v>
      </c>
      <c r="G591" s="79">
        <v>0.85138679101263204</v>
      </c>
      <c r="H591" s="80">
        <v>1</v>
      </c>
      <c r="I591" s="79">
        <v>0.86432786708011666</v>
      </c>
      <c r="J591" s="79">
        <v>0.12854614820044</v>
      </c>
      <c r="K591" s="79">
        <v>0.25669087766985099</v>
      </c>
      <c r="L591" s="79">
        <v>0.75316534960692805</v>
      </c>
      <c r="M591" s="80">
        <v>1</v>
      </c>
      <c r="N591" s="79">
        <v>1.1923590916218627</v>
      </c>
      <c r="O591" s="79">
        <v>0.12579408860271399</v>
      </c>
      <c r="P591" s="79">
        <v>0.161937349613306</v>
      </c>
      <c r="Q591" s="79">
        <v>0.232991492810981</v>
      </c>
      <c r="R591" s="80">
        <v>1</v>
      </c>
      <c r="S591" s="79">
        <v>1.1009106379197251</v>
      </c>
      <c r="T591" s="79">
        <v>0.127627879316833</v>
      </c>
      <c r="U591" s="79">
        <v>0.45129033124853501</v>
      </c>
      <c r="V591" s="79">
        <v>0.53925370089867297</v>
      </c>
      <c r="W591" s="79">
        <v>1</v>
      </c>
    </row>
    <row r="592" spans="1:24" x14ac:dyDescent="0.2">
      <c r="A592" s="69"/>
      <c r="B592" s="84" t="s">
        <v>2405</v>
      </c>
      <c r="C592" s="78">
        <v>1212</v>
      </c>
      <c r="D592" s="79">
        <v>0.91087498997280636</v>
      </c>
      <c r="E592" s="79">
        <v>0.10517544199999999</v>
      </c>
      <c r="F592" s="79">
        <v>0.37477697700000001</v>
      </c>
      <c r="G592" s="79">
        <v>0.880152082540541</v>
      </c>
      <c r="H592" s="80">
        <v>1</v>
      </c>
      <c r="I592" s="79">
        <v>1.1118597710201681</v>
      </c>
      <c r="J592" s="79">
        <v>0.108551083179102</v>
      </c>
      <c r="K592" s="79">
        <v>0.32866185997720099</v>
      </c>
      <c r="L592" s="79">
        <v>0.79366538468944703</v>
      </c>
      <c r="M592" s="80">
        <v>1</v>
      </c>
      <c r="N592" s="79">
        <v>1.1077622936373899</v>
      </c>
      <c r="O592" s="79">
        <v>0.102602035244865</v>
      </c>
      <c r="P592" s="79">
        <v>0.31853842978473901</v>
      </c>
      <c r="Q592" s="79">
        <v>0.40181438111017298</v>
      </c>
      <c r="R592" s="80">
        <v>1</v>
      </c>
      <c r="S592" s="79">
        <v>1.0935183089419835</v>
      </c>
      <c r="T592" s="79">
        <v>0.10703505234238</v>
      </c>
      <c r="U592" s="79">
        <v>0.40358076563654</v>
      </c>
      <c r="V592" s="79">
        <v>0.49292010740401299</v>
      </c>
      <c r="W592" s="79">
        <v>1</v>
      </c>
    </row>
    <row r="593" spans="1:23" x14ac:dyDescent="0.2">
      <c r="A593" s="69"/>
      <c r="B593" s="84" t="s">
        <v>2406</v>
      </c>
      <c r="C593" s="78">
        <v>5426</v>
      </c>
      <c r="D593" s="79">
        <v>1.0411622403815317</v>
      </c>
      <c r="E593" s="79">
        <v>6.8221438999999995E-2</v>
      </c>
      <c r="F593" s="79">
        <v>0.55433621099999997</v>
      </c>
      <c r="G593" s="79">
        <v>0.94320296349731902</v>
      </c>
      <c r="H593" s="80">
        <v>1</v>
      </c>
      <c r="I593" s="79">
        <v>1.1658392233818931</v>
      </c>
      <c r="J593" s="79">
        <v>6.7538812876207402E-2</v>
      </c>
      <c r="K593" s="79">
        <v>2.30927636904525E-2</v>
      </c>
      <c r="L593" s="79">
        <v>0.44324333718626002</v>
      </c>
      <c r="M593" s="80">
        <v>1</v>
      </c>
      <c r="N593" s="79">
        <v>1.2093730746701246</v>
      </c>
      <c r="O593" s="79">
        <v>6.7681566509727398E-2</v>
      </c>
      <c r="P593" s="79">
        <v>4.9730815475170402E-3</v>
      </c>
      <c r="Q593" s="79">
        <v>1.32754376243184E-2</v>
      </c>
      <c r="R593" s="80">
        <v>1</v>
      </c>
      <c r="S593" s="79">
        <v>1.306879643273102</v>
      </c>
      <c r="T593" s="79">
        <v>6.75914663498728E-2</v>
      </c>
      <c r="U593" s="79">
        <v>7.5042046159579405E-5</v>
      </c>
      <c r="V593" s="79">
        <v>6.4942178235503304E-4</v>
      </c>
      <c r="W593" s="79">
        <v>9.5228356576506301E-2</v>
      </c>
    </row>
    <row r="594" spans="1:23" x14ac:dyDescent="0.2">
      <c r="A594" s="69"/>
      <c r="B594" s="84" t="s">
        <v>2407</v>
      </c>
      <c r="C594" s="78">
        <v>5305</v>
      </c>
      <c r="D594" s="79">
        <v>1.0272941102593485</v>
      </c>
      <c r="E594" s="79">
        <v>4.2900195000000002E-2</v>
      </c>
      <c r="F594" s="79">
        <v>0.53020330199999999</v>
      </c>
      <c r="G594" s="79">
        <v>0.93839135459751</v>
      </c>
      <c r="H594" s="80">
        <v>1</v>
      </c>
      <c r="I594" s="79">
        <v>1.0990495334979364</v>
      </c>
      <c r="J594" s="79">
        <v>4.26603833080565E-2</v>
      </c>
      <c r="K594" s="79">
        <v>2.68357825732124E-2</v>
      </c>
      <c r="L594" s="79">
        <v>0.46602025326235702</v>
      </c>
      <c r="M594" s="80">
        <v>1</v>
      </c>
      <c r="N594" s="79">
        <v>1.1788105944633789</v>
      </c>
      <c r="O594" s="79">
        <v>4.2669666262588203E-2</v>
      </c>
      <c r="P594" s="79">
        <v>1.1557013434564999E-4</v>
      </c>
      <c r="Q594" s="79">
        <v>6.6361312436484098E-4</v>
      </c>
      <c r="R594" s="80">
        <v>0.14665850048463</v>
      </c>
      <c r="S594" s="81">
        <v>1.3405596472070931</v>
      </c>
      <c r="T594" s="81">
        <v>4.3148358060106799E-2</v>
      </c>
      <c r="U594" s="81">
        <v>1.10172253959343E-11</v>
      </c>
      <c r="V594" s="81">
        <v>1.9972655753486598E-9</v>
      </c>
      <c r="W594" s="81">
        <v>1.3980859027440599E-8</v>
      </c>
    </row>
    <row r="595" spans="1:23" x14ac:dyDescent="0.2">
      <c r="A595" s="69"/>
      <c r="B595" s="84" t="s">
        <v>2408</v>
      </c>
      <c r="C595" s="78">
        <v>5424</v>
      </c>
      <c r="D595" s="79">
        <v>1.0800253369501809</v>
      </c>
      <c r="E595" s="79">
        <v>6.2289127E-2</v>
      </c>
      <c r="F595" s="79">
        <v>0.21648756399999999</v>
      </c>
      <c r="G595" s="79">
        <v>0.74224234113157905</v>
      </c>
      <c r="H595" s="80">
        <v>1</v>
      </c>
      <c r="I595" s="79">
        <v>1.1938729755533759</v>
      </c>
      <c r="J595" s="79">
        <v>6.1498387972077302E-2</v>
      </c>
      <c r="K595" s="79">
        <v>3.9588897280515402E-3</v>
      </c>
      <c r="L595" s="79">
        <v>0.22835595749533699</v>
      </c>
      <c r="M595" s="80">
        <v>1</v>
      </c>
      <c r="N595" s="79">
        <v>1.2454260058215258</v>
      </c>
      <c r="O595" s="79">
        <v>6.2709913771722303E-2</v>
      </c>
      <c r="P595" s="79">
        <v>4.6545451125788398E-4</v>
      </c>
      <c r="Q595" s="79">
        <v>2.0090536557355598E-3</v>
      </c>
      <c r="R595" s="80">
        <v>0.59066177478625503</v>
      </c>
      <c r="S595" s="81">
        <v>1.3454366362515677</v>
      </c>
      <c r="T595" s="81">
        <v>5.9503655919864701E-2</v>
      </c>
      <c r="U595" s="81">
        <v>6.1463576010221499E-7</v>
      </c>
      <c r="V595" s="81">
        <v>1.90237263309686E-5</v>
      </c>
      <c r="W595" s="81">
        <v>7.7997277956971096E-4</v>
      </c>
    </row>
    <row r="596" spans="1:23" x14ac:dyDescent="0.2">
      <c r="A596" s="69"/>
      <c r="B596" s="84" t="s">
        <v>2409</v>
      </c>
      <c r="C596" s="78">
        <v>5349</v>
      </c>
      <c r="D596" s="79">
        <v>1.1213945548229023</v>
      </c>
      <c r="E596" s="79">
        <v>7.6293547000000003E-2</v>
      </c>
      <c r="F596" s="79">
        <v>0.13316434199999999</v>
      </c>
      <c r="G596" s="79">
        <v>0.656481180244186</v>
      </c>
      <c r="H596" s="80">
        <v>1</v>
      </c>
      <c r="I596" s="79">
        <v>1.1856451505520249</v>
      </c>
      <c r="J596" s="79">
        <v>7.6085435042174507E-2</v>
      </c>
      <c r="K596" s="79">
        <v>2.5214324628119299E-2</v>
      </c>
      <c r="L596" s="79">
        <v>0.45891948479274403</v>
      </c>
      <c r="M596" s="80">
        <v>1</v>
      </c>
      <c r="N596" s="79">
        <v>1.3479096311051433</v>
      </c>
      <c r="O596" s="79">
        <v>7.7957562534595307E-2</v>
      </c>
      <c r="P596" s="79">
        <v>1.2829359662417601E-4</v>
      </c>
      <c r="Q596" s="79">
        <v>7.2037422175256398E-4</v>
      </c>
      <c r="R596" s="80">
        <v>0.16280457411607899</v>
      </c>
      <c r="S596" s="81">
        <v>1.375952279138785</v>
      </c>
      <c r="T596" s="81">
        <v>7.7377825631724406E-2</v>
      </c>
      <c r="U596" s="81">
        <v>3.7151562219760802E-5</v>
      </c>
      <c r="V596" s="81">
        <v>3.9953671573624098E-4</v>
      </c>
      <c r="W596" s="81">
        <v>4.71453324568765E-2</v>
      </c>
    </row>
    <row r="597" spans="1:23" x14ac:dyDescent="0.2">
      <c r="A597" s="69"/>
      <c r="B597" s="84" t="s">
        <v>2410</v>
      </c>
      <c r="C597" s="78">
        <v>5368</v>
      </c>
      <c r="D597" s="79">
        <v>0.98714799057125147</v>
      </c>
      <c r="E597" s="79">
        <v>7.4195837000000001E-2</v>
      </c>
      <c r="F597" s="79">
        <v>0.861598172</v>
      </c>
      <c r="G597" s="79">
        <v>0.98737809010017996</v>
      </c>
      <c r="H597" s="80">
        <v>1</v>
      </c>
      <c r="I597" s="79">
        <v>1.3081626009219678</v>
      </c>
      <c r="J597" s="79">
        <v>7.4163391025527506E-2</v>
      </c>
      <c r="K597" s="79">
        <v>2.9227688595840799E-4</v>
      </c>
      <c r="L597" s="79">
        <v>0.18043336354349901</v>
      </c>
      <c r="M597" s="80">
        <v>0.37089936828122</v>
      </c>
      <c r="N597" s="79">
        <v>1.3000029012524179</v>
      </c>
      <c r="O597" s="79">
        <v>7.36207078540521E-2</v>
      </c>
      <c r="P597" s="79">
        <v>3.6558094632076199E-4</v>
      </c>
      <c r="Q597" s="79">
        <v>1.68644949862816E-3</v>
      </c>
      <c r="R597" s="80">
        <v>0.46392222088104701</v>
      </c>
      <c r="S597" s="79">
        <v>1.3058447879193589</v>
      </c>
      <c r="T597" s="79">
        <v>7.3430040626260004E-2</v>
      </c>
      <c r="U597" s="79">
        <v>2.7898112916567E-4</v>
      </c>
      <c r="V597" s="79">
        <v>1.7102756179286701E-3</v>
      </c>
      <c r="W597" s="79">
        <v>0.35402705291123499</v>
      </c>
    </row>
    <row r="598" spans="1:23" x14ac:dyDescent="0.2">
      <c r="A598" s="69"/>
      <c r="B598" s="84" t="s">
        <v>2411</v>
      </c>
      <c r="C598" s="78">
        <v>5333</v>
      </c>
      <c r="D598" s="79">
        <v>1.095310407209356</v>
      </c>
      <c r="E598" s="79">
        <v>5.3727367999999998E-2</v>
      </c>
      <c r="F598" s="79">
        <v>9.0181707999999999E-2</v>
      </c>
      <c r="G598" s="79">
        <v>0.59336855393782395</v>
      </c>
      <c r="H598" s="80">
        <v>1</v>
      </c>
      <c r="I598" s="79">
        <v>1.1652531510561914</v>
      </c>
      <c r="J598" s="79">
        <v>5.2724482886466403E-2</v>
      </c>
      <c r="K598" s="79">
        <v>3.72319944316238E-3</v>
      </c>
      <c r="L598" s="79">
        <v>0.22835595749533699</v>
      </c>
      <c r="M598" s="80">
        <v>1</v>
      </c>
      <c r="N598" s="79">
        <v>1.2055162872258163</v>
      </c>
      <c r="O598" s="79">
        <v>5.2462189565563401E-2</v>
      </c>
      <c r="P598" s="79">
        <v>3.6703643166119702E-4</v>
      </c>
      <c r="Q598" s="79">
        <v>1.68644949862816E-3</v>
      </c>
      <c r="R598" s="80">
        <v>0.46576923177805901</v>
      </c>
      <c r="S598" s="81">
        <v>1.3525081572529118</v>
      </c>
      <c r="T598" s="81">
        <v>5.4027920151445197E-2</v>
      </c>
      <c r="U598" s="81">
        <v>2.2841217745207598E-8</v>
      </c>
      <c r="V598" s="81">
        <v>1.31752296903038E-6</v>
      </c>
      <c r="W598" s="81">
        <v>2.89855053186684E-5</v>
      </c>
    </row>
    <row r="599" spans="1:23" x14ac:dyDescent="0.2">
      <c r="A599" s="69"/>
      <c r="B599" s="84" t="s">
        <v>2412</v>
      </c>
      <c r="C599" s="78">
        <v>5346</v>
      </c>
      <c r="D599" s="79">
        <v>1.0694127093250725</v>
      </c>
      <c r="E599" s="79">
        <v>4.6980609999999999E-2</v>
      </c>
      <c r="F599" s="79">
        <v>0.153161303</v>
      </c>
      <c r="G599" s="79">
        <v>0.68012823474564499</v>
      </c>
      <c r="H599" s="80">
        <v>1</v>
      </c>
      <c r="I599" s="79">
        <v>1.1153589385412368</v>
      </c>
      <c r="J599" s="79">
        <v>4.7109211688732902E-2</v>
      </c>
      <c r="K599" s="79">
        <v>2.0475733362526401E-2</v>
      </c>
      <c r="L599" s="79">
        <v>0.41909202640396798</v>
      </c>
      <c r="M599" s="80">
        <v>1</v>
      </c>
      <c r="N599" s="79">
        <v>1.1026733128306125</v>
      </c>
      <c r="O599" s="79">
        <v>4.6362041903277397E-2</v>
      </c>
      <c r="P599" s="79">
        <v>3.50191782841291E-2</v>
      </c>
      <c r="Q599" s="79">
        <v>6.5448213906568201E-2</v>
      </c>
      <c r="R599" s="80">
        <v>1</v>
      </c>
      <c r="S599" s="81">
        <v>1.274650179226841</v>
      </c>
      <c r="T599" s="81">
        <v>4.6155287700354701E-2</v>
      </c>
      <c r="U599" s="81">
        <v>1.4584905479631101E-7</v>
      </c>
      <c r="V599" s="81">
        <v>6.1694150178839597E-6</v>
      </c>
      <c r="W599" s="81">
        <v>1.85082450536519E-4</v>
      </c>
    </row>
    <row r="600" spans="1:23" x14ac:dyDescent="0.2">
      <c r="A600" s="69"/>
      <c r="B600" s="84" t="s">
        <v>2413</v>
      </c>
      <c r="C600" s="78">
        <v>5340</v>
      </c>
      <c r="D600" s="79">
        <v>1.139562144664769</v>
      </c>
      <c r="E600" s="79">
        <v>9.9049571000000003E-2</v>
      </c>
      <c r="F600" s="79">
        <v>0.187176804</v>
      </c>
      <c r="G600" s="79">
        <v>0.71779241653915704</v>
      </c>
      <c r="H600" s="80">
        <v>1</v>
      </c>
      <c r="I600" s="79">
        <v>1.1101608300093739</v>
      </c>
      <c r="J600" s="79">
        <v>9.7212101170817702E-2</v>
      </c>
      <c r="K600" s="79">
        <v>0.28236603333124499</v>
      </c>
      <c r="L600" s="79">
        <v>0.76694710984058201</v>
      </c>
      <c r="M600" s="80">
        <v>1</v>
      </c>
      <c r="N600" s="79">
        <v>1.4549024667863406</v>
      </c>
      <c r="O600" s="79">
        <v>9.9142432641843498E-2</v>
      </c>
      <c r="P600" s="79">
        <v>1.5568573041155101E-4</v>
      </c>
      <c r="Q600" s="79">
        <v>8.4194573509215195E-4</v>
      </c>
      <c r="R600" s="80">
        <v>0.19756519189225799</v>
      </c>
      <c r="S600" s="79">
        <v>1.4808953198944896</v>
      </c>
      <c r="T600" s="79">
        <v>0.10049612765652199</v>
      </c>
      <c r="U600" s="79">
        <v>9.3416537073891601E-5</v>
      </c>
      <c r="V600" s="79">
        <v>7.6617362379288495E-4</v>
      </c>
      <c r="W600" s="79">
        <v>0.118545585546768</v>
      </c>
    </row>
    <row r="601" spans="1:23" x14ac:dyDescent="0.2">
      <c r="A601" s="69"/>
      <c r="B601" s="84" t="s">
        <v>2414</v>
      </c>
      <c r="C601" s="78">
        <v>5449</v>
      </c>
      <c r="D601" s="79">
        <v>0.94241740825351228</v>
      </c>
      <c r="E601" s="79">
        <v>7.0151430000000001E-2</v>
      </c>
      <c r="F601" s="79">
        <v>0.39787978699999998</v>
      </c>
      <c r="G601" s="79">
        <v>0.88261195738869902</v>
      </c>
      <c r="H601" s="80">
        <v>1</v>
      </c>
      <c r="I601" s="79">
        <v>1.1248035134769603</v>
      </c>
      <c r="J601" s="79">
        <v>6.9196546424912797E-2</v>
      </c>
      <c r="K601" s="79">
        <v>8.9200980249398196E-2</v>
      </c>
      <c r="L601" s="79">
        <v>0.59811020064394504</v>
      </c>
      <c r="M601" s="80">
        <v>1</v>
      </c>
      <c r="N601" s="81">
        <v>1.3584608875066144</v>
      </c>
      <c r="O601" s="81">
        <v>7.2656642517865605E-2</v>
      </c>
      <c r="P601" s="81">
        <v>2.48189513611978E-5</v>
      </c>
      <c r="Q601" s="81">
        <v>1.85936153590777E-4</v>
      </c>
      <c r="R601" s="82">
        <v>3.1495249277359999E-2</v>
      </c>
      <c r="S601" s="81">
        <v>1.3592787750498345</v>
      </c>
      <c r="T601" s="81">
        <v>6.8094086850212204E-2</v>
      </c>
      <c r="U601" s="81">
        <v>6.5504536702037301E-6</v>
      </c>
      <c r="V601" s="81">
        <v>1.13870215171076E-4</v>
      </c>
      <c r="W601" s="81">
        <v>8.3125257074885307E-3</v>
      </c>
    </row>
    <row r="602" spans="1:23" x14ac:dyDescent="0.2">
      <c r="A602" s="69"/>
      <c r="B602" s="84" t="s">
        <v>2415</v>
      </c>
      <c r="C602" s="78">
        <v>5455</v>
      </c>
      <c r="D602" s="79">
        <v>1.0054589148720623</v>
      </c>
      <c r="E602" s="79">
        <v>0.127801677</v>
      </c>
      <c r="F602" s="79">
        <v>0.96602215499999999</v>
      </c>
      <c r="G602" s="79">
        <v>0.991673151733656</v>
      </c>
      <c r="H602" s="80">
        <v>1</v>
      </c>
      <c r="I602" s="79">
        <v>1.1221520315907865</v>
      </c>
      <c r="J602" s="79">
        <v>0.124294646559673</v>
      </c>
      <c r="K602" s="79">
        <v>0.35381308810441597</v>
      </c>
      <c r="L602" s="79">
        <v>0.81336606881281104</v>
      </c>
      <c r="M602" s="80">
        <v>1</v>
      </c>
      <c r="N602" s="79">
        <v>1.2168856490325695</v>
      </c>
      <c r="O602" s="79">
        <v>0.12636501966306701</v>
      </c>
      <c r="P602" s="79">
        <v>0.120328686129862</v>
      </c>
      <c r="Q602" s="79">
        <v>0.18144437702688501</v>
      </c>
      <c r="R602" s="80">
        <v>1</v>
      </c>
      <c r="S602" s="79">
        <v>1.3643724246201567</v>
      </c>
      <c r="T602" s="79">
        <v>0.12647027806719199</v>
      </c>
      <c r="U602" s="79">
        <v>1.40235069336095E-2</v>
      </c>
      <c r="V602" s="79">
        <v>3.32533702225754E-2</v>
      </c>
      <c r="W602" s="79">
        <v>1</v>
      </c>
    </row>
    <row r="603" spans="1:23" x14ac:dyDescent="0.2">
      <c r="A603" s="69"/>
      <c r="B603" s="84" t="s">
        <v>2416</v>
      </c>
      <c r="C603" s="78">
        <v>5448</v>
      </c>
      <c r="D603" s="79">
        <v>0.96686173326538494</v>
      </c>
      <c r="E603" s="79">
        <v>0.12414387</v>
      </c>
      <c r="F603" s="79">
        <v>0.78603921799999998</v>
      </c>
      <c r="G603" s="79">
        <v>0.98545101377932998</v>
      </c>
      <c r="H603" s="80">
        <v>1</v>
      </c>
      <c r="I603" s="79">
        <v>1.2766644404183238</v>
      </c>
      <c r="J603" s="79">
        <v>0.12310574083930401</v>
      </c>
      <c r="K603" s="79">
        <v>4.7247707825036303E-2</v>
      </c>
      <c r="L603" s="79">
        <v>0.53217113930985405</v>
      </c>
      <c r="M603" s="80">
        <v>1</v>
      </c>
      <c r="N603" s="79">
        <v>1.5169122511971775</v>
      </c>
      <c r="O603" s="79">
        <v>0.12399362230422099</v>
      </c>
      <c r="P603" s="79">
        <v>7.7809964404917204E-4</v>
      </c>
      <c r="Q603" s="79">
        <v>2.9741218322240901E-3</v>
      </c>
      <c r="R603" s="80">
        <v>0.98740844829839902</v>
      </c>
      <c r="S603" s="79">
        <v>1.3662066506673418</v>
      </c>
      <c r="T603" s="79">
        <v>0.12068074172608</v>
      </c>
      <c r="U603" s="79">
        <v>9.7195871312528194E-3</v>
      </c>
      <c r="V603" s="79">
        <v>2.5642736111351001E-2</v>
      </c>
      <c r="W603" s="79">
        <v>1</v>
      </c>
    </row>
    <row r="604" spans="1:23" x14ac:dyDescent="0.2">
      <c r="A604" s="69"/>
      <c r="B604" s="84" t="s">
        <v>2417</v>
      </c>
      <c r="C604" s="78">
        <v>5326</v>
      </c>
      <c r="D604" s="79">
        <v>0.99080068599739424</v>
      </c>
      <c r="E604" s="79">
        <v>4.3687416999999999E-2</v>
      </c>
      <c r="F604" s="79">
        <v>0.83246139699999999</v>
      </c>
      <c r="G604" s="79">
        <v>0.98545101377932998</v>
      </c>
      <c r="H604" s="80">
        <v>1</v>
      </c>
      <c r="I604" s="79">
        <v>1.0973247742306893</v>
      </c>
      <c r="J604" s="79">
        <v>4.3302224445357702E-2</v>
      </c>
      <c r="K604" s="79">
        <v>3.1967763914986298E-2</v>
      </c>
      <c r="L604" s="79">
        <v>0.475366306938526</v>
      </c>
      <c r="M604" s="80">
        <v>1</v>
      </c>
      <c r="N604" s="81">
        <v>1.2360298006114314</v>
      </c>
      <c r="O604" s="81">
        <v>4.36617044758036E-2</v>
      </c>
      <c r="P604" s="81">
        <v>1.2140809517008399E-6</v>
      </c>
      <c r="Q604" s="81">
        <v>1.3634236528392601E-5</v>
      </c>
      <c r="R604" s="82">
        <v>1.5406687277083699E-3</v>
      </c>
      <c r="S604" s="81">
        <v>1.367297380501215</v>
      </c>
      <c r="T604" s="81">
        <v>4.4200753600584598E-2</v>
      </c>
      <c r="U604" s="81">
        <v>1.46652654587509E-12</v>
      </c>
      <c r="V604" s="81">
        <v>8.0788698513435605E-10</v>
      </c>
      <c r="W604" s="81">
        <v>1.86102218671549E-9</v>
      </c>
    </row>
    <row r="605" spans="1:23" x14ac:dyDescent="0.2">
      <c r="A605" s="69"/>
      <c r="B605" s="84" t="s">
        <v>2418</v>
      </c>
      <c r="C605" s="78">
        <v>5378</v>
      </c>
      <c r="D605" s="79">
        <v>1.0985694033983495</v>
      </c>
      <c r="E605" s="79">
        <v>0.109118226</v>
      </c>
      <c r="F605" s="79">
        <v>0.38894537200000001</v>
      </c>
      <c r="G605" s="79">
        <v>0.88261195738869902</v>
      </c>
      <c r="H605" s="80">
        <v>1</v>
      </c>
      <c r="I605" s="79">
        <v>1.1389950550404335</v>
      </c>
      <c r="J605" s="79">
        <v>0.108427427261108</v>
      </c>
      <c r="K605" s="79">
        <v>0.23001962004253601</v>
      </c>
      <c r="L605" s="79">
        <v>0.73709318666527301</v>
      </c>
      <c r="M605" s="80">
        <v>1</v>
      </c>
      <c r="N605" s="79">
        <v>1.4515805100617307</v>
      </c>
      <c r="O605" s="79">
        <v>0.111021392968654</v>
      </c>
      <c r="P605" s="79">
        <v>7.8910876038153905E-4</v>
      </c>
      <c r="Q605" s="79">
        <v>3.0043841010911399E-3</v>
      </c>
      <c r="R605" s="80">
        <v>1</v>
      </c>
      <c r="S605" s="79">
        <v>1.3282288948387482</v>
      </c>
      <c r="T605" s="79">
        <v>0.11074152934601</v>
      </c>
      <c r="U605" s="79">
        <v>1.0372925883178299E-2</v>
      </c>
      <c r="V605" s="79">
        <v>2.6646240780877101E-2</v>
      </c>
      <c r="W605" s="79">
        <v>1</v>
      </c>
    </row>
    <row r="606" spans="1:23" x14ac:dyDescent="0.2">
      <c r="A606" s="69"/>
      <c r="B606" s="84" t="s">
        <v>2419</v>
      </c>
      <c r="C606" s="78">
        <v>5378</v>
      </c>
      <c r="D606" s="79">
        <v>0.95489606966449714</v>
      </c>
      <c r="E606" s="79">
        <v>0.102605846</v>
      </c>
      <c r="F606" s="79">
        <v>0.65285000199999998</v>
      </c>
      <c r="G606" s="79">
        <v>0.98290913275237002</v>
      </c>
      <c r="H606" s="80">
        <v>1</v>
      </c>
      <c r="I606" s="79">
        <v>1.1553300312273174</v>
      </c>
      <c r="J606" s="79">
        <v>0.101660818304792</v>
      </c>
      <c r="K606" s="79">
        <v>0.155528421448413</v>
      </c>
      <c r="L606" s="79">
        <v>0.66546775124783797</v>
      </c>
      <c r="M606" s="80">
        <v>1</v>
      </c>
      <c r="N606" s="79">
        <v>1.3578244777372512</v>
      </c>
      <c r="O606" s="79">
        <v>0.102169361285278</v>
      </c>
      <c r="P606" s="79">
        <v>2.7544575052423901E-3</v>
      </c>
      <c r="Q606" s="79">
        <v>8.28295396718624E-3</v>
      </c>
      <c r="R606" s="80">
        <v>1</v>
      </c>
      <c r="S606" s="79">
        <v>1.2374950295931781</v>
      </c>
      <c r="T606" s="79">
        <v>0.10142886503276501</v>
      </c>
      <c r="U606" s="79">
        <v>3.5652085834026098E-2</v>
      </c>
      <c r="V606" s="79">
        <v>7.0802029614051798E-2</v>
      </c>
      <c r="W606" s="79">
        <v>1</v>
      </c>
    </row>
    <row r="607" spans="1:23" x14ac:dyDescent="0.2">
      <c r="A607" s="69"/>
      <c r="B607" s="84" t="s">
        <v>2420</v>
      </c>
      <c r="C607" s="78">
        <v>5354</v>
      </c>
      <c r="D607" s="79">
        <v>1.1005888040454868</v>
      </c>
      <c r="E607" s="79">
        <v>5.9321512999999999E-2</v>
      </c>
      <c r="F607" s="79">
        <v>0.106160852</v>
      </c>
      <c r="G607" s="79">
        <v>0.61501013848636399</v>
      </c>
      <c r="H607" s="80">
        <v>1</v>
      </c>
      <c r="I607" s="79">
        <v>1.1208311965733169</v>
      </c>
      <c r="J607" s="79">
        <v>5.8008656626878902E-2</v>
      </c>
      <c r="K607" s="79">
        <v>4.9247792563640903E-2</v>
      </c>
      <c r="L607" s="79">
        <v>0.538078338376342</v>
      </c>
      <c r="M607" s="80">
        <v>1</v>
      </c>
      <c r="N607" s="79">
        <v>1.260458118728693</v>
      </c>
      <c r="O607" s="79">
        <v>5.8544783611099598E-2</v>
      </c>
      <c r="P607" s="79">
        <v>7.6914901693847304E-5</v>
      </c>
      <c r="Q607" s="79">
        <v>4.6700961841862301E-4</v>
      </c>
      <c r="R607" s="80">
        <v>9.7605010249492197E-2</v>
      </c>
      <c r="S607" s="81">
        <v>1.2903739492492046</v>
      </c>
      <c r="T607" s="81">
        <v>5.8746673983387301E-2</v>
      </c>
      <c r="U607" s="81">
        <v>1.4279766884335499E-5</v>
      </c>
      <c r="V607" s="81">
        <v>1.9484972232496501E-4</v>
      </c>
      <c r="W607" s="81">
        <v>1.8121024176221801E-2</v>
      </c>
    </row>
    <row r="608" spans="1:23" x14ac:dyDescent="0.2">
      <c r="A608" s="69"/>
      <c r="B608" s="84" t="s">
        <v>2421</v>
      </c>
      <c r="C608" s="78">
        <v>5346</v>
      </c>
      <c r="D608" s="79">
        <v>1.0427805258113274</v>
      </c>
      <c r="E608" s="79">
        <v>4.7670771000000001E-2</v>
      </c>
      <c r="F608" s="79">
        <v>0.37953640500000002</v>
      </c>
      <c r="G608" s="79">
        <v>0.880152082540541</v>
      </c>
      <c r="H608" s="80">
        <v>1</v>
      </c>
      <c r="I608" s="79">
        <v>1.0775182619830463</v>
      </c>
      <c r="J608" s="79">
        <v>4.7750370557992999E-2</v>
      </c>
      <c r="K608" s="79">
        <v>0.117921318946967</v>
      </c>
      <c r="L608" s="79">
        <v>0.629154133129187</v>
      </c>
      <c r="M608" s="80">
        <v>1</v>
      </c>
      <c r="N608" s="79">
        <v>1.1418614648005836</v>
      </c>
      <c r="O608" s="79">
        <v>4.7133252495406897E-2</v>
      </c>
      <c r="P608" s="79">
        <v>4.8842680577948798E-3</v>
      </c>
      <c r="Q608" s="79">
        <v>1.31316444180968E-2</v>
      </c>
      <c r="R608" s="80">
        <v>1</v>
      </c>
      <c r="S608" s="81">
        <v>1.2841424679924214</v>
      </c>
      <c r="T608" s="81">
        <v>4.6992241439268702E-2</v>
      </c>
      <c r="U608" s="81">
        <v>1.02651229168074E-7</v>
      </c>
      <c r="V608" s="81">
        <v>4.6523003505102104E-6</v>
      </c>
      <c r="W608" s="81">
        <v>1.3026440981428599E-4</v>
      </c>
    </row>
    <row r="609" spans="1:23" x14ac:dyDescent="0.2">
      <c r="A609" s="69"/>
      <c r="B609" s="84" t="s">
        <v>2422</v>
      </c>
      <c r="C609" s="78">
        <v>5362</v>
      </c>
      <c r="D609" s="79">
        <v>1.1527031104212553</v>
      </c>
      <c r="E609" s="79">
        <v>0.136183675</v>
      </c>
      <c r="F609" s="79">
        <v>0.29670980899999999</v>
      </c>
      <c r="G609" s="79">
        <v>0.84338459475166305</v>
      </c>
      <c r="H609" s="80">
        <v>1</v>
      </c>
      <c r="I609" s="79">
        <v>1.0256398144604206</v>
      </c>
      <c r="J609" s="79">
        <v>0.133056900729185</v>
      </c>
      <c r="K609" s="79">
        <v>0.84909820510499701</v>
      </c>
      <c r="L609" s="79">
        <v>0.96964513668720897</v>
      </c>
      <c r="M609" s="80">
        <v>1</v>
      </c>
      <c r="N609" s="79">
        <v>1.4093086429252362</v>
      </c>
      <c r="O609" s="79">
        <v>0.137088601646074</v>
      </c>
      <c r="P609" s="79">
        <v>1.2323062180601399E-2</v>
      </c>
      <c r="Q609" s="79">
        <v>2.8176515148077799E-2</v>
      </c>
      <c r="R609" s="80">
        <v>1</v>
      </c>
      <c r="S609" s="79">
        <v>1.3892028033150494</v>
      </c>
      <c r="T609" s="79">
        <v>0.136545700922236</v>
      </c>
      <c r="U609" s="79">
        <v>1.6063359097084701E-2</v>
      </c>
      <c r="V609" s="79">
        <v>3.7062550353091799E-2</v>
      </c>
      <c r="W609" s="79">
        <v>1</v>
      </c>
    </row>
    <row r="610" spans="1:23" x14ac:dyDescent="0.2">
      <c r="A610" s="69"/>
      <c r="B610" s="84" t="s">
        <v>2423</v>
      </c>
      <c r="C610" s="78">
        <v>5460</v>
      </c>
      <c r="D610" s="79">
        <v>0.87301431831485099</v>
      </c>
      <c r="E610" s="79">
        <v>0.110678026</v>
      </c>
      <c r="F610" s="79">
        <v>0.21981789099999999</v>
      </c>
      <c r="G610" s="79">
        <v>0.74224234113157905</v>
      </c>
      <c r="H610" s="80">
        <v>1</v>
      </c>
      <c r="I610" s="79">
        <v>1.1406314967005384</v>
      </c>
      <c r="J610" s="79">
        <v>0.108795611226639</v>
      </c>
      <c r="K610" s="79">
        <v>0.226492827429851</v>
      </c>
      <c r="L610" s="79">
        <v>0.73459417908661795</v>
      </c>
      <c r="M610" s="80">
        <v>1</v>
      </c>
      <c r="N610" s="79">
        <v>1.7148011583744753</v>
      </c>
      <c r="O610" s="79">
        <v>0.16330957980313801</v>
      </c>
      <c r="P610" s="79">
        <v>9.5895644019994102E-4</v>
      </c>
      <c r="Q610" s="79">
        <v>3.4183025916115898E-3</v>
      </c>
      <c r="R610" s="80">
        <v>1</v>
      </c>
      <c r="S610" s="79">
        <v>1.4618541254824025</v>
      </c>
      <c r="T610" s="79">
        <v>0.110004137507986</v>
      </c>
      <c r="U610" s="79">
        <v>5.5698608560168295E-4</v>
      </c>
      <c r="V610" s="79">
        <v>2.9087051136976799E-3</v>
      </c>
      <c r="W610" s="79">
        <v>0.70681534262853596</v>
      </c>
    </row>
    <row r="611" spans="1:23" x14ac:dyDescent="0.2">
      <c r="A611" s="69"/>
      <c r="B611" s="84" t="s">
        <v>2424</v>
      </c>
      <c r="C611" s="78">
        <v>3193</v>
      </c>
      <c r="D611" s="79">
        <v>1.1109109139734175</v>
      </c>
      <c r="E611" s="79">
        <v>0.142657018</v>
      </c>
      <c r="F611" s="79">
        <v>0.46094290399999999</v>
      </c>
      <c r="G611" s="79">
        <v>0.91539365442253495</v>
      </c>
      <c r="H611" s="80">
        <v>1</v>
      </c>
      <c r="I611" s="79">
        <v>1.0807134363522002</v>
      </c>
      <c r="J611" s="79">
        <v>0.14116433740246401</v>
      </c>
      <c r="K611" s="79">
        <v>0.58241156430690799</v>
      </c>
      <c r="L611" s="79">
        <v>0.91357265155187395</v>
      </c>
      <c r="M611" s="80">
        <v>1</v>
      </c>
      <c r="N611" s="79">
        <v>1.2747546989571581</v>
      </c>
      <c r="O611" s="79">
        <v>0.13884516163824101</v>
      </c>
      <c r="P611" s="79">
        <v>8.0398668222216293E-2</v>
      </c>
      <c r="Q611" s="79">
        <v>0.13061297494947299</v>
      </c>
      <c r="R611" s="80">
        <v>1</v>
      </c>
      <c r="S611" s="79">
        <v>1.3947315858931799</v>
      </c>
      <c r="T611" s="79">
        <v>0.14464596095891999</v>
      </c>
      <c r="U611" s="79">
        <v>2.1441846369036E-2</v>
      </c>
      <c r="V611" s="79">
        <v>4.6464648866181402E-2</v>
      </c>
      <c r="W611" s="79">
        <v>1</v>
      </c>
    </row>
    <row r="612" spans="1:23" x14ac:dyDescent="0.2">
      <c r="A612" s="69"/>
      <c r="B612" s="84" t="s">
        <v>2425</v>
      </c>
      <c r="C612" s="78">
        <v>3195</v>
      </c>
      <c r="D612" s="79">
        <v>0.9324880859564455</v>
      </c>
      <c r="E612" s="79">
        <v>0.16192142800000001</v>
      </c>
      <c r="F612" s="79">
        <v>0.66597103700000004</v>
      </c>
      <c r="G612" s="79">
        <v>0.98545101377932998</v>
      </c>
      <c r="H612" s="80">
        <v>1</v>
      </c>
      <c r="I612" s="79">
        <v>1.0205984774888397</v>
      </c>
      <c r="J612" s="79">
        <v>0.160651402555504</v>
      </c>
      <c r="K612" s="79">
        <v>0.89900705797813096</v>
      </c>
      <c r="L612" s="79">
        <v>0.981200184300273</v>
      </c>
      <c r="M612" s="80">
        <v>1</v>
      </c>
      <c r="N612" s="79">
        <v>1.2546254971145399</v>
      </c>
      <c r="O612" s="79">
        <v>0.15790679502709001</v>
      </c>
      <c r="P612" s="79">
        <v>0.15085289856987399</v>
      </c>
      <c r="Q612" s="79">
        <v>0.219784533048416</v>
      </c>
      <c r="R612" s="80">
        <v>1</v>
      </c>
      <c r="S612" s="79">
        <v>1.4040831298473195</v>
      </c>
      <c r="T612" s="79">
        <v>0.16238315329155401</v>
      </c>
      <c r="U612" s="79">
        <v>3.6615740338073403E-2</v>
      </c>
      <c r="V612" s="79">
        <v>7.2151202622694297E-2</v>
      </c>
      <c r="W612" s="79">
        <v>1</v>
      </c>
    </row>
    <row r="613" spans="1:23" x14ac:dyDescent="0.2">
      <c r="A613" s="69"/>
      <c r="B613" s="84" t="s">
        <v>2426</v>
      </c>
      <c r="C613" s="78">
        <v>3011</v>
      </c>
      <c r="D613" s="79">
        <v>1.0824379984548711</v>
      </c>
      <c r="E613" s="79">
        <v>8.9662327999999999E-2</v>
      </c>
      <c r="F613" s="79">
        <v>0.37697078000000001</v>
      </c>
      <c r="G613" s="79">
        <v>0.880152082540541</v>
      </c>
      <c r="H613" s="80">
        <v>1</v>
      </c>
      <c r="I613" s="79">
        <v>1.1616469672078396</v>
      </c>
      <c r="J613" s="79">
        <v>8.9031984548431503E-2</v>
      </c>
      <c r="K613" s="79">
        <v>9.2379510895361103E-2</v>
      </c>
      <c r="L613" s="79">
        <v>0.59811020064394504</v>
      </c>
      <c r="M613" s="80">
        <v>1</v>
      </c>
      <c r="N613" s="79">
        <v>1.0985546860865916</v>
      </c>
      <c r="O613" s="79">
        <v>8.9597534481918303E-2</v>
      </c>
      <c r="P613" s="79">
        <v>0.29413918072768003</v>
      </c>
      <c r="Q613" s="79">
        <v>0.37627280276554997</v>
      </c>
      <c r="R613" s="80">
        <v>1</v>
      </c>
      <c r="S613" s="79">
        <v>1.1703510663083494</v>
      </c>
      <c r="T613" s="79">
        <v>8.9152872893858398E-2</v>
      </c>
      <c r="U613" s="79">
        <v>7.7660069655437605E-2</v>
      </c>
      <c r="V613" s="79">
        <v>0.13239492619219101</v>
      </c>
      <c r="W613" s="79">
        <v>1</v>
      </c>
    </row>
    <row r="614" spans="1:23" x14ac:dyDescent="0.2">
      <c r="A614" s="69"/>
      <c r="B614" s="84" t="s">
        <v>2427</v>
      </c>
      <c r="C614" s="78">
        <v>3167</v>
      </c>
      <c r="D614" s="79">
        <v>0.96035998829818825</v>
      </c>
      <c r="E614" s="79">
        <v>0.16188169199999999</v>
      </c>
      <c r="F614" s="79">
        <v>0.80269887900000003</v>
      </c>
      <c r="G614" s="79">
        <v>0.98545101377932998</v>
      </c>
      <c r="H614" s="80">
        <v>1</v>
      </c>
      <c r="I614" s="79">
        <v>1.1349034660324298</v>
      </c>
      <c r="J614" s="79">
        <v>0.164447613941403</v>
      </c>
      <c r="K614" s="79">
        <v>0.44157793748923502</v>
      </c>
      <c r="L614" s="79">
        <v>0.86970662028650003</v>
      </c>
      <c r="M614" s="80">
        <v>1</v>
      </c>
      <c r="N614" s="79">
        <v>1.1045428866767415</v>
      </c>
      <c r="O614" s="79">
        <v>0.15944485218770801</v>
      </c>
      <c r="P614" s="79">
        <v>0.53288304998768798</v>
      </c>
      <c r="Q614" s="79">
        <v>0.61252589713258698</v>
      </c>
      <c r="R614" s="80">
        <v>1</v>
      </c>
      <c r="S614" s="79">
        <v>1.228060497785356</v>
      </c>
      <c r="T614" s="79">
        <v>0.16388965867094499</v>
      </c>
      <c r="U614" s="79">
        <v>0.210022896614876</v>
      </c>
      <c r="V614" s="79">
        <v>0.29580361354525803</v>
      </c>
      <c r="W614" s="79">
        <v>1</v>
      </c>
    </row>
    <row r="615" spans="1:23" x14ac:dyDescent="0.2">
      <c r="A615" s="69"/>
      <c r="B615" s="84" t="s">
        <v>2428</v>
      </c>
      <c r="C615" s="78">
        <v>3149</v>
      </c>
      <c r="D615" s="79">
        <v>0.98040884062840661</v>
      </c>
      <c r="E615" s="79">
        <v>9.0216789000000006E-2</v>
      </c>
      <c r="F615" s="79">
        <v>0.82640714199999998</v>
      </c>
      <c r="G615" s="79">
        <v>0.98545101377932998</v>
      </c>
      <c r="H615" s="80">
        <v>1</v>
      </c>
      <c r="I615" s="79">
        <v>1.163291413540853</v>
      </c>
      <c r="J615" s="79">
        <v>9.0817793071570202E-2</v>
      </c>
      <c r="K615" s="79">
        <v>9.5820993310072905E-2</v>
      </c>
      <c r="L615" s="79">
        <v>0.60990514139077301</v>
      </c>
      <c r="M615" s="80">
        <v>1</v>
      </c>
      <c r="N615" s="79">
        <v>0.99724421532793783</v>
      </c>
      <c r="O615" s="79">
        <v>9.0568215016447698E-2</v>
      </c>
      <c r="P615" s="79">
        <v>0.97569243607332701</v>
      </c>
      <c r="Q615" s="79">
        <v>0.98032755453448295</v>
      </c>
      <c r="R615" s="80">
        <v>1</v>
      </c>
      <c r="S615" s="79">
        <v>1.0932108559556606</v>
      </c>
      <c r="T615" s="79">
        <v>9.0307402505605705E-2</v>
      </c>
      <c r="U615" s="79">
        <v>0.32372027639969903</v>
      </c>
      <c r="V615" s="79">
        <v>0.41537010187180801</v>
      </c>
      <c r="W615" s="79">
        <v>1</v>
      </c>
    </row>
    <row r="616" spans="1:23" x14ac:dyDescent="0.2">
      <c r="A616" s="69"/>
      <c r="B616" s="84" t="s">
        <v>2429</v>
      </c>
      <c r="C616" s="78">
        <v>2958</v>
      </c>
      <c r="D616" s="79">
        <v>1.0185022746341492</v>
      </c>
      <c r="E616" s="79">
        <v>6.7973255999999996E-2</v>
      </c>
      <c r="F616" s="79">
        <v>0.78738197200000004</v>
      </c>
      <c r="G616" s="79">
        <v>0.98545101377932998</v>
      </c>
      <c r="H616" s="80">
        <v>1</v>
      </c>
      <c r="I616" s="79">
        <v>0.96828627127949873</v>
      </c>
      <c r="J616" s="79">
        <v>6.8004678979842803E-2</v>
      </c>
      <c r="K616" s="79">
        <v>0.63557034605331097</v>
      </c>
      <c r="L616" s="79">
        <v>0.91965825061269202</v>
      </c>
      <c r="M616" s="80">
        <v>1</v>
      </c>
      <c r="N616" s="79">
        <v>0.97403108909661118</v>
      </c>
      <c r="O616" s="79">
        <v>6.7794046496291699E-2</v>
      </c>
      <c r="P616" s="79">
        <v>0.69792907084837197</v>
      </c>
      <c r="Q616" s="79">
        <v>0.75440544370237095</v>
      </c>
      <c r="R616" s="80">
        <v>1</v>
      </c>
      <c r="S616" s="79">
        <v>1.049508273301146</v>
      </c>
      <c r="T616" s="79">
        <v>6.70558629774443E-2</v>
      </c>
      <c r="U616" s="79">
        <v>0.47114382836000901</v>
      </c>
      <c r="V616" s="79">
        <v>0.55824604872908601</v>
      </c>
      <c r="W616" s="79">
        <v>1</v>
      </c>
    </row>
    <row r="617" spans="1:23" x14ac:dyDescent="0.2">
      <c r="A617" s="69"/>
      <c r="B617" s="84" t="s">
        <v>2430</v>
      </c>
      <c r="C617" s="78">
        <v>1152</v>
      </c>
      <c r="D617" s="79">
        <v>0.90541443398399735</v>
      </c>
      <c r="E617" s="79">
        <v>0.12335096700000001</v>
      </c>
      <c r="F617" s="79">
        <v>0.42051578299999998</v>
      </c>
      <c r="G617" s="79">
        <v>0.89158896436589397</v>
      </c>
      <c r="H617" s="80">
        <v>1</v>
      </c>
      <c r="I617" s="79">
        <v>0.93842861794337973</v>
      </c>
      <c r="J617" s="79">
        <v>0.118852530774284</v>
      </c>
      <c r="K617" s="79">
        <v>0.592868742072854</v>
      </c>
      <c r="L617" s="79">
        <v>0.91965825061269202</v>
      </c>
      <c r="M617" s="80">
        <v>1</v>
      </c>
      <c r="N617" s="79">
        <v>0.91468211799091903</v>
      </c>
      <c r="O617" s="79">
        <v>0.122018934239961</v>
      </c>
      <c r="P617" s="79">
        <v>0.46486503185015299</v>
      </c>
      <c r="Q617" s="79">
        <v>0.54672263708790003</v>
      </c>
      <c r="R617" s="80">
        <v>1</v>
      </c>
      <c r="S617" s="79">
        <v>1.120631858217189</v>
      </c>
      <c r="T617" s="79">
        <v>0.124227178405904</v>
      </c>
      <c r="U617" s="79">
        <v>0.35924235535025301</v>
      </c>
      <c r="V617" s="79">
        <v>0.45136489994007001</v>
      </c>
      <c r="W617" s="79">
        <v>1</v>
      </c>
    </row>
    <row r="618" spans="1:23" x14ac:dyDescent="0.2">
      <c r="A618" s="69"/>
      <c r="B618" s="84" t="s">
        <v>2431</v>
      </c>
      <c r="C618" s="78">
        <v>1127</v>
      </c>
      <c r="D618" s="79">
        <v>0.88083360895128293</v>
      </c>
      <c r="E618" s="79">
        <v>0.14409377700000001</v>
      </c>
      <c r="F618" s="79">
        <v>0.37854353800000001</v>
      </c>
      <c r="G618" s="79">
        <v>0.880152082540541</v>
      </c>
      <c r="H618" s="80">
        <v>1</v>
      </c>
      <c r="I618" s="79">
        <v>0.89344750833507469</v>
      </c>
      <c r="J618" s="79">
        <v>0.142181232007694</v>
      </c>
      <c r="K618" s="79">
        <v>0.42811400700154101</v>
      </c>
      <c r="L618" s="79">
        <v>0.85874777660423096</v>
      </c>
      <c r="M618" s="80">
        <v>1</v>
      </c>
      <c r="N618" s="79">
        <v>0.79444980000608634</v>
      </c>
      <c r="O618" s="79">
        <v>0.14706359530921601</v>
      </c>
      <c r="P618" s="79">
        <v>0.11766112981714</v>
      </c>
      <c r="Q618" s="79">
        <v>0.17881673501550999</v>
      </c>
      <c r="R618" s="80">
        <v>1</v>
      </c>
      <c r="S618" s="79">
        <v>0.9082903431109508</v>
      </c>
      <c r="T618" s="79">
        <v>0.144305879318091</v>
      </c>
      <c r="U618" s="79">
        <v>0.50504143361592602</v>
      </c>
      <c r="V618" s="79">
        <v>0.59068901314157596</v>
      </c>
      <c r="W618" s="79">
        <v>1</v>
      </c>
    </row>
    <row r="619" spans="1:23" x14ac:dyDescent="0.2">
      <c r="A619" s="69"/>
      <c r="B619" s="84" t="s">
        <v>2432</v>
      </c>
      <c r="C619" s="78">
        <v>5254</v>
      </c>
      <c r="D619" s="79">
        <v>1.099974402413082</v>
      </c>
      <c r="E619" s="79">
        <v>7.1831543999999997E-2</v>
      </c>
      <c r="F619" s="79">
        <v>0.18466323100000001</v>
      </c>
      <c r="G619" s="79">
        <v>0.71779241653915704</v>
      </c>
      <c r="H619" s="80">
        <v>1</v>
      </c>
      <c r="I619" s="79">
        <v>1.124136149785965</v>
      </c>
      <c r="J619" s="79">
        <v>7.1340278200585999E-2</v>
      </c>
      <c r="K619" s="79">
        <v>0.100956161333075</v>
      </c>
      <c r="L619" s="79">
        <v>0.61793044758930804</v>
      </c>
      <c r="M619" s="80">
        <v>1</v>
      </c>
      <c r="N619" s="79">
        <v>1.2095183132879592</v>
      </c>
      <c r="O619" s="79">
        <v>7.0771941870583402E-2</v>
      </c>
      <c r="P619" s="79">
        <v>7.1920302029748803E-3</v>
      </c>
      <c r="Q619" s="79">
        <v>1.8036929501136601E-2</v>
      </c>
      <c r="R619" s="80">
        <v>1</v>
      </c>
      <c r="S619" s="79">
        <v>1.1567667689388397</v>
      </c>
      <c r="T619" s="79">
        <v>6.9990966894711598E-2</v>
      </c>
      <c r="U619" s="79">
        <v>3.7463153162884698E-2</v>
      </c>
      <c r="V619" s="79">
        <v>7.3592478891177496E-2</v>
      </c>
      <c r="W619" s="79">
        <v>1</v>
      </c>
    </row>
    <row r="620" spans="1:23" x14ac:dyDescent="0.2">
      <c r="A620" s="69"/>
      <c r="B620" s="84" t="s">
        <v>2433</v>
      </c>
      <c r="C620" s="78">
        <v>5297</v>
      </c>
      <c r="D620" s="79">
        <v>1.2433960188222288</v>
      </c>
      <c r="E620" s="79">
        <v>0.135435309</v>
      </c>
      <c r="F620" s="79">
        <v>0.107727871</v>
      </c>
      <c r="G620" s="79">
        <v>0.61858220949773801</v>
      </c>
      <c r="H620" s="80">
        <v>1</v>
      </c>
      <c r="I620" s="79">
        <v>1.3235062867943259</v>
      </c>
      <c r="J620" s="79">
        <v>0.13559839303896201</v>
      </c>
      <c r="K620" s="79">
        <v>3.8732337237227202E-2</v>
      </c>
      <c r="L620" s="79">
        <v>0.50307562413000395</v>
      </c>
      <c r="M620" s="80">
        <v>1</v>
      </c>
      <c r="N620" s="79">
        <v>1.6508222932118957</v>
      </c>
      <c r="O620" s="79">
        <v>0.13758908116218899</v>
      </c>
      <c r="P620" s="79">
        <v>2.6920113045799201E-4</v>
      </c>
      <c r="Q620" s="79">
        <v>1.3292460488373199E-3</v>
      </c>
      <c r="R620" s="80">
        <v>0.341616234551192</v>
      </c>
      <c r="S620" s="79">
        <v>1.5387259725606455</v>
      </c>
      <c r="T620" s="79">
        <v>0.136833099362799</v>
      </c>
      <c r="U620" s="79">
        <v>1.6355445676470399E-3</v>
      </c>
      <c r="V620" s="79">
        <v>6.6872562815376404E-3</v>
      </c>
      <c r="W620" s="79">
        <v>1</v>
      </c>
    </row>
    <row r="621" spans="1:23" x14ac:dyDescent="0.2">
      <c r="A621" s="69"/>
      <c r="B621" s="84" t="s">
        <v>2434</v>
      </c>
      <c r="C621" s="78">
        <v>4954</v>
      </c>
      <c r="D621" s="79">
        <v>1.0309457553261527</v>
      </c>
      <c r="E621" s="79">
        <v>8.1704454999999995E-2</v>
      </c>
      <c r="F621" s="79">
        <v>0.70914090200000002</v>
      </c>
      <c r="G621" s="79">
        <v>0.98545101377932998</v>
      </c>
      <c r="H621" s="80">
        <v>1</v>
      </c>
      <c r="I621" s="79">
        <v>1.0750510752666982</v>
      </c>
      <c r="J621" s="79">
        <v>8.1653936326805301E-2</v>
      </c>
      <c r="K621" s="79">
        <v>0.37546718059682699</v>
      </c>
      <c r="L621" s="79">
        <v>0.82335395559380298</v>
      </c>
      <c r="M621" s="80">
        <v>1</v>
      </c>
      <c r="N621" s="79">
        <v>1.0764410120456986</v>
      </c>
      <c r="O621" s="79">
        <v>8.1440382954311996E-2</v>
      </c>
      <c r="P621" s="79">
        <v>0.36574716506474197</v>
      </c>
      <c r="Q621" s="79">
        <v>0.45105262630433202</v>
      </c>
      <c r="R621" s="80">
        <v>1</v>
      </c>
      <c r="S621" s="79">
        <v>1.1674866118831373</v>
      </c>
      <c r="T621" s="79">
        <v>8.17002719670884E-2</v>
      </c>
      <c r="U621" s="79">
        <v>5.8041782011979202E-2</v>
      </c>
      <c r="V621" s="79">
        <v>0.104623609905116</v>
      </c>
      <c r="W621" s="79">
        <v>1</v>
      </c>
    </row>
    <row r="622" spans="1:23" x14ac:dyDescent="0.2">
      <c r="A622" s="69"/>
      <c r="B622" s="84" t="s">
        <v>2435</v>
      </c>
      <c r="C622" s="78">
        <v>5232</v>
      </c>
      <c r="D622" s="79">
        <v>0.91276125468433067</v>
      </c>
      <c r="E622" s="79">
        <v>0.13458093099999999</v>
      </c>
      <c r="F622" s="79">
        <v>0.49760654300000001</v>
      </c>
      <c r="G622" s="79">
        <v>0.92884339055395704</v>
      </c>
      <c r="H622" s="80">
        <v>1</v>
      </c>
      <c r="I622" s="79">
        <v>1.2293289642901923</v>
      </c>
      <c r="J622" s="79">
        <v>0.13644897331366801</v>
      </c>
      <c r="K622" s="79">
        <v>0.13024026040546999</v>
      </c>
      <c r="L622" s="79">
        <v>0.65283885689403798</v>
      </c>
      <c r="M622" s="80">
        <v>1</v>
      </c>
      <c r="N622" s="79">
        <v>1.0762503674498356</v>
      </c>
      <c r="O622" s="79">
        <v>0.13241273266006201</v>
      </c>
      <c r="P622" s="79">
        <v>0.57892538833538099</v>
      </c>
      <c r="Q622" s="79">
        <v>0.65770485031118897</v>
      </c>
      <c r="R622" s="80">
        <v>1</v>
      </c>
      <c r="S622" s="79">
        <v>1.1442557749848283</v>
      </c>
      <c r="T622" s="79">
        <v>0.13335448091391799</v>
      </c>
      <c r="U622" s="79">
        <v>0.31225671677290301</v>
      </c>
      <c r="V622" s="79">
        <v>0.40436171318790598</v>
      </c>
      <c r="W622" s="79">
        <v>1</v>
      </c>
    </row>
    <row r="623" spans="1:23" x14ac:dyDescent="0.2">
      <c r="A623" s="69"/>
      <c r="B623" s="84" t="s">
        <v>2436</v>
      </c>
      <c r="C623" s="78">
        <v>5217</v>
      </c>
      <c r="D623" s="79">
        <v>1.0171950914462835</v>
      </c>
      <c r="E623" s="79">
        <v>0.101507285</v>
      </c>
      <c r="F623" s="79">
        <v>0.86661656499999995</v>
      </c>
      <c r="G623" s="79">
        <v>0.98755445668576602</v>
      </c>
      <c r="H623" s="80">
        <v>1</v>
      </c>
      <c r="I623" s="79">
        <v>1.1699248243708686</v>
      </c>
      <c r="J623" s="79">
        <v>0.10317338505055899</v>
      </c>
      <c r="K623" s="79">
        <v>0.128228766767784</v>
      </c>
      <c r="L623" s="79">
        <v>0.648296035969394</v>
      </c>
      <c r="M623" s="80">
        <v>1</v>
      </c>
      <c r="N623" s="79">
        <v>0.98171236765851899</v>
      </c>
      <c r="O623" s="79">
        <v>0.101522777815723</v>
      </c>
      <c r="P623" s="79">
        <v>0.85573908812107802</v>
      </c>
      <c r="Q623" s="79">
        <v>0.88503089064844997</v>
      </c>
      <c r="R623" s="80">
        <v>1</v>
      </c>
      <c r="S623" s="79">
        <v>1.1977621831389869</v>
      </c>
      <c r="T623" s="79">
        <v>0.10169357376511599</v>
      </c>
      <c r="U623" s="79">
        <v>7.5980934245262199E-2</v>
      </c>
      <c r="V623" s="79">
        <v>0.12994582959196499</v>
      </c>
      <c r="W623" s="79">
        <v>1</v>
      </c>
    </row>
    <row r="624" spans="1:23" x14ac:dyDescent="0.2">
      <c r="A624" s="69"/>
      <c r="B624" s="84" t="s">
        <v>2437</v>
      </c>
      <c r="C624" s="78">
        <v>4894</v>
      </c>
      <c r="D624" s="79">
        <v>0.96205011603777524</v>
      </c>
      <c r="E624" s="79">
        <v>6.4884277000000004E-2</v>
      </c>
      <c r="F624" s="79">
        <v>0.55099294499999996</v>
      </c>
      <c r="G624" s="79">
        <v>0.94233160000673799</v>
      </c>
      <c r="H624" s="80">
        <v>1</v>
      </c>
      <c r="I624" s="79">
        <v>1.1704418863607648</v>
      </c>
      <c r="J624" s="79">
        <v>6.6445282761934399E-2</v>
      </c>
      <c r="K624" s="79">
        <v>1.7856234591408299E-2</v>
      </c>
      <c r="L624" s="79">
        <v>0.41909202640396798</v>
      </c>
      <c r="M624" s="80">
        <v>1</v>
      </c>
      <c r="N624" s="79">
        <v>1.0463884593341239</v>
      </c>
      <c r="O624" s="79">
        <v>6.3956448587843995E-2</v>
      </c>
      <c r="P624" s="79">
        <v>0.47832883647104202</v>
      </c>
      <c r="Q624" s="79">
        <v>0.55944635343940297</v>
      </c>
      <c r="R624" s="80">
        <v>1</v>
      </c>
      <c r="S624" s="79">
        <v>1.0820392498098299</v>
      </c>
      <c r="T624" s="79">
        <v>6.4029771595802101E-2</v>
      </c>
      <c r="U624" s="79">
        <v>0.218166324569776</v>
      </c>
      <c r="V624" s="79">
        <v>0.30390018208457298</v>
      </c>
      <c r="W624" s="79">
        <v>1</v>
      </c>
    </row>
    <row r="625" spans="1:23" x14ac:dyDescent="0.2">
      <c r="A625" s="69"/>
      <c r="B625" s="84" t="s">
        <v>2438</v>
      </c>
      <c r="C625" s="78">
        <v>5343</v>
      </c>
      <c r="D625" s="79">
        <v>0.97717124201207195</v>
      </c>
      <c r="E625" s="79">
        <v>0.12608698199999999</v>
      </c>
      <c r="F625" s="79">
        <v>0.85467697499999995</v>
      </c>
      <c r="G625" s="79">
        <v>0.98552821438803295</v>
      </c>
      <c r="H625" s="80">
        <v>1</v>
      </c>
      <c r="I625" s="79">
        <v>1.1844568750986748</v>
      </c>
      <c r="J625" s="79">
        <v>0.12531802827921601</v>
      </c>
      <c r="K625" s="79">
        <v>0.17674737952097599</v>
      </c>
      <c r="L625" s="79">
        <v>0.69688241292590103</v>
      </c>
      <c r="M625" s="80">
        <v>1</v>
      </c>
      <c r="N625" s="79">
        <v>1.3922895295559938</v>
      </c>
      <c r="O625" s="79">
        <v>0.124889323962051</v>
      </c>
      <c r="P625" s="79">
        <v>8.0505455159256192E-3</v>
      </c>
      <c r="Q625" s="79">
        <v>1.9722282354651802E-2</v>
      </c>
      <c r="R625" s="80">
        <v>1</v>
      </c>
      <c r="S625" s="79">
        <v>1.5102881014910661</v>
      </c>
      <c r="T625" s="79">
        <v>0.126299253090602</v>
      </c>
      <c r="U625" s="79">
        <v>1.0966813962026501E-3</v>
      </c>
      <c r="V625" s="79">
        <v>4.7824353669455796E-3</v>
      </c>
      <c r="W625" s="79">
        <v>1</v>
      </c>
    </row>
    <row r="626" spans="1:23" x14ac:dyDescent="0.2">
      <c r="A626" s="69"/>
      <c r="B626" s="84" t="s">
        <v>2439</v>
      </c>
      <c r="C626" s="78">
        <v>5321</v>
      </c>
      <c r="D626" s="79">
        <v>1.1281646288628446</v>
      </c>
      <c r="E626" s="79">
        <v>9.6390249999999997E-2</v>
      </c>
      <c r="F626" s="79">
        <v>0.21090462500000001</v>
      </c>
      <c r="G626" s="79">
        <v>0.74224234113157905</v>
      </c>
      <c r="H626" s="80">
        <v>1</v>
      </c>
      <c r="I626" s="79">
        <v>1.156636792326577</v>
      </c>
      <c r="J626" s="79">
        <v>9.5241221178397104E-2</v>
      </c>
      <c r="K626" s="79">
        <v>0.12654410779421901</v>
      </c>
      <c r="L626" s="79">
        <v>0.64438349441390497</v>
      </c>
      <c r="M626" s="80">
        <v>1</v>
      </c>
      <c r="N626" s="79">
        <v>1.2791377748178983</v>
      </c>
      <c r="O626" s="79">
        <v>9.6156400547154103E-2</v>
      </c>
      <c r="P626" s="79">
        <v>1.0459121407359899E-2</v>
      </c>
      <c r="Q626" s="79">
        <v>2.4808644983064902E-2</v>
      </c>
      <c r="R626" s="80">
        <v>1</v>
      </c>
      <c r="S626" s="79">
        <v>1.437482754971668</v>
      </c>
      <c r="T626" s="79">
        <v>9.5032177558628098E-2</v>
      </c>
      <c r="U626" s="79">
        <v>1.34190437550417E-4</v>
      </c>
      <c r="V626" s="79">
        <v>9.9583429971625303E-4</v>
      </c>
      <c r="W626" s="79">
        <v>0.17028766525147901</v>
      </c>
    </row>
    <row r="627" spans="1:23" x14ac:dyDescent="0.2">
      <c r="A627" s="69"/>
      <c r="B627" s="84" t="s">
        <v>2440</v>
      </c>
      <c r="C627" s="78">
        <v>5348</v>
      </c>
      <c r="D627" s="79">
        <v>1.0786703767166981</v>
      </c>
      <c r="E627" s="79">
        <v>0.15646273499999999</v>
      </c>
      <c r="F627" s="79">
        <v>0.62838048999999996</v>
      </c>
      <c r="G627" s="79">
        <v>0.97330723874177805</v>
      </c>
      <c r="H627" s="80">
        <v>1</v>
      </c>
      <c r="I627" s="79">
        <v>1.1755821895879959</v>
      </c>
      <c r="J627" s="79">
        <v>0.15251687345263201</v>
      </c>
      <c r="K627" s="79">
        <v>0.28885947269190798</v>
      </c>
      <c r="L627" s="79">
        <v>0.773338968029602</v>
      </c>
      <c r="M627" s="80">
        <v>1</v>
      </c>
      <c r="N627" s="79">
        <v>1.2437601234408078</v>
      </c>
      <c r="O627" s="79">
        <v>0.15403738371967199</v>
      </c>
      <c r="P627" s="79">
        <v>0.156733286683583</v>
      </c>
      <c r="Q627" s="79">
        <v>0.22678967024112501</v>
      </c>
      <c r="R627" s="80">
        <v>1</v>
      </c>
      <c r="S627" s="79">
        <v>1.4797902780512309</v>
      </c>
      <c r="T627" s="79">
        <v>0.155245852667035</v>
      </c>
      <c r="U627" s="79">
        <v>1.15900766180054E-2</v>
      </c>
      <c r="V627" s="79">
        <v>2.89523764335607E-2</v>
      </c>
      <c r="W627" s="79">
        <v>1</v>
      </c>
    </row>
    <row r="628" spans="1:23" x14ac:dyDescent="0.2">
      <c r="A628" s="69"/>
      <c r="B628" s="84" t="s">
        <v>2441</v>
      </c>
      <c r="C628" s="78">
        <v>5043</v>
      </c>
      <c r="D628" s="79">
        <v>1.0010450266602404</v>
      </c>
      <c r="E628" s="79">
        <v>6.1766271999999997E-2</v>
      </c>
      <c r="F628" s="79">
        <v>0.98650823799999998</v>
      </c>
      <c r="G628" s="79">
        <v>0.99355472541428602</v>
      </c>
      <c r="H628" s="80">
        <v>1</v>
      </c>
      <c r="I628" s="79">
        <v>1.1326725218146438</v>
      </c>
      <c r="J628" s="79">
        <v>6.19156984921179E-2</v>
      </c>
      <c r="K628" s="79">
        <v>4.4210542309062802E-2</v>
      </c>
      <c r="L628" s="79">
        <v>0.53217113930985405</v>
      </c>
      <c r="M628" s="80">
        <v>1</v>
      </c>
      <c r="N628" s="79">
        <v>1.1137293902574303</v>
      </c>
      <c r="O628" s="79">
        <v>6.1841456084046197E-2</v>
      </c>
      <c r="P628" s="79">
        <v>8.1546994523929703E-2</v>
      </c>
      <c r="Q628" s="79">
        <v>0.13199379598324801</v>
      </c>
      <c r="R628" s="80">
        <v>1</v>
      </c>
      <c r="S628" s="79">
        <v>1.1448199733187001</v>
      </c>
      <c r="T628" s="79">
        <v>6.1288256916075701E-2</v>
      </c>
      <c r="U628" s="79">
        <v>2.7332060150365899E-2</v>
      </c>
      <c r="V628" s="79">
        <v>5.5942555372281197E-2</v>
      </c>
      <c r="W628" s="79">
        <v>1</v>
      </c>
    </row>
    <row r="629" spans="1:23" x14ac:dyDescent="0.2">
      <c r="A629" s="69"/>
      <c r="B629" s="84" t="s">
        <v>2442</v>
      </c>
      <c r="C629" s="78">
        <v>5263</v>
      </c>
      <c r="D629" s="79">
        <v>1.0669265595095012</v>
      </c>
      <c r="E629" s="79">
        <v>0.120416773</v>
      </c>
      <c r="F629" s="79">
        <v>0.59058899099999995</v>
      </c>
      <c r="G629" s="79">
        <v>0.95350818012595395</v>
      </c>
      <c r="H629" s="80">
        <v>1</v>
      </c>
      <c r="I629" s="79">
        <v>1.2851025621698831</v>
      </c>
      <c r="J629" s="79">
        <v>0.121978630763785</v>
      </c>
      <c r="K629" s="79">
        <v>3.9742654766218598E-2</v>
      </c>
      <c r="L629" s="79">
        <v>0.50307562413000395</v>
      </c>
      <c r="M629" s="80">
        <v>1</v>
      </c>
      <c r="N629" s="79">
        <v>1.1981686869593673</v>
      </c>
      <c r="O629" s="79">
        <v>0.119959442606376</v>
      </c>
      <c r="P629" s="79">
        <v>0.13177771830209101</v>
      </c>
      <c r="Q629" s="79">
        <v>0.196274559302058</v>
      </c>
      <c r="R629" s="80">
        <v>1</v>
      </c>
      <c r="S629" s="79">
        <v>1.2403565033611317</v>
      </c>
      <c r="T629" s="79">
        <v>0.121181738005703</v>
      </c>
      <c r="U629" s="79">
        <v>7.5488314632587594E-2</v>
      </c>
      <c r="V629" s="79">
        <v>0.129277559067144</v>
      </c>
      <c r="W629" s="79">
        <v>1</v>
      </c>
    </row>
    <row r="630" spans="1:23" x14ac:dyDescent="0.2">
      <c r="A630" s="69"/>
      <c r="B630" s="84" t="s">
        <v>2443</v>
      </c>
      <c r="C630" s="78">
        <v>5244</v>
      </c>
      <c r="D630" s="79">
        <v>1.0941117643728338</v>
      </c>
      <c r="E630" s="79">
        <v>8.5432994999999998E-2</v>
      </c>
      <c r="F630" s="79">
        <v>0.292438011</v>
      </c>
      <c r="G630" s="79">
        <v>0.84338459475166305</v>
      </c>
      <c r="H630" s="80">
        <v>1</v>
      </c>
      <c r="I630" s="79">
        <v>1.2051356366685715</v>
      </c>
      <c r="J630" s="79">
        <v>8.6491548209632896E-2</v>
      </c>
      <c r="K630" s="79">
        <v>3.0978781425953401E-2</v>
      </c>
      <c r="L630" s="79">
        <v>0.475366306938526</v>
      </c>
      <c r="M630" s="80">
        <v>1</v>
      </c>
      <c r="N630" s="79">
        <v>1.2242833917753928</v>
      </c>
      <c r="O630" s="79">
        <v>8.5424122833226507E-2</v>
      </c>
      <c r="P630" s="79">
        <v>1.7844192696142801E-2</v>
      </c>
      <c r="Q630" s="79">
        <v>3.7866689851848198E-2</v>
      </c>
      <c r="R630" s="80">
        <v>1</v>
      </c>
      <c r="S630" s="79">
        <v>1.2809420936697149</v>
      </c>
      <c r="T630" s="79">
        <v>8.6347871045421007E-2</v>
      </c>
      <c r="U630" s="79">
        <v>4.1383030232816703E-3</v>
      </c>
      <c r="V630" s="79">
        <v>1.3261380142789001E-2</v>
      </c>
      <c r="W630" s="79">
        <v>1</v>
      </c>
    </row>
    <row r="631" spans="1:23" x14ac:dyDescent="0.2">
      <c r="A631" s="69"/>
      <c r="B631" s="84" t="s">
        <v>2444</v>
      </c>
      <c r="C631" s="78">
        <v>4950</v>
      </c>
      <c r="D631" s="79">
        <v>1.1302700686795066</v>
      </c>
      <c r="E631" s="79">
        <v>5.5648008999999998E-2</v>
      </c>
      <c r="F631" s="79">
        <v>2.7767415E-2</v>
      </c>
      <c r="G631" s="79">
        <v>0.38300923516304303</v>
      </c>
      <c r="H631" s="80">
        <v>1</v>
      </c>
      <c r="I631" s="79">
        <v>1.1218367417967865</v>
      </c>
      <c r="J631" s="79">
        <v>5.4574479455778202E-2</v>
      </c>
      <c r="K631" s="79">
        <v>3.5151167245810501E-2</v>
      </c>
      <c r="L631" s="79">
        <v>0.49018495862564299</v>
      </c>
      <c r="M631" s="80">
        <v>1</v>
      </c>
      <c r="N631" s="79">
        <v>1.1283447812654943</v>
      </c>
      <c r="O631" s="79">
        <v>5.3997508833687799E-2</v>
      </c>
      <c r="P631" s="79">
        <v>2.5335600443263901E-2</v>
      </c>
      <c r="Q631" s="79">
        <v>5.0235745253909198E-2</v>
      </c>
      <c r="R631" s="80">
        <v>1</v>
      </c>
      <c r="S631" s="79">
        <v>1.1130944842924428</v>
      </c>
      <c r="T631" s="79">
        <v>5.4034904400054103E-2</v>
      </c>
      <c r="U631" s="79">
        <v>4.73824293720123E-2</v>
      </c>
      <c r="V631" s="79">
        <v>8.9656478981278598E-2</v>
      </c>
      <c r="W631" s="79">
        <v>1</v>
      </c>
    </row>
    <row r="632" spans="1:23" x14ac:dyDescent="0.2">
      <c r="A632" s="69"/>
      <c r="B632" s="84" t="s">
        <v>2445</v>
      </c>
      <c r="C632" s="78">
        <v>3251</v>
      </c>
      <c r="D632" s="79">
        <v>1.0189919313447859</v>
      </c>
      <c r="E632" s="79">
        <v>8.8420397999999997E-2</v>
      </c>
      <c r="F632" s="79">
        <v>0.831500825</v>
      </c>
      <c r="G632" s="79">
        <v>0.98545101377932998</v>
      </c>
      <c r="H632" s="80">
        <v>1</v>
      </c>
      <c r="I632" s="79">
        <v>1.0842511987561201</v>
      </c>
      <c r="J632" s="79">
        <v>8.8906714536185802E-2</v>
      </c>
      <c r="K632" s="79">
        <v>0.36291446510346298</v>
      </c>
      <c r="L632" s="79">
        <v>0.81642974499659005</v>
      </c>
      <c r="M632" s="80">
        <v>1</v>
      </c>
      <c r="N632" s="79">
        <v>1.082157356918318</v>
      </c>
      <c r="O632" s="79">
        <v>8.7692420429388698E-2</v>
      </c>
      <c r="P632" s="79">
        <v>0.36791745458125003</v>
      </c>
      <c r="Q632" s="79">
        <v>0.45328859210058903</v>
      </c>
      <c r="R632" s="80">
        <v>1</v>
      </c>
      <c r="S632" s="79">
        <v>1.2171195621818836</v>
      </c>
      <c r="T632" s="79">
        <v>8.9673230831908493E-2</v>
      </c>
      <c r="U632" s="79">
        <v>2.8441300234521801E-2</v>
      </c>
      <c r="V632" s="79">
        <v>5.8025739545993799E-2</v>
      </c>
      <c r="W632" s="79">
        <v>1</v>
      </c>
    </row>
    <row r="633" spans="1:23" x14ac:dyDescent="0.2">
      <c r="A633" s="69"/>
      <c r="B633" s="84" t="s">
        <v>2446</v>
      </c>
      <c r="C633" s="78">
        <v>3256</v>
      </c>
      <c r="D633" s="79">
        <v>0.94831176571876441</v>
      </c>
      <c r="E633" s="79">
        <v>0.116487193</v>
      </c>
      <c r="F633" s="79">
        <v>0.64867518099999999</v>
      </c>
      <c r="G633" s="79">
        <v>0.982642286040602</v>
      </c>
      <c r="H633" s="80">
        <v>1</v>
      </c>
      <c r="I633" s="79">
        <v>0.97678592011959942</v>
      </c>
      <c r="J633" s="79">
        <v>0.11620893022454799</v>
      </c>
      <c r="K633" s="79">
        <v>0.83982545830655797</v>
      </c>
      <c r="L633" s="79">
        <v>0.96885318781001994</v>
      </c>
      <c r="M633" s="80">
        <v>1</v>
      </c>
      <c r="N633" s="79">
        <v>1.1974584777679878</v>
      </c>
      <c r="O633" s="79">
        <v>0.11322314575179</v>
      </c>
      <c r="P633" s="79">
        <v>0.111483711529199</v>
      </c>
      <c r="Q633" s="79">
        <v>0.17106750898494999</v>
      </c>
      <c r="R633" s="80">
        <v>1</v>
      </c>
      <c r="S633" s="79">
        <v>1.0412821010034665</v>
      </c>
      <c r="T633" s="79">
        <v>0.115762213724604</v>
      </c>
      <c r="U633" s="79">
        <v>0.72675385075479204</v>
      </c>
      <c r="V633" s="79">
        <v>0.78090655089570804</v>
      </c>
      <c r="W633" s="79">
        <v>1</v>
      </c>
    </row>
    <row r="634" spans="1:23" x14ac:dyDescent="0.2">
      <c r="A634" s="69"/>
      <c r="B634" s="84" t="s">
        <v>2447</v>
      </c>
      <c r="C634" s="78">
        <v>3061</v>
      </c>
      <c r="D634" s="79">
        <v>1.0245309468250028</v>
      </c>
      <c r="E634" s="79">
        <v>9.5018660000000005E-2</v>
      </c>
      <c r="F634" s="79">
        <v>0.79868134599999996</v>
      </c>
      <c r="G634" s="79">
        <v>0.98545101377932998</v>
      </c>
      <c r="H634" s="80">
        <v>1</v>
      </c>
      <c r="I634" s="79">
        <v>1.1221137615350825</v>
      </c>
      <c r="J634" s="79">
        <v>9.6127790760458007E-2</v>
      </c>
      <c r="K634" s="79">
        <v>0.23070203881396201</v>
      </c>
      <c r="L634" s="79">
        <v>0.73709318666527301</v>
      </c>
      <c r="M634" s="80">
        <v>1</v>
      </c>
      <c r="N634" s="79">
        <v>1.0197383106676199</v>
      </c>
      <c r="O634" s="79">
        <v>9.3727008766891606E-2</v>
      </c>
      <c r="P634" s="79">
        <v>0.83480563933657403</v>
      </c>
      <c r="Q634" s="79">
        <v>0.86833471829353504</v>
      </c>
      <c r="R634" s="80">
        <v>1</v>
      </c>
      <c r="S634" s="79">
        <v>1.0867280760514535</v>
      </c>
      <c r="T634" s="79">
        <v>9.5104064920209494E-2</v>
      </c>
      <c r="U634" s="79">
        <v>0.38182935273749602</v>
      </c>
      <c r="V634" s="79">
        <v>0.47134382161856297</v>
      </c>
      <c r="W634" s="79">
        <v>1</v>
      </c>
    </row>
    <row r="635" spans="1:23" x14ac:dyDescent="0.2">
      <c r="A635" s="69"/>
      <c r="B635" s="84" t="s">
        <v>2448</v>
      </c>
      <c r="C635" s="78">
        <v>3221</v>
      </c>
      <c r="D635" s="79">
        <v>0.88969748369299861</v>
      </c>
      <c r="E635" s="79">
        <v>0.13771638899999999</v>
      </c>
      <c r="F635" s="79">
        <v>0.39607297899999999</v>
      </c>
      <c r="G635" s="79">
        <v>0.88261195738869902</v>
      </c>
      <c r="H635" s="80">
        <v>1</v>
      </c>
      <c r="I635" s="79">
        <v>1.0825987744894958</v>
      </c>
      <c r="J635" s="79">
        <v>0.14080359475109699</v>
      </c>
      <c r="K635" s="79">
        <v>0.572990044722261</v>
      </c>
      <c r="L635" s="79">
        <v>0.911324282187712</v>
      </c>
      <c r="M635" s="80">
        <v>1</v>
      </c>
      <c r="N635" s="79">
        <v>1.0035790731668504</v>
      </c>
      <c r="O635" s="79">
        <v>0.138072374925994</v>
      </c>
      <c r="P635" s="79">
        <v>0.97935668910617302</v>
      </c>
      <c r="Q635" s="79">
        <v>0.98323072664219402</v>
      </c>
      <c r="R635" s="80">
        <v>1</v>
      </c>
      <c r="S635" s="79">
        <v>1.2074885149599868</v>
      </c>
      <c r="T635" s="79">
        <v>0.13845722957741499</v>
      </c>
      <c r="U635" s="79">
        <v>0.17328030111912901</v>
      </c>
      <c r="V635" s="79">
        <v>0.25226171763625799</v>
      </c>
      <c r="W635" s="79">
        <v>1</v>
      </c>
    </row>
    <row r="636" spans="1:23" x14ac:dyDescent="0.2">
      <c r="A636" s="69"/>
      <c r="B636" s="84" t="s">
        <v>2449</v>
      </c>
      <c r="C636" s="78">
        <v>3218</v>
      </c>
      <c r="D636" s="79">
        <v>0.98945720202223009</v>
      </c>
      <c r="E636" s="79">
        <v>0.11023985</v>
      </c>
      <c r="F636" s="79">
        <v>0.92340716700000003</v>
      </c>
      <c r="G636" s="79">
        <v>0.991673151733656</v>
      </c>
      <c r="H636" s="80">
        <v>1</v>
      </c>
      <c r="I636" s="79">
        <v>1.0315852751689234</v>
      </c>
      <c r="J636" s="79">
        <v>0.111392225104684</v>
      </c>
      <c r="K636" s="79">
        <v>0.780118817948805</v>
      </c>
      <c r="L636" s="79">
        <v>0.95813246455571699</v>
      </c>
      <c r="M636" s="80">
        <v>1</v>
      </c>
      <c r="N636" s="79">
        <v>1.2638814892827288</v>
      </c>
      <c r="O636" s="79">
        <v>0.112151432331176</v>
      </c>
      <c r="P636" s="79">
        <v>3.6785496454059201E-2</v>
      </c>
      <c r="Q636" s="79">
        <v>6.8505987800109705E-2</v>
      </c>
      <c r="R636" s="80">
        <v>1</v>
      </c>
      <c r="S636" s="79">
        <v>1.1289698086601876</v>
      </c>
      <c r="T636" s="79">
        <v>0.110545769746846</v>
      </c>
      <c r="U636" s="79">
        <v>0.27249576327594199</v>
      </c>
      <c r="V636" s="79">
        <v>0.36476489830925102</v>
      </c>
      <c r="W636" s="79">
        <v>1</v>
      </c>
    </row>
    <row r="637" spans="1:23" x14ac:dyDescent="0.2">
      <c r="A637" s="69"/>
      <c r="B637" s="84" t="s">
        <v>2450</v>
      </c>
      <c r="C637" s="78">
        <v>3021</v>
      </c>
      <c r="D637" s="79">
        <v>0.99937023738377051</v>
      </c>
      <c r="E637" s="79">
        <v>8.1295482000000002E-2</v>
      </c>
      <c r="F637" s="79">
        <v>0.99381723099999997</v>
      </c>
      <c r="G637" s="79">
        <v>0.99538600326677196</v>
      </c>
      <c r="H637" s="80">
        <v>1</v>
      </c>
      <c r="I637" s="79">
        <v>1.105844507858841</v>
      </c>
      <c r="J637" s="79">
        <v>8.1658679997908407E-2</v>
      </c>
      <c r="K637" s="79">
        <v>0.21792250809489599</v>
      </c>
      <c r="L637" s="79">
        <v>0.73459417908661795</v>
      </c>
      <c r="M637" s="80">
        <v>1</v>
      </c>
      <c r="N637" s="79">
        <v>0.99084546003809615</v>
      </c>
      <c r="O637" s="79">
        <v>8.1372297544482802E-2</v>
      </c>
      <c r="P637" s="79">
        <v>0.91001466794939301</v>
      </c>
      <c r="Q637" s="79">
        <v>0.92853490503775005</v>
      </c>
      <c r="R637" s="80">
        <v>1</v>
      </c>
      <c r="S637" s="79">
        <v>1.0822106534191875</v>
      </c>
      <c r="T637" s="79">
        <v>8.0830737649572396E-2</v>
      </c>
      <c r="U637" s="79">
        <v>0.32835960761595501</v>
      </c>
      <c r="V637" s="79">
        <v>0.420897315216815</v>
      </c>
      <c r="W637" s="79">
        <v>1</v>
      </c>
    </row>
    <row r="638" spans="1:23" x14ac:dyDescent="0.2">
      <c r="A638" s="69"/>
      <c r="B638" s="84" t="s">
        <v>2451</v>
      </c>
      <c r="C638" s="78">
        <v>3294</v>
      </c>
      <c r="D638" s="79">
        <v>1.0578921377052113</v>
      </c>
      <c r="E638" s="79">
        <v>0.107903397</v>
      </c>
      <c r="F638" s="79">
        <v>0.60197489400000004</v>
      </c>
      <c r="G638" s="79">
        <v>0.95727586527067698</v>
      </c>
      <c r="H638" s="80">
        <v>1</v>
      </c>
      <c r="I638" s="79">
        <v>1.0490915081523673</v>
      </c>
      <c r="J638" s="79">
        <v>0.10895273423186599</v>
      </c>
      <c r="K638" s="79">
        <v>0.66003445540611905</v>
      </c>
      <c r="L638" s="79">
        <v>0.92679924458303398</v>
      </c>
      <c r="M638" s="80">
        <v>1</v>
      </c>
      <c r="N638" s="79">
        <v>1.237389164784696</v>
      </c>
      <c r="O638" s="79">
        <v>0.108874588168272</v>
      </c>
      <c r="P638" s="79">
        <v>5.0416534976678098E-2</v>
      </c>
      <c r="Q638" s="79">
        <v>8.9461332011459796E-2</v>
      </c>
      <c r="R638" s="80">
        <v>1</v>
      </c>
      <c r="S638" s="79">
        <v>1.3439062310706433</v>
      </c>
      <c r="T638" s="79">
        <v>0.11013851630152401</v>
      </c>
      <c r="U638" s="79">
        <v>7.2808979870287701E-3</v>
      </c>
      <c r="V638" s="79">
        <v>2.0396157937173299E-2</v>
      </c>
      <c r="W638" s="79">
        <v>1</v>
      </c>
    </row>
    <row r="639" spans="1:23" x14ac:dyDescent="0.2">
      <c r="A639" s="69"/>
      <c r="B639" s="84" t="s">
        <v>2452</v>
      </c>
      <c r="C639" s="78">
        <v>1373</v>
      </c>
      <c r="D639" s="79">
        <v>0.87411383396194742</v>
      </c>
      <c r="E639" s="79">
        <v>0.16668201599999999</v>
      </c>
      <c r="F639" s="79">
        <v>0.419554918</v>
      </c>
      <c r="G639" s="79">
        <v>0.89158896436589397</v>
      </c>
      <c r="H639" s="80">
        <v>1</v>
      </c>
      <c r="I639" s="79">
        <v>1.0175292590023921</v>
      </c>
      <c r="J639" s="79">
        <v>0.172635452913946</v>
      </c>
      <c r="K639" s="79">
        <v>0.91982078383664201</v>
      </c>
      <c r="L639" s="79">
        <v>0.981200184300273</v>
      </c>
      <c r="M639" s="80">
        <v>1</v>
      </c>
      <c r="N639" s="79">
        <v>1.200687837087866</v>
      </c>
      <c r="O639" s="79">
        <v>0.16923711545554501</v>
      </c>
      <c r="P639" s="79">
        <v>0.27983047930124599</v>
      </c>
      <c r="Q639" s="79">
        <v>0.36051256673429599</v>
      </c>
      <c r="R639" s="80">
        <v>1</v>
      </c>
      <c r="S639" s="79">
        <v>1.1142444305001258</v>
      </c>
      <c r="T639" s="79">
        <v>0.17239682592696701</v>
      </c>
      <c r="U639" s="79">
        <v>0.53034093959508699</v>
      </c>
      <c r="V639" s="79">
        <v>0.61182059304196801</v>
      </c>
      <c r="W639" s="79">
        <v>1</v>
      </c>
    </row>
    <row r="640" spans="1:23" x14ac:dyDescent="0.2">
      <c r="A640" s="69"/>
      <c r="B640" s="84" t="s">
        <v>2453</v>
      </c>
      <c r="C640" s="78">
        <v>1281</v>
      </c>
      <c r="D640" s="79">
        <v>1.099249098528768</v>
      </c>
      <c r="E640" s="79">
        <v>0.12402379700000001</v>
      </c>
      <c r="F640" s="79">
        <v>0.44547709200000002</v>
      </c>
      <c r="G640" s="79">
        <v>0.905946201519231</v>
      </c>
      <c r="H640" s="80">
        <v>1</v>
      </c>
      <c r="I640" s="79">
        <v>1.0173574855763983</v>
      </c>
      <c r="J640" s="79">
        <v>0.12794463383102</v>
      </c>
      <c r="K640" s="79">
        <v>0.89300713718281199</v>
      </c>
      <c r="L640" s="79">
        <v>0.97945208045374998</v>
      </c>
      <c r="M640" s="80">
        <v>1</v>
      </c>
      <c r="N640" s="79">
        <v>1.1237194179638392</v>
      </c>
      <c r="O640" s="79">
        <v>0.12563269944552599</v>
      </c>
      <c r="P640" s="79">
        <v>0.35317249067604001</v>
      </c>
      <c r="Q640" s="79">
        <v>0.43767176823036602</v>
      </c>
      <c r="R640" s="80">
        <v>1</v>
      </c>
      <c r="S640" s="79">
        <v>0.91363583111269286</v>
      </c>
      <c r="T640" s="79">
        <v>0.12902300029553801</v>
      </c>
      <c r="U640" s="79">
        <v>0.483892837705164</v>
      </c>
      <c r="V640" s="79">
        <v>0.56962895273455805</v>
      </c>
      <c r="W640" s="79">
        <v>1</v>
      </c>
    </row>
    <row r="641" spans="1:23" x14ac:dyDescent="0.2">
      <c r="A641" s="70"/>
      <c r="B641" s="63" t="s">
        <v>2454</v>
      </c>
      <c r="C641" s="78"/>
      <c r="D641" s="79"/>
      <c r="E641" s="79"/>
      <c r="F641" s="79"/>
      <c r="G641" s="79"/>
      <c r="H641" s="80"/>
      <c r="I641" s="79"/>
      <c r="J641" s="79"/>
      <c r="K641" s="79"/>
      <c r="L641" s="79"/>
      <c r="M641" s="80"/>
      <c r="N641" s="79"/>
      <c r="O641" s="79"/>
      <c r="P641" s="79"/>
      <c r="Q641" s="79"/>
      <c r="R641" s="80"/>
      <c r="S641" s="79"/>
      <c r="T641" s="79"/>
      <c r="U641" s="79"/>
      <c r="V641" s="79"/>
      <c r="W641" s="79"/>
    </row>
    <row r="642" spans="1:23" x14ac:dyDescent="0.2">
      <c r="A642" s="69"/>
      <c r="B642" s="56" t="s">
        <v>283</v>
      </c>
      <c r="C642" s="78">
        <v>5550</v>
      </c>
      <c r="D642" s="79">
        <v>-3.232543E-3</v>
      </c>
      <c r="E642" s="79">
        <v>1.3720871000000001E-2</v>
      </c>
      <c r="F642" s="79">
        <v>0.81375787899999996</v>
      </c>
      <c r="G642" s="79">
        <v>0.98545101377932998</v>
      </c>
      <c r="H642" s="80">
        <v>1</v>
      </c>
      <c r="I642" s="79">
        <v>8.5587885721067694E-3</v>
      </c>
      <c r="J642" s="79">
        <v>1.36377693369019E-2</v>
      </c>
      <c r="K642" s="79">
        <v>0.53030782566948598</v>
      </c>
      <c r="L642" s="79">
        <v>0.89965480158269595</v>
      </c>
      <c r="M642" s="80">
        <v>1</v>
      </c>
      <c r="N642" s="79">
        <v>4.7986933710737402E-2</v>
      </c>
      <c r="O642" s="79">
        <v>1.3541743699752201E-2</v>
      </c>
      <c r="P642" s="79">
        <v>3.9824336579197202E-4</v>
      </c>
      <c r="Q642" s="79">
        <v>1.7867291641698001E-3</v>
      </c>
      <c r="R642" s="80">
        <v>0.50537083119001303</v>
      </c>
      <c r="S642" s="79">
        <v>1.25070357443582E-2</v>
      </c>
      <c r="T642" s="79">
        <v>1.3543589896324201E-2</v>
      </c>
      <c r="U642" s="79">
        <v>0.35580847643121</v>
      </c>
      <c r="V642" s="79">
        <v>0.448883581750609</v>
      </c>
      <c r="W642" s="79">
        <v>1</v>
      </c>
    </row>
    <row r="643" spans="1:23" x14ac:dyDescent="0.2">
      <c r="A643" s="69"/>
      <c r="B643" s="56" t="s">
        <v>284</v>
      </c>
      <c r="C643" s="78">
        <v>5550</v>
      </c>
      <c r="D643" s="79">
        <v>-3.2106203E-2</v>
      </c>
      <c r="E643" s="79">
        <v>1.3725545E-2</v>
      </c>
      <c r="F643" s="79">
        <v>1.9365980000000001E-2</v>
      </c>
      <c r="G643" s="79">
        <v>0.349577479479452</v>
      </c>
      <c r="H643" s="80">
        <v>1</v>
      </c>
      <c r="I643" s="79">
        <v>-7.3994208012579596E-3</v>
      </c>
      <c r="J643" s="79">
        <v>1.36439334230853E-2</v>
      </c>
      <c r="K643" s="79">
        <v>0.58762024068405205</v>
      </c>
      <c r="L643" s="79">
        <v>0.919469895718942</v>
      </c>
      <c r="M643" s="80">
        <v>1</v>
      </c>
      <c r="N643" s="79">
        <v>4.6562970296822201E-2</v>
      </c>
      <c r="O643" s="79">
        <v>1.3550260179826299E-2</v>
      </c>
      <c r="P643" s="79">
        <v>5.9450091796298295E-4</v>
      </c>
      <c r="Q643" s="79">
        <v>2.42579313471069E-3</v>
      </c>
      <c r="R643" s="80">
        <v>0.75442166489502505</v>
      </c>
      <c r="S643" s="79">
        <v>1.6135584973857999E-2</v>
      </c>
      <c r="T643" s="79">
        <v>1.35534624529518E-2</v>
      </c>
      <c r="U643" s="79">
        <v>0.23390039782220501</v>
      </c>
      <c r="V643" s="79">
        <v>0.32158137035360601</v>
      </c>
      <c r="W643" s="79">
        <v>1</v>
      </c>
    </row>
    <row r="644" spans="1:23" x14ac:dyDescent="0.2">
      <c r="A644" s="69"/>
      <c r="B644" s="56" t="s">
        <v>282</v>
      </c>
      <c r="C644" s="78">
        <v>5550</v>
      </c>
      <c r="D644" s="79">
        <v>-1.4110288E-2</v>
      </c>
      <c r="E644" s="79">
        <v>1.3843161E-2</v>
      </c>
      <c r="F644" s="79">
        <v>0.30810922000000002</v>
      </c>
      <c r="G644" s="79">
        <v>0.85008618545806502</v>
      </c>
      <c r="H644" s="80">
        <v>1</v>
      </c>
      <c r="I644" s="79">
        <v>-2.4207520856367799E-2</v>
      </c>
      <c r="J644" s="79">
        <v>1.37674368552112E-2</v>
      </c>
      <c r="K644" s="79">
        <v>7.8752684447128601E-2</v>
      </c>
      <c r="L644" s="79">
        <v>0.59186625016599403</v>
      </c>
      <c r="M644" s="80">
        <v>1</v>
      </c>
      <c r="N644" s="79">
        <v>3.7093077350065701E-2</v>
      </c>
      <c r="O644" s="79">
        <v>1.36743325263411E-2</v>
      </c>
      <c r="P644" s="79">
        <v>6.6976744849796804E-3</v>
      </c>
      <c r="Q644" s="79">
        <v>1.7135784115804902E-2</v>
      </c>
      <c r="R644" s="80">
        <v>1</v>
      </c>
      <c r="S644" s="79">
        <v>-4.7028922753636999E-3</v>
      </c>
      <c r="T644" s="79">
        <v>1.36663769161996E-2</v>
      </c>
      <c r="U644" s="79">
        <v>0.73076884358516603</v>
      </c>
      <c r="V644" s="79">
        <v>0.78388272562607897</v>
      </c>
      <c r="W644" s="79">
        <v>1</v>
      </c>
    </row>
    <row r="645" spans="1:23" x14ac:dyDescent="0.2">
      <c r="A645" s="69"/>
      <c r="B645" s="56" t="s">
        <v>287</v>
      </c>
      <c r="C645" s="78">
        <v>5550</v>
      </c>
      <c r="D645" s="79">
        <v>-3.232543E-3</v>
      </c>
      <c r="E645" s="79">
        <v>1.3720871000000001E-2</v>
      </c>
      <c r="F645" s="79">
        <v>0.81375787899999996</v>
      </c>
      <c r="G645" s="79">
        <v>0.98545101377932998</v>
      </c>
      <c r="H645" s="80">
        <v>1</v>
      </c>
      <c r="I645" s="79">
        <v>8.5587885721067694E-3</v>
      </c>
      <c r="J645" s="79">
        <v>1.36377693369019E-2</v>
      </c>
      <c r="K645" s="79">
        <v>0.53030782566948598</v>
      </c>
      <c r="L645" s="79">
        <v>0.89965480158269595</v>
      </c>
      <c r="M645" s="80">
        <v>1</v>
      </c>
      <c r="N645" s="79">
        <v>4.7986933710737402E-2</v>
      </c>
      <c r="O645" s="79">
        <v>1.3541743699752201E-2</v>
      </c>
      <c r="P645" s="79">
        <v>3.9824336579197202E-4</v>
      </c>
      <c r="Q645" s="79">
        <v>1.7867291641698001E-3</v>
      </c>
      <c r="R645" s="80">
        <v>0.50537083119001303</v>
      </c>
      <c r="S645" s="79">
        <v>1.25070357443582E-2</v>
      </c>
      <c r="T645" s="79">
        <v>1.3543589896324201E-2</v>
      </c>
      <c r="U645" s="79">
        <v>0.35580847643121</v>
      </c>
      <c r="V645" s="79">
        <v>0.448883581750609</v>
      </c>
      <c r="W645" s="79">
        <v>1</v>
      </c>
    </row>
    <row r="646" spans="1:23" x14ac:dyDescent="0.2">
      <c r="A646" s="69"/>
      <c r="B646" s="56" t="s">
        <v>286</v>
      </c>
      <c r="C646" s="78">
        <v>5550</v>
      </c>
      <c r="D646" s="79">
        <v>-1.2733955E-2</v>
      </c>
      <c r="E646" s="79">
        <v>1.3823642000000001E-2</v>
      </c>
      <c r="F646" s="79">
        <v>0.35700299000000002</v>
      </c>
      <c r="G646" s="79">
        <v>0.87466935069364204</v>
      </c>
      <c r="H646" s="80">
        <v>1</v>
      </c>
      <c r="I646" s="79">
        <v>-2.9202716282376098E-2</v>
      </c>
      <c r="J646" s="79">
        <v>1.3746144704068999E-2</v>
      </c>
      <c r="K646" s="79">
        <v>3.3681595470573103E-2</v>
      </c>
      <c r="L646" s="79">
        <v>0.48715323267970501</v>
      </c>
      <c r="M646" s="80">
        <v>1</v>
      </c>
      <c r="N646" s="79">
        <v>4.0577013962570699E-2</v>
      </c>
      <c r="O646" s="79">
        <v>1.3652170688139601E-2</v>
      </c>
      <c r="P646" s="79">
        <v>2.9703275752896502E-3</v>
      </c>
      <c r="Q646" s="79">
        <v>8.7863535968358206E-3</v>
      </c>
      <c r="R646" s="80">
        <v>1</v>
      </c>
      <c r="S646" s="79">
        <v>-5.0798442057393804E-3</v>
      </c>
      <c r="T646" s="79">
        <v>1.3646604648934E-2</v>
      </c>
      <c r="U646" s="79">
        <v>0.70972750907237903</v>
      </c>
      <c r="V646" s="79">
        <v>0.76684835041801203</v>
      </c>
      <c r="W646" s="79">
        <v>1</v>
      </c>
    </row>
    <row r="647" spans="1:23" x14ac:dyDescent="0.2">
      <c r="A647" s="69"/>
      <c r="B647" s="56" t="s">
        <v>281</v>
      </c>
      <c r="C647" s="78">
        <v>5550</v>
      </c>
      <c r="D647" s="79">
        <v>1.3037772E-2</v>
      </c>
      <c r="E647" s="79">
        <v>1.3803124E-2</v>
      </c>
      <c r="F647" s="79">
        <v>0.34493139699999997</v>
      </c>
      <c r="G647" s="79">
        <v>0.86848798173214303</v>
      </c>
      <c r="H647" s="80">
        <v>1</v>
      </c>
      <c r="I647" s="79">
        <v>5.73036250133847E-3</v>
      </c>
      <c r="J647" s="79">
        <v>1.3726223257904201E-2</v>
      </c>
      <c r="K647" s="79">
        <v>0.67634809574730104</v>
      </c>
      <c r="L647" s="79">
        <v>0.93057850825384603</v>
      </c>
      <c r="M647" s="80">
        <v>1</v>
      </c>
      <c r="N647" s="79">
        <v>-6.0209633261665502E-3</v>
      </c>
      <c r="O647" s="79">
        <v>1.3643596251104499E-2</v>
      </c>
      <c r="P647" s="79">
        <v>0.659012014822283</v>
      </c>
      <c r="Q647" s="79">
        <v>0.73101944651178097</v>
      </c>
      <c r="R647" s="80">
        <v>1</v>
      </c>
      <c r="S647" s="79">
        <v>3.1626476333135298E-2</v>
      </c>
      <c r="T647" s="79">
        <v>1.36184519215789E-2</v>
      </c>
      <c r="U647" s="79">
        <v>2.0253889266516601E-2</v>
      </c>
      <c r="V647" s="79">
        <v>4.4390648496044197E-2</v>
      </c>
      <c r="W647" s="79">
        <v>1</v>
      </c>
    </row>
    <row r="648" spans="1:23" x14ac:dyDescent="0.2">
      <c r="A648" s="69"/>
      <c r="B648" s="56" t="s">
        <v>285</v>
      </c>
      <c r="C648" s="78">
        <v>5550</v>
      </c>
      <c r="D648" s="79">
        <v>1.5159321E-2</v>
      </c>
      <c r="E648" s="79">
        <v>1.3824322999999999E-2</v>
      </c>
      <c r="F648" s="79">
        <v>0.27288068999999998</v>
      </c>
      <c r="G648" s="79">
        <v>0.82415693354502395</v>
      </c>
      <c r="H648" s="80">
        <v>1</v>
      </c>
      <c r="I648" s="79">
        <v>8.5817964260386393E-3</v>
      </c>
      <c r="J648" s="79">
        <v>1.37449781513316E-2</v>
      </c>
      <c r="K648" s="79">
        <v>0.53241982347407801</v>
      </c>
      <c r="L648" s="79">
        <v>0.89965480158269595</v>
      </c>
      <c r="M648" s="80">
        <v>1</v>
      </c>
      <c r="N648" s="79">
        <v>-3.9761696555889198E-3</v>
      </c>
      <c r="O648" s="79">
        <v>1.36618001850673E-2</v>
      </c>
      <c r="P648" s="79">
        <v>0.77103025495377298</v>
      </c>
      <c r="Q648" s="79">
        <v>0.81604453172338398</v>
      </c>
      <c r="R648" s="80">
        <v>1</v>
      </c>
      <c r="S648" s="79">
        <v>2.4135193377852499E-2</v>
      </c>
      <c r="T648" s="79">
        <v>1.36406784457473E-2</v>
      </c>
      <c r="U648" s="79">
        <v>7.6893416872298406E-2</v>
      </c>
      <c r="V648" s="79">
        <v>0.13132940243734401</v>
      </c>
      <c r="W648" s="79">
        <v>1</v>
      </c>
    </row>
    <row r="649" spans="1:23" x14ac:dyDescent="0.2">
      <c r="A649" s="69"/>
      <c r="B649" s="56" t="s">
        <v>288</v>
      </c>
      <c r="C649" s="78">
        <v>5550</v>
      </c>
      <c r="D649" s="79">
        <v>1.2116534999999999E-2</v>
      </c>
      <c r="E649" s="79">
        <v>1.381317E-2</v>
      </c>
      <c r="F649" s="79">
        <v>0.38043339599999998</v>
      </c>
      <c r="G649" s="79">
        <v>0.880152082540541</v>
      </c>
      <c r="H649" s="80">
        <v>1</v>
      </c>
      <c r="I649" s="79">
        <v>1.3462988963751201E-2</v>
      </c>
      <c r="J649" s="79">
        <v>1.3735188837384799E-2</v>
      </c>
      <c r="K649" s="79">
        <v>0.32704236227021899</v>
      </c>
      <c r="L649" s="79">
        <v>0.79366538468944703</v>
      </c>
      <c r="M649" s="80">
        <v>1</v>
      </c>
      <c r="N649" s="79">
        <v>1.07205533384331E-2</v>
      </c>
      <c r="O649" s="79">
        <v>1.36527700006646E-2</v>
      </c>
      <c r="P649" s="79">
        <v>0.43235533239801899</v>
      </c>
      <c r="Q649" s="79">
        <v>0.51633302942944703</v>
      </c>
      <c r="R649" s="80">
        <v>1</v>
      </c>
      <c r="S649" s="79">
        <v>1.7985426969550099E-2</v>
      </c>
      <c r="T649" s="79">
        <v>1.36339399902657E-2</v>
      </c>
      <c r="U649" s="79">
        <v>0.18717182320850601</v>
      </c>
      <c r="V649" s="79">
        <v>0.269603908798631</v>
      </c>
      <c r="W649" s="79">
        <v>1</v>
      </c>
    </row>
    <row r="650" spans="1:23" x14ac:dyDescent="0.2">
      <c r="A650" s="69"/>
      <c r="B650" s="56" t="s">
        <v>296</v>
      </c>
      <c r="C650" s="78">
        <v>5550</v>
      </c>
      <c r="D650" s="79">
        <v>-1.2979321E-2</v>
      </c>
      <c r="E650" s="79">
        <v>1.3828885000000001E-2</v>
      </c>
      <c r="F650" s="79">
        <v>0.347997691</v>
      </c>
      <c r="G650" s="79">
        <v>0.87102380646745603</v>
      </c>
      <c r="H650" s="80">
        <v>1</v>
      </c>
      <c r="I650" s="79">
        <v>-1.05590236788024E-3</v>
      </c>
      <c r="J650" s="79">
        <v>1.3742409205683899E-2</v>
      </c>
      <c r="K650" s="79">
        <v>0.93875759114657498</v>
      </c>
      <c r="L650" s="79">
        <v>0.98128779502883301</v>
      </c>
      <c r="M650" s="80">
        <v>1</v>
      </c>
      <c r="N650" s="79">
        <v>1.55417351949518E-2</v>
      </c>
      <c r="O650" s="79">
        <v>1.3657737783089201E-2</v>
      </c>
      <c r="P650" s="79">
        <v>0.25519775937807099</v>
      </c>
      <c r="Q650" s="79">
        <v>0.33489757668125297</v>
      </c>
      <c r="R650" s="80">
        <v>1</v>
      </c>
      <c r="S650" s="79">
        <v>-1.0644633450234101E-3</v>
      </c>
      <c r="T650" s="79">
        <v>1.3649034920263699E-2</v>
      </c>
      <c r="U650" s="79">
        <v>0.93784049566689498</v>
      </c>
      <c r="V650" s="79">
        <v>0.952095671201032</v>
      </c>
      <c r="W650" s="79">
        <v>1</v>
      </c>
    </row>
    <row r="651" spans="1:23" x14ac:dyDescent="0.2">
      <c r="A651" s="69"/>
      <c r="B651" s="56" t="s">
        <v>298</v>
      </c>
      <c r="C651" s="78">
        <v>5550</v>
      </c>
      <c r="D651" s="79">
        <v>-4.1275900000000004E-3</v>
      </c>
      <c r="E651" s="79">
        <v>1.3834272999999999E-2</v>
      </c>
      <c r="F651" s="79">
        <v>0.76544062499999999</v>
      </c>
      <c r="G651" s="79">
        <v>0.98545101377932998</v>
      </c>
      <c r="H651" s="80">
        <v>1</v>
      </c>
      <c r="I651" s="79">
        <v>-1.1236205111911601E-2</v>
      </c>
      <c r="J651" s="79">
        <v>1.3748370850319E-2</v>
      </c>
      <c r="K651" s="79">
        <v>0.41380935277224101</v>
      </c>
      <c r="L651" s="79">
        <v>0.84624271468881096</v>
      </c>
      <c r="M651" s="80">
        <v>1</v>
      </c>
      <c r="N651" s="79">
        <v>4.1149054542204702E-2</v>
      </c>
      <c r="O651" s="79">
        <v>1.36529831171551E-2</v>
      </c>
      <c r="P651" s="79">
        <v>2.5916168617918498E-3</v>
      </c>
      <c r="Q651" s="79">
        <v>7.81178574255073E-3</v>
      </c>
      <c r="R651" s="80">
        <v>1</v>
      </c>
      <c r="S651" s="79">
        <v>-8.6803472531036801E-3</v>
      </c>
      <c r="T651" s="79">
        <v>1.3652103751795701E-2</v>
      </c>
      <c r="U651" s="79">
        <v>0.52491879130281405</v>
      </c>
      <c r="V651" s="79">
        <v>0.60722146414154199</v>
      </c>
      <c r="W651" s="79">
        <v>1</v>
      </c>
    </row>
    <row r="652" spans="1:23" x14ac:dyDescent="0.2">
      <c r="A652" s="69"/>
      <c r="B652" s="56" t="s">
        <v>299</v>
      </c>
      <c r="C652" s="78">
        <v>5550</v>
      </c>
      <c r="D652" s="79">
        <v>-1.4381967000000001E-2</v>
      </c>
      <c r="E652" s="79">
        <v>1.3817657000000001E-2</v>
      </c>
      <c r="F652" s="79">
        <v>0.29799826299999999</v>
      </c>
      <c r="G652" s="79">
        <v>0.84338459475166305</v>
      </c>
      <c r="H652" s="80">
        <v>1</v>
      </c>
      <c r="I652" s="79">
        <v>-1.9604534072216101E-2</v>
      </c>
      <c r="J652" s="79">
        <v>1.3737731512992599E-2</v>
      </c>
      <c r="K652" s="79">
        <v>0.15362415139337299</v>
      </c>
      <c r="L652" s="79">
        <v>0.66470888806839401</v>
      </c>
      <c r="M652" s="80">
        <v>1</v>
      </c>
      <c r="N652" s="79">
        <v>3.8238810993949802E-2</v>
      </c>
      <c r="O652" s="79">
        <v>1.36435723888002E-2</v>
      </c>
      <c r="P652" s="79">
        <v>5.0866899495218302E-3</v>
      </c>
      <c r="Q652" s="79">
        <v>1.34760115781695E-2</v>
      </c>
      <c r="R652" s="80">
        <v>1</v>
      </c>
      <c r="S652" s="79">
        <v>3.2899391338139799E-4</v>
      </c>
      <c r="T652" s="79">
        <v>1.36394314692217E-2</v>
      </c>
      <c r="U652" s="79">
        <v>0.98075718342777496</v>
      </c>
      <c r="V652" s="79">
        <v>0.98463676089386598</v>
      </c>
      <c r="W652" s="79">
        <v>1</v>
      </c>
    </row>
    <row r="653" spans="1:23" x14ac:dyDescent="0.2">
      <c r="A653" s="69"/>
      <c r="B653" s="56" t="s">
        <v>300</v>
      </c>
      <c r="C653" s="78">
        <v>5550</v>
      </c>
      <c r="D653" s="79">
        <v>-5.2727499999999997E-3</v>
      </c>
      <c r="E653" s="79">
        <v>1.3689381E-2</v>
      </c>
      <c r="F653" s="79">
        <v>0.70012685100000005</v>
      </c>
      <c r="G653" s="79">
        <v>0.98545101377932998</v>
      </c>
      <c r="H653" s="80">
        <v>1</v>
      </c>
      <c r="I653" s="79">
        <v>2.4385986672416999E-2</v>
      </c>
      <c r="J653" s="79">
        <v>1.3598073141853E-2</v>
      </c>
      <c r="K653" s="79">
        <v>7.2978386349765195E-2</v>
      </c>
      <c r="L653" s="79">
        <v>0.57459637698370203</v>
      </c>
      <c r="M653" s="80">
        <v>1</v>
      </c>
      <c r="N653" s="79">
        <v>2.2794160884849601E-2</v>
      </c>
      <c r="O653" s="79">
        <v>1.35203076869786E-2</v>
      </c>
      <c r="P653" s="79">
        <v>9.1872915052746099E-2</v>
      </c>
      <c r="Q653" s="79">
        <v>0.14543147583896901</v>
      </c>
      <c r="R653" s="80">
        <v>1</v>
      </c>
      <c r="S653" s="79">
        <v>1.91578186303747E-2</v>
      </c>
      <c r="T653" s="79">
        <v>1.3511122464806799E-2</v>
      </c>
      <c r="U653" s="79">
        <v>0.156272273807434</v>
      </c>
      <c r="V653" s="79">
        <v>0.231378677173007</v>
      </c>
      <c r="W653" s="79">
        <v>1</v>
      </c>
    </row>
    <row r="654" spans="1:23" x14ac:dyDescent="0.2">
      <c r="A654" s="69"/>
      <c r="B654" s="56" t="s">
        <v>301</v>
      </c>
      <c r="C654" s="78">
        <v>5550</v>
      </c>
      <c r="D654" s="79">
        <v>-1.3933892E-2</v>
      </c>
      <c r="E654" s="79">
        <v>1.3740535E-2</v>
      </c>
      <c r="F654" s="79">
        <v>0.31059622999999997</v>
      </c>
      <c r="G654" s="79">
        <v>0.85008618545806502</v>
      </c>
      <c r="H654" s="80">
        <v>1</v>
      </c>
      <c r="I654" s="79">
        <v>-8.2401808880949393E-3</v>
      </c>
      <c r="J654" s="79">
        <v>1.3657506859075399E-2</v>
      </c>
      <c r="K654" s="79">
        <v>0.54630671490457705</v>
      </c>
      <c r="L654" s="79">
        <v>0.90479901831250598</v>
      </c>
      <c r="M654" s="80">
        <v>1</v>
      </c>
      <c r="N654" s="79">
        <v>3.85232905016143E-2</v>
      </c>
      <c r="O654" s="79">
        <v>1.3564184298514E-2</v>
      </c>
      <c r="P654" s="79">
        <v>4.5283335323592598E-3</v>
      </c>
      <c r="Q654" s="79">
        <v>1.23579682850837E-2</v>
      </c>
      <c r="R654" s="80">
        <v>1</v>
      </c>
      <c r="S654" s="79">
        <v>1.36938245998167E-2</v>
      </c>
      <c r="T654" s="79">
        <v>1.35609017052874E-2</v>
      </c>
      <c r="U654" s="79">
        <v>0.31263795125056798</v>
      </c>
      <c r="V654" s="79">
        <v>0.40436171318790598</v>
      </c>
      <c r="W654" s="79">
        <v>1</v>
      </c>
    </row>
    <row r="655" spans="1:23" x14ac:dyDescent="0.2">
      <c r="A655" s="69"/>
      <c r="B655" s="56" t="s">
        <v>302</v>
      </c>
      <c r="C655" s="78">
        <v>5550</v>
      </c>
      <c r="D655" s="79">
        <v>6.2352550000000003E-3</v>
      </c>
      <c r="E655" s="79">
        <v>1.3764559000000001E-2</v>
      </c>
      <c r="F655" s="79">
        <v>0.65057272799999999</v>
      </c>
      <c r="G655" s="79">
        <v>0.98282951408571395</v>
      </c>
      <c r="H655" s="80">
        <v>1</v>
      </c>
      <c r="I655" s="79">
        <v>1.45160466449697E-2</v>
      </c>
      <c r="J655" s="79">
        <v>1.3676445189138501E-2</v>
      </c>
      <c r="K655" s="79">
        <v>0.28856374287052899</v>
      </c>
      <c r="L655" s="79">
        <v>0.773338968029602</v>
      </c>
      <c r="M655" s="80">
        <v>1</v>
      </c>
      <c r="N655" s="79">
        <v>5.31501756523775E-2</v>
      </c>
      <c r="O655" s="79">
        <v>1.35757281323017E-2</v>
      </c>
      <c r="P655" s="79">
        <v>9.1569994759342597E-5</v>
      </c>
      <c r="Q655" s="79">
        <v>5.4300151097946598E-4</v>
      </c>
      <c r="R655" s="80">
        <v>0.11620232334960599</v>
      </c>
      <c r="S655" s="79">
        <v>9.5303977092543995E-3</v>
      </c>
      <c r="T655" s="79">
        <v>1.3585860660174301E-2</v>
      </c>
      <c r="U655" s="79">
        <v>0.48302693871351499</v>
      </c>
      <c r="V655" s="79">
        <v>0.56913759074043702</v>
      </c>
      <c r="W655" s="79">
        <v>1</v>
      </c>
    </row>
    <row r="656" spans="1:23" x14ac:dyDescent="0.2">
      <c r="A656" s="69"/>
      <c r="B656" s="56" t="s">
        <v>303</v>
      </c>
      <c r="C656" s="78">
        <v>5550</v>
      </c>
      <c r="D656" s="79">
        <v>3.2037319999999999E-3</v>
      </c>
      <c r="E656" s="79">
        <v>1.3772078E-2</v>
      </c>
      <c r="F656" s="79">
        <v>0.81606199300000004</v>
      </c>
      <c r="G656" s="79">
        <v>0.98545101377932998</v>
      </c>
      <c r="H656" s="80">
        <v>1</v>
      </c>
      <c r="I656" s="79">
        <v>-3.62782396511367E-3</v>
      </c>
      <c r="J656" s="79">
        <v>1.36814237888535E-2</v>
      </c>
      <c r="K656" s="79">
        <v>0.79089408928098004</v>
      </c>
      <c r="L656" s="79">
        <v>0.95970310918962698</v>
      </c>
      <c r="M656" s="80">
        <v>1</v>
      </c>
      <c r="N656" s="79">
        <v>3.6660138885556602E-2</v>
      </c>
      <c r="O656" s="79">
        <v>1.35893766745414E-2</v>
      </c>
      <c r="P656" s="79">
        <v>7.0057347515213898E-3</v>
      </c>
      <c r="Q656" s="79">
        <v>1.7639439285080601E-2</v>
      </c>
      <c r="R656" s="80">
        <v>1</v>
      </c>
      <c r="S656" s="79">
        <v>-3.2749418379783698E-3</v>
      </c>
      <c r="T656" s="79">
        <v>1.3592988541521101E-2</v>
      </c>
      <c r="U656" s="79">
        <v>0.80962019885572001</v>
      </c>
      <c r="V656" s="79">
        <v>0.846997553460766</v>
      </c>
      <c r="W656" s="79">
        <v>1</v>
      </c>
    </row>
    <row r="657" spans="1:23" x14ac:dyDescent="0.2">
      <c r="A657" s="69"/>
      <c r="B657" s="56" t="s">
        <v>304</v>
      </c>
      <c r="C657" s="78">
        <v>5550</v>
      </c>
      <c r="D657" s="79">
        <v>-2.6634814999999999E-2</v>
      </c>
      <c r="E657" s="79">
        <v>1.3761130999999999E-2</v>
      </c>
      <c r="F657" s="79">
        <v>5.2983236000000003E-2</v>
      </c>
      <c r="G657" s="79">
        <v>0.46691476724999997</v>
      </c>
      <c r="H657" s="80">
        <v>1</v>
      </c>
      <c r="I657" s="79">
        <v>-2.4788576632727401E-2</v>
      </c>
      <c r="J657" s="79">
        <v>1.36696908833569E-2</v>
      </c>
      <c r="K657" s="79">
        <v>6.9830878126582202E-2</v>
      </c>
      <c r="L657" s="79">
        <v>0.57459637698370203</v>
      </c>
      <c r="M657" s="80">
        <v>1</v>
      </c>
      <c r="N657" s="79">
        <v>4.9289176557796202E-2</v>
      </c>
      <c r="O657" s="79">
        <v>1.35736076418302E-2</v>
      </c>
      <c r="P657" s="79">
        <v>2.84887852965119E-4</v>
      </c>
      <c r="Q657" s="79">
        <v>1.39047186697206E-3</v>
      </c>
      <c r="R657" s="80">
        <v>0.36152268541273602</v>
      </c>
      <c r="S657" s="79">
        <v>1.4602255181237001E-3</v>
      </c>
      <c r="T657" s="79">
        <v>1.3585182303256E-2</v>
      </c>
      <c r="U657" s="79">
        <v>0.91440719165357098</v>
      </c>
      <c r="V657" s="79">
        <v>0.93736507024661797</v>
      </c>
      <c r="W657" s="79">
        <v>1</v>
      </c>
    </row>
    <row r="658" spans="1:23" x14ac:dyDescent="0.2">
      <c r="A658" s="69"/>
      <c r="B658" s="56" t="s">
        <v>305</v>
      </c>
      <c r="C658" s="78">
        <v>5550</v>
      </c>
      <c r="D658" s="79">
        <v>-1.0487799000000001E-2</v>
      </c>
      <c r="E658" s="79">
        <v>1.3687435E-2</v>
      </c>
      <c r="F658" s="79">
        <v>0.443572193</v>
      </c>
      <c r="G658" s="79">
        <v>0.90534684568218304</v>
      </c>
      <c r="H658" s="80">
        <v>1</v>
      </c>
      <c r="I658" s="79">
        <v>2.5092187383863001E-3</v>
      </c>
      <c r="J658" s="79">
        <v>1.35967633430202E-2</v>
      </c>
      <c r="K658" s="79">
        <v>0.85359330695237701</v>
      </c>
      <c r="L658" s="79">
        <v>0.96964513668720897</v>
      </c>
      <c r="M658" s="80">
        <v>1</v>
      </c>
      <c r="N658" s="79">
        <v>1.8174128026976301E-2</v>
      </c>
      <c r="O658" s="79">
        <v>1.35182753137142E-2</v>
      </c>
      <c r="P658" s="79">
        <v>0.17887706719861499</v>
      </c>
      <c r="Q658" s="79">
        <v>0.25334263200339602</v>
      </c>
      <c r="R658" s="80">
        <v>1</v>
      </c>
      <c r="S658" s="79">
        <v>2.3245169719937699E-2</v>
      </c>
      <c r="T658" s="79">
        <v>1.35087826147952E-2</v>
      </c>
      <c r="U658" s="79">
        <v>8.5358864096404294E-2</v>
      </c>
      <c r="V658" s="79">
        <v>0.144043083162682</v>
      </c>
      <c r="W658" s="79">
        <v>1</v>
      </c>
    </row>
    <row r="659" spans="1:23" x14ac:dyDescent="0.2">
      <c r="A659" s="69"/>
      <c r="B659" s="56" t="s">
        <v>306</v>
      </c>
      <c r="C659" s="78">
        <v>5550</v>
      </c>
      <c r="D659" s="79">
        <v>-2.3030740000000001E-2</v>
      </c>
      <c r="E659" s="79">
        <v>1.3729046999999999E-2</v>
      </c>
      <c r="F659" s="79">
        <v>9.3503568999999995E-2</v>
      </c>
      <c r="G659" s="79">
        <v>0.59927287404545504</v>
      </c>
      <c r="H659" s="80">
        <v>1</v>
      </c>
      <c r="I659" s="79">
        <v>-1.20027431864029E-3</v>
      </c>
      <c r="J659" s="79">
        <v>1.3633582912994499E-2</v>
      </c>
      <c r="K659" s="79">
        <v>0.92985002558667496</v>
      </c>
      <c r="L659" s="79">
        <v>0.981200184300273</v>
      </c>
      <c r="M659" s="80">
        <v>1</v>
      </c>
      <c r="N659" s="79">
        <v>2.1975907501583399E-2</v>
      </c>
      <c r="O659" s="79">
        <v>1.3547108814162699E-2</v>
      </c>
      <c r="P659" s="79">
        <v>0.104828422911837</v>
      </c>
      <c r="Q659" s="79">
        <v>0.16382668556049401</v>
      </c>
      <c r="R659" s="80">
        <v>1</v>
      </c>
      <c r="S659" s="79">
        <v>7.9872066726661192E-3</v>
      </c>
      <c r="T659" s="79">
        <v>1.35499280915119E-2</v>
      </c>
      <c r="U659" s="79">
        <v>0.55557619840258299</v>
      </c>
      <c r="V659" s="79">
        <v>0.63630523084194801</v>
      </c>
      <c r="W659" s="79">
        <v>1</v>
      </c>
    </row>
    <row r="660" spans="1:23" x14ac:dyDescent="0.2">
      <c r="A660" s="69"/>
      <c r="B660" s="56" t="s">
        <v>289</v>
      </c>
      <c r="C660" s="78">
        <v>5550</v>
      </c>
      <c r="D660" s="79">
        <v>1.0668268E-2</v>
      </c>
      <c r="E660" s="79">
        <v>1.3803859999999999E-2</v>
      </c>
      <c r="F660" s="79">
        <v>0.43964877200000002</v>
      </c>
      <c r="G660" s="79">
        <v>0.90277393473786405</v>
      </c>
      <c r="H660" s="80">
        <v>1</v>
      </c>
      <c r="I660" s="79">
        <v>2.0626481410514701E-2</v>
      </c>
      <c r="J660" s="79">
        <v>1.3718640751715401E-2</v>
      </c>
      <c r="K660" s="79">
        <v>0.132763353283569</v>
      </c>
      <c r="L660" s="79">
        <v>0.65283885689403798</v>
      </c>
      <c r="M660" s="80">
        <v>1</v>
      </c>
      <c r="N660" s="79">
        <v>1.7142018900165701E-2</v>
      </c>
      <c r="O660" s="79">
        <v>1.3637163541725599E-2</v>
      </c>
      <c r="P660" s="79">
        <v>0.20880894770745501</v>
      </c>
      <c r="Q660" s="79">
        <v>0.28461713710070902</v>
      </c>
      <c r="R660" s="80">
        <v>1</v>
      </c>
      <c r="S660" s="79">
        <v>2.85746987059631E-2</v>
      </c>
      <c r="T660" s="79">
        <v>1.36200655144802E-2</v>
      </c>
      <c r="U660" s="79">
        <v>3.59553735804213E-2</v>
      </c>
      <c r="V660" s="79">
        <v>7.1181543016465898E-2</v>
      </c>
      <c r="W660" s="79">
        <v>1</v>
      </c>
    </row>
    <row r="661" spans="1:23" x14ac:dyDescent="0.2">
      <c r="A661" s="69"/>
      <c r="B661" s="56" t="s">
        <v>307</v>
      </c>
      <c r="C661" s="78">
        <v>5550</v>
      </c>
      <c r="D661" s="79">
        <v>-3.2546786000000001E-2</v>
      </c>
      <c r="E661" s="79">
        <v>1.3795424000000001E-2</v>
      </c>
      <c r="F661" s="79">
        <v>1.8349770000000001E-2</v>
      </c>
      <c r="G661" s="79">
        <v>0.349577479479452</v>
      </c>
      <c r="H661" s="80">
        <v>1</v>
      </c>
      <c r="I661" s="79">
        <v>1.9286256588538599E-3</v>
      </c>
      <c r="J661" s="79">
        <v>1.37118169553216E-2</v>
      </c>
      <c r="K661" s="79">
        <v>0.88814874945317102</v>
      </c>
      <c r="L661" s="79">
        <v>0.97738681378562897</v>
      </c>
      <c r="M661" s="80">
        <v>1</v>
      </c>
      <c r="N661" s="79">
        <v>4.40617529950635E-2</v>
      </c>
      <c r="O661" s="79">
        <v>1.36177026085343E-2</v>
      </c>
      <c r="P661" s="79">
        <v>1.2216735662866399E-3</v>
      </c>
      <c r="Q661" s="79">
        <v>4.1160064874763399E-3</v>
      </c>
      <c r="R661" s="80">
        <v>1</v>
      </c>
      <c r="S661" s="79">
        <v>1.28057083731973E-2</v>
      </c>
      <c r="T661" s="79">
        <v>1.36192164746266E-2</v>
      </c>
      <c r="U661" s="79">
        <v>0.34712507505012802</v>
      </c>
      <c r="V661" s="79">
        <v>0.44094266290151402</v>
      </c>
      <c r="W661" s="79">
        <v>1</v>
      </c>
    </row>
    <row r="662" spans="1:23" x14ac:dyDescent="0.2">
      <c r="A662" s="69"/>
      <c r="B662" s="56" t="s">
        <v>290</v>
      </c>
      <c r="C662" s="78">
        <v>5550</v>
      </c>
      <c r="D662" s="79">
        <v>1.9534940000000001E-3</v>
      </c>
      <c r="E662" s="79">
        <v>1.3770773E-2</v>
      </c>
      <c r="F662" s="79">
        <v>0.88719772399999997</v>
      </c>
      <c r="G662" s="79">
        <v>0.991673151733656</v>
      </c>
      <c r="H662" s="80">
        <v>1</v>
      </c>
      <c r="I662" s="79">
        <v>-2.19505619130013E-2</v>
      </c>
      <c r="J662" s="79">
        <v>1.36827961041571E-2</v>
      </c>
      <c r="K662" s="79">
        <v>0.108722022696149</v>
      </c>
      <c r="L662" s="79">
        <v>0.62424045135977002</v>
      </c>
      <c r="M662" s="80">
        <v>1</v>
      </c>
      <c r="N662" s="79">
        <v>-1.82644755506387E-2</v>
      </c>
      <c r="O662" s="79">
        <v>1.36006148167122E-2</v>
      </c>
      <c r="P662" s="79">
        <v>0.17935907988314001</v>
      </c>
      <c r="Q662" s="79">
        <v>0.25374210966745198</v>
      </c>
      <c r="R662" s="80">
        <v>1</v>
      </c>
      <c r="S662" s="79">
        <v>2.5299588443433098E-3</v>
      </c>
      <c r="T662" s="79">
        <v>1.3589618043293099E-2</v>
      </c>
      <c r="U662" s="79">
        <v>0.85231994027181501</v>
      </c>
      <c r="V662" s="79">
        <v>0.88510147643611603</v>
      </c>
      <c r="W662" s="79">
        <v>1</v>
      </c>
    </row>
    <row r="663" spans="1:23" x14ac:dyDescent="0.2">
      <c r="A663" s="69"/>
      <c r="B663" s="56" t="s">
        <v>291</v>
      </c>
      <c r="C663" s="78">
        <v>5550</v>
      </c>
      <c r="D663" s="79">
        <v>6.4611759999999999E-3</v>
      </c>
      <c r="E663" s="79">
        <v>1.370992E-2</v>
      </c>
      <c r="F663" s="79">
        <v>0.63746269499999997</v>
      </c>
      <c r="G663" s="79">
        <v>0.97816222485489701</v>
      </c>
      <c r="H663" s="80">
        <v>1</v>
      </c>
      <c r="I663" s="79">
        <v>1.9043750228303199E-3</v>
      </c>
      <c r="J663" s="79">
        <v>1.3620897480516101E-2</v>
      </c>
      <c r="K663" s="79">
        <v>0.88881354066872797</v>
      </c>
      <c r="L663" s="79">
        <v>0.97738681378562897</v>
      </c>
      <c r="M663" s="80">
        <v>1</v>
      </c>
      <c r="N663" s="79">
        <v>-2.0861110883128899E-3</v>
      </c>
      <c r="O663" s="79">
        <v>1.35387800627842E-2</v>
      </c>
      <c r="P663" s="79">
        <v>0.87754957026254599</v>
      </c>
      <c r="Q663" s="79">
        <v>0.90333664277983095</v>
      </c>
      <c r="R663" s="80">
        <v>1</v>
      </c>
      <c r="S663" s="79">
        <v>2.4200442370852199E-2</v>
      </c>
      <c r="T663" s="79">
        <v>1.3524496649468899E-2</v>
      </c>
      <c r="U663" s="79">
        <v>7.3613094511558896E-2</v>
      </c>
      <c r="V663" s="79">
        <v>0.12692257735756601</v>
      </c>
      <c r="W663" s="79">
        <v>1</v>
      </c>
    </row>
    <row r="664" spans="1:23" x14ac:dyDescent="0.2">
      <c r="A664" s="69"/>
      <c r="B664" s="56" t="s">
        <v>292</v>
      </c>
      <c r="C664" s="78">
        <v>5550</v>
      </c>
      <c r="D664" s="79">
        <v>2.3098886999999999E-2</v>
      </c>
      <c r="E664" s="79">
        <v>1.3740598999999999E-2</v>
      </c>
      <c r="F664" s="79">
        <v>9.2810292000000003E-2</v>
      </c>
      <c r="G664" s="79">
        <v>0.59927287404545504</v>
      </c>
      <c r="H664" s="80">
        <v>1</v>
      </c>
      <c r="I664" s="79">
        <v>-5.1982961871713798E-3</v>
      </c>
      <c r="J664" s="79">
        <v>1.36587904391193E-2</v>
      </c>
      <c r="K664" s="79">
        <v>0.70352905340098404</v>
      </c>
      <c r="L664" s="79">
        <v>0.937792404165807</v>
      </c>
      <c r="M664" s="80">
        <v>1</v>
      </c>
      <c r="N664" s="79">
        <v>-3.8242938725368103E-2</v>
      </c>
      <c r="O664" s="79">
        <v>1.35635654562651E-2</v>
      </c>
      <c r="P664" s="79">
        <v>4.8279890447620799E-3</v>
      </c>
      <c r="Q664" s="79">
        <v>1.30355704208576E-2</v>
      </c>
      <c r="R664" s="80">
        <v>1</v>
      </c>
      <c r="S664" s="79">
        <v>-1.21227253817948E-2</v>
      </c>
      <c r="T664" s="79">
        <v>1.3560312514708199E-2</v>
      </c>
      <c r="U664" s="79">
        <v>0.37137142033323001</v>
      </c>
      <c r="V664" s="79">
        <v>0.46202973764987099</v>
      </c>
      <c r="W664" s="79">
        <v>1</v>
      </c>
    </row>
    <row r="665" spans="1:23" x14ac:dyDescent="0.2">
      <c r="A665" s="69"/>
      <c r="B665" s="56" t="s">
        <v>293</v>
      </c>
      <c r="C665" s="78">
        <v>5550</v>
      </c>
      <c r="D665" s="79">
        <v>2.6819536000000001E-2</v>
      </c>
      <c r="E665" s="79">
        <v>1.3789826E-2</v>
      </c>
      <c r="F665" s="79">
        <v>5.1844038000000002E-2</v>
      </c>
      <c r="G665" s="79">
        <v>0.466596342</v>
      </c>
      <c r="H665" s="80">
        <v>1</v>
      </c>
      <c r="I665" s="79">
        <v>2.60927864053833E-2</v>
      </c>
      <c r="J665" s="79">
        <v>1.37042210895732E-2</v>
      </c>
      <c r="K665" s="79">
        <v>5.6967342637797701E-2</v>
      </c>
      <c r="L665" s="79">
        <v>0.56477779537004102</v>
      </c>
      <c r="M665" s="80">
        <v>1</v>
      </c>
      <c r="N665" s="79">
        <v>-6.6767310057586297E-3</v>
      </c>
      <c r="O665" s="79">
        <v>1.3627202698403699E-2</v>
      </c>
      <c r="P665" s="79">
        <v>0.62418614537615602</v>
      </c>
      <c r="Q665" s="79">
        <v>0.70283249199852904</v>
      </c>
      <c r="R665" s="80">
        <v>1</v>
      </c>
      <c r="S665" s="79">
        <v>1.45967658214987E-2</v>
      </c>
      <c r="T665" s="79">
        <v>1.36141097074044E-2</v>
      </c>
      <c r="U665" s="79">
        <v>0.28368991651752901</v>
      </c>
      <c r="V665" s="79">
        <v>0.37595377913582201</v>
      </c>
      <c r="W665" s="79">
        <v>1</v>
      </c>
    </row>
    <row r="666" spans="1:23" x14ac:dyDescent="0.2">
      <c r="A666" s="69"/>
      <c r="B666" s="56" t="s">
        <v>294</v>
      </c>
      <c r="C666" s="78">
        <v>5550</v>
      </c>
      <c r="D666" s="79">
        <v>-2.7284382999999999E-2</v>
      </c>
      <c r="E666" s="79">
        <v>1.3677964000000001E-2</v>
      </c>
      <c r="F666" s="79">
        <v>4.6117012999999998E-2</v>
      </c>
      <c r="G666" s="79">
        <v>0.45521505020000003</v>
      </c>
      <c r="H666" s="80">
        <v>1</v>
      </c>
      <c r="I666" s="79">
        <v>-8.8262460346380297E-3</v>
      </c>
      <c r="J666" s="79">
        <v>1.35796227486408E-2</v>
      </c>
      <c r="K666" s="79">
        <v>0.51574339065542796</v>
      </c>
      <c r="L666" s="79">
        <v>0.89701973005723701</v>
      </c>
      <c r="M666" s="80">
        <v>1</v>
      </c>
      <c r="N666" s="79">
        <v>1.57622594758643E-2</v>
      </c>
      <c r="O666" s="79">
        <v>1.3497669623770799E-2</v>
      </c>
      <c r="P666" s="79">
        <v>0.242947296323688</v>
      </c>
      <c r="Q666" s="79">
        <v>0.32181640817824603</v>
      </c>
      <c r="R666" s="80">
        <v>1</v>
      </c>
      <c r="S666" s="79">
        <v>5.0781978466699802E-2</v>
      </c>
      <c r="T666" s="79">
        <v>1.3483618788131899E-2</v>
      </c>
      <c r="U666" s="79">
        <v>1.67472037048385E-4</v>
      </c>
      <c r="V666" s="79">
        <v>1.17415477908509E-3</v>
      </c>
      <c r="W666" s="79">
        <v>0.21252201501440099</v>
      </c>
    </row>
    <row r="667" spans="1:23" x14ac:dyDescent="0.2">
      <c r="A667" s="69"/>
      <c r="B667" s="56" t="s">
        <v>295</v>
      </c>
      <c r="C667" s="78">
        <v>5550</v>
      </c>
      <c r="D667" s="79">
        <v>-3.329542E-3</v>
      </c>
      <c r="E667" s="79">
        <v>1.3764472999999999E-2</v>
      </c>
      <c r="F667" s="79">
        <v>0.80887192299999999</v>
      </c>
      <c r="G667" s="79">
        <v>0.98545101377932998</v>
      </c>
      <c r="H667" s="80">
        <v>1</v>
      </c>
      <c r="I667" s="79">
        <v>-2.29938910660351E-2</v>
      </c>
      <c r="J667" s="79">
        <v>1.3682903912659E-2</v>
      </c>
      <c r="K667" s="79">
        <v>9.2924293053063003E-2</v>
      </c>
      <c r="L667" s="79">
        <v>0.59858339027582197</v>
      </c>
      <c r="M667" s="80">
        <v>1</v>
      </c>
      <c r="N667" s="79">
        <v>4.4202604603163602E-2</v>
      </c>
      <c r="O667" s="79">
        <v>1.35874073179939E-2</v>
      </c>
      <c r="P667" s="79">
        <v>1.14849898444778E-3</v>
      </c>
      <c r="Q667" s="79">
        <v>3.9390411115249498E-3</v>
      </c>
      <c r="R667" s="80">
        <v>1</v>
      </c>
      <c r="S667" s="79">
        <v>5.5048383482817998E-3</v>
      </c>
      <c r="T667" s="79">
        <v>1.3586122687688801E-2</v>
      </c>
      <c r="U667" s="79">
        <v>0.68536119304532095</v>
      </c>
      <c r="V667" s="79">
        <v>0.74976151204699304</v>
      </c>
      <c r="W667" s="79">
        <v>1</v>
      </c>
    </row>
    <row r="668" spans="1:23" x14ac:dyDescent="0.2">
      <c r="A668" s="69"/>
      <c r="B668" s="56" t="s">
        <v>297</v>
      </c>
      <c r="C668" s="78">
        <v>5550</v>
      </c>
      <c r="D668" s="79">
        <v>-1.327794E-2</v>
      </c>
      <c r="E668" s="79">
        <v>1.3777159000000001E-2</v>
      </c>
      <c r="F668" s="79">
        <v>0.33521014900000001</v>
      </c>
      <c r="G668" s="79">
        <v>0.85589875066599597</v>
      </c>
      <c r="H668" s="80">
        <v>1</v>
      </c>
      <c r="I668" s="79">
        <v>-2.4234220828138201E-2</v>
      </c>
      <c r="J668" s="79">
        <v>1.3676798769947899E-2</v>
      </c>
      <c r="K668" s="79">
        <v>7.6469235296816596E-2</v>
      </c>
      <c r="L668" s="79">
        <v>0.58457505778108598</v>
      </c>
      <c r="M668" s="80">
        <v>1</v>
      </c>
      <c r="N668" s="79">
        <v>-8.3075597459286808E-3</v>
      </c>
      <c r="O668" s="79">
        <v>1.3591488968475E-2</v>
      </c>
      <c r="P668" s="79">
        <v>0.54107397024837001</v>
      </c>
      <c r="Q668" s="79">
        <v>0.61861077616347704</v>
      </c>
      <c r="R668" s="80">
        <v>1</v>
      </c>
      <c r="S668" s="79">
        <v>-1.16006095653436E-2</v>
      </c>
      <c r="T668" s="79">
        <v>1.358827012684E-2</v>
      </c>
      <c r="U668" s="79">
        <v>0.39329966961569102</v>
      </c>
      <c r="V668" s="79">
        <v>0.48362139606813198</v>
      </c>
      <c r="W668" s="79">
        <v>1</v>
      </c>
    </row>
    <row r="669" spans="1:23" x14ac:dyDescent="0.2">
      <c r="A669" s="69"/>
      <c r="B669" s="56" t="s">
        <v>1126</v>
      </c>
      <c r="C669" s="78">
        <v>2033</v>
      </c>
      <c r="D669" s="79">
        <v>-1.9914899999999999E-2</v>
      </c>
      <c r="E669" s="79">
        <v>2.1993077999999999E-2</v>
      </c>
      <c r="F669" s="79">
        <v>0.36530724199999998</v>
      </c>
      <c r="G669" s="79">
        <v>0.880152082540541</v>
      </c>
      <c r="H669" s="80">
        <v>1</v>
      </c>
      <c r="I669" s="79">
        <v>-3.6391352651420502E-3</v>
      </c>
      <c r="J669" s="79">
        <v>2.2272189292898498E-2</v>
      </c>
      <c r="K669" s="79">
        <v>0.87022503922311301</v>
      </c>
      <c r="L669" s="79">
        <v>0.972117051448254</v>
      </c>
      <c r="M669" s="80">
        <v>1</v>
      </c>
      <c r="N669" s="81">
        <v>0.125794797963273</v>
      </c>
      <c r="O669" s="81">
        <v>2.1973612899879098E-2</v>
      </c>
      <c r="P669" s="81">
        <v>1.19383526031187E-8</v>
      </c>
      <c r="Q669" s="81">
        <v>2.2954196141450999E-7</v>
      </c>
      <c r="R669" s="82">
        <v>1.5149769453357601E-5</v>
      </c>
      <c r="S669" s="79">
        <v>6.5295284519619495E-2</v>
      </c>
      <c r="T669" s="79">
        <v>2.2402426208322099E-2</v>
      </c>
      <c r="U669" s="79">
        <v>3.6006587863049899E-3</v>
      </c>
      <c r="V669" s="79">
        <v>1.19301201039714E-2</v>
      </c>
      <c r="W669" s="79">
        <v>1</v>
      </c>
    </row>
    <row r="670" spans="1:23" x14ac:dyDescent="0.2">
      <c r="A670" s="69"/>
      <c r="B670" s="56" t="s">
        <v>1128</v>
      </c>
      <c r="C670" s="78">
        <v>2584</v>
      </c>
      <c r="D670" s="79">
        <v>-1.6756611000000001E-2</v>
      </c>
      <c r="E670" s="79">
        <v>2.0169968999999999E-2</v>
      </c>
      <c r="F670" s="79">
        <v>0.40618233500000001</v>
      </c>
      <c r="G670" s="79">
        <v>0.88261195738869902</v>
      </c>
      <c r="H670" s="80">
        <v>1</v>
      </c>
      <c r="I670" s="79">
        <v>1.8245863986897901E-2</v>
      </c>
      <c r="J670" s="79">
        <v>2.0439275881394901E-2</v>
      </c>
      <c r="K670" s="79">
        <v>0.37210998953893998</v>
      </c>
      <c r="L670" s="79">
        <v>0.819804820702977</v>
      </c>
      <c r="M670" s="80">
        <v>1</v>
      </c>
      <c r="N670" s="81">
        <v>0.108555407740167</v>
      </c>
      <c r="O670" s="81">
        <v>1.9931042238504299E-2</v>
      </c>
      <c r="P670" s="81">
        <v>5.6303414362472302E-8</v>
      </c>
      <c r="Q670" s="81">
        <v>9.7875387432845695E-7</v>
      </c>
      <c r="R670" s="82">
        <v>7.1449032825977396E-5</v>
      </c>
      <c r="S670" s="79">
        <v>6.1893705685748902E-2</v>
      </c>
      <c r="T670" s="79">
        <v>2.0106581710645201E-2</v>
      </c>
      <c r="U670" s="79">
        <v>2.10435730610677E-3</v>
      </c>
      <c r="V670" s="79">
        <v>8.0434621127996701E-3</v>
      </c>
      <c r="W670" s="79">
        <v>1</v>
      </c>
    </row>
    <row r="671" spans="1:23" x14ac:dyDescent="0.2">
      <c r="A671" s="69"/>
      <c r="B671" s="56" t="s">
        <v>1127</v>
      </c>
      <c r="C671" s="78">
        <v>2577</v>
      </c>
      <c r="D671" s="79">
        <v>3.7506111000000002E-2</v>
      </c>
      <c r="E671" s="79">
        <v>2.0258572999999998E-2</v>
      </c>
      <c r="F671" s="79">
        <v>6.4235925999999999E-2</v>
      </c>
      <c r="G671" s="79">
        <v>0.51267540939622602</v>
      </c>
      <c r="H671" s="80">
        <v>1</v>
      </c>
      <c r="I671" s="79">
        <v>1.41492678921881E-2</v>
      </c>
      <c r="J671" s="79">
        <v>2.0576234869322901E-2</v>
      </c>
      <c r="K671" s="79">
        <v>0.49173735651503597</v>
      </c>
      <c r="L671" s="79">
        <v>0.88409893028921704</v>
      </c>
      <c r="M671" s="80">
        <v>1</v>
      </c>
      <c r="N671" s="81">
        <v>8.4092784888561506E-2</v>
      </c>
      <c r="O671" s="81">
        <v>2.0132412571776E-2</v>
      </c>
      <c r="P671" s="81">
        <v>3.0562359347947499E-5</v>
      </c>
      <c r="Q671" s="81">
        <v>2.1427422106378699E-4</v>
      </c>
      <c r="R671" s="82">
        <v>3.87836340125454E-2</v>
      </c>
      <c r="S671" s="79">
        <v>6.7574589156609105E-2</v>
      </c>
      <c r="T671" s="79">
        <v>2.0186913852672499E-2</v>
      </c>
      <c r="U671" s="79">
        <v>8.2778152565954398E-4</v>
      </c>
      <c r="V671" s="79">
        <v>3.8452584527832001E-3</v>
      </c>
      <c r="W671" s="79">
        <v>1</v>
      </c>
    </row>
    <row r="672" spans="1:23" x14ac:dyDescent="0.2">
      <c r="A672" s="69"/>
      <c r="B672" s="56" t="s">
        <v>1129</v>
      </c>
      <c r="C672" s="78">
        <v>1980</v>
      </c>
      <c r="D672" s="79">
        <v>-2.5525579999999999E-3</v>
      </c>
      <c r="E672" s="79">
        <v>2.248702E-2</v>
      </c>
      <c r="F672" s="79">
        <v>0.90963609199999995</v>
      </c>
      <c r="G672" s="79">
        <v>0.991673151733656</v>
      </c>
      <c r="H672" s="80">
        <v>1</v>
      </c>
      <c r="I672" s="79">
        <v>8.63153607883781E-3</v>
      </c>
      <c r="J672" s="79">
        <v>2.2772209866661799E-2</v>
      </c>
      <c r="K672" s="79">
        <v>0.70470084058787397</v>
      </c>
      <c r="L672" s="79">
        <v>0.93836869538931</v>
      </c>
      <c r="M672" s="80">
        <v>1</v>
      </c>
      <c r="N672" s="81">
        <v>0.13859483535905801</v>
      </c>
      <c r="O672" s="81">
        <v>2.2565581265683601E-2</v>
      </c>
      <c r="P672" s="81">
        <v>9.8766688667924803E-10</v>
      </c>
      <c r="Q672" s="81">
        <v>2.3164955269154799E-8</v>
      </c>
      <c r="R672" s="82">
        <v>1.25334927919597E-6</v>
      </c>
      <c r="S672" s="79">
        <v>8.8204095069492602E-2</v>
      </c>
      <c r="T672" s="79">
        <v>2.2760173115986999E-2</v>
      </c>
      <c r="U672" s="79">
        <v>1.0999564549406799E-4</v>
      </c>
      <c r="V672" s="79">
        <v>8.4906478864953604E-4</v>
      </c>
      <c r="W672" s="79">
        <v>0.139584474131972</v>
      </c>
    </row>
    <row r="673" spans="1:23" x14ac:dyDescent="0.2">
      <c r="A673" s="69"/>
      <c r="B673" s="56" t="s">
        <v>595</v>
      </c>
      <c r="C673" s="78">
        <v>2621</v>
      </c>
      <c r="D673" s="79">
        <v>6.2821299999999997E-4</v>
      </c>
      <c r="E673" s="79">
        <v>1.9917134E-2</v>
      </c>
      <c r="F673" s="79">
        <v>0.97484035099999999</v>
      </c>
      <c r="G673" s="79">
        <v>0.992299742561502</v>
      </c>
      <c r="H673" s="80">
        <v>1</v>
      </c>
      <c r="I673" s="79">
        <v>-2.0371090759563602E-3</v>
      </c>
      <c r="J673" s="79">
        <v>2.0211305471402301E-2</v>
      </c>
      <c r="K673" s="79">
        <v>0.91972482940665901</v>
      </c>
      <c r="L673" s="79">
        <v>0.981200184300273</v>
      </c>
      <c r="M673" s="80">
        <v>1</v>
      </c>
      <c r="N673" s="79">
        <v>5.4373960343452397E-2</v>
      </c>
      <c r="O673" s="79">
        <v>1.9749315933654699E-2</v>
      </c>
      <c r="P673" s="79">
        <v>5.9439564034322497E-3</v>
      </c>
      <c r="Q673" s="79">
        <v>1.5456722696630201E-2</v>
      </c>
      <c r="R673" s="80">
        <v>1</v>
      </c>
      <c r="S673" s="79">
        <v>1.7755359732782701E-2</v>
      </c>
      <c r="T673" s="79">
        <v>1.9913382017779799E-2</v>
      </c>
      <c r="U673" s="79">
        <v>0.37267706756875402</v>
      </c>
      <c r="V673" s="79">
        <v>0.463199998770567</v>
      </c>
      <c r="W673" s="79">
        <v>1</v>
      </c>
    </row>
    <row r="674" spans="1:23" x14ac:dyDescent="0.2">
      <c r="A674" s="69"/>
      <c r="B674" s="56" t="s">
        <v>603</v>
      </c>
      <c r="C674" s="78">
        <v>2607</v>
      </c>
      <c r="D674" s="79">
        <v>2.7008540000000001E-2</v>
      </c>
      <c r="E674" s="79">
        <v>2.0224196E-2</v>
      </c>
      <c r="F674" s="79">
        <v>0.18184813399999999</v>
      </c>
      <c r="G674" s="79">
        <v>0.71444359766563503</v>
      </c>
      <c r="H674" s="80">
        <v>1</v>
      </c>
      <c r="I674" s="79">
        <v>-2.2215368559865601E-2</v>
      </c>
      <c r="J674" s="79">
        <v>2.0529693895070499E-2</v>
      </c>
      <c r="K674" s="79">
        <v>0.27930815556579702</v>
      </c>
      <c r="L674" s="79">
        <v>0.76694710984058201</v>
      </c>
      <c r="M674" s="80">
        <v>1</v>
      </c>
      <c r="N674" s="79">
        <v>3.7258448485916501E-2</v>
      </c>
      <c r="O674" s="79">
        <v>2.0101258287362901E-2</v>
      </c>
      <c r="P674" s="79">
        <v>6.3921915988751896E-2</v>
      </c>
      <c r="Q674" s="79">
        <v>0.10859024282426499</v>
      </c>
      <c r="R674" s="80">
        <v>1</v>
      </c>
      <c r="S674" s="79">
        <v>3.2036921973644203E-2</v>
      </c>
      <c r="T674" s="79">
        <v>2.0227807040187801E-2</v>
      </c>
      <c r="U674" s="79">
        <v>0.11336342432893801</v>
      </c>
      <c r="V674" s="79">
        <v>0.18118159379524201</v>
      </c>
      <c r="W674" s="79">
        <v>1</v>
      </c>
    </row>
    <row r="675" spans="1:23" x14ac:dyDescent="0.2">
      <c r="A675" s="69"/>
      <c r="B675" s="56" t="s">
        <v>604</v>
      </c>
      <c r="C675" s="78">
        <v>2611</v>
      </c>
      <c r="D675" s="79">
        <v>1.9542812E-2</v>
      </c>
      <c r="E675" s="79">
        <v>2.0137997000000001E-2</v>
      </c>
      <c r="F675" s="79">
        <v>0.331919872</v>
      </c>
      <c r="G675" s="79">
        <v>0.85579729232661295</v>
      </c>
      <c r="H675" s="80">
        <v>1</v>
      </c>
      <c r="I675" s="79">
        <v>1.7476473222865802E-2</v>
      </c>
      <c r="J675" s="79">
        <v>2.04477562693599E-2</v>
      </c>
      <c r="K675" s="79">
        <v>0.39280624406457498</v>
      </c>
      <c r="L675" s="79">
        <v>0.83369555356615399</v>
      </c>
      <c r="M675" s="80">
        <v>1</v>
      </c>
      <c r="N675" s="79">
        <v>8.9903155597872292E-3</v>
      </c>
      <c r="O675" s="79">
        <v>1.9976021707648801E-2</v>
      </c>
      <c r="P675" s="79">
        <v>0.65270972016404405</v>
      </c>
      <c r="Q675" s="79">
        <v>0.72656897797208098</v>
      </c>
      <c r="R675" s="80">
        <v>1</v>
      </c>
      <c r="S675" s="79">
        <v>2.62039127493486E-2</v>
      </c>
      <c r="T675" s="79">
        <v>2.0100270108731999E-2</v>
      </c>
      <c r="U675" s="79">
        <v>0.192470416644999</v>
      </c>
      <c r="V675" s="79">
        <v>0.27443253789045402</v>
      </c>
      <c r="W675" s="79">
        <v>1</v>
      </c>
    </row>
    <row r="676" spans="1:23" x14ac:dyDescent="0.2">
      <c r="A676" s="69"/>
      <c r="B676" s="56" t="s">
        <v>605</v>
      </c>
      <c r="C676" s="78">
        <v>2617</v>
      </c>
      <c r="D676" s="79">
        <v>1.4469934E-2</v>
      </c>
      <c r="E676" s="79">
        <v>2.0181095999999999E-2</v>
      </c>
      <c r="F676" s="79">
        <v>0.47343849900000001</v>
      </c>
      <c r="G676" s="79">
        <v>0.92429762343230804</v>
      </c>
      <c r="H676" s="80">
        <v>1</v>
      </c>
      <c r="I676" s="79">
        <v>6.7790937596648101E-3</v>
      </c>
      <c r="J676" s="79">
        <v>2.0498825459763101E-2</v>
      </c>
      <c r="K676" s="79">
        <v>0.74089402387826198</v>
      </c>
      <c r="L676" s="79">
        <v>0.95161388289627002</v>
      </c>
      <c r="M676" s="80">
        <v>1</v>
      </c>
      <c r="N676" s="79">
        <v>3.7746488153450899E-2</v>
      </c>
      <c r="O676" s="79">
        <v>2.0049687112149099E-2</v>
      </c>
      <c r="P676" s="79">
        <v>5.9863531254411601E-2</v>
      </c>
      <c r="Q676" s="79">
        <v>0.103356219267821</v>
      </c>
      <c r="R676" s="80">
        <v>1</v>
      </c>
      <c r="S676" s="79">
        <v>3.9893633514709398E-2</v>
      </c>
      <c r="T676" s="79">
        <v>2.0182456449353101E-2</v>
      </c>
      <c r="U676" s="79">
        <v>4.8190547991857097E-2</v>
      </c>
      <c r="V676" s="79">
        <v>9.0394576351331801E-2</v>
      </c>
      <c r="W676" s="79">
        <v>1</v>
      </c>
    </row>
    <row r="677" spans="1:23" x14ac:dyDescent="0.2">
      <c r="A677" s="69"/>
      <c r="B677" s="56" t="s">
        <v>606</v>
      </c>
      <c r="C677" s="78">
        <v>2052</v>
      </c>
      <c r="D677" s="79">
        <v>-8.4388410000000007E-3</v>
      </c>
      <c r="E677" s="79">
        <v>2.2192287000000002E-2</v>
      </c>
      <c r="F677" s="79">
        <v>0.70379287899999998</v>
      </c>
      <c r="G677" s="79">
        <v>0.98545101377932998</v>
      </c>
      <c r="H677" s="80">
        <v>1</v>
      </c>
      <c r="I677" s="79">
        <v>-5.7643178510446902E-3</v>
      </c>
      <c r="J677" s="79">
        <v>2.2415553375159099E-2</v>
      </c>
      <c r="K677" s="79">
        <v>0.79708379574247101</v>
      </c>
      <c r="L677" s="79">
        <v>0.960588164099901</v>
      </c>
      <c r="M677" s="80">
        <v>1</v>
      </c>
      <c r="N677" s="81">
        <v>9.3745323702471794E-2</v>
      </c>
      <c r="O677" s="81">
        <v>2.2185444686093399E-2</v>
      </c>
      <c r="P677" s="81">
        <v>2.49087045787487E-5</v>
      </c>
      <c r="Q677" s="81">
        <v>1.85936153590777E-4</v>
      </c>
      <c r="R677" s="82">
        <v>3.1609146110432099E-2</v>
      </c>
      <c r="S677" s="79">
        <v>6.0863157761006099E-2</v>
      </c>
      <c r="T677" s="79">
        <v>2.2492718076010301E-2</v>
      </c>
      <c r="U677" s="79">
        <v>6.8692519825341502E-3</v>
      </c>
      <c r="V677" s="79">
        <v>1.9501299252429199E-2</v>
      </c>
      <c r="W677" s="79">
        <v>1</v>
      </c>
    </row>
    <row r="678" spans="1:23" x14ac:dyDescent="0.2">
      <c r="A678" s="69"/>
      <c r="B678" s="56" t="s">
        <v>607</v>
      </c>
      <c r="C678" s="78">
        <v>2615</v>
      </c>
      <c r="D678" s="79">
        <v>-2.4588756E-2</v>
      </c>
      <c r="E678" s="79">
        <v>2.0097712E-2</v>
      </c>
      <c r="F678" s="79">
        <v>0.22126944500000001</v>
      </c>
      <c r="G678" s="79">
        <v>0.74224234113157905</v>
      </c>
      <c r="H678" s="80">
        <v>1</v>
      </c>
      <c r="I678" s="79">
        <v>2.32107736750885E-2</v>
      </c>
      <c r="J678" s="79">
        <v>2.0436712264417199E-2</v>
      </c>
      <c r="K678" s="79">
        <v>0.25617257062682702</v>
      </c>
      <c r="L678" s="79">
        <v>0.75316534960692805</v>
      </c>
      <c r="M678" s="80">
        <v>1</v>
      </c>
      <c r="N678" s="79">
        <v>7.46374790025814E-2</v>
      </c>
      <c r="O678" s="79">
        <v>1.9955494622040399E-2</v>
      </c>
      <c r="P678" s="79">
        <v>1.8791370179389801E-4</v>
      </c>
      <c r="Q678" s="79">
        <v>9.65435172374318E-4</v>
      </c>
      <c r="R678" s="80">
        <v>0.23846248757645699</v>
      </c>
      <c r="S678" s="79">
        <v>5.5699602405101897E-2</v>
      </c>
      <c r="T678" s="79">
        <v>2.0088307256662601E-2</v>
      </c>
      <c r="U678" s="79">
        <v>5.5990907782551697E-3</v>
      </c>
      <c r="V678" s="79">
        <v>1.6957628156577101E-2</v>
      </c>
      <c r="W678" s="79">
        <v>1</v>
      </c>
    </row>
    <row r="679" spans="1:23" x14ac:dyDescent="0.2">
      <c r="A679" s="69"/>
      <c r="B679" s="56" t="s">
        <v>608</v>
      </c>
      <c r="C679" s="78">
        <v>2608</v>
      </c>
      <c r="D679" s="79">
        <v>-3.8150200000000001E-3</v>
      </c>
      <c r="E679" s="79">
        <v>2.0168661000000001E-2</v>
      </c>
      <c r="F679" s="79">
        <v>0.849985926</v>
      </c>
      <c r="G679" s="79">
        <v>0.98552821438803295</v>
      </c>
      <c r="H679" s="80">
        <v>1</v>
      </c>
      <c r="I679" s="79">
        <v>5.9518807385815003E-3</v>
      </c>
      <c r="J679" s="79">
        <v>2.04445492154471E-2</v>
      </c>
      <c r="K679" s="79">
        <v>0.77098105171842302</v>
      </c>
      <c r="L679" s="79">
        <v>0.95389133514851498</v>
      </c>
      <c r="M679" s="80">
        <v>1</v>
      </c>
      <c r="N679" s="79">
        <v>6.9636033156465493E-2</v>
      </c>
      <c r="O679" s="79">
        <v>2.0020001513293001E-2</v>
      </c>
      <c r="P679" s="79">
        <v>5.1307685251109297E-4</v>
      </c>
      <c r="Q679" s="79">
        <v>2.1912773082932301E-3</v>
      </c>
      <c r="R679" s="80">
        <v>0.65109452583657701</v>
      </c>
      <c r="S679" s="79">
        <v>3.1734707273962201E-2</v>
      </c>
      <c r="T679" s="79">
        <v>2.0133623668286801E-2</v>
      </c>
      <c r="U679" s="79">
        <v>0.115103556409581</v>
      </c>
      <c r="V679" s="79">
        <v>0.18304061789944601</v>
      </c>
      <c r="W679" s="79">
        <v>1</v>
      </c>
    </row>
    <row r="680" spans="1:23" x14ac:dyDescent="0.2">
      <c r="A680" s="69"/>
      <c r="B680" s="56" t="s">
        <v>609</v>
      </c>
      <c r="C680" s="78">
        <v>2616</v>
      </c>
      <c r="D680" s="79">
        <v>-9.1032330000000005E-3</v>
      </c>
      <c r="E680" s="79">
        <v>2.0250417999999999E-2</v>
      </c>
      <c r="F680" s="79">
        <v>0.65308534200000001</v>
      </c>
      <c r="G680" s="79">
        <v>0.98290913275237002</v>
      </c>
      <c r="H680" s="80">
        <v>1</v>
      </c>
      <c r="I680" s="79">
        <v>-1.14139523005967E-3</v>
      </c>
      <c r="J680" s="79">
        <v>2.0521007931923001E-2</v>
      </c>
      <c r="K680" s="79">
        <v>0.95564821198124195</v>
      </c>
      <c r="L680" s="79">
        <v>0.98719988166166295</v>
      </c>
      <c r="M680" s="80">
        <v>1</v>
      </c>
      <c r="N680" s="79">
        <v>6.8138925733250796E-2</v>
      </c>
      <c r="O680" s="79">
        <v>2.0044847728089801E-2</v>
      </c>
      <c r="P680" s="79">
        <v>6.8582164399067901E-4</v>
      </c>
      <c r="Q680" s="79">
        <v>2.6944509790221998E-3</v>
      </c>
      <c r="R680" s="80">
        <v>0.87030766622417199</v>
      </c>
      <c r="S680" s="79">
        <v>3.6176747710640403E-2</v>
      </c>
      <c r="T680" s="79">
        <v>2.0243693208617901E-2</v>
      </c>
      <c r="U680" s="79">
        <v>7.4045745110018699E-2</v>
      </c>
      <c r="V680" s="79">
        <v>0.12749531959920499</v>
      </c>
      <c r="W680" s="79">
        <v>1</v>
      </c>
    </row>
    <row r="681" spans="1:23" x14ac:dyDescent="0.2">
      <c r="A681" s="69"/>
      <c r="B681" s="56" t="s">
        <v>610</v>
      </c>
      <c r="C681" s="78">
        <v>2615</v>
      </c>
      <c r="D681" s="79">
        <v>4.4206434000000003E-2</v>
      </c>
      <c r="E681" s="79">
        <v>2.0150334999999998E-2</v>
      </c>
      <c r="F681" s="79">
        <v>2.8339434E-2</v>
      </c>
      <c r="G681" s="79">
        <v>0.38669614780645201</v>
      </c>
      <c r="H681" s="80">
        <v>1</v>
      </c>
      <c r="I681" s="79">
        <v>4.4458648686714501E-2</v>
      </c>
      <c r="J681" s="79">
        <v>2.04435609794354E-2</v>
      </c>
      <c r="K681" s="79">
        <v>2.97459736124909E-2</v>
      </c>
      <c r="L681" s="79">
        <v>0.46602025326235702</v>
      </c>
      <c r="M681" s="80">
        <v>1</v>
      </c>
      <c r="N681" s="81">
        <v>0.101084667620694</v>
      </c>
      <c r="O681" s="81">
        <v>1.9957720166136401E-2</v>
      </c>
      <c r="P681" s="81">
        <v>4.3813730379249598E-7</v>
      </c>
      <c r="Q681" s="81">
        <v>5.6202356994017698E-6</v>
      </c>
      <c r="R681" s="82">
        <v>5.5599623851267696E-4</v>
      </c>
      <c r="S681" s="81">
        <v>9.2073739055405099E-2</v>
      </c>
      <c r="T681" s="81">
        <v>2.0078686768084799E-2</v>
      </c>
      <c r="U681" s="81">
        <v>4.74774852501958E-6</v>
      </c>
      <c r="V681" s="81">
        <v>8.9923774302236504E-5</v>
      </c>
      <c r="W681" s="81">
        <v>6.02489287824985E-3</v>
      </c>
    </row>
    <row r="682" spans="1:23" x14ac:dyDescent="0.2">
      <c r="A682" s="69"/>
      <c r="B682" s="56" t="s">
        <v>611</v>
      </c>
      <c r="C682" s="78">
        <v>2616</v>
      </c>
      <c r="D682" s="79">
        <v>1.4944882E-2</v>
      </c>
      <c r="E682" s="79">
        <v>2.0240992999999999E-2</v>
      </c>
      <c r="F682" s="79">
        <v>0.460372383</v>
      </c>
      <c r="G682" s="79">
        <v>0.91539365442253495</v>
      </c>
      <c r="H682" s="80">
        <v>1</v>
      </c>
      <c r="I682" s="79">
        <v>8.08700376066512E-3</v>
      </c>
      <c r="J682" s="79">
        <v>2.0540975535125999E-2</v>
      </c>
      <c r="K682" s="79">
        <v>0.69383510777244695</v>
      </c>
      <c r="L682" s="79">
        <v>0.9363531347706</v>
      </c>
      <c r="M682" s="80">
        <v>1</v>
      </c>
      <c r="N682" s="79">
        <v>7.3648922096925404E-2</v>
      </c>
      <c r="O682" s="79">
        <v>2.0042105439350099E-2</v>
      </c>
      <c r="P682" s="79">
        <v>2.4308565168423E-4</v>
      </c>
      <c r="Q682" s="79">
        <v>1.2241098888384401E-3</v>
      </c>
      <c r="R682" s="80">
        <v>0.30847569198728803</v>
      </c>
      <c r="S682" s="79">
        <v>5.73005692614241E-2</v>
      </c>
      <c r="T682" s="79">
        <v>2.02040777801595E-2</v>
      </c>
      <c r="U682" s="79">
        <v>4.6033375056870902E-3</v>
      </c>
      <c r="V682" s="79">
        <v>1.44237908511529E-2</v>
      </c>
      <c r="W682" s="79">
        <v>1</v>
      </c>
    </row>
    <row r="683" spans="1:23" x14ac:dyDescent="0.2">
      <c r="A683" s="69"/>
      <c r="B683" s="56" t="s">
        <v>596</v>
      </c>
      <c r="C683" s="78">
        <v>2618</v>
      </c>
      <c r="D683" s="79">
        <v>-5.270874E-3</v>
      </c>
      <c r="E683" s="79">
        <v>2.0063872999999999E-2</v>
      </c>
      <c r="F683" s="79">
        <v>0.792799421</v>
      </c>
      <c r="G683" s="79">
        <v>0.98545101377932998</v>
      </c>
      <c r="H683" s="80">
        <v>1</v>
      </c>
      <c r="I683" s="79">
        <v>2.6388776646463601E-2</v>
      </c>
      <c r="J683" s="79">
        <v>2.03734265980068E-2</v>
      </c>
      <c r="K683" s="79">
        <v>0.19534907032951401</v>
      </c>
      <c r="L683" s="79">
        <v>0.71347894824854996</v>
      </c>
      <c r="M683" s="80">
        <v>1</v>
      </c>
      <c r="N683" s="81">
        <v>0.104489192870147</v>
      </c>
      <c r="O683" s="81">
        <v>1.9827719852792199E-2</v>
      </c>
      <c r="P683" s="81">
        <v>1.4789011483166499E-7</v>
      </c>
      <c r="Q683" s="81">
        <v>2.2886897039192999E-6</v>
      </c>
      <c r="R683" s="82">
        <v>1.87672555721383E-4</v>
      </c>
      <c r="S683" s="79">
        <v>5.4297612466830097E-2</v>
      </c>
      <c r="T683" s="79">
        <v>2.0038742089014999E-2</v>
      </c>
      <c r="U683" s="79">
        <v>6.7806322659002202E-3</v>
      </c>
      <c r="V683" s="79">
        <v>1.9379780057268901E-2</v>
      </c>
      <c r="W683" s="79">
        <v>1</v>
      </c>
    </row>
    <row r="684" spans="1:23" x14ac:dyDescent="0.2">
      <c r="A684" s="69"/>
      <c r="B684" s="56" t="s">
        <v>597</v>
      </c>
      <c r="C684" s="78">
        <v>2617</v>
      </c>
      <c r="D684" s="79">
        <v>-3.2163881999999998E-2</v>
      </c>
      <c r="E684" s="79">
        <v>1.9908736E-2</v>
      </c>
      <c r="F684" s="79">
        <v>0.106313914</v>
      </c>
      <c r="G684" s="79">
        <v>0.61501013848636399</v>
      </c>
      <c r="H684" s="80">
        <v>1</v>
      </c>
      <c r="I684" s="79">
        <v>2.47170239454332E-3</v>
      </c>
      <c r="J684" s="79">
        <v>2.02036587338623E-2</v>
      </c>
      <c r="K684" s="79">
        <v>0.90264010042101595</v>
      </c>
      <c r="L684" s="79">
        <v>0.981200184300273</v>
      </c>
      <c r="M684" s="80">
        <v>1</v>
      </c>
      <c r="N684" s="81">
        <v>0.102354629510296</v>
      </c>
      <c r="O684" s="81">
        <v>1.9633248365619201E-2</v>
      </c>
      <c r="P684" s="81">
        <v>2.0055491944327199E-7</v>
      </c>
      <c r="Q684" s="81">
        <v>2.8278243641501401E-6</v>
      </c>
      <c r="R684" s="82">
        <v>2.5450419277351201E-4</v>
      </c>
      <c r="S684" s="79">
        <v>7.4204976466942005E-2</v>
      </c>
      <c r="T684" s="79">
        <v>1.98567927465911E-2</v>
      </c>
      <c r="U684" s="79">
        <v>1.9037287411865201E-4</v>
      </c>
      <c r="V684" s="79">
        <v>1.28831503770153E-3</v>
      </c>
      <c r="W684" s="79">
        <v>0.241583177256569</v>
      </c>
    </row>
    <row r="685" spans="1:23" x14ac:dyDescent="0.2">
      <c r="A685" s="69"/>
      <c r="B685" s="56" t="s">
        <v>598</v>
      </c>
      <c r="C685" s="78">
        <v>2615</v>
      </c>
      <c r="D685" s="79">
        <v>-2.3428002999999999E-2</v>
      </c>
      <c r="E685" s="79">
        <v>1.9869294999999999E-2</v>
      </c>
      <c r="F685" s="79">
        <v>0.23846692</v>
      </c>
      <c r="G685" s="79">
        <v>0.77257570165909095</v>
      </c>
      <c r="H685" s="80">
        <v>1</v>
      </c>
      <c r="I685" s="79">
        <v>-5.3096207507604401E-3</v>
      </c>
      <c r="J685" s="79">
        <v>2.0172769481878901E-2</v>
      </c>
      <c r="K685" s="79">
        <v>0.79241218512348199</v>
      </c>
      <c r="L685" s="79">
        <v>0.95970310918962698</v>
      </c>
      <c r="M685" s="80">
        <v>1</v>
      </c>
      <c r="N685" s="81">
        <v>0.116061840548427</v>
      </c>
      <c r="O685" s="81">
        <v>1.9539019344336099E-2</v>
      </c>
      <c r="P685" s="81">
        <v>3.2403014661242E-9</v>
      </c>
      <c r="Q685" s="81">
        <v>7.2139343166870303E-8</v>
      </c>
      <c r="R685" s="82">
        <v>4.1119425605116102E-6</v>
      </c>
      <c r="S685" s="79">
        <v>7.4048210909457596E-2</v>
      </c>
      <c r="T685" s="79">
        <v>1.9790403327669199E-2</v>
      </c>
      <c r="U685" s="79">
        <v>1.8689775664374299E-4</v>
      </c>
      <c r="V685" s="79">
        <v>1.28201758476167E-3</v>
      </c>
      <c r="W685" s="79">
        <v>0.23717325318091001</v>
      </c>
    </row>
    <row r="686" spans="1:23" x14ac:dyDescent="0.2">
      <c r="A686" s="69"/>
      <c r="B686" s="56" t="s">
        <v>599</v>
      </c>
      <c r="C686" s="78">
        <v>2612</v>
      </c>
      <c r="D686" s="79">
        <v>-3.6492835000000001E-2</v>
      </c>
      <c r="E686" s="79">
        <v>1.9647899E-2</v>
      </c>
      <c r="F686" s="79">
        <v>6.3379970999999993E-2</v>
      </c>
      <c r="G686" s="79">
        <v>0.51045355532278502</v>
      </c>
      <c r="H686" s="80">
        <v>1</v>
      </c>
      <c r="I686" s="79">
        <v>-1.7495956492358002E-2</v>
      </c>
      <c r="J686" s="79">
        <v>1.99639691357896E-2</v>
      </c>
      <c r="K686" s="79">
        <v>0.38090930790522298</v>
      </c>
      <c r="L686" s="79">
        <v>0.82571589111641397</v>
      </c>
      <c r="M686" s="80">
        <v>1</v>
      </c>
      <c r="N686" s="81">
        <v>8.88538084842138E-2</v>
      </c>
      <c r="O686" s="81">
        <v>1.9467490062897299E-2</v>
      </c>
      <c r="P686" s="81">
        <v>5.2549391891014602E-6</v>
      </c>
      <c r="Q686" s="81">
        <v>4.8675312634815697E-5</v>
      </c>
      <c r="R686" s="82">
        <v>6.6685178309697501E-3</v>
      </c>
      <c r="S686" s="79">
        <v>3.74447104601335E-2</v>
      </c>
      <c r="T686" s="79">
        <v>1.9676064530916099E-2</v>
      </c>
      <c r="U686" s="79">
        <v>5.7146838423436798E-2</v>
      </c>
      <c r="V686" s="79">
        <v>0.10372462669351</v>
      </c>
      <c r="W686" s="79">
        <v>1</v>
      </c>
    </row>
    <row r="687" spans="1:23" x14ac:dyDescent="0.2">
      <c r="A687" s="69"/>
      <c r="B687" s="56" t="s">
        <v>600</v>
      </c>
      <c r="C687" s="78">
        <v>2613</v>
      </c>
      <c r="D687" s="79">
        <v>-2.4306500000000002E-2</v>
      </c>
      <c r="E687" s="79">
        <v>1.9853967E-2</v>
      </c>
      <c r="F687" s="79">
        <v>0.22096677200000001</v>
      </c>
      <c r="G687" s="79">
        <v>0.74224234113157905</v>
      </c>
      <c r="H687" s="80">
        <v>1</v>
      </c>
      <c r="I687" s="79">
        <v>2.61593498961416E-2</v>
      </c>
      <c r="J687" s="79">
        <v>2.0153634563984901E-2</v>
      </c>
      <c r="K687" s="79">
        <v>0.19440647062802</v>
      </c>
      <c r="L687" s="79">
        <v>0.71347894824854996</v>
      </c>
      <c r="M687" s="80">
        <v>1</v>
      </c>
      <c r="N687" s="81">
        <v>0.11152404393605</v>
      </c>
      <c r="O687" s="81">
        <v>1.9605548904121799E-2</v>
      </c>
      <c r="P687" s="81">
        <v>1.42893543483172E-8</v>
      </c>
      <c r="Q687" s="81">
        <v>2.7064463683603801E-7</v>
      </c>
      <c r="R687" s="82">
        <v>1.8133190668014499E-5</v>
      </c>
      <c r="S687" s="79">
        <v>6.6164076918832707E-2</v>
      </c>
      <c r="T687" s="79">
        <v>1.9862313260971199E-2</v>
      </c>
      <c r="U687" s="79">
        <v>8.7731625632366396E-4</v>
      </c>
      <c r="V687" s="79">
        <v>4.0191853042408996E-3</v>
      </c>
      <c r="W687" s="79">
        <v>1</v>
      </c>
    </row>
    <row r="688" spans="1:23" x14ac:dyDescent="0.2">
      <c r="A688" s="69"/>
      <c r="B688" s="56" t="s">
        <v>601</v>
      </c>
      <c r="C688" s="78">
        <v>2610</v>
      </c>
      <c r="D688" s="79">
        <v>3.9779716E-2</v>
      </c>
      <c r="E688" s="79">
        <v>2.0119827999999999E-2</v>
      </c>
      <c r="F688" s="79">
        <v>4.8136030000000003E-2</v>
      </c>
      <c r="G688" s="79">
        <v>0.45521505020000003</v>
      </c>
      <c r="H688" s="80">
        <v>1</v>
      </c>
      <c r="I688" s="79">
        <v>2.6435273324236699E-2</v>
      </c>
      <c r="J688" s="79">
        <v>2.0397948441937399E-2</v>
      </c>
      <c r="K688" s="79">
        <v>0.195103946897421</v>
      </c>
      <c r="L688" s="79">
        <v>0.71347894824854996</v>
      </c>
      <c r="M688" s="80">
        <v>1</v>
      </c>
      <c r="N688" s="81">
        <v>9.3259126975850495E-2</v>
      </c>
      <c r="O688" s="81">
        <v>1.9969034656235399E-2</v>
      </c>
      <c r="P688" s="81">
        <v>3.1680221693664898E-6</v>
      </c>
      <c r="Q688" s="81">
        <v>3.0924770253277499E-5</v>
      </c>
      <c r="R688" s="82">
        <v>4.0202201329260804E-3</v>
      </c>
      <c r="S688" s="79">
        <v>5.3271770251168797E-2</v>
      </c>
      <c r="T688" s="79">
        <v>2.0075787451739401E-2</v>
      </c>
      <c r="U688" s="79">
        <v>8.0157281412663092E-3</v>
      </c>
      <c r="V688" s="79">
        <v>2.2112954372319402E-2</v>
      </c>
      <c r="W688" s="79">
        <v>1</v>
      </c>
    </row>
    <row r="689" spans="1:23" x14ac:dyDescent="0.2">
      <c r="A689" s="69"/>
      <c r="B689" s="56" t="s">
        <v>602</v>
      </c>
      <c r="C689" s="78">
        <v>2613</v>
      </c>
      <c r="D689" s="79">
        <v>-2.4895575999999999E-2</v>
      </c>
      <c r="E689" s="79">
        <v>1.9557094000000001E-2</v>
      </c>
      <c r="F689" s="79">
        <v>0.20314614</v>
      </c>
      <c r="G689" s="79">
        <v>0.73512326530769201</v>
      </c>
      <c r="H689" s="80">
        <v>1</v>
      </c>
      <c r="I689" s="79">
        <v>-9.2351341820279906E-3</v>
      </c>
      <c r="J689" s="79">
        <v>1.9855244739659501E-2</v>
      </c>
      <c r="K689" s="79">
        <v>0.64188324590358303</v>
      </c>
      <c r="L689" s="79">
        <v>0.92039529836344303</v>
      </c>
      <c r="M689" s="80">
        <v>1</v>
      </c>
      <c r="N689" s="81">
        <v>0.12596057626479601</v>
      </c>
      <c r="O689" s="81">
        <v>1.92697407434602E-2</v>
      </c>
      <c r="P689" s="81">
        <v>7.5729423712318199E-11</v>
      </c>
      <c r="Q689" s="81">
        <v>2.46411894079312E-9</v>
      </c>
      <c r="R689" s="82">
        <v>9.6100638690931795E-8</v>
      </c>
      <c r="S689" s="79">
        <v>4.6362517410141003E-2</v>
      </c>
      <c r="T689" s="79">
        <v>1.95810222737E-2</v>
      </c>
      <c r="U689" s="79">
        <v>1.7972444365689101E-2</v>
      </c>
      <c r="V689" s="79">
        <v>4.0366428141698198E-2</v>
      </c>
      <c r="W689" s="79">
        <v>1</v>
      </c>
    </row>
    <row r="690" spans="1:23" x14ac:dyDescent="0.2">
      <c r="A690" s="69"/>
      <c r="B690" s="56" t="s">
        <v>354</v>
      </c>
      <c r="C690" s="78">
        <v>5555</v>
      </c>
      <c r="D690" s="79">
        <v>-2.5679326999999998E-2</v>
      </c>
      <c r="E690" s="79">
        <v>1.3838229000000001E-2</v>
      </c>
      <c r="F690" s="79">
        <v>6.3555289000000001E-2</v>
      </c>
      <c r="G690" s="79">
        <v>0.51045355532278502</v>
      </c>
      <c r="H690" s="80">
        <v>1</v>
      </c>
      <c r="I690" s="79">
        <v>-3.3666564970437499E-3</v>
      </c>
      <c r="J690" s="79">
        <v>1.37668490970345E-2</v>
      </c>
      <c r="K690" s="79">
        <v>0.80681607941634004</v>
      </c>
      <c r="L690" s="79">
        <v>0.96211732726388599</v>
      </c>
      <c r="M690" s="80">
        <v>1</v>
      </c>
      <c r="N690" s="81">
        <v>7.3659043814143801E-2</v>
      </c>
      <c r="O690" s="81">
        <v>1.3641210821674901E-2</v>
      </c>
      <c r="P690" s="81">
        <v>6.9714688848592896E-8</v>
      </c>
      <c r="Q690" s="81">
        <v>1.19114012201761E-6</v>
      </c>
      <c r="R690" s="82">
        <v>8.8467940148864404E-5</v>
      </c>
      <c r="S690" s="79">
        <v>5.5566670026345903E-2</v>
      </c>
      <c r="T690" s="79">
        <v>1.3635683148794001E-2</v>
      </c>
      <c r="U690" s="79">
        <v>4.6677598126785799E-5</v>
      </c>
      <c r="V690" s="79">
        <v>4.5216696200680299E-4</v>
      </c>
      <c r="W690" s="79">
        <v>5.9233872022891203E-2</v>
      </c>
    </row>
    <row r="691" spans="1:23" x14ac:dyDescent="0.2">
      <c r="A691" s="69"/>
      <c r="B691" s="56" t="s">
        <v>355</v>
      </c>
      <c r="C691" s="78">
        <v>5555</v>
      </c>
      <c r="D691" s="79">
        <v>-3.404181E-3</v>
      </c>
      <c r="E691" s="79">
        <v>1.3786415E-2</v>
      </c>
      <c r="F691" s="79">
        <v>0.80497764999999999</v>
      </c>
      <c r="G691" s="79">
        <v>0.98545101377932998</v>
      </c>
      <c r="H691" s="80">
        <v>1</v>
      </c>
      <c r="I691" s="79">
        <v>1.17123547014457E-2</v>
      </c>
      <c r="J691" s="79">
        <v>1.37109231884482E-2</v>
      </c>
      <c r="K691" s="79">
        <v>0.39301432464401598</v>
      </c>
      <c r="L691" s="79">
        <v>0.83369555356615399</v>
      </c>
      <c r="M691" s="80">
        <v>1</v>
      </c>
      <c r="N691" s="81">
        <v>9.1886541527870402E-2</v>
      </c>
      <c r="O691" s="81">
        <v>1.35694875256597E-2</v>
      </c>
      <c r="P691" s="81">
        <v>1.41557321864923E-11</v>
      </c>
      <c r="Q691" s="81">
        <v>5.7404646821409296E-10</v>
      </c>
      <c r="R691" s="82">
        <v>1.7963624144658699E-8</v>
      </c>
      <c r="S691" s="81">
        <v>9.5043539268252097E-2</v>
      </c>
      <c r="T691" s="81">
        <v>1.35437617833555E-2</v>
      </c>
      <c r="U691" s="81">
        <v>2.5465310800137302E-12</v>
      </c>
      <c r="V691" s="81">
        <v>8.0788698513435605E-10</v>
      </c>
      <c r="W691" s="81">
        <v>3.2315479405374201E-9</v>
      </c>
    </row>
    <row r="692" spans="1:23" x14ac:dyDescent="0.2">
      <c r="A692" s="69"/>
      <c r="B692" s="56" t="s">
        <v>356</v>
      </c>
      <c r="C692" s="78">
        <v>5555</v>
      </c>
      <c r="D692" s="79">
        <v>-2.9145279999999999E-2</v>
      </c>
      <c r="E692" s="79">
        <v>1.3827037E-2</v>
      </c>
      <c r="F692" s="79">
        <v>3.5091400000000002E-2</v>
      </c>
      <c r="G692" s="79">
        <v>0.43476803659223301</v>
      </c>
      <c r="H692" s="80">
        <v>1</v>
      </c>
      <c r="I692" s="79">
        <v>-1.24469376570173E-2</v>
      </c>
      <c r="J692" s="79">
        <v>1.3764486657551801E-2</v>
      </c>
      <c r="K692" s="79">
        <v>0.365889430978597</v>
      </c>
      <c r="L692" s="79">
        <v>0.81642974499659005</v>
      </c>
      <c r="M692" s="80">
        <v>1</v>
      </c>
      <c r="N692" s="81">
        <v>8.3411860054422596E-2</v>
      </c>
      <c r="O692" s="81">
        <v>1.3629323107155601E-2</v>
      </c>
      <c r="P692" s="81">
        <v>1.00399727328882E-9</v>
      </c>
      <c r="Q692" s="81">
        <v>2.3164955269154799E-8</v>
      </c>
      <c r="R692" s="82">
        <v>1.2740725398035101E-6</v>
      </c>
      <c r="S692" s="79">
        <v>4.7698697702235497E-2</v>
      </c>
      <c r="T692" s="79">
        <v>1.36347742557554E-2</v>
      </c>
      <c r="U692" s="79">
        <v>4.7209539330816101E-4</v>
      </c>
      <c r="V692" s="79">
        <v>2.5602096329404101E-3</v>
      </c>
      <c r="W692" s="79">
        <v>0.59908905410805602</v>
      </c>
    </row>
    <row r="693" spans="1:23" x14ac:dyDescent="0.2">
      <c r="A693" s="69"/>
      <c r="B693" s="56" t="s">
        <v>357</v>
      </c>
      <c r="C693" s="78">
        <v>5555</v>
      </c>
      <c r="D693" s="79">
        <v>-1.9092169999999999E-2</v>
      </c>
      <c r="E693" s="79">
        <v>1.3809409E-2</v>
      </c>
      <c r="F693" s="79">
        <v>0.16686379500000001</v>
      </c>
      <c r="G693" s="79">
        <v>0.69550973380327896</v>
      </c>
      <c r="H693" s="80">
        <v>1</v>
      </c>
      <c r="I693" s="79">
        <v>6.0593558570054898E-4</v>
      </c>
      <c r="J693" s="79">
        <v>1.37296422861853E-2</v>
      </c>
      <c r="K693" s="79">
        <v>0.96479983353623899</v>
      </c>
      <c r="L693" s="79">
        <v>0.98858779149967102</v>
      </c>
      <c r="M693" s="80">
        <v>1</v>
      </c>
      <c r="N693" s="79">
        <v>3.8004054997317099E-2</v>
      </c>
      <c r="O693" s="79">
        <v>1.3631773712141601E-2</v>
      </c>
      <c r="P693" s="79">
        <v>5.3249229765452797E-3</v>
      </c>
      <c r="Q693" s="79">
        <v>1.39326335200741E-2</v>
      </c>
      <c r="R693" s="80">
        <v>1</v>
      </c>
      <c r="S693" s="79">
        <v>3.1279497756980898E-2</v>
      </c>
      <c r="T693" s="79">
        <v>1.36173710207886E-2</v>
      </c>
      <c r="U693" s="79">
        <v>2.1657324283664101E-2</v>
      </c>
      <c r="V693" s="79">
        <v>4.6819666977802002E-2</v>
      </c>
      <c r="W693" s="79">
        <v>1</v>
      </c>
    </row>
    <row r="694" spans="1:23" x14ac:dyDescent="0.2">
      <c r="A694" s="69"/>
      <c r="B694" s="56" t="s">
        <v>358</v>
      </c>
      <c r="C694" s="78">
        <v>5555</v>
      </c>
      <c r="D694" s="79">
        <v>-6.7624490000000002E-3</v>
      </c>
      <c r="E694" s="79">
        <v>1.3742432000000001E-2</v>
      </c>
      <c r="F694" s="79">
        <v>0.62267964200000003</v>
      </c>
      <c r="G694" s="79">
        <v>0.97058889595588205</v>
      </c>
      <c r="H694" s="80">
        <v>1</v>
      </c>
      <c r="I694" s="79">
        <v>2.3017249845639898E-2</v>
      </c>
      <c r="J694" s="79">
        <v>1.36692942319908E-2</v>
      </c>
      <c r="K694" s="79">
        <v>9.2268166179893599E-2</v>
      </c>
      <c r="L694" s="79">
        <v>0.59811020064394504</v>
      </c>
      <c r="M694" s="80">
        <v>1</v>
      </c>
      <c r="N694" s="79">
        <v>5.0948455736170198E-2</v>
      </c>
      <c r="O694" s="79">
        <v>1.3571987670181199E-2</v>
      </c>
      <c r="P694" s="79">
        <v>1.75978765012654E-4</v>
      </c>
      <c r="Q694" s="79">
        <v>9.19000217288304E-4</v>
      </c>
      <c r="R694" s="80">
        <v>0.22331705280105801</v>
      </c>
      <c r="S694" s="79">
        <v>5.0427148248156202E-2</v>
      </c>
      <c r="T694" s="79">
        <v>1.35492852739134E-2</v>
      </c>
      <c r="U694" s="79">
        <v>1.9991802504284699E-4</v>
      </c>
      <c r="V694" s="79">
        <v>1.3423067395734001E-3</v>
      </c>
      <c r="W694" s="79">
        <v>0.25369597377937297</v>
      </c>
    </row>
    <row r="695" spans="1:23" x14ac:dyDescent="0.2">
      <c r="A695" s="69"/>
      <c r="B695" s="56" t="s">
        <v>359</v>
      </c>
      <c r="C695" s="78">
        <v>5555</v>
      </c>
      <c r="D695" s="79">
        <v>-2.7740416E-2</v>
      </c>
      <c r="E695" s="79">
        <v>1.3689412999999999E-2</v>
      </c>
      <c r="F695" s="79">
        <v>4.2774E-2</v>
      </c>
      <c r="G695" s="79">
        <v>0.450921001285714</v>
      </c>
      <c r="H695" s="80">
        <v>1</v>
      </c>
      <c r="I695" s="79">
        <v>-2.6074651462103599E-2</v>
      </c>
      <c r="J695" s="79">
        <v>1.36061251510378E-2</v>
      </c>
      <c r="K695" s="79">
        <v>5.53718200356507E-2</v>
      </c>
      <c r="L695" s="79">
        <v>0.56477779537004102</v>
      </c>
      <c r="M695" s="80">
        <v>1</v>
      </c>
      <c r="N695" s="81">
        <v>0.10171094060939501</v>
      </c>
      <c r="O695" s="81">
        <v>1.34573571820348E-2</v>
      </c>
      <c r="P695" s="81">
        <v>4.8300696407821601E-14</v>
      </c>
      <c r="Q695" s="81">
        <v>3.6055049259720999E-12</v>
      </c>
      <c r="R695" s="82">
        <v>6.1293583741525604E-11</v>
      </c>
      <c r="S695" s="79">
        <v>4.0115670246584002E-2</v>
      </c>
      <c r="T695" s="79">
        <v>1.3496064349368E-2</v>
      </c>
      <c r="U695" s="79">
        <v>2.9685889990067001E-3</v>
      </c>
      <c r="V695" s="79">
        <v>1.03983633544953E-2</v>
      </c>
      <c r="W695" s="79">
        <v>1</v>
      </c>
    </row>
    <row r="696" spans="1:23" x14ac:dyDescent="0.2">
      <c r="A696" s="69"/>
      <c r="B696" s="56" t="s">
        <v>360</v>
      </c>
      <c r="C696" s="78">
        <v>5555</v>
      </c>
      <c r="D696" s="79">
        <v>1.9162647000000001E-2</v>
      </c>
      <c r="E696" s="79">
        <v>1.3643318999999999E-2</v>
      </c>
      <c r="F696" s="79">
        <v>0.160217784</v>
      </c>
      <c r="G696" s="79">
        <v>0.68920802676610204</v>
      </c>
      <c r="H696" s="80">
        <v>1</v>
      </c>
      <c r="I696" s="79">
        <v>9.6090045134246092E-3</v>
      </c>
      <c r="J696" s="79">
        <v>1.3565763186570001E-2</v>
      </c>
      <c r="K696" s="79">
        <v>0.47877486188079399</v>
      </c>
      <c r="L696" s="79">
        <v>0.87691873231571305</v>
      </c>
      <c r="M696" s="80">
        <v>1</v>
      </c>
      <c r="N696" s="81">
        <v>5.6253792682967999E-2</v>
      </c>
      <c r="O696" s="81">
        <v>1.3466067093312099E-2</v>
      </c>
      <c r="P696" s="81">
        <v>2.99793962249252E-5</v>
      </c>
      <c r="Q696" s="81">
        <v>2.13729515783315E-4</v>
      </c>
      <c r="R696" s="82">
        <v>3.8043853809430102E-2</v>
      </c>
      <c r="S696" s="79">
        <v>3.3600188202750299E-2</v>
      </c>
      <c r="T696" s="79">
        <v>1.3459493595336E-2</v>
      </c>
      <c r="U696" s="79">
        <v>1.25777532194166E-2</v>
      </c>
      <c r="V696" s="79">
        <v>3.0753697178111099E-2</v>
      </c>
      <c r="W696" s="79">
        <v>1</v>
      </c>
    </row>
    <row r="697" spans="1:23" x14ac:dyDescent="0.2">
      <c r="A697" s="69"/>
      <c r="B697" s="56" t="s">
        <v>361</v>
      </c>
      <c r="C697" s="78">
        <v>5555</v>
      </c>
      <c r="D697" s="79">
        <v>-3.1819445000000002E-2</v>
      </c>
      <c r="E697" s="79">
        <v>1.3641719E-2</v>
      </c>
      <c r="F697" s="79">
        <v>1.9711607999999999E-2</v>
      </c>
      <c r="G697" s="79">
        <v>0.349577479479452</v>
      </c>
      <c r="H697" s="80">
        <v>1</v>
      </c>
      <c r="I697" s="79">
        <v>-3.18801043938505E-2</v>
      </c>
      <c r="J697" s="79">
        <v>1.35666745329513E-2</v>
      </c>
      <c r="K697" s="79">
        <v>1.8816758757922599E-2</v>
      </c>
      <c r="L697" s="79">
        <v>0.41909202640396798</v>
      </c>
      <c r="M697" s="80">
        <v>1</v>
      </c>
      <c r="N697" s="81">
        <v>9.4087744260515804E-2</v>
      </c>
      <c r="O697" s="81">
        <v>1.34303263986786E-2</v>
      </c>
      <c r="P697" s="81">
        <v>2.77317196152219E-12</v>
      </c>
      <c r="Q697" s="81">
        <v>1.3535212381429499E-10</v>
      </c>
      <c r="R697" s="82">
        <v>3.51915521917166E-9</v>
      </c>
      <c r="S697" s="79">
        <v>1.48960008524112E-2</v>
      </c>
      <c r="T697" s="79">
        <v>1.3465166226029101E-2</v>
      </c>
      <c r="U697" s="79">
        <v>0.26866409043085898</v>
      </c>
      <c r="V697" s="79">
        <v>0.360777492864296</v>
      </c>
      <c r="W697" s="79">
        <v>1</v>
      </c>
    </row>
    <row r="698" spans="1:23" x14ac:dyDescent="0.2">
      <c r="A698" s="69"/>
      <c r="B698" s="56" t="s">
        <v>446</v>
      </c>
      <c r="C698" s="78">
        <v>5554</v>
      </c>
      <c r="D698" s="79">
        <v>1.6950257E-2</v>
      </c>
      <c r="E698" s="79">
        <v>1.381783E-2</v>
      </c>
      <c r="F698" s="79">
        <v>0.21999450300000001</v>
      </c>
      <c r="G698" s="79">
        <v>0.74224234113157905</v>
      </c>
      <c r="H698" s="80">
        <v>1</v>
      </c>
      <c r="I698" s="79">
        <v>1.6652784829228901E-2</v>
      </c>
      <c r="J698" s="79">
        <v>1.3735167644743499E-2</v>
      </c>
      <c r="K698" s="79">
        <v>0.22540960980401201</v>
      </c>
      <c r="L698" s="79">
        <v>0.73459417908661795</v>
      </c>
      <c r="M698" s="80">
        <v>1</v>
      </c>
      <c r="N698" s="79">
        <v>4.7926049551569302E-2</v>
      </c>
      <c r="O698" s="79">
        <v>1.36367522502921E-2</v>
      </c>
      <c r="P698" s="79">
        <v>4.4454118601068002E-4</v>
      </c>
      <c r="Q698" s="79">
        <v>1.95875960085956E-3</v>
      </c>
      <c r="R698" s="80">
        <v>0.56412276504755299</v>
      </c>
      <c r="S698" s="81">
        <v>6.3845785990091899E-2</v>
      </c>
      <c r="T698" s="81">
        <v>1.3606675335777099E-2</v>
      </c>
      <c r="U698" s="81">
        <v>2.7736898150445101E-6</v>
      </c>
      <c r="V698" s="81">
        <v>5.86635395881914E-5</v>
      </c>
      <c r="W698" s="81">
        <v>3.51981237529148E-3</v>
      </c>
    </row>
    <row r="699" spans="1:23" x14ac:dyDescent="0.2">
      <c r="A699" s="69"/>
      <c r="B699" s="56" t="s">
        <v>447</v>
      </c>
      <c r="C699" s="78">
        <v>5554</v>
      </c>
      <c r="D699" s="79">
        <v>9.1511830000000002E-3</v>
      </c>
      <c r="E699" s="79">
        <v>1.3846457E-2</v>
      </c>
      <c r="F699" s="79">
        <v>0.50870461499999997</v>
      </c>
      <c r="G699" s="79">
        <v>0.92884339055395704</v>
      </c>
      <c r="H699" s="80">
        <v>1</v>
      </c>
      <c r="I699" s="79">
        <v>3.9877450891348202E-3</v>
      </c>
      <c r="J699" s="79">
        <v>1.3755832436224399E-2</v>
      </c>
      <c r="K699" s="79">
        <v>0.77190919719350004</v>
      </c>
      <c r="L699" s="79">
        <v>0.95389133514851498</v>
      </c>
      <c r="M699" s="80">
        <v>1</v>
      </c>
      <c r="N699" s="79">
        <v>3.0463990438954001E-2</v>
      </c>
      <c r="O699" s="79">
        <v>1.3646157837912299E-2</v>
      </c>
      <c r="P699" s="79">
        <v>2.5633226880354999E-2</v>
      </c>
      <c r="Q699" s="79">
        <v>5.0746591125071003E-2</v>
      </c>
      <c r="R699" s="80">
        <v>1</v>
      </c>
      <c r="S699" s="79">
        <v>5.2781171569077703E-2</v>
      </c>
      <c r="T699" s="79">
        <v>1.3630227247918E-2</v>
      </c>
      <c r="U699" s="79">
        <v>1.09189160482002E-4</v>
      </c>
      <c r="V699" s="79">
        <v>8.4906478864953604E-4</v>
      </c>
      <c r="W699" s="79">
        <v>0.138561044651661</v>
      </c>
    </row>
    <row r="700" spans="1:23" x14ac:dyDescent="0.2">
      <c r="A700" s="69"/>
      <c r="B700" s="56" t="s">
        <v>448</v>
      </c>
      <c r="C700" s="78">
        <v>5554</v>
      </c>
      <c r="D700" s="79">
        <v>3.3227274000000001E-2</v>
      </c>
      <c r="E700" s="79">
        <v>1.3842055000000001E-2</v>
      </c>
      <c r="F700" s="79">
        <v>1.6410098000000001E-2</v>
      </c>
      <c r="G700" s="79">
        <v>0.349577479479452</v>
      </c>
      <c r="H700" s="80">
        <v>1</v>
      </c>
      <c r="I700" s="79">
        <v>9.0077807013103795E-3</v>
      </c>
      <c r="J700" s="79">
        <v>1.3766667771045E-2</v>
      </c>
      <c r="K700" s="79">
        <v>0.51293681633976596</v>
      </c>
      <c r="L700" s="79">
        <v>0.89454937074195695</v>
      </c>
      <c r="M700" s="80">
        <v>1</v>
      </c>
      <c r="N700" s="79">
        <v>4.6232695089205203E-2</v>
      </c>
      <c r="O700" s="79">
        <v>1.36532501389345E-2</v>
      </c>
      <c r="P700" s="79">
        <v>7.1412192460397104E-4</v>
      </c>
      <c r="Q700" s="79">
        <v>2.7713171936466002E-3</v>
      </c>
      <c r="R700" s="80">
        <v>0.906220722322439</v>
      </c>
      <c r="S700" s="81">
        <v>6.8189985604346207E-2</v>
      </c>
      <c r="T700" s="81">
        <v>1.36239157265693E-2</v>
      </c>
      <c r="U700" s="81">
        <v>5.7694865117408699E-7</v>
      </c>
      <c r="V700" s="81">
        <v>1.8303695958497901E-5</v>
      </c>
      <c r="W700" s="81">
        <v>7.3214783833991598E-4</v>
      </c>
    </row>
    <row r="701" spans="1:23" x14ac:dyDescent="0.2">
      <c r="A701" s="69"/>
      <c r="B701" s="56" t="s">
        <v>449</v>
      </c>
      <c r="C701" s="78">
        <v>5554</v>
      </c>
      <c r="D701" s="79">
        <v>-1.5603590000000001E-3</v>
      </c>
      <c r="E701" s="79">
        <v>1.3757706999999999E-2</v>
      </c>
      <c r="F701" s="79">
        <v>0.90970429799999997</v>
      </c>
      <c r="G701" s="79">
        <v>0.991673151733656</v>
      </c>
      <c r="H701" s="80">
        <v>1</v>
      </c>
      <c r="I701" s="79">
        <v>2.85257926332137E-3</v>
      </c>
      <c r="J701" s="79">
        <v>1.3673470786577799E-2</v>
      </c>
      <c r="K701" s="79">
        <v>0.83475215179145101</v>
      </c>
      <c r="L701" s="79">
        <v>0.96739769919940799</v>
      </c>
      <c r="M701" s="80">
        <v>1</v>
      </c>
      <c r="N701" s="81">
        <v>7.9678959771037797E-2</v>
      </c>
      <c r="O701" s="81">
        <v>1.35394734999767E-2</v>
      </c>
      <c r="P701" s="81">
        <v>4.23792987729156E-9</v>
      </c>
      <c r="Q701" s="81">
        <v>9.11514070217456E-8</v>
      </c>
      <c r="R701" s="82">
        <v>5.3779330142829898E-6</v>
      </c>
      <c r="S701" s="79">
        <v>3.43980918379908E-2</v>
      </c>
      <c r="T701" s="79">
        <v>1.3560586439766899E-2</v>
      </c>
      <c r="U701" s="79">
        <v>1.1222108945439801E-2</v>
      </c>
      <c r="V701" s="79">
        <v>2.8361241330127799E-2</v>
      </c>
      <c r="W701" s="79">
        <v>1</v>
      </c>
    </row>
    <row r="702" spans="1:23" x14ac:dyDescent="0.2">
      <c r="A702" s="69"/>
      <c r="B702" s="56" t="s">
        <v>450</v>
      </c>
      <c r="C702" s="78">
        <v>5554</v>
      </c>
      <c r="D702" s="79">
        <v>5.9265900000000005E-4</v>
      </c>
      <c r="E702" s="79">
        <v>1.3728381E-2</v>
      </c>
      <c r="F702" s="79">
        <v>0.96556742100000004</v>
      </c>
      <c r="G702" s="79">
        <v>0.991673151733656</v>
      </c>
      <c r="H702" s="80">
        <v>1</v>
      </c>
      <c r="I702" s="79">
        <v>-4.8342803667446701E-3</v>
      </c>
      <c r="J702" s="79">
        <v>1.36453734582006E-2</v>
      </c>
      <c r="K702" s="79">
        <v>0.72314412396115202</v>
      </c>
      <c r="L702" s="79">
        <v>0.94313452549506904</v>
      </c>
      <c r="M702" s="80">
        <v>1</v>
      </c>
      <c r="N702" s="79">
        <v>1.7588675690562099E-2</v>
      </c>
      <c r="O702" s="79">
        <v>1.3553247213328999E-2</v>
      </c>
      <c r="P702" s="79">
        <v>0.19443429203468299</v>
      </c>
      <c r="Q702" s="79">
        <v>0.26906991994766899</v>
      </c>
      <c r="R702" s="80">
        <v>1</v>
      </c>
      <c r="S702" s="79">
        <v>1.64416933380537E-2</v>
      </c>
      <c r="T702" s="79">
        <v>1.35382063996382E-2</v>
      </c>
      <c r="U702" s="79">
        <v>0.22462621901351501</v>
      </c>
      <c r="V702" s="79">
        <v>0.31075132472241102</v>
      </c>
      <c r="W702" s="79">
        <v>1</v>
      </c>
    </row>
    <row r="703" spans="1:23" x14ac:dyDescent="0.2">
      <c r="A703" s="69"/>
      <c r="B703" s="56" t="s">
        <v>451</v>
      </c>
      <c r="C703" s="78">
        <v>5554</v>
      </c>
      <c r="D703" s="79">
        <v>-1.2614737000000001E-2</v>
      </c>
      <c r="E703" s="79">
        <v>1.3837782E-2</v>
      </c>
      <c r="F703" s="79">
        <v>0.36201251000000001</v>
      </c>
      <c r="G703" s="79">
        <v>0.880152082540541</v>
      </c>
      <c r="H703" s="80">
        <v>1</v>
      </c>
      <c r="I703" s="79">
        <v>-9.8723717315780703E-3</v>
      </c>
      <c r="J703" s="79">
        <v>1.37743912118113E-2</v>
      </c>
      <c r="K703" s="79">
        <v>0.47357921289204902</v>
      </c>
      <c r="L703" s="79">
        <v>0.87477732337701597</v>
      </c>
      <c r="M703" s="80">
        <v>1</v>
      </c>
      <c r="N703" s="79">
        <v>3.1664487711015099E-2</v>
      </c>
      <c r="O703" s="79">
        <v>1.3676627223808E-2</v>
      </c>
      <c r="P703" s="79">
        <v>2.0638776850693898E-2</v>
      </c>
      <c r="Q703" s="79">
        <v>4.2311159650291703E-2</v>
      </c>
      <c r="R703" s="80">
        <v>1</v>
      </c>
      <c r="S703" s="79">
        <v>3.9211472299876399E-2</v>
      </c>
      <c r="T703" s="79">
        <v>1.36456300098689E-2</v>
      </c>
      <c r="U703" s="79">
        <v>4.0749380246430898E-3</v>
      </c>
      <c r="V703" s="79">
        <v>1.30913831728407E-2</v>
      </c>
      <c r="W703" s="79">
        <v>1</v>
      </c>
    </row>
    <row r="704" spans="1:23" x14ac:dyDescent="0.2">
      <c r="A704" s="69"/>
      <c r="B704" s="56" t="s">
        <v>362</v>
      </c>
      <c r="C704" s="78">
        <v>5555</v>
      </c>
      <c r="D704" s="79">
        <v>5.8591850000000003E-3</v>
      </c>
      <c r="E704" s="79">
        <v>1.3809487E-2</v>
      </c>
      <c r="F704" s="79">
        <v>0.67137426700000002</v>
      </c>
      <c r="G704" s="79">
        <v>0.98545101377932998</v>
      </c>
      <c r="H704" s="80">
        <v>1</v>
      </c>
      <c r="I704" s="79">
        <v>-1.71768549935326E-3</v>
      </c>
      <c r="J704" s="79">
        <v>1.37332107054935E-2</v>
      </c>
      <c r="K704" s="79">
        <v>0.90046888654101598</v>
      </c>
      <c r="L704" s="79">
        <v>0.981200184300273</v>
      </c>
      <c r="M704" s="80">
        <v>1</v>
      </c>
      <c r="N704" s="79">
        <v>3.8938407769864701E-2</v>
      </c>
      <c r="O704" s="79">
        <v>1.36401471512367E-2</v>
      </c>
      <c r="P704" s="79">
        <v>4.3252399314963599E-3</v>
      </c>
      <c r="Q704" s="79">
        <v>1.1958016281195799E-2</v>
      </c>
      <c r="R704" s="80">
        <v>1</v>
      </c>
      <c r="S704" s="81">
        <v>5.8764344501161699E-2</v>
      </c>
      <c r="T704" s="81">
        <v>1.36016353125061E-2</v>
      </c>
      <c r="U704" s="81">
        <v>1.5868566421658002E-5</v>
      </c>
      <c r="V704" s="81">
        <v>2.0976261238629199E-4</v>
      </c>
      <c r="W704" s="81">
        <v>2.0137210789083999E-2</v>
      </c>
    </row>
    <row r="705" spans="1:23" x14ac:dyDescent="0.2">
      <c r="A705" s="69"/>
      <c r="B705" s="56" t="s">
        <v>452</v>
      </c>
      <c r="C705" s="78">
        <v>5554</v>
      </c>
      <c r="D705" s="79">
        <v>7.3263030000000002E-3</v>
      </c>
      <c r="E705" s="79">
        <v>1.3764864E-2</v>
      </c>
      <c r="F705" s="79">
        <v>0.59457803099999995</v>
      </c>
      <c r="G705" s="79">
        <v>0.95648801765233904</v>
      </c>
      <c r="H705" s="80">
        <v>1</v>
      </c>
      <c r="I705" s="79">
        <v>9.8447356771522894E-3</v>
      </c>
      <c r="J705" s="79">
        <v>1.36726047259427E-2</v>
      </c>
      <c r="K705" s="79">
        <v>0.47153727992507999</v>
      </c>
      <c r="L705" s="79">
        <v>0.87326336285163797</v>
      </c>
      <c r="M705" s="80">
        <v>1</v>
      </c>
      <c r="N705" s="79">
        <v>1.82189112384816E-2</v>
      </c>
      <c r="O705" s="79">
        <v>1.3581614444651301E-2</v>
      </c>
      <c r="P705" s="79">
        <v>0.17983762778421999</v>
      </c>
      <c r="Q705" s="79">
        <v>0.25413580140108599</v>
      </c>
      <c r="R705" s="80">
        <v>1</v>
      </c>
      <c r="S705" s="79">
        <v>4.6659065842965898E-2</v>
      </c>
      <c r="T705" s="79">
        <v>1.3561612707923099E-2</v>
      </c>
      <c r="U705" s="79">
        <v>5.8518580541894996E-4</v>
      </c>
      <c r="V705" s="79">
        <v>3.0310236207210101E-3</v>
      </c>
      <c r="W705" s="79">
        <v>0.74260078707664701</v>
      </c>
    </row>
    <row r="706" spans="1:23" x14ac:dyDescent="0.2">
      <c r="A706" s="69"/>
      <c r="B706" s="56" t="s">
        <v>453</v>
      </c>
      <c r="C706" s="78">
        <v>5554</v>
      </c>
      <c r="D706" s="79">
        <v>3.5132931999999999E-2</v>
      </c>
      <c r="E706" s="79">
        <v>1.3874109000000001E-2</v>
      </c>
      <c r="F706" s="79">
        <v>1.1361697E-2</v>
      </c>
      <c r="G706" s="79">
        <v>0.306765819</v>
      </c>
      <c r="H706" s="80">
        <v>1</v>
      </c>
      <c r="I706" s="79">
        <v>1.0018268497962999E-2</v>
      </c>
      <c r="J706" s="79">
        <v>1.3810957592299E-2</v>
      </c>
      <c r="K706" s="79">
        <v>0.46824831245342802</v>
      </c>
      <c r="L706" s="79">
        <v>0.87326336285163797</v>
      </c>
      <c r="M706" s="80">
        <v>1</v>
      </c>
      <c r="N706" s="79">
        <v>3.3703749418249898E-2</v>
      </c>
      <c r="O706" s="79">
        <v>1.3711534011305501E-2</v>
      </c>
      <c r="P706" s="79">
        <v>1.4001446316815901E-2</v>
      </c>
      <c r="Q706" s="79">
        <v>3.1281106393223401E-2</v>
      </c>
      <c r="R706" s="80">
        <v>1</v>
      </c>
      <c r="S706" s="79">
        <v>5.0437666181094597E-2</v>
      </c>
      <c r="T706" s="79">
        <v>1.36782945338199E-2</v>
      </c>
      <c r="U706" s="79">
        <v>2.2882830295190099E-4</v>
      </c>
      <c r="V706" s="79">
        <v>1.4891441869023701E-3</v>
      </c>
      <c r="W706" s="79">
        <v>0.29038311644596199</v>
      </c>
    </row>
    <row r="707" spans="1:23" x14ac:dyDescent="0.2">
      <c r="A707" s="69"/>
      <c r="B707" s="56" t="s">
        <v>363</v>
      </c>
      <c r="C707" s="78">
        <v>5555</v>
      </c>
      <c r="D707" s="79">
        <v>6.4331090000000002E-3</v>
      </c>
      <c r="E707" s="79">
        <v>1.3817118E-2</v>
      </c>
      <c r="F707" s="79">
        <v>0.64152917899999995</v>
      </c>
      <c r="G707" s="79">
        <v>0.98128049383734905</v>
      </c>
      <c r="H707" s="80">
        <v>1</v>
      </c>
      <c r="I707" s="79">
        <v>-2.9916145195556902E-3</v>
      </c>
      <c r="J707" s="79">
        <v>1.3733726418969701E-2</v>
      </c>
      <c r="K707" s="79">
        <v>0.82757070665801502</v>
      </c>
      <c r="L707" s="79">
        <v>0.96435925321305904</v>
      </c>
      <c r="M707" s="80">
        <v>1</v>
      </c>
      <c r="N707" s="79">
        <v>5.2538734125689102E-2</v>
      </c>
      <c r="O707" s="79">
        <v>1.3635755907662099E-2</v>
      </c>
      <c r="P707" s="79">
        <v>1.18137901445998E-4</v>
      </c>
      <c r="Q707" s="79">
        <v>6.7530178799536699E-4</v>
      </c>
      <c r="R707" s="80">
        <v>0.14991699693497099</v>
      </c>
      <c r="S707" s="79">
        <v>4.3124195583949601E-2</v>
      </c>
      <c r="T707" s="79">
        <v>1.36240176908146E-2</v>
      </c>
      <c r="U707" s="79">
        <v>1.55839562414129E-3</v>
      </c>
      <c r="V707" s="79">
        <v>6.4417069936003202E-3</v>
      </c>
      <c r="W707" s="79">
        <v>1</v>
      </c>
    </row>
    <row r="708" spans="1:23" x14ac:dyDescent="0.2">
      <c r="A708" s="69"/>
      <c r="B708" s="56" t="s">
        <v>364</v>
      </c>
      <c r="C708" s="78">
        <v>5554</v>
      </c>
      <c r="D708" s="79">
        <v>-9.1620460000000001E-3</v>
      </c>
      <c r="E708" s="79">
        <v>1.3771904999999999E-2</v>
      </c>
      <c r="F708" s="79">
        <v>0.50590803500000003</v>
      </c>
      <c r="G708" s="79">
        <v>0.92884339055395704</v>
      </c>
      <c r="H708" s="80">
        <v>1</v>
      </c>
      <c r="I708" s="79">
        <v>2.46468492204222E-2</v>
      </c>
      <c r="J708" s="79">
        <v>1.36705182320027E-2</v>
      </c>
      <c r="K708" s="79">
        <v>7.1462445000257002E-2</v>
      </c>
      <c r="L708" s="79">
        <v>0.57459637698370203</v>
      </c>
      <c r="M708" s="80">
        <v>1</v>
      </c>
      <c r="N708" s="79">
        <v>3.22763977327876E-2</v>
      </c>
      <c r="O708" s="79">
        <v>1.35751858354397E-2</v>
      </c>
      <c r="P708" s="79">
        <v>1.74639726125221E-2</v>
      </c>
      <c r="Q708" s="79">
        <v>3.7309396035842698E-2</v>
      </c>
      <c r="R708" s="80">
        <v>1</v>
      </c>
      <c r="S708" s="79">
        <v>4.5610859977202003E-2</v>
      </c>
      <c r="T708" s="79">
        <v>1.35627880374796E-2</v>
      </c>
      <c r="U708" s="79">
        <v>7.7699656625609904E-4</v>
      </c>
      <c r="V708" s="79">
        <v>3.7067994081916899E-3</v>
      </c>
      <c r="W708" s="79">
        <v>0.98600864257899001</v>
      </c>
    </row>
    <row r="709" spans="1:23" x14ac:dyDescent="0.2">
      <c r="A709" s="69"/>
      <c r="B709" s="56" t="s">
        <v>365</v>
      </c>
      <c r="C709" s="78">
        <v>5554</v>
      </c>
      <c r="D709" s="79">
        <v>-1.030298E-3</v>
      </c>
      <c r="E709" s="79">
        <v>1.381429E-2</v>
      </c>
      <c r="F709" s="79">
        <v>0.94055010999999999</v>
      </c>
      <c r="G709" s="79">
        <v>0.991673151733656</v>
      </c>
      <c r="H709" s="80">
        <v>1</v>
      </c>
      <c r="I709" s="79">
        <v>6.2780860609733596E-3</v>
      </c>
      <c r="J709" s="79">
        <v>1.3738039823291699E-2</v>
      </c>
      <c r="K709" s="79">
        <v>0.64770045980761504</v>
      </c>
      <c r="L709" s="79">
        <v>0.92297773253577797</v>
      </c>
      <c r="M709" s="80">
        <v>1</v>
      </c>
      <c r="N709" s="79">
        <v>2.92988435924494E-2</v>
      </c>
      <c r="O709" s="79">
        <v>1.36435925069812E-2</v>
      </c>
      <c r="P709" s="79">
        <v>3.1803878741381103E-2</v>
      </c>
      <c r="Q709" s="79">
        <v>6.0508428969734102E-2</v>
      </c>
      <c r="R709" s="80">
        <v>1</v>
      </c>
      <c r="S709" s="79">
        <v>4.89065185282287E-2</v>
      </c>
      <c r="T709" s="79">
        <v>1.3613945392017599E-2</v>
      </c>
      <c r="U709" s="79">
        <v>3.3065981403832602E-4</v>
      </c>
      <c r="V709" s="79">
        <v>1.94262640747517E-3</v>
      </c>
      <c r="W709" s="79">
        <v>0.41960730401463597</v>
      </c>
    </row>
    <row r="710" spans="1:23" x14ac:dyDescent="0.2">
      <c r="A710" s="69"/>
      <c r="B710" s="56" t="s">
        <v>366</v>
      </c>
      <c r="C710" s="78">
        <v>5554</v>
      </c>
      <c r="D710" s="79">
        <v>-6.7838200000000003E-3</v>
      </c>
      <c r="E710" s="79">
        <v>1.3842927E-2</v>
      </c>
      <c r="F710" s="79">
        <v>0.6241139</v>
      </c>
      <c r="G710" s="79">
        <v>0.97058889595588205</v>
      </c>
      <c r="H710" s="80">
        <v>1</v>
      </c>
      <c r="I710" s="79">
        <v>6.5872179602103204E-3</v>
      </c>
      <c r="J710" s="79">
        <v>1.37740850367549E-2</v>
      </c>
      <c r="K710" s="79">
        <v>0.63250438773178597</v>
      </c>
      <c r="L710" s="79">
        <v>0.91965825061269202</v>
      </c>
      <c r="M710" s="80">
        <v>1</v>
      </c>
      <c r="N710" s="81">
        <v>6.0158775301446102E-2</v>
      </c>
      <c r="O710" s="81">
        <v>1.36555780837811E-2</v>
      </c>
      <c r="P710" s="81">
        <v>1.0765711422792001E-5</v>
      </c>
      <c r="Q710" s="81">
        <v>9.1835639021811504E-5</v>
      </c>
      <c r="R710" s="82">
        <v>1.3661687795523099E-2</v>
      </c>
      <c r="S710" s="79">
        <v>2.2109865957066301E-2</v>
      </c>
      <c r="T710" s="79">
        <v>1.3657250514560199E-2</v>
      </c>
      <c r="U710" s="79">
        <v>0.105525754168749</v>
      </c>
      <c r="V710" s="79">
        <v>0.17102449813555901</v>
      </c>
      <c r="W710" s="79">
        <v>1</v>
      </c>
    </row>
    <row r="711" spans="1:23" x14ac:dyDescent="0.2">
      <c r="A711" s="69"/>
      <c r="B711" s="56" t="s">
        <v>367</v>
      </c>
      <c r="C711" s="78">
        <v>5554</v>
      </c>
      <c r="D711" s="79">
        <v>1.1638189E-2</v>
      </c>
      <c r="E711" s="79">
        <v>1.3794851E-2</v>
      </c>
      <c r="F711" s="79">
        <v>0.39889813600000001</v>
      </c>
      <c r="G711" s="79">
        <v>0.88261195738869902</v>
      </c>
      <c r="H711" s="80">
        <v>1</v>
      </c>
      <c r="I711" s="79">
        <v>1.7824720484534901E-2</v>
      </c>
      <c r="J711" s="79">
        <v>1.37100475395995E-2</v>
      </c>
      <c r="K711" s="79">
        <v>0.19361964189938299</v>
      </c>
      <c r="L711" s="79">
        <v>0.71347894824854996</v>
      </c>
      <c r="M711" s="80">
        <v>1</v>
      </c>
      <c r="N711" s="81">
        <v>6.5347002312658206E-2</v>
      </c>
      <c r="O711" s="81">
        <v>1.3596683891292399E-2</v>
      </c>
      <c r="P711" s="81">
        <v>1.5842225530417401E-6</v>
      </c>
      <c r="Q711" s="81">
        <v>1.73308484466377E-5</v>
      </c>
      <c r="R711" s="82">
        <v>2.0103784198099699E-3</v>
      </c>
      <c r="S711" s="79">
        <v>4.1586700824956101E-2</v>
      </c>
      <c r="T711" s="79">
        <v>1.35993850913878E-2</v>
      </c>
      <c r="U711" s="79">
        <v>2.2399496601964498E-3</v>
      </c>
      <c r="V711" s="79">
        <v>8.4097518307375604E-3</v>
      </c>
      <c r="W711" s="79">
        <v>1</v>
      </c>
    </row>
    <row r="712" spans="1:23" x14ac:dyDescent="0.2">
      <c r="A712" s="69"/>
      <c r="B712" s="56" t="s">
        <v>368</v>
      </c>
      <c r="C712" s="78">
        <v>5554</v>
      </c>
      <c r="D712" s="79">
        <v>-3.9986750000000001E-3</v>
      </c>
      <c r="E712" s="79">
        <v>1.3751075E-2</v>
      </c>
      <c r="F712" s="79">
        <v>0.77122387199999998</v>
      </c>
      <c r="G712" s="79">
        <v>0.98545101377932998</v>
      </c>
      <c r="H712" s="80">
        <v>1</v>
      </c>
      <c r="I712" s="79">
        <v>4.8790298860111698E-3</v>
      </c>
      <c r="J712" s="79">
        <v>1.3670322499735399E-2</v>
      </c>
      <c r="K712" s="79">
        <v>0.721176802170027</v>
      </c>
      <c r="L712" s="79">
        <v>0.94250603702756297</v>
      </c>
      <c r="M712" s="80">
        <v>1</v>
      </c>
      <c r="N712" s="81">
        <v>6.8562628343075804E-2</v>
      </c>
      <c r="O712" s="81">
        <v>1.35486944851277E-2</v>
      </c>
      <c r="P712" s="81">
        <v>4.3329286476771302E-7</v>
      </c>
      <c r="Q712" s="81">
        <v>5.6202356994017698E-6</v>
      </c>
      <c r="R712" s="82">
        <v>5.4984864539022805E-4</v>
      </c>
      <c r="S712" s="79">
        <v>4.6245135456204303E-2</v>
      </c>
      <c r="T712" s="79">
        <v>1.35570889513699E-2</v>
      </c>
      <c r="U712" s="79">
        <v>6.5198800942369202E-4</v>
      </c>
      <c r="V712" s="79">
        <v>3.3091145416112699E-3</v>
      </c>
      <c r="W712" s="79">
        <v>0.82737278395866498</v>
      </c>
    </row>
    <row r="713" spans="1:23" x14ac:dyDescent="0.2">
      <c r="A713" s="69"/>
      <c r="B713" s="56" t="s">
        <v>369</v>
      </c>
      <c r="C713" s="78">
        <v>5554</v>
      </c>
      <c r="D713" s="79">
        <v>-3.4570619999999999E-3</v>
      </c>
      <c r="E713" s="79">
        <v>1.3835884999999999E-2</v>
      </c>
      <c r="F713" s="79">
        <v>0.80270377800000003</v>
      </c>
      <c r="G713" s="79">
        <v>0.98545101377932998</v>
      </c>
      <c r="H713" s="80">
        <v>1</v>
      </c>
      <c r="I713" s="79">
        <v>2.1677386481839998E-2</v>
      </c>
      <c r="J713" s="79">
        <v>1.37555192046318E-2</v>
      </c>
      <c r="K713" s="79">
        <v>0.115108168335844</v>
      </c>
      <c r="L713" s="79">
        <v>0.62424045135977002</v>
      </c>
      <c r="M713" s="80">
        <v>1</v>
      </c>
      <c r="N713" s="81">
        <v>6.4508488429214403E-2</v>
      </c>
      <c r="O713" s="81">
        <v>1.36412098309026E-2</v>
      </c>
      <c r="P713" s="81">
        <v>2.3159980647817802E-6</v>
      </c>
      <c r="Q713" s="81">
        <v>2.3512012353664601E-5</v>
      </c>
      <c r="R713" s="82">
        <v>2.9390015442080802E-3</v>
      </c>
      <c r="S713" s="79">
        <v>5.5358902138040199E-2</v>
      </c>
      <c r="T713" s="79">
        <v>1.3627920652948799E-2</v>
      </c>
      <c r="U713" s="79">
        <v>4.9323119193753997E-5</v>
      </c>
      <c r="V713" s="79">
        <v>4.7060931020205901E-4</v>
      </c>
      <c r="W713" s="79">
        <v>6.2591038256873802E-2</v>
      </c>
    </row>
    <row r="714" spans="1:23" x14ac:dyDescent="0.2">
      <c r="A714" s="69"/>
      <c r="B714" s="56" t="s">
        <v>370</v>
      </c>
      <c r="C714" s="78">
        <v>5554</v>
      </c>
      <c r="D714" s="79">
        <v>-6.3709279999999997E-3</v>
      </c>
      <c r="E714" s="79">
        <v>1.3835612000000001E-2</v>
      </c>
      <c r="F714" s="79">
        <v>0.64519549799999998</v>
      </c>
      <c r="G714" s="79">
        <v>0.98233085592215597</v>
      </c>
      <c r="H714" s="80">
        <v>1</v>
      </c>
      <c r="I714" s="79">
        <v>1.03325577223785E-2</v>
      </c>
      <c r="J714" s="79">
        <v>1.37542579551512E-2</v>
      </c>
      <c r="K714" s="79">
        <v>0.45255026632364598</v>
      </c>
      <c r="L714" s="79">
        <v>0.87326336285163797</v>
      </c>
      <c r="M714" s="80">
        <v>1</v>
      </c>
      <c r="N714" s="79">
        <v>4.9108921315799497E-2</v>
      </c>
      <c r="O714" s="79">
        <v>1.36458918641206E-2</v>
      </c>
      <c r="P714" s="79">
        <v>3.2262933537022102E-4</v>
      </c>
      <c r="Q714" s="79">
        <v>1.5425666543863899E-3</v>
      </c>
      <c r="R714" s="80">
        <v>0.40941662658481098</v>
      </c>
      <c r="S714" s="79">
        <v>4.48710453245314E-2</v>
      </c>
      <c r="T714" s="79">
        <v>1.3631125312323101E-2</v>
      </c>
      <c r="U714" s="79">
        <v>1.0019823637140699E-3</v>
      </c>
      <c r="V714" s="79">
        <v>4.4929880549581403E-3</v>
      </c>
      <c r="W714" s="79">
        <v>1</v>
      </c>
    </row>
    <row r="715" spans="1:23" x14ac:dyDescent="0.2">
      <c r="A715" s="69"/>
      <c r="B715" s="56" t="s">
        <v>371</v>
      </c>
      <c r="C715" s="78">
        <v>5554</v>
      </c>
      <c r="D715" s="79">
        <v>-1.4898424E-2</v>
      </c>
      <c r="E715" s="79">
        <v>1.3854037E-2</v>
      </c>
      <c r="F715" s="79">
        <v>0.282250477</v>
      </c>
      <c r="G715" s="79">
        <v>0.82719597069976902</v>
      </c>
      <c r="H715" s="80">
        <v>1</v>
      </c>
      <c r="I715" s="79">
        <v>9.9348283080537697E-3</v>
      </c>
      <c r="J715" s="79">
        <v>1.3791153381902101E-2</v>
      </c>
      <c r="K715" s="79">
        <v>0.47132449674141402</v>
      </c>
      <c r="L715" s="79">
        <v>0.87326336285163797</v>
      </c>
      <c r="M715" s="80">
        <v>1</v>
      </c>
      <c r="N715" s="81">
        <v>8.0036762430289399E-2</v>
      </c>
      <c r="O715" s="81">
        <v>1.36549083129337E-2</v>
      </c>
      <c r="P715" s="81">
        <v>4.8642259650074301E-9</v>
      </c>
      <c r="Q715" s="81">
        <v>1.0119184835400701E-7</v>
      </c>
      <c r="R715" s="82">
        <v>6.1727027495944298E-6</v>
      </c>
      <c r="S715" s="79">
        <v>5.6070788304631997E-2</v>
      </c>
      <c r="T715" s="79">
        <v>1.36435602444801E-2</v>
      </c>
      <c r="U715" s="79">
        <v>4.0208849111926298E-5</v>
      </c>
      <c r="V715" s="79">
        <v>4.0981629219750899E-4</v>
      </c>
      <c r="W715" s="79">
        <v>5.1025029523034497E-2</v>
      </c>
    </row>
    <row r="716" spans="1:23" x14ac:dyDescent="0.2">
      <c r="A716" s="69"/>
      <c r="B716" s="56" t="s">
        <v>372</v>
      </c>
      <c r="C716" s="78">
        <v>5554</v>
      </c>
      <c r="D716" s="79">
        <v>-2.0294741000000002E-2</v>
      </c>
      <c r="E716" s="79">
        <v>1.3720648E-2</v>
      </c>
      <c r="F716" s="79">
        <v>0.13916285</v>
      </c>
      <c r="G716" s="79">
        <v>0.666406251509434</v>
      </c>
      <c r="H716" s="80">
        <v>1</v>
      </c>
      <c r="I716" s="79">
        <v>-3.0516249923607502E-3</v>
      </c>
      <c r="J716" s="79">
        <v>1.3657341882111601E-2</v>
      </c>
      <c r="K716" s="79">
        <v>0.82320019202333194</v>
      </c>
      <c r="L716" s="79">
        <v>0.96329235519434897</v>
      </c>
      <c r="M716" s="80">
        <v>1</v>
      </c>
      <c r="N716" s="81">
        <v>8.6547683833014796E-2</v>
      </c>
      <c r="O716" s="81">
        <v>1.35133481991661E-2</v>
      </c>
      <c r="P716" s="81">
        <v>1.6392933546711301E-10</v>
      </c>
      <c r="Q716" s="81">
        <v>4.7278710615401502E-9</v>
      </c>
      <c r="R716" s="82">
        <v>2.0802632670776599E-7</v>
      </c>
      <c r="S716" s="79">
        <v>3.5610507752427002E-2</v>
      </c>
      <c r="T716" s="79">
        <v>1.35328760803814E-2</v>
      </c>
      <c r="U716" s="79">
        <v>8.5279324527033594E-3</v>
      </c>
      <c r="V716" s="79">
        <v>2.33231600915529E-2</v>
      </c>
      <c r="W716" s="79">
        <v>1</v>
      </c>
    </row>
    <row r="717" spans="1:23" x14ac:dyDescent="0.2">
      <c r="A717" s="69"/>
      <c r="B717" s="56" t="s">
        <v>373</v>
      </c>
      <c r="C717" s="78">
        <v>5554</v>
      </c>
      <c r="D717" s="79">
        <v>-3.0640480000000002E-3</v>
      </c>
      <c r="E717" s="79">
        <v>1.3845833E-2</v>
      </c>
      <c r="F717" s="79">
        <v>0.82486960899999995</v>
      </c>
      <c r="G717" s="79">
        <v>0.98545101377932998</v>
      </c>
      <c r="H717" s="80">
        <v>1</v>
      </c>
      <c r="I717" s="79">
        <v>8.1266406527104804E-3</v>
      </c>
      <c r="J717" s="79">
        <v>1.37612761348229E-2</v>
      </c>
      <c r="K717" s="79">
        <v>0.55485228463500702</v>
      </c>
      <c r="L717" s="79">
        <v>0.90966865230418403</v>
      </c>
      <c r="M717" s="80">
        <v>1</v>
      </c>
      <c r="N717" s="79">
        <v>3.3737474825701497E-2</v>
      </c>
      <c r="O717" s="79">
        <v>1.3662082456621099E-2</v>
      </c>
      <c r="P717" s="79">
        <v>1.3565832197499199E-2</v>
      </c>
      <c r="Q717" s="79">
        <v>3.0469099218807898E-2</v>
      </c>
      <c r="R717" s="80">
        <v>1</v>
      </c>
      <c r="S717" s="81">
        <v>6.6200688497045204E-2</v>
      </c>
      <c r="T717" s="81">
        <v>1.36292612484517E-2</v>
      </c>
      <c r="U717" s="81">
        <v>1.22562279254065E-6</v>
      </c>
      <c r="V717" s="81">
        <v>3.5348075539410997E-5</v>
      </c>
      <c r="W717" s="81">
        <v>1.5553153237340799E-3</v>
      </c>
    </row>
    <row r="718" spans="1:23" x14ac:dyDescent="0.2">
      <c r="A718" s="69"/>
      <c r="B718" s="56" t="s">
        <v>374</v>
      </c>
      <c r="C718" s="78">
        <v>5554</v>
      </c>
      <c r="D718" s="79">
        <v>2.431505E-3</v>
      </c>
      <c r="E718" s="79">
        <v>1.3857602E-2</v>
      </c>
      <c r="F718" s="79">
        <v>0.86072210400000004</v>
      </c>
      <c r="G718" s="79">
        <v>0.98737809010017996</v>
      </c>
      <c r="H718" s="80">
        <v>1</v>
      </c>
      <c r="I718" s="79">
        <v>-7.4929214189136499E-3</v>
      </c>
      <c r="J718" s="79">
        <v>1.37748287824591E-2</v>
      </c>
      <c r="K718" s="79">
        <v>0.58649413250187299</v>
      </c>
      <c r="L718" s="79">
        <v>0.91884080758626796</v>
      </c>
      <c r="M718" s="80">
        <v>1</v>
      </c>
      <c r="N718" s="81">
        <v>7.1305892068795104E-2</v>
      </c>
      <c r="O718" s="81">
        <v>1.3640995676895E-2</v>
      </c>
      <c r="P718" s="81">
        <v>1.7875245576840899E-7</v>
      </c>
      <c r="Q718" s="81">
        <v>2.60732030310472E-6</v>
      </c>
      <c r="R718" s="82">
        <v>2.26836866370111E-4</v>
      </c>
      <c r="S718" s="81">
        <v>5.9895331529782103E-2</v>
      </c>
      <c r="T718" s="81">
        <v>1.3637904365683301E-2</v>
      </c>
      <c r="U718" s="81">
        <v>1.14620366056205E-5</v>
      </c>
      <c r="V718" s="81">
        <v>1.7315862443491E-4</v>
      </c>
      <c r="W718" s="81">
        <v>1.4545324452532401E-2</v>
      </c>
    </row>
    <row r="719" spans="1:23" x14ac:dyDescent="0.2">
      <c r="A719" s="69"/>
      <c r="B719" s="56" t="s">
        <v>375</v>
      </c>
      <c r="C719" s="78">
        <v>5554</v>
      </c>
      <c r="D719" s="79">
        <v>-2.0878692000000001E-2</v>
      </c>
      <c r="E719" s="79">
        <v>1.3823413999999999E-2</v>
      </c>
      <c r="F719" s="79">
        <v>0.131005605</v>
      </c>
      <c r="G719" s="79">
        <v>0.656481180244186</v>
      </c>
      <c r="H719" s="80">
        <v>1</v>
      </c>
      <c r="I719" s="79">
        <v>7.3806782748962801E-3</v>
      </c>
      <c r="J719" s="79">
        <v>1.37379077385331E-2</v>
      </c>
      <c r="K719" s="79">
        <v>0.59111883811709698</v>
      </c>
      <c r="L719" s="79">
        <v>0.91965825061269202</v>
      </c>
      <c r="M719" s="80">
        <v>1</v>
      </c>
      <c r="N719" s="79">
        <v>4.8896116126504602E-2</v>
      </c>
      <c r="O719" s="79">
        <v>1.36297834897836E-2</v>
      </c>
      <c r="P719" s="79">
        <v>3.3704127549473401E-4</v>
      </c>
      <c r="Q719" s="79">
        <v>1.5840939948252499E-3</v>
      </c>
      <c r="R719" s="80">
        <v>0.42770537860281699</v>
      </c>
      <c r="S719" s="79">
        <v>3.92113563425594E-2</v>
      </c>
      <c r="T719" s="79">
        <v>1.36245823324698E-2</v>
      </c>
      <c r="U719" s="79">
        <v>4.0185487698596797E-3</v>
      </c>
      <c r="V719" s="79">
        <v>1.29759246538217E-2</v>
      </c>
      <c r="W719" s="79">
        <v>1</v>
      </c>
    </row>
    <row r="720" spans="1:23" x14ac:dyDescent="0.2">
      <c r="A720" s="69"/>
      <c r="B720" s="56" t="s">
        <v>376</v>
      </c>
      <c r="C720" s="78">
        <v>5554</v>
      </c>
      <c r="D720" s="79">
        <v>8.7651659999999996E-3</v>
      </c>
      <c r="E720" s="79">
        <v>1.3857929999999999E-2</v>
      </c>
      <c r="F720" s="79">
        <v>0.52708643099999997</v>
      </c>
      <c r="G720" s="79">
        <v>0.93839135459751</v>
      </c>
      <c r="H720" s="80">
        <v>1</v>
      </c>
      <c r="I720" s="79">
        <v>1.6034062035760001E-2</v>
      </c>
      <c r="J720" s="79">
        <v>1.3782075331775801E-2</v>
      </c>
      <c r="K720" s="79">
        <v>0.24472056099589101</v>
      </c>
      <c r="L720" s="79">
        <v>0.75012171957436202</v>
      </c>
      <c r="M720" s="80">
        <v>1</v>
      </c>
      <c r="N720" s="81">
        <v>6.6342282897345894E-2</v>
      </c>
      <c r="O720" s="81">
        <v>1.3664454896368101E-2</v>
      </c>
      <c r="P720" s="81">
        <v>1.2382758114431201E-6</v>
      </c>
      <c r="Q720" s="81">
        <v>1.37839649536958E-5</v>
      </c>
      <c r="R720" s="82">
        <v>1.57137200472132E-3</v>
      </c>
      <c r="S720" s="79">
        <v>4.80555898501012E-2</v>
      </c>
      <c r="T720" s="79">
        <v>1.36591444121063E-2</v>
      </c>
      <c r="U720" s="79">
        <v>4.3814910802218103E-4</v>
      </c>
      <c r="V720" s="79">
        <v>2.3863142406873299E-3</v>
      </c>
      <c r="W720" s="79">
        <v>0.55601121808014797</v>
      </c>
    </row>
    <row r="721" spans="1:23" x14ac:dyDescent="0.2">
      <c r="A721" s="69"/>
      <c r="B721" s="56" t="s">
        <v>377</v>
      </c>
      <c r="C721" s="78">
        <v>5554</v>
      </c>
      <c r="D721" s="79">
        <v>-1.7460686E-2</v>
      </c>
      <c r="E721" s="79">
        <v>1.3792936E-2</v>
      </c>
      <c r="F721" s="79">
        <v>0.205598531</v>
      </c>
      <c r="G721" s="79">
        <v>0.73748064038764105</v>
      </c>
      <c r="H721" s="80">
        <v>1</v>
      </c>
      <c r="I721" s="79">
        <v>1.30101202200385E-2</v>
      </c>
      <c r="J721" s="79">
        <v>1.3729004867046099E-2</v>
      </c>
      <c r="K721" s="79">
        <v>0.34335717617641598</v>
      </c>
      <c r="L721" s="79">
        <v>0.80020788839305201</v>
      </c>
      <c r="M721" s="80">
        <v>1</v>
      </c>
      <c r="N721" s="81">
        <v>0.100494719687422</v>
      </c>
      <c r="O721" s="81">
        <v>1.35667413574561E-2</v>
      </c>
      <c r="P721" s="81">
        <v>1.4896116200043301E-13</v>
      </c>
      <c r="Q721" s="81">
        <v>9.4515857289274702E-12</v>
      </c>
      <c r="R721" s="82">
        <v>1.89031714578549E-10</v>
      </c>
      <c r="S721" s="81">
        <v>6.4853485641655301E-2</v>
      </c>
      <c r="T721" s="81">
        <v>1.35807844444102E-2</v>
      </c>
      <c r="U721" s="81">
        <v>1.84148876388809E-6</v>
      </c>
      <c r="V721" s="81">
        <v>4.5882831105811199E-5</v>
      </c>
      <c r="W721" s="81">
        <v>2.33684924137399E-3</v>
      </c>
    </row>
    <row r="722" spans="1:23" x14ac:dyDescent="0.2">
      <c r="A722" s="69"/>
      <c r="B722" s="56" t="s">
        <v>378</v>
      </c>
      <c r="C722" s="78">
        <v>5554</v>
      </c>
      <c r="D722" s="79">
        <v>3.3633984999999998E-2</v>
      </c>
      <c r="E722" s="79">
        <v>1.3733624E-2</v>
      </c>
      <c r="F722" s="79">
        <v>1.4359004E-2</v>
      </c>
      <c r="G722" s="79">
        <v>0.33676334378181799</v>
      </c>
      <c r="H722" s="80">
        <v>1</v>
      </c>
      <c r="I722" s="79">
        <v>1.2044926623658799E-2</v>
      </c>
      <c r="J722" s="79">
        <v>1.3658746033539801E-2</v>
      </c>
      <c r="K722" s="79">
        <v>0.37790352586923998</v>
      </c>
      <c r="L722" s="79">
        <v>0.82389341055830601</v>
      </c>
      <c r="M722" s="80">
        <v>1</v>
      </c>
      <c r="N722" s="79">
        <v>-3.8927343586204299E-3</v>
      </c>
      <c r="O722" s="79">
        <v>1.3571822099264601E-2</v>
      </c>
      <c r="P722" s="79">
        <v>0.77425885375262005</v>
      </c>
      <c r="Q722" s="79">
        <v>0.81741637721470495</v>
      </c>
      <c r="R722" s="80">
        <v>1</v>
      </c>
      <c r="S722" s="79">
        <v>3.19153207091512E-2</v>
      </c>
      <c r="T722" s="79">
        <v>1.35543257878726E-2</v>
      </c>
      <c r="U722" s="79">
        <v>1.85806448269718E-2</v>
      </c>
      <c r="V722" s="79">
        <v>4.1366382956889901E-2</v>
      </c>
      <c r="W722" s="79">
        <v>1</v>
      </c>
    </row>
    <row r="723" spans="1:23" x14ac:dyDescent="0.2">
      <c r="A723" s="69"/>
      <c r="B723" s="56" t="s">
        <v>379</v>
      </c>
      <c r="C723" s="78">
        <v>5554</v>
      </c>
      <c r="D723" s="79">
        <v>1.0355677000000001E-2</v>
      </c>
      <c r="E723" s="79">
        <v>1.3938142000000001E-2</v>
      </c>
      <c r="F723" s="79">
        <v>0.45753078699999999</v>
      </c>
      <c r="G723" s="79">
        <v>0.91508141765196804</v>
      </c>
      <c r="H723" s="80">
        <v>1</v>
      </c>
      <c r="I723" s="79">
        <v>2.7694672737741202E-2</v>
      </c>
      <c r="J723" s="79">
        <v>1.38636585390752E-2</v>
      </c>
      <c r="K723" s="79">
        <v>4.5807562896394899E-2</v>
      </c>
      <c r="L723" s="79">
        <v>0.53217113930985405</v>
      </c>
      <c r="M723" s="80">
        <v>1</v>
      </c>
      <c r="N723" s="79">
        <v>3.4785008608022402E-2</v>
      </c>
      <c r="O723" s="79">
        <v>1.3765253092621299E-2</v>
      </c>
      <c r="P723" s="79">
        <v>1.1533206477503799E-2</v>
      </c>
      <c r="Q723" s="79">
        <v>2.6893502165812599E-2</v>
      </c>
      <c r="R723" s="80">
        <v>1</v>
      </c>
      <c r="S723" s="79">
        <v>3.3419049838316103E-2</v>
      </c>
      <c r="T723" s="79">
        <v>1.37418153599294E-2</v>
      </c>
      <c r="U723" s="79">
        <v>1.5052266859981501E-2</v>
      </c>
      <c r="V723" s="79">
        <v>3.5372827120956497E-2</v>
      </c>
      <c r="W723" s="79">
        <v>1</v>
      </c>
    </row>
    <row r="724" spans="1:23" x14ac:dyDescent="0.2">
      <c r="A724" s="69"/>
      <c r="B724" s="56" t="s">
        <v>380</v>
      </c>
      <c r="C724" s="78">
        <v>5554</v>
      </c>
      <c r="D724" s="79">
        <v>8.2777140000000003E-3</v>
      </c>
      <c r="E724" s="79">
        <v>1.373332E-2</v>
      </c>
      <c r="F724" s="79">
        <v>0.54670418200000004</v>
      </c>
      <c r="G724" s="79">
        <v>0.94233160000673799</v>
      </c>
      <c r="H724" s="80">
        <v>1</v>
      </c>
      <c r="I724" s="79">
        <v>-6.4725970495895999E-4</v>
      </c>
      <c r="J724" s="79">
        <v>1.3643453401973199E-2</v>
      </c>
      <c r="K724" s="79">
        <v>0.96216362469875305</v>
      </c>
      <c r="L724" s="79">
        <v>0.98858779149967102</v>
      </c>
      <c r="M724" s="80">
        <v>1</v>
      </c>
      <c r="N724" s="79">
        <v>1.9505074244053199E-2</v>
      </c>
      <c r="O724" s="79">
        <v>1.3553083518646199E-2</v>
      </c>
      <c r="P724" s="79">
        <v>0.150167856357765</v>
      </c>
      <c r="Q724" s="79">
        <v>0.21928999967549301</v>
      </c>
      <c r="R724" s="80">
        <v>1</v>
      </c>
      <c r="S724" s="79">
        <v>1.43931045380858E-2</v>
      </c>
      <c r="T724" s="79">
        <v>1.35469570447429E-2</v>
      </c>
      <c r="U724" s="79">
        <v>0.28807761385930097</v>
      </c>
      <c r="V724" s="79">
        <v>0.38080259582026299</v>
      </c>
      <c r="W724" s="79">
        <v>1</v>
      </c>
    </row>
    <row r="725" spans="1:23" x14ac:dyDescent="0.2">
      <c r="A725" s="69"/>
      <c r="B725" s="56" t="s">
        <v>381</v>
      </c>
      <c r="C725" s="78">
        <v>5554</v>
      </c>
      <c r="D725" s="79">
        <v>3.1073569999999998E-2</v>
      </c>
      <c r="E725" s="79">
        <v>1.3877597E-2</v>
      </c>
      <c r="F725" s="79">
        <v>2.5190107999999999E-2</v>
      </c>
      <c r="G725" s="79">
        <v>0.37436086021348303</v>
      </c>
      <c r="H725" s="80">
        <v>1</v>
      </c>
      <c r="I725" s="79">
        <v>1.24829138920831E-2</v>
      </c>
      <c r="J725" s="79">
        <v>1.38095969933014E-2</v>
      </c>
      <c r="K725" s="79">
        <v>0.36607448770926698</v>
      </c>
      <c r="L725" s="79">
        <v>0.81642974499659005</v>
      </c>
      <c r="M725" s="80">
        <v>1</v>
      </c>
      <c r="N725" s="79">
        <v>-1.8341880337354E-2</v>
      </c>
      <c r="O725" s="79">
        <v>1.37166957889695E-2</v>
      </c>
      <c r="P725" s="79">
        <v>0.18121811813424199</v>
      </c>
      <c r="Q725" s="79">
        <v>0.25523395328784998</v>
      </c>
      <c r="R725" s="80">
        <v>1</v>
      </c>
      <c r="S725" s="79">
        <v>7.4913483013216197E-3</v>
      </c>
      <c r="T725" s="79">
        <v>1.36968642560098E-2</v>
      </c>
      <c r="U725" s="79">
        <v>0.58444404229764102</v>
      </c>
      <c r="V725" s="79">
        <v>0.65575551695464795</v>
      </c>
      <c r="W725" s="79">
        <v>1</v>
      </c>
    </row>
    <row r="726" spans="1:23" x14ac:dyDescent="0.2">
      <c r="A726" s="69"/>
      <c r="B726" s="56" t="s">
        <v>382</v>
      </c>
      <c r="C726" s="78">
        <v>5554</v>
      </c>
      <c r="D726" s="79">
        <v>1.2213257999999999E-2</v>
      </c>
      <c r="E726" s="79">
        <v>1.3830505E-2</v>
      </c>
      <c r="F726" s="79">
        <v>0.37724102500000001</v>
      </c>
      <c r="G726" s="79">
        <v>0.880152082540541</v>
      </c>
      <c r="H726" s="80">
        <v>1</v>
      </c>
      <c r="I726" s="79">
        <v>1.1590796286217901E-2</v>
      </c>
      <c r="J726" s="79">
        <v>1.3745357572482599E-2</v>
      </c>
      <c r="K726" s="79">
        <v>0.399126955092997</v>
      </c>
      <c r="L726" s="79">
        <v>0.83369555356615399</v>
      </c>
      <c r="M726" s="80">
        <v>1</v>
      </c>
      <c r="N726" s="79">
        <v>3.02306719564749E-2</v>
      </c>
      <c r="O726" s="79">
        <v>1.3650098705333199E-2</v>
      </c>
      <c r="P726" s="79">
        <v>2.6825370004071401E-2</v>
      </c>
      <c r="Q726" s="79">
        <v>5.23713762079486E-2</v>
      </c>
      <c r="R726" s="80">
        <v>1</v>
      </c>
      <c r="S726" s="79">
        <v>4.7289480033177601E-2</v>
      </c>
      <c r="T726" s="79">
        <v>1.36285296004112E-2</v>
      </c>
      <c r="U726" s="79">
        <v>5.2490507470513996E-4</v>
      </c>
      <c r="V726" s="79">
        <v>2.75249809835051E-3</v>
      </c>
      <c r="W726" s="79">
        <v>0.66610453980082296</v>
      </c>
    </row>
    <row r="727" spans="1:23" x14ac:dyDescent="0.2">
      <c r="A727" s="69"/>
      <c r="B727" s="56" t="s">
        <v>383</v>
      </c>
      <c r="C727" s="78">
        <v>5554</v>
      </c>
      <c r="D727" s="79">
        <v>-6.5101430000000004E-3</v>
      </c>
      <c r="E727" s="79">
        <v>1.3731368000000001E-2</v>
      </c>
      <c r="F727" s="79">
        <v>0.63544318799999999</v>
      </c>
      <c r="G727" s="79">
        <v>0.97816222485489701</v>
      </c>
      <c r="H727" s="80">
        <v>1</v>
      </c>
      <c r="I727" s="79">
        <v>1.00322637215419E-2</v>
      </c>
      <c r="J727" s="79">
        <v>1.3641368500335101E-2</v>
      </c>
      <c r="K727" s="79">
        <v>0.46211149789071498</v>
      </c>
      <c r="L727" s="79">
        <v>0.87326336285163797</v>
      </c>
      <c r="M727" s="80">
        <v>1</v>
      </c>
      <c r="N727" s="79">
        <v>3.6159098464373998E-2</v>
      </c>
      <c r="O727" s="79">
        <v>1.35471681678156E-2</v>
      </c>
      <c r="P727" s="79">
        <v>7.6287229572450602E-3</v>
      </c>
      <c r="Q727" s="79">
        <v>1.8871051525816699E-2</v>
      </c>
      <c r="R727" s="80">
        <v>1</v>
      </c>
      <c r="S727" s="79">
        <v>2.11874962083805E-2</v>
      </c>
      <c r="T727" s="79">
        <v>1.3541616258517601E-2</v>
      </c>
      <c r="U727" s="79">
        <v>0.117732566948371</v>
      </c>
      <c r="V727" s="79">
        <v>0.18582416350433201</v>
      </c>
      <c r="W727" s="79">
        <v>1</v>
      </c>
    </row>
    <row r="728" spans="1:23" x14ac:dyDescent="0.2">
      <c r="A728" s="69"/>
      <c r="B728" s="56" t="s">
        <v>384</v>
      </c>
      <c r="C728" s="78">
        <v>5554</v>
      </c>
      <c r="D728" s="79">
        <v>1.7582641E-2</v>
      </c>
      <c r="E728" s="79">
        <v>1.3819837999999999E-2</v>
      </c>
      <c r="F728" s="79">
        <v>0.203331967</v>
      </c>
      <c r="G728" s="79">
        <v>0.73512326530769201</v>
      </c>
      <c r="H728" s="80">
        <v>1</v>
      </c>
      <c r="I728" s="79">
        <v>8.5507999532938896E-3</v>
      </c>
      <c r="J728" s="79">
        <v>1.37392351539854E-2</v>
      </c>
      <c r="K728" s="79">
        <v>0.53373037597236805</v>
      </c>
      <c r="L728" s="79">
        <v>0.90067000945337095</v>
      </c>
      <c r="M728" s="80">
        <v>1</v>
      </c>
      <c r="N728" s="79">
        <v>3.4830545977531602E-2</v>
      </c>
      <c r="O728" s="79">
        <v>1.36415451333029E-2</v>
      </c>
      <c r="P728" s="79">
        <v>1.0700226189293401E-2</v>
      </c>
      <c r="Q728" s="79">
        <v>2.5286009374698899E-2</v>
      </c>
      <c r="R728" s="80">
        <v>1</v>
      </c>
      <c r="S728" s="79">
        <v>4.0920352026808098E-2</v>
      </c>
      <c r="T728" s="79">
        <v>1.3620884160309999E-2</v>
      </c>
      <c r="U728" s="79">
        <v>2.6751605214343499E-3</v>
      </c>
      <c r="V728" s="79">
        <v>9.8114991378618205E-3</v>
      </c>
      <c r="W728" s="79">
        <v>1</v>
      </c>
    </row>
    <row r="729" spans="1:23" x14ac:dyDescent="0.2">
      <c r="A729" s="69"/>
      <c r="B729" s="56" t="s">
        <v>385</v>
      </c>
      <c r="C729" s="78">
        <v>5554</v>
      </c>
      <c r="D729" s="79">
        <v>-3.4943912000000001E-2</v>
      </c>
      <c r="E729" s="79">
        <v>1.3755572000000001E-2</v>
      </c>
      <c r="F729" s="79">
        <v>1.1103767E-2</v>
      </c>
      <c r="G729" s="79">
        <v>0.30631913745652201</v>
      </c>
      <c r="H729" s="80">
        <v>1</v>
      </c>
      <c r="I729" s="79">
        <v>-7.9360989947867399E-3</v>
      </c>
      <c r="J729" s="79">
        <v>1.3667965934367801E-2</v>
      </c>
      <c r="K729" s="79">
        <v>0.56151268289880396</v>
      </c>
      <c r="L729" s="79">
        <v>0.91003779642219895</v>
      </c>
      <c r="M729" s="80">
        <v>1</v>
      </c>
      <c r="N729" s="79">
        <v>4.1717582317871801E-2</v>
      </c>
      <c r="O729" s="79">
        <v>1.35626959304755E-2</v>
      </c>
      <c r="P729" s="79">
        <v>2.1100167188665198E-3</v>
      </c>
      <c r="Q729" s="79">
        <v>6.5627725888274804E-3</v>
      </c>
      <c r="R729" s="80">
        <v>1</v>
      </c>
      <c r="S729" s="79">
        <v>3.8750757740478599E-2</v>
      </c>
      <c r="T729" s="79">
        <v>1.35644598377189E-2</v>
      </c>
      <c r="U729" s="79">
        <v>4.2969392738690798E-3</v>
      </c>
      <c r="V729" s="79">
        <v>1.3632039846349701E-2</v>
      </c>
      <c r="W729" s="79">
        <v>1</v>
      </c>
    </row>
    <row r="730" spans="1:23" x14ac:dyDescent="0.2">
      <c r="A730" s="69"/>
      <c r="B730" s="56" t="s">
        <v>386</v>
      </c>
      <c r="C730" s="78">
        <v>5554</v>
      </c>
      <c r="D730" s="79">
        <v>-1.0606478000000001E-2</v>
      </c>
      <c r="E730" s="79">
        <v>1.385897E-2</v>
      </c>
      <c r="F730" s="79">
        <v>0.44411755600000002</v>
      </c>
      <c r="G730" s="79">
        <v>0.90534684568218304</v>
      </c>
      <c r="H730" s="80">
        <v>1</v>
      </c>
      <c r="I730" s="79">
        <v>-6.2532221515179901E-3</v>
      </c>
      <c r="J730" s="79">
        <v>1.37899326291881E-2</v>
      </c>
      <c r="K730" s="79">
        <v>0.65023391819142595</v>
      </c>
      <c r="L730" s="79">
        <v>0.92452275727990196</v>
      </c>
      <c r="M730" s="80">
        <v>1</v>
      </c>
      <c r="N730" s="79">
        <v>5.2563589109972698E-2</v>
      </c>
      <c r="O730" s="79">
        <v>1.36789043952665E-2</v>
      </c>
      <c r="P730" s="79">
        <v>1.23110364547069E-4</v>
      </c>
      <c r="Q730" s="79">
        <v>6.9744219915281495E-4</v>
      </c>
      <c r="R730" s="80">
        <v>0.15622705261023101</v>
      </c>
      <c r="S730" s="79">
        <v>3.9667159220674097E-2</v>
      </c>
      <c r="T730" s="79">
        <v>1.3664417030511E-2</v>
      </c>
      <c r="U730" s="79">
        <v>3.7116606832245302E-3</v>
      </c>
      <c r="V730" s="79">
        <v>1.2234019238992E-2</v>
      </c>
      <c r="W730" s="79">
        <v>1</v>
      </c>
    </row>
    <row r="731" spans="1:23" x14ac:dyDescent="0.2">
      <c r="A731" s="69"/>
      <c r="B731" s="56" t="s">
        <v>387</v>
      </c>
      <c r="C731" s="78">
        <v>5554</v>
      </c>
      <c r="D731" s="79">
        <v>-1.1714632000000001E-2</v>
      </c>
      <c r="E731" s="79">
        <v>1.376866E-2</v>
      </c>
      <c r="F731" s="79">
        <v>0.394909116</v>
      </c>
      <c r="G731" s="79">
        <v>0.88261195738869902</v>
      </c>
      <c r="H731" s="80">
        <v>1</v>
      </c>
      <c r="I731" s="79">
        <v>-2.3484706298080599E-2</v>
      </c>
      <c r="J731" s="79">
        <v>1.36863756807347E-2</v>
      </c>
      <c r="K731" s="79">
        <v>8.6237031711414294E-2</v>
      </c>
      <c r="L731" s="79">
        <v>0.59811020064394504</v>
      </c>
      <c r="M731" s="80">
        <v>1</v>
      </c>
      <c r="N731" s="81">
        <v>7.1020131719869595E-2</v>
      </c>
      <c r="O731" s="81">
        <v>1.3565900500861899E-2</v>
      </c>
      <c r="P731" s="81">
        <v>1.71338897052732E-7</v>
      </c>
      <c r="Q731" s="81">
        <v>2.5762723810964799E-6</v>
      </c>
      <c r="R731" s="82">
        <v>2.1742906035991701E-4</v>
      </c>
      <c r="S731" s="81">
        <v>6.1052249008554701E-2</v>
      </c>
      <c r="T731" s="81">
        <v>1.35612552509557E-2</v>
      </c>
      <c r="U731" s="81">
        <v>6.8794643679741997E-6</v>
      </c>
      <c r="V731" s="81">
        <v>1.17973517337287E-4</v>
      </c>
      <c r="W731" s="81">
        <v>8.7300402829592599E-3</v>
      </c>
    </row>
    <row r="732" spans="1:23" x14ac:dyDescent="0.2">
      <c r="A732" s="69"/>
      <c r="B732" s="56" t="s">
        <v>388</v>
      </c>
      <c r="C732" s="78">
        <v>5554</v>
      </c>
      <c r="D732" s="79">
        <v>-8.8880079999999993E-3</v>
      </c>
      <c r="E732" s="79">
        <v>1.3790086E-2</v>
      </c>
      <c r="F732" s="79">
        <v>0.51926594000000004</v>
      </c>
      <c r="G732" s="79">
        <v>0.93335478450424902</v>
      </c>
      <c r="H732" s="80">
        <v>1</v>
      </c>
      <c r="I732" s="79">
        <v>1.16139248729237E-2</v>
      </c>
      <c r="J732" s="79">
        <v>1.3714845852669799E-2</v>
      </c>
      <c r="K732" s="79">
        <v>0.39713866186761099</v>
      </c>
      <c r="L732" s="79">
        <v>0.83369555356615399</v>
      </c>
      <c r="M732" s="80">
        <v>1</v>
      </c>
      <c r="N732" s="81">
        <v>6.4582652091530204E-2</v>
      </c>
      <c r="O732" s="81">
        <v>1.3592359510061E-2</v>
      </c>
      <c r="P732" s="81">
        <v>2.0758572967764598E-6</v>
      </c>
      <c r="Q732" s="81">
        <v>2.1244055722655899E-5</v>
      </c>
      <c r="R732" s="82">
        <v>2.6342629096093302E-3</v>
      </c>
      <c r="S732" s="79">
        <v>2.5335317633971399E-2</v>
      </c>
      <c r="T732" s="79">
        <v>1.3599061892903899E-2</v>
      </c>
      <c r="U732" s="79">
        <v>6.2516392967486303E-2</v>
      </c>
      <c r="V732" s="79">
        <v>0.111111068173306</v>
      </c>
      <c r="W732" s="79">
        <v>1</v>
      </c>
    </row>
    <row r="733" spans="1:23" x14ac:dyDescent="0.2">
      <c r="A733" s="69"/>
      <c r="B733" s="56" t="s">
        <v>389</v>
      </c>
      <c r="C733" s="78">
        <v>5554</v>
      </c>
      <c r="D733" s="79">
        <v>-1.0157823999999999E-2</v>
      </c>
      <c r="E733" s="79">
        <v>1.3707797000000001E-2</v>
      </c>
      <c r="F733" s="79">
        <v>0.45871147299999998</v>
      </c>
      <c r="G733" s="79">
        <v>0.915259212636792</v>
      </c>
      <c r="H733" s="80">
        <v>1</v>
      </c>
      <c r="I733" s="79">
        <v>-2.8914258816115999E-2</v>
      </c>
      <c r="J733" s="79">
        <v>1.36267203630387E-2</v>
      </c>
      <c r="K733" s="79">
        <v>3.3895552637482097E-2</v>
      </c>
      <c r="L733" s="79">
        <v>0.48715323267970501</v>
      </c>
      <c r="M733" s="80">
        <v>1</v>
      </c>
      <c r="N733" s="81">
        <v>0.105853187051989</v>
      </c>
      <c r="O733" s="81">
        <v>1.34645009374293E-2</v>
      </c>
      <c r="P733" s="81">
        <v>4.5847291515250701E-15</v>
      </c>
      <c r="Q733" s="81">
        <v>5.7356947152107398E-13</v>
      </c>
      <c r="R733" s="82">
        <v>5.8180212932853103E-12</v>
      </c>
      <c r="S733" s="79">
        <v>4.8542054713331603E-2</v>
      </c>
      <c r="T733" s="79">
        <v>1.35090936027313E-2</v>
      </c>
      <c r="U733" s="79">
        <v>3.2954904132004097E-4</v>
      </c>
      <c r="V733" s="79">
        <v>1.94262640747517E-3</v>
      </c>
      <c r="W733" s="79">
        <v>0.418197733435132</v>
      </c>
    </row>
    <row r="734" spans="1:23" x14ac:dyDescent="0.2">
      <c r="A734" s="69"/>
      <c r="B734" s="56" t="s">
        <v>390</v>
      </c>
      <c r="C734" s="78">
        <v>5554</v>
      </c>
      <c r="D734" s="79">
        <v>8.8520600000000001E-3</v>
      </c>
      <c r="E734" s="79">
        <v>1.3679976E-2</v>
      </c>
      <c r="F734" s="79">
        <v>0.51760595300000001</v>
      </c>
      <c r="G734" s="79">
        <v>0.93335478450424902</v>
      </c>
      <c r="H734" s="80">
        <v>1</v>
      </c>
      <c r="I734" s="79">
        <v>-3.31565578571116E-3</v>
      </c>
      <c r="J734" s="79">
        <v>1.35756800260404E-2</v>
      </c>
      <c r="K734" s="79">
        <v>0.80705789679448103</v>
      </c>
      <c r="L734" s="79">
        <v>0.96211732726388599</v>
      </c>
      <c r="M734" s="80">
        <v>1</v>
      </c>
      <c r="N734" s="79">
        <v>3.0281591122665201E-2</v>
      </c>
      <c r="O734" s="79">
        <v>1.34754806238889E-2</v>
      </c>
      <c r="P734" s="79">
        <v>2.4669067604754898E-2</v>
      </c>
      <c r="Q734" s="79">
        <v>4.91445004559403E-2</v>
      </c>
      <c r="R734" s="80">
        <v>1</v>
      </c>
      <c r="S734" s="79">
        <v>2.0084137070745502E-2</v>
      </c>
      <c r="T734" s="79">
        <v>1.3482892981827499E-2</v>
      </c>
      <c r="U734" s="79">
        <v>0.13638607839754299</v>
      </c>
      <c r="V734" s="79">
        <v>0.208115019698461</v>
      </c>
      <c r="W734" s="79">
        <v>1</v>
      </c>
    </row>
    <row r="735" spans="1:23" x14ac:dyDescent="0.2">
      <c r="A735" s="69"/>
      <c r="B735" s="56" t="s">
        <v>391</v>
      </c>
      <c r="C735" s="78">
        <v>5554</v>
      </c>
      <c r="D735" s="79">
        <v>-4.3518094E-2</v>
      </c>
      <c r="E735" s="79">
        <v>1.3830734000000001E-2</v>
      </c>
      <c r="F735" s="79">
        <v>1.6616510000000001E-3</v>
      </c>
      <c r="G735" s="79">
        <v>0.12494161575</v>
      </c>
      <c r="H735" s="80">
        <v>1</v>
      </c>
      <c r="I735" s="79">
        <v>-8.8879902709136094E-3</v>
      </c>
      <c r="J735" s="79">
        <v>1.37759294012283E-2</v>
      </c>
      <c r="K735" s="79">
        <v>0.51883706541512198</v>
      </c>
      <c r="L735" s="79">
        <v>0.89861420621934396</v>
      </c>
      <c r="M735" s="80">
        <v>1</v>
      </c>
      <c r="N735" s="81">
        <v>7.5758179690201294E-2</v>
      </c>
      <c r="O735" s="81">
        <v>1.36506614943987E-2</v>
      </c>
      <c r="P735" s="81">
        <v>3.0001620845872099E-8</v>
      </c>
      <c r="Q735" s="81">
        <v>5.5176893990451698E-7</v>
      </c>
      <c r="R735" s="82">
        <v>3.8072056853411699E-5</v>
      </c>
      <c r="S735" s="79">
        <v>5.1743617337801098E-2</v>
      </c>
      <c r="T735" s="79">
        <v>1.36426809668395E-2</v>
      </c>
      <c r="U735" s="79">
        <v>1.50632280439996E-4</v>
      </c>
      <c r="V735" s="79">
        <v>1.09229922216203E-3</v>
      </c>
      <c r="W735" s="79">
        <v>0.19115236387835499</v>
      </c>
    </row>
    <row r="736" spans="1:23" x14ac:dyDescent="0.2">
      <c r="A736" s="69"/>
      <c r="B736" s="56" t="s">
        <v>392</v>
      </c>
      <c r="C736" s="78">
        <v>5554</v>
      </c>
      <c r="D736" s="79">
        <v>-3.4661160000000003E-2</v>
      </c>
      <c r="E736" s="79">
        <v>1.3854109E-2</v>
      </c>
      <c r="F736" s="79">
        <v>1.2384694999999999E-2</v>
      </c>
      <c r="G736" s="79">
        <v>0.30816035205882403</v>
      </c>
      <c r="H736" s="80">
        <v>1</v>
      </c>
      <c r="I736" s="79">
        <v>3.23693000272164E-3</v>
      </c>
      <c r="J736" s="79">
        <v>1.3778403454979901E-2</v>
      </c>
      <c r="K736" s="79">
        <v>0.81427423915005004</v>
      </c>
      <c r="L736" s="79">
        <v>0.96211732726388599</v>
      </c>
      <c r="M736" s="80">
        <v>1</v>
      </c>
      <c r="N736" s="79">
        <v>3.97760997076003E-2</v>
      </c>
      <c r="O736" s="79">
        <v>1.36726795361229E-2</v>
      </c>
      <c r="P736" s="79">
        <v>3.6396772511474102E-3</v>
      </c>
      <c r="Q736" s="79">
        <v>1.0355942671986701E-2</v>
      </c>
      <c r="R736" s="80">
        <v>1</v>
      </c>
      <c r="S736" s="79">
        <v>1.1146942277726E-2</v>
      </c>
      <c r="T736" s="79">
        <v>1.36719174367908E-2</v>
      </c>
      <c r="U736" s="79">
        <v>0.41492878428813101</v>
      </c>
      <c r="V736" s="79">
        <v>0.50387045670970199</v>
      </c>
      <c r="W736" s="79">
        <v>1</v>
      </c>
    </row>
    <row r="737" spans="1:23" x14ac:dyDescent="0.2">
      <c r="A737" s="69"/>
      <c r="B737" s="56" t="s">
        <v>393</v>
      </c>
      <c r="C737" s="78">
        <v>5554</v>
      </c>
      <c r="D737" s="79">
        <v>4.8647401E-2</v>
      </c>
      <c r="E737" s="79">
        <v>1.3819659E-2</v>
      </c>
      <c r="F737" s="79">
        <v>4.35041E-4</v>
      </c>
      <c r="G737" s="79">
        <v>8.2042844142857105E-2</v>
      </c>
      <c r="H737" s="80">
        <v>0.55206702900000004</v>
      </c>
      <c r="I737" s="79">
        <v>2.33496668189489E-2</v>
      </c>
      <c r="J737" s="79">
        <v>1.37469188289775E-2</v>
      </c>
      <c r="K737" s="79">
        <v>8.9468054488528195E-2</v>
      </c>
      <c r="L737" s="79">
        <v>0.59811020064394504</v>
      </c>
      <c r="M737" s="80">
        <v>1</v>
      </c>
      <c r="N737" s="79">
        <v>4.6993224924629998E-2</v>
      </c>
      <c r="O737" s="79">
        <v>1.36454998901756E-2</v>
      </c>
      <c r="P737" s="79">
        <v>5.7814454769479604E-4</v>
      </c>
      <c r="Q737" s="79">
        <v>2.3743217832514398E-3</v>
      </c>
      <c r="R737" s="80">
        <v>0.73366543102469595</v>
      </c>
      <c r="S737" s="79">
        <v>5.4219078875456697E-2</v>
      </c>
      <c r="T737" s="79">
        <v>1.36262314153774E-2</v>
      </c>
      <c r="U737" s="79">
        <v>7.0157874144094294E-5</v>
      </c>
      <c r="V737" s="79">
        <v>6.1826626589483102E-4</v>
      </c>
      <c r="W737" s="79">
        <v>8.9030342288855702E-2</v>
      </c>
    </row>
    <row r="738" spans="1:23" x14ac:dyDescent="0.2">
      <c r="A738" s="69"/>
      <c r="B738" s="56" t="s">
        <v>394</v>
      </c>
      <c r="C738" s="78">
        <v>5554</v>
      </c>
      <c r="D738" s="79">
        <v>1.9280645999999999E-2</v>
      </c>
      <c r="E738" s="79">
        <v>1.3701836E-2</v>
      </c>
      <c r="F738" s="79">
        <v>0.15944261500000001</v>
      </c>
      <c r="G738" s="79">
        <v>0.68875530511224503</v>
      </c>
      <c r="H738" s="80">
        <v>1</v>
      </c>
      <c r="I738" s="79">
        <v>-9.5528210006301205E-3</v>
      </c>
      <c r="J738" s="79">
        <v>1.36097944947821E-2</v>
      </c>
      <c r="K738" s="79">
        <v>0.48276996724469701</v>
      </c>
      <c r="L738" s="79">
        <v>0.88053247249035305</v>
      </c>
      <c r="M738" s="80">
        <v>1</v>
      </c>
      <c r="N738" s="79">
        <v>2.72432389178674E-2</v>
      </c>
      <c r="O738" s="79">
        <v>1.35196093625762E-2</v>
      </c>
      <c r="P738" s="79">
        <v>4.3949609967961198E-2</v>
      </c>
      <c r="Q738" s="79">
        <v>7.95821088086381E-2</v>
      </c>
      <c r="R738" s="80">
        <v>1</v>
      </c>
      <c r="S738" s="79">
        <v>1.0090886266451301E-2</v>
      </c>
      <c r="T738" s="79">
        <v>1.3515356113405701E-2</v>
      </c>
      <c r="U738" s="79">
        <v>0.45532584170287099</v>
      </c>
      <c r="V738" s="79">
        <v>0.54203423369694503</v>
      </c>
      <c r="W738" s="79">
        <v>1</v>
      </c>
    </row>
    <row r="739" spans="1:23" x14ac:dyDescent="0.2">
      <c r="A739" s="69"/>
      <c r="B739" s="56" t="s">
        <v>395</v>
      </c>
      <c r="C739" s="78">
        <v>5554</v>
      </c>
      <c r="D739" s="79">
        <v>-1.9345042E-2</v>
      </c>
      <c r="E739" s="79">
        <v>1.3847527E-2</v>
      </c>
      <c r="F739" s="79">
        <v>0.16247199200000001</v>
      </c>
      <c r="G739" s="79">
        <v>0.6895550429699</v>
      </c>
      <c r="H739" s="80">
        <v>1</v>
      </c>
      <c r="I739" s="79">
        <v>1.2375069113326699E-2</v>
      </c>
      <c r="J739" s="79">
        <v>1.37721577576011E-2</v>
      </c>
      <c r="K739" s="79">
        <v>0.368930711343114</v>
      </c>
      <c r="L739" s="79">
        <v>0.81825890508292898</v>
      </c>
      <c r="M739" s="80">
        <v>1</v>
      </c>
      <c r="N739" s="79">
        <v>2.4346000253429902E-2</v>
      </c>
      <c r="O739" s="79">
        <v>1.3679497275561499E-2</v>
      </c>
      <c r="P739" s="79">
        <v>7.5176773104335196E-2</v>
      </c>
      <c r="Q739" s="79">
        <v>0.123895227362859</v>
      </c>
      <c r="R739" s="80">
        <v>1</v>
      </c>
      <c r="S739" s="79">
        <v>5.2818820469216397E-2</v>
      </c>
      <c r="T739" s="79">
        <v>1.36444157030717E-2</v>
      </c>
      <c r="U739" s="79">
        <v>1.09673879333728E-4</v>
      </c>
      <c r="V739" s="79">
        <v>8.4906478864953604E-4</v>
      </c>
      <c r="W739" s="79">
        <v>0.139176152874501</v>
      </c>
    </row>
    <row r="740" spans="1:23" x14ac:dyDescent="0.2">
      <c r="A740" s="69"/>
      <c r="B740" s="56" t="s">
        <v>396</v>
      </c>
      <c r="C740" s="78">
        <v>5554</v>
      </c>
      <c r="D740" s="79">
        <v>-9.7826630000000005E-3</v>
      </c>
      <c r="E740" s="79">
        <v>1.37912E-2</v>
      </c>
      <c r="F740" s="79">
        <v>0.47814543399999998</v>
      </c>
      <c r="G740" s="79">
        <v>0.92480395001517501</v>
      </c>
      <c r="H740" s="80">
        <v>1</v>
      </c>
      <c r="I740" s="79">
        <v>-5.7537302060553597E-3</v>
      </c>
      <c r="J740" s="79">
        <v>1.3702100505143399E-2</v>
      </c>
      <c r="K740" s="79">
        <v>0.67456494934100597</v>
      </c>
      <c r="L740" s="79">
        <v>0.93057850825384603</v>
      </c>
      <c r="M740" s="80">
        <v>1</v>
      </c>
      <c r="N740" s="79">
        <v>5.4438447812127103E-2</v>
      </c>
      <c r="O740" s="79">
        <v>1.3587390332811099E-2</v>
      </c>
      <c r="P740" s="79">
        <v>6.2513678494367097E-5</v>
      </c>
      <c r="Q740" s="79">
        <v>3.9864250255955701E-4</v>
      </c>
      <c r="R740" s="80">
        <v>7.93298580093518E-2</v>
      </c>
      <c r="S740" s="79">
        <v>4.4846594513949498E-2</v>
      </c>
      <c r="T740" s="79">
        <v>1.3586590883076699E-2</v>
      </c>
      <c r="U740" s="79">
        <v>9.7077035934840599E-4</v>
      </c>
      <c r="V740" s="79">
        <v>4.3970641589238402E-3</v>
      </c>
      <c r="W740" s="79">
        <v>1</v>
      </c>
    </row>
    <row r="741" spans="1:23" x14ac:dyDescent="0.2">
      <c r="A741" s="69"/>
      <c r="B741" s="56" t="s">
        <v>397</v>
      </c>
      <c r="C741" s="78">
        <v>5554</v>
      </c>
      <c r="D741" s="79">
        <v>-2.36741E-4</v>
      </c>
      <c r="E741" s="79">
        <v>1.3881933000000001E-2</v>
      </c>
      <c r="F741" s="79">
        <v>0.98639428200000001</v>
      </c>
      <c r="G741" s="79">
        <v>0.99355472541428602</v>
      </c>
      <c r="H741" s="80">
        <v>1</v>
      </c>
      <c r="I741" s="79">
        <v>5.96327638325921E-3</v>
      </c>
      <c r="J741" s="79">
        <v>1.3796681326996E-2</v>
      </c>
      <c r="K741" s="79">
        <v>0.66559592112903299</v>
      </c>
      <c r="L741" s="79">
        <v>0.92967939975467695</v>
      </c>
      <c r="M741" s="80">
        <v>1</v>
      </c>
      <c r="N741" s="79">
        <v>1.0796780529925399E-2</v>
      </c>
      <c r="O741" s="79">
        <v>1.37011747487588E-2</v>
      </c>
      <c r="P741" s="79">
        <v>0.43072264356192302</v>
      </c>
      <c r="Q741" s="79">
        <v>0.51557942390818301</v>
      </c>
      <c r="R741" s="80">
        <v>1</v>
      </c>
      <c r="S741" s="79">
        <v>3.9135297132811601E-2</v>
      </c>
      <c r="T741" s="79">
        <v>1.3676380471993699E-2</v>
      </c>
      <c r="U741" s="79">
        <v>4.2330941754015498E-3</v>
      </c>
      <c r="V741" s="79">
        <v>1.34753966981585E-2</v>
      </c>
      <c r="W741" s="79">
        <v>1</v>
      </c>
    </row>
    <row r="742" spans="1:23" x14ac:dyDescent="0.2">
      <c r="A742" s="69"/>
      <c r="B742" s="56" t="s">
        <v>398</v>
      </c>
      <c r="C742" s="78">
        <v>5554</v>
      </c>
      <c r="D742" s="79">
        <v>4.6558424000000001E-2</v>
      </c>
      <c r="E742" s="79">
        <v>1.3826491999999999E-2</v>
      </c>
      <c r="F742" s="79">
        <v>7.6457599999999999E-4</v>
      </c>
      <c r="G742" s="79">
        <v>0.121280868</v>
      </c>
      <c r="H742" s="80">
        <v>0.970246944</v>
      </c>
      <c r="I742" s="79">
        <v>1.1598198528393101E-2</v>
      </c>
      <c r="J742" s="79">
        <v>1.37553261050777E-2</v>
      </c>
      <c r="K742" s="79">
        <v>0.39916849966338502</v>
      </c>
      <c r="L742" s="79">
        <v>0.83369555356615399</v>
      </c>
      <c r="M742" s="80">
        <v>1</v>
      </c>
      <c r="N742" s="79">
        <v>3.6882092296337397E-2</v>
      </c>
      <c r="O742" s="79">
        <v>1.3657480384373101E-2</v>
      </c>
      <c r="P742" s="79">
        <v>6.9465523519238997E-3</v>
      </c>
      <c r="Q742" s="79">
        <v>1.7525198677120098E-2</v>
      </c>
      <c r="R742" s="80">
        <v>1</v>
      </c>
      <c r="S742" s="81">
        <v>6.1192239960029197E-2</v>
      </c>
      <c r="T742" s="81">
        <v>1.36253603364742E-2</v>
      </c>
      <c r="U742" s="81">
        <v>7.2430447618988002E-6</v>
      </c>
      <c r="V742" s="81">
        <v>1.209397868796E-4</v>
      </c>
      <c r="W742" s="81">
        <v>9.1914238028495791E-3</v>
      </c>
    </row>
    <row r="743" spans="1:23" x14ac:dyDescent="0.2">
      <c r="A743" s="69"/>
      <c r="B743" s="56" t="s">
        <v>399</v>
      </c>
      <c r="C743" s="78">
        <v>5554</v>
      </c>
      <c r="D743" s="79">
        <v>1.7632229999999999E-2</v>
      </c>
      <c r="E743" s="79">
        <v>1.3728996E-2</v>
      </c>
      <c r="F743" s="79">
        <v>0.19909509</v>
      </c>
      <c r="G743" s="79">
        <v>0.732514271634783</v>
      </c>
      <c r="H743" s="80">
        <v>1</v>
      </c>
      <c r="I743" s="79">
        <v>2.5151499012659802E-3</v>
      </c>
      <c r="J743" s="79">
        <v>1.3637824759418099E-2</v>
      </c>
      <c r="K743" s="79">
        <v>0.85368813470631799</v>
      </c>
      <c r="L743" s="79">
        <v>0.96964513668720897</v>
      </c>
      <c r="M743" s="80">
        <v>1</v>
      </c>
      <c r="N743" s="79">
        <v>2.3207184979042398E-3</v>
      </c>
      <c r="O743" s="79">
        <v>1.35495948398451E-2</v>
      </c>
      <c r="P743" s="79">
        <v>0.86401403312094205</v>
      </c>
      <c r="Q743" s="79">
        <v>0.89140960002477698</v>
      </c>
      <c r="R743" s="80">
        <v>1</v>
      </c>
      <c r="S743" s="79">
        <v>4.9094169090517802E-2</v>
      </c>
      <c r="T743" s="79">
        <v>1.35275265815344E-2</v>
      </c>
      <c r="U743" s="79">
        <v>2.8717541003892098E-4</v>
      </c>
      <c r="V743" s="79">
        <v>1.74366313559517E-3</v>
      </c>
      <c r="W743" s="79">
        <v>0.36442559533939101</v>
      </c>
    </row>
    <row r="744" spans="1:23" x14ac:dyDescent="0.2">
      <c r="A744" s="69"/>
      <c r="B744" s="56" t="s">
        <v>400</v>
      </c>
      <c r="C744" s="78">
        <v>5554</v>
      </c>
      <c r="D744" s="79">
        <v>1.6027455999999999E-2</v>
      </c>
      <c r="E744" s="79">
        <v>1.3874328999999999E-2</v>
      </c>
      <c r="F744" s="79">
        <v>0.248067184</v>
      </c>
      <c r="G744" s="79">
        <v>0.78503056482792999</v>
      </c>
      <c r="H744" s="80">
        <v>1</v>
      </c>
      <c r="I744" s="79">
        <v>3.2097887194923701E-3</v>
      </c>
      <c r="J744" s="79">
        <v>1.3792871682016801E-2</v>
      </c>
      <c r="K744" s="79">
        <v>0.81599323063445495</v>
      </c>
      <c r="L744" s="79">
        <v>0.96235632869435295</v>
      </c>
      <c r="M744" s="80">
        <v>1</v>
      </c>
      <c r="N744" s="79">
        <v>1.9964292132619799E-2</v>
      </c>
      <c r="O744" s="79">
        <v>1.36971363888182E-2</v>
      </c>
      <c r="P744" s="79">
        <v>0.145026028232213</v>
      </c>
      <c r="Q744" s="79">
        <v>0.21264595510325099</v>
      </c>
      <c r="R744" s="80">
        <v>1</v>
      </c>
      <c r="S744" s="79">
        <v>2.0453794068952199E-2</v>
      </c>
      <c r="T744" s="79">
        <v>1.36824231760639E-2</v>
      </c>
      <c r="U744" s="79">
        <v>0.135003204305229</v>
      </c>
      <c r="V744" s="79">
        <v>0.20715727480451701</v>
      </c>
      <c r="W744" s="79">
        <v>1</v>
      </c>
    </row>
    <row r="745" spans="1:23" x14ac:dyDescent="0.2">
      <c r="A745" s="69"/>
      <c r="B745" s="56" t="s">
        <v>401</v>
      </c>
      <c r="C745" s="78">
        <v>5554</v>
      </c>
      <c r="D745" s="79">
        <v>-8.666244E-3</v>
      </c>
      <c r="E745" s="79">
        <v>1.3851812999999999E-2</v>
      </c>
      <c r="F745" s="79">
        <v>0.53157949699999996</v>
      </c>
      <c r="G745" s="79">
        <v>0.93839135459751</v>
      </c>
      <c r="H745" s="80">
        <v>1</v>
      </c>
      <c r="I745" s="79">
        <v>1.74079037260115E-2</v>
      </c>
      <c r="J745" s="79">
        <v>1.37672112180767E-2</v>
      </c>
      <c r="K745" s="79">
        <v>0.206129158489918</v>
      </c>
      <c r="L745" s="79">
        <v>0.72311176315330705</v>
      </c>
      <c r="M745" s="80">
        <v>1</v>
      </c>
      <c r="N745" s="79">
        <v>5.4577344787254102E-2</v>
      </c>
      <c r="O745" s="79">
        <v>1.36614394434025E-2</v>
      </c>
      <c r="P745" s="79">
        <v>6.5630088907926696E-5</v>
      </c>
      <c r="Q745" s="79">
        <v>4.1435115832914898E-4</v>
      </c>
      <c r="R745" s="80">
        <v>8.3284582824159001E-2</v>
      </c>
      <c r="S745" s="79">
        <v>3.5113313959433803E-2</v>
      </c>
      <c r="T745" s="79">
        <v>1.3655684616497099E-2</v>
      </c>
      <c r="U745" s="79">
        <v>1.0159151105647E-2</v>
      </c>
      <c r="V745" s="79">
        <v>2.6256543285266901E-2</v>
      </c>
      <c r="W745" s="79">
        <v>1</v>
      </c>
    </row>
    <row r="746" spans="1:23" x14ac:dyDescent="0.2">
      <c r="A746" s="69"/>
      <c r="B746" s="56" t="s">
        <v>402</v>
      </c>
      <c r="C746" s="78">
        <v>5554</v>
      </c>
      <c r="D746" s="79">
        <v>8.5465070000000001E-3</v>
      </c>
      <c r="E746" s="79">
        <v>1.384516E-2</v>
      </c>
      <c r="F746" s="79">
        <v>0.53707116200000005</v>
      </c>
      <c r="G746" s="79">
        <v>0.94005973045241398</v>
      </c>
      <c r="H746" s="80">
        <v>1</v>
      </c>
      <c r="I746" s="79">
        <v>7.8310156959929891E-3</v>
      </c>
      <c r="J746" s="79">
        <v>1.3757864007121199E-2</v>
      </c>
      <c r="K746" s="79">
        <v>0.56924562233668197</v>
      </c>
      <c r="L746" s="79">
        <v>0.911324282187712</v>
      </c>
      <c r="M746" s="80">
        <v>1</v>
      </c>
      <c r="N746" s="79">
        <v>3.25772484833085E-2</v>
      </c>
      <c r="O746" s="79">
        <v>1.36580893617741E-2</v>
      </c>
      <c r="P746" s="79">
        <v>1.71092322511197E-2</v>
      </c>
      <c r="Q746" s="79">
        <v>3.6924516541957303E-2</v>
      </c>
      <c r="R746" s="80">
        <v>1</v>
      </c>
      <c r="S746" s="79">
        <v>4.2495429734420102E-2</v>
      </c>
      <c r="T746" s="79">
        <v>1.36475649713466E-2</v>
      </c>
      <c r="U746" s="79">
        <v>1.85789959861803E-3</v>
      </c>
      <c r="V746" s="79">
        <v>7.3564485558610601E-3</v>
      </c>
      <c r="W746" s="79">
        <v>1</v>
      </c>
    </row>
    <row r="747" spans="1:23" x14ac:dyDescent="0.2">
      <c r="A747" s="69"/>
      <c r="B747" s="56" t="s">
        <v>403</v>
      </c>
      <c r="C747" s="78">
        <v>5554</v>
      </c>
      <c r="D747" s="79">
        <v>-1.7902854999999999E-2</v>
      </c>
      <c r="E747" s="79">
        <v>1.3912481000000001E-2</v>
      </c>
      <c r="F747" s="79">
        <v>0.19821309200000001</v>
      </c>
      <c r="G747" s="79">
        <v>0.732514271634783</v>
      </c>
      <c r="H747" s="80">
        <v>1</v>
      </c>
      <c r="I747" s="79">
        <v>1.3583265413494699E-2</v>
      </c>
      <c r="J747" s="79">
        <v>1.3845601973209399E-2</v>
      </c>
      <c r="K747" s="79">
        <v>0.32661187853696899</v>
      </c>
      <c r="L747" s="79">
        <v>0.79366538468944703</v>
      </c>
      <c r="M747" s="80">
        <v>1</v>
      </c>
      <c r="N747" s="81">
        <v>5.9202345846096197E-2</v>
      </c>
      <c r="O747" s="81">
        <v>1.3724246962401701E-2</v>
      </c>
      <c r="P747" s="81">
        <v>1.63479424040763E-5</v>
      </c>
      <c r="Q747" s="81">
        <v>1.288542789489E-4</v>
      </c>
      <c r="R747" s="82">
        <v>2.0745538910772798E-2</v>
      </c>
      <c r="S747" s="79">
        <v>1.92993254672932E-2</v>
      </c>
      <c r="T747" s="79">
        <v>1.37230501672197E-2</v>
      </c>
      <c r="U747" s="79">
        <v>0.159680622549145</v>
      </c>
      <c r="V747" s="79">
        <v>0.23562175583123801</v>
      </c>
      <c r="W747" s="79">
        <v>1</v>
      </c>
    </row>
    <row r="748" spans="1:23" x14ac:dyDescent="0.2">
      <c r="A748" s="69"/>
      <c r="B748" s="56" t="s">
        <v>404</v>
      </c>
      <c r="C748" s="78">
        <v>5554</v>
      </c>
      <c r="D748" s="79">
        <v>3.1724771999999998E-2</v>
      </c>
      <c r="E748" s="79">
        <v>1.3924514000000001E-2</v>
      </c>
      <c r="F748" s="79">
        <v>2.2746643E-2</v>
      </c>
      <c r="G748" s="79">
        <v>0.37436086021348303</v>
      </c>
      <c r="H748" s="80">
        <v>1</v>
      </c>
      <c r="I748" s="79">
        <v>-1.1350142719220499E-3</v>
      </c>
      <c r="J748" s="79">
        <v>1.38638212704634E-2</v>
      </c>
      <c r="K748" s="79">
        <v>0.93475424319825695</v>
      </c>
      <c r="L748" s="79">
        <v>0.981200184300273</v>
      </c>
      <c r="M748" s="80">
        <v>1</v>
      </c>
      <c r="N748" s="79">
        <v>2.4863551041230399E-2</v>
      </c>
      <c r="O748" s="79">
        <v>1.37653364289508E-2</v>
      </c>
      <c r="P748" s="79">
        <v>7.0938595763299098E-2</v>
      </c>
      <c r="Q748" s="79">
        <v>0.118001219518667</v>
      </c>
      <c r="R748" s="80">
        <v>1</v>
      </c>
      <c r="S748" s="81">
        <v>5.91998303924492E-2</v>
      </c>
      <c r="T748" s="81">
        <v>1.3723843510574501E-2</v>
      </c>
      <c r="U748" s="81">
        <v>1.6355257608360199E-5</v>
      </c>
      <c r="V748" s="81">
        <v>2.1396723613411399E-4</v>
      </c>
      <c r="W748" s="81">
        <v>2.0754821905009099E-2</v>
      </c>
    </row>
    <row r="749" spans="1:23" x14ac:dyDescent="0.2">
      <c r="A749" s="69"/>
      <c r="B749" s="56" t="s">
        <v>405</v>
      </c>
      <c r="C749" s="78">
        <v>5554</v>
      </c>
      <c r="D749" s="79">
        <v>4.7626680000000003E-3</v>
      </c>
      <c r="E749" s="79">
        <v>1.3835116999999999E-2</v>
      </c>
      <c r="F749" s="79">
        <v>0.73067616000000002</v>
      </c>
      <c r="G749" s="79">
        <v>0.98545101377932998</v>
      </c>
      <c r="H749" s="80">
        <v>1</v>
      </c>
      <c r="I749" s="79">
        <v>-1.1692628892408401E-2</v>
      </c>
      <c r="J749" s="79">
        <v>1.37527124197736E-2</v>
      </c>
      <c r="K749" s="79">
        <v>0.39525094821557699</v>
      </c>
      <c r="L749" s="79">
        <v>0.83369555356615399</v>
      </c>
      <c r="M749" s="80">
        <v>1</v>
      </c>
      <c r="N749" s="79">
        <v>1.64392565768797E-2</v>
      </c>
      <c r="O749" s="79">
        <v>1.3661870915569E-2</v>
      </c>
      <c r="P749" s="79">
        <v>0.22891817762515301</v>
      </c>
      <c r="Q749" s="79">
        <v>0.30675519261490902</v>
      </c>
      <c r="R749" s="80">
        <v>1</v>
      </c>
      <c r="S749" s="79">
        <v>5.1333422355408401E-2</v>
      </c>
      <c r="T749" s="79">
        <v>1.3629030494249799E-2</v>
      </c>
      <c r="U749" s="79">
        <v>1.6741184659220599E-4</v>
      </c>
      <c r="V749" s="79">
        <v>1.17415477908509E-3</v>
      </c>
      <c r="W749" s="79">
        <v>0.212445633325509</v>
      </c>
    </row>
    <row r="750" spans="1:23" x14ac:dyDescent="0.2">
      <c r="A750" s="69"/>
      <c r="B750" s="56" t="s">
        <v>406</v>
      </c>
      <c r="C750" s="78">
        <v>5554</v>
      </c>
      <c r="D750" s="79">
        <v>3.6312395999999997E-2</v>
      </c>
      <c r="E750" s="79">
        <v>1.389627E-2</v>
      </c>
      <c r="F750" s="79">
        <v>8.9986960000000005E-3</v>
      </c>
      <c r="G750" s="79">
        <v>0.27852061521951199</v>
      </c>
      <c r="H750" s="80">
        <v>1</v>
      </c>
      <c r="I750" s="79">
        <v>1.1541926219326801E-2</v>
      </c>
      <c r="J750" s="79">
        <v>1.38303911249047E-2</v>
      </c>
      <c r="K750" s="79">
        <v>0.40402013458729902</v>
      </c>
      <c r="L750" s="79">
        <v>0.83581181467964405</v>
      </c>
      <c r="M750" s="80">
        <v>1</v>
      </c>
      <c r="N750" s="79">
        <v>4.3094442674214202E-2</v>
      </c>
      <c r="O750" s="79">
        <v>1.3726735644545299E-2</v>
      </c>
      <c r="P750" s="79">
        <v>1.7024409968551201E-3</v>
      </c>
      <c r="Q750" s="79">
        <v>5.4832427030689001E-3</v>
      </c>
      <c r="R750" s="80">
        <v>1</v>
      </c>
      <c r="S750" s="79">
        <v>5.6301442264693802E-2</v>
      </c>
      <c r="T750" s="79">
        <v>1.36903688651429E-2</v>
      </c>
      <c r="U750" s="79">
        <v>3.9760354517875897E-5</v>
      </c>
      <c r="V750" s="79">
        <v>4.0981629219750899E-4</v>
      </c>
      <c r="W750" s="79">
        <v>5.0455889883184502E-2</v>
      </c>
    </row>
    <row r="751" spans="1:23" x14ac:dyDescent="0.2">
      <c r="A751" s="69"/>
      <c r="B751" s="56" t="s">
        <v>407</v>
      </c>
      <c r="C751" s="78">
        <v>5554</v>
      </c>
      <c r="D751" s="79">
        <v>4.4521946E-2</v>
      </c>
      <c r="E751" s="79">
        <v>1.3850372999999999E-2</v>
      </c>
      <c r="F751" s="79">
        <v>1.31529E-3</v>
      </c>
      <c r="G751" s="79">
        <v>0.12494161575</v>
      </c>
      <c r="H751" s="80">
        <v>1</v>
      </c>
      <c r="I751" s="79">
        <v>9.5899522557095895E-3</v>
      </c>
      <c r="J751" s="79">
        <v>1.3772491824480201E-2</v>
      </c>
      <c r="K751" s="79">
        <v>0.48626764105355103</v>
      </c>
      <c r="L751" s="79">
        <v>0.88153376642422299</v>
      </c>
      <c r="M751" s="80">
        <v>1</v>
      </c>
      <c r="N751" s="79">
        <v>1.5607353659012E-2</v>
      </c>
      <c r="O751" s="79">
        <v>1.3673208781282E-2</v>
      </c>
      <c r="P751" s="79">
        <v>0.25373853083526199</v>
      </c>
      <c r="Q751" s="79">
        <v>0.33332732466868298</v>
      </c>
      <c r="R751" s="80">
        <v>1</v>
      </c>
      <c r="S751" s="79">
        <v>3.8179346568319998E-2</v>
      </c>
      <c r="T751" s="79">
        <v>1.36525857183526E-2</v>
      </c>
      <c r="U751" s="79">
        <v>5.1865300071643403E-3</v>
      </c>
      <c r="V751" s="79">
        <v>1.58595339255218E-2</v>
      </c>
      <c r="W751" s="79">
        <v>1</v>
      </c>
    </row>
    <row r="752" spans="1:23" x14ac:dyDescent="0.2">
      <c r="A752" s="69"/>
      <c r="B752" s="56" t="s">
        <v>408</v>
      </c>
      <c r="C752" s="78">
        <v>5554</v>
      </c>
      <c r="D752" s="79">
        <v>1.1082112E-2</v>
      </c>
      <c r="E752" s="79">
        <v>1.3823004E-2</v>
      </c>
      <c r="F752" s="79">
        <v>0.4227552</v>
      </c>
      <c r="G752" s="79">
        <v>0.89158896436589397</v>
      </c>
      <c r="H752" s="80">
        <v>1</v>
      </c>
      <c r="I752" s="79">
        <v>-3.0999866523645499E-3</v>
      </c>
      <c r="J752" s="79">
        <v>1.3730117064407301E-2</v>
      </c>
      <c r="K752" s="79">
        <v>0.82138173614377097</v>
      </c>
      <c r="L752" s="79">
        <v>0.96329235519434897</v>
      </c>
      <c r="M752" s="80">
        <v>1</v>
      </c>
      <c r="N752" s="79">
        <v>3.25583261793558E-2</v>
      </c>
      <c r="O752" s="79">
        <v>1.36306976063844E-2</v>
      </c>
      <c r="P752" s="79">
        <v>1.6949617643001201E-2</v>
      </c>
      <c r="Q752" s="79">
        <v>3.6704888718376301E-2</v>
      </c>
      <c r="R752" s="80">
        <v>1</v>
      </c>
      <c r="S752" s="79">
        <v>2.6895186223095301E-2</v>
      </c>
      <c r="T752" s="79">
        <v>1.36268271922226E-2</v>
      </c>
      <c r="U752" s="79">
        <v>4.84707884487433E-2</v>
      </c>
      <c r="V752" s="79">
        <v>9.0721873954948698E-2</v>
      </c>
      <c r="W752" s="79">
        <v>1</v>
      </c>
    </row>
    <row r="753" spans="1:23" x14ac:dyDescent="0.2">
      <c r="A753" s="69"/>
      <c r="B753" s="56" t="s">
        <v>409</v>
      </c>
      <c r="C753" s="78">
        <v>5554</v>
      </c>
      <c r="D753" s="79">
        <v>1.5695773999999999E-2</v>
      </c>
      <c r="E753" s="79">
        <v>1.3847755E-2</v>
      </c>
      <c r="F753" s="79">
        <v>0.25707644299999999</v>
      </c>
      <c r="G753" s="79">
        <v>0.80165977018673196</v>
      </c>
      <c r="H753" s="80">
        <v>1</v>
      </c>
      <c r="I753" s="79">
        <v>-4.4666627245187104E-3</v>
      </c>
      <c r="J753" s="79">
        <v>1.3779703511124499E-2</v>
      </c>
      <c r="K753" s="79">
        <v>0.74583924645659605</v>
      </c>
      <c r="L753" s="79">
        <v>0.95175527893917999</v>
      </c>
      <c r="M753" s="80">
        <v>1</v>
      </c>
      <c r="N753" s="79">
        <v>1.14237492922976E-2</v>
      </c>
      <c r="O753" s="79">
        <v>1.3688809369041601E-2</v>
      </c>
      <c r="P753" s="79">
        <v>0.40402000993381798</v>
      </c>
      <c r="Q753" s="79">
        <v>0.48875251916683998</v>
      </c>
      <c r="R753" s="80">
        <v>1</v>
      </c>
      <c r="S753" s="81">
        <v>6.4723513612634204E-2</v>
      </c>
      <c r="T753" s="81">
        <v>1.3636724804465299E-2</v>
      </c>
      <c r="U753" s="81">
        <v>2.1276973188266599E-6</v>
      </c>
      <c r="V753" s="81">
        <v>5.0000886992426498E-5</v>
      </c>
      <c r="W753" s="81">
        <v>2.7000478975910298E-3</v>
      </c>
    </row>
    <row r="754" spans="1:23" x14ac:dyDescent="0.2">
      <c r="A754" s="69"/>
      <c r="B754" s="56" t="s">
        <v>410</v>
      </c>
      <c r="C754" s="78">
        <v>5554</v>
      </c>
      <c r="D754" s="79">
        <v>1.6020158999999999E-2</v>
      </c>
      <c r="E754" s="79">
        <v>1.3916169000000001E-2</v>
      </c>
      <c r="F754" s="79">
        <v>0.24970729</v>
      </c>
      <c r="G754" s="79">
        <v>0.78667595144665003</v>
      </c>
      <c r="H754" s="80">
        <v>1</v>
      </c>
      <c r="I754" s="79">
        <v>1.56675522787257E-2</v>
      </c>
      <c r="J754" s="79">
        <v>1.3843210657295499E-2</v>
      </c>
      <c r="K754" s="79">
        <v>0.257777952612193</v>
      </c>
      <c r="L754" s="79">
        <v>0.75316534960692805</v>
      </c>
      <c r="M754" s="80">
        <v>1</v>
      </c>
      <c r="N754" s="79">
        <v>3.11651845172502E-2</v>
      </c>
      <c r="O754" s="79">
        <v>1.3746939378381199E-2</v>
      </c>
      <c r="P754" s="79">
        <v>2.34281414904055E-2</v>
      </c>
      <c r="Q754" s="79">
        <v>4.72540503666092E-2</v>
      </c>
      <c r="R754" s="80">
        <v>1</v>
      </c>
      <c r="S754" s="79">
        <v>1.2367126219206E-2</v>
      </c>
      <c r="T754" s="79">
        <v>1.37289636934221E-2</v>
      </c>
      <c r="U754" s="79">
        <v>0.367733907608847</v>
      </c>
      <c r="V754" s="79">
        <v>0.45990238459862098</v>
      </c>
      <c r="W754" s="79">
        <v>1</v>
      </c>
    </row>
    <row r="755" spans="1:23" x14ac:dyDescent="0.2">
      <c r="A755" s="69"/>
      <c r="B755" s="56" t="s">
        <v>411</v>
      </c>
      <c r="C755" s="78">
        <v>5554</v>
      </c>
      <c r="D755" s="79">
        <v>1.6027319000000002E-2</v>
      </c>
      <c r="E755" s="79">
        <v>1.3812922E-2</v>
      </c>
      <c r="F755" s="79">
        <v>0.245981805</v>
      </c>
      <c r="G755" s="79">
        <v>0.78040350024750005</v>
      </c>
      <c r="H755" s="80">
        <v>1</v>
      </c>
      <c r="I755" s="79">
        <v>7.0792231763061103E-3</v>
      </c>
      <c r="J755" s="79">
        <v>1.37207296165642E-2</v>
      </c>
      <c r="K755" s="79">
        <v>0.60591462486038505</v>
      </c>
      <c r="L755" s="79">
        <v>0.91965825061269202</v>
      </c>
      <c r="M755" s="80">
        <v>1</v>
      </c>
      <c r="N755" s="79">
        <v>5.2421599885124999E-3</v>
      </c>
      <c r="O755" s="79">
        <v>1.36294848582588E-2</v>
      </c>
      <c r="P755" s="79">
        <v>0.70053827763758303</v>
      </c>
      <c r="Q755" s="79">
        <v>0.75658133984859</v>
      </c>
      <c r="R755" s="80">
        <v>1</v>
      </c>
      <c r="S755" s="79">
        <v>5.6425694060613799E-3</v>
      </c>
      <c r="T755" s="79">
        <v>1.36224102843087E-2</v>
      </c>
      <c r="U755" s="79">
        <v>0.67873820302840304</v>
      </c>
      <c r="V755" s="79">
        <v>0.74444146900868102</v>
      </c>
      <c r="W755" s="79">
        <v>1</v>
      </c>
    </row>
    <row r="756" spans="1:23" x14ac:dyDescent="0.2">
      <c r="A756" s="69"/>
      <c r="B756" s="56" t="s">
        <v>412</v>
      </c>
      <c r="C756" s="78">
        <v>5554</v>
      </c>
      <c r="D756" s="79">
        <v>6.3606740000000002E-3</v>
      </c>
      <c r="E756" s="79">
        <v>1.3778548E-2</v>
      </c>
      <c r="F756" s="79">
        <v>0.64436101800000001</v>
      </c>
      <c r="G756" s="79">
        <v>0.98233085592215597</v>
      </c>
      <c r="H756" s="80">
        <v>1</v>
      </c>
      <c r="I756" s="79">
        <v>7.0267069175994497E-4</v>
      </c>
      <c r="J756" s="79">
        <v>1.3709084708625901E-2</v>
      </c>
      <c r="K756" s="79">
        <v>0.959123569497488</v>
      </c>
      <c r="L756" s="79">
        <v>0.98719988166166295</v>
      </c>
      <c r="M756" s="80">
        <v>1</v>
      </c>
      <c r="N756" s="79">
        <v>4.8747182616184798E-2</v>
      </c>
      <c r="O756" s="79">
        <v>1.36024850274944E-2</v>
      </c>
      <c r="P756" s="79">
        <v>3.4177935967198703E-4</v>
      </c>
      <c r="Q756" s="79">
        <v>1.5945514978814399E-3</v>
      </c>
      <c r="R756" s="80">
        <v>0.43371800742375199</v>
      </c>
      <c r="S756" s="79">
        <v>3.4163661549111303E-2</v>
      </c>
      <c r="T756" s="79">
        <v>1.35880969918915E-2</v>
      </c>
      <c r="U756" s="79">
        <v>1.19580690031659E-2</v>
      </c>
      <c r="V756" s="79">
        <v>2.9522936896921301E-2</v>
      </c>
      <c r="W756" s="79">
        <v>1</v>
      </c>
    </row>
    <row r="757" spans="1:23" x14ac:dyDescent="0.2">
      <c r="A757" s="69"/>
      <c r="B757" s="56" t="s">
        <v>413</v>
      </c>
      <c r="C757" s="78">
        <v>5554</v>
      </c>
      <c r="D757" s="79">
        <v>-7.640974E-3</v>
      </c>
      <c r="E757" s="79">
        <v>1.385816E-2</v>
      </c>
      <c r="F757" s="79">
        <v>0.58140340400000001</v>
      </c>
      <c r="G757" s="79">
        <v>0.95350818012595395</v>
      </c>
      <c r="H757" s="80">
        <v>1</v>
      </c>
      <c r="I757" s="79">
        <v>-2.0318686995630601E-2</v>
      </c>
      <c r="J757" s="79">
        <v>1.37889782733841E-2</v>
      </c>
      <c r="K757" s="79">
        <v>0.14066453188960701</v>
      </c>
      <c r="L757" s="79">
        <v>0.65586150762509099</v>
      </c>
      <c r="M757" s="80">
        <v>1</v>
      </c>
      <c r="N757" s="81">
        <v>6.1884844564143601E-2</v>
      </c>
      <c r="O757" s="81">
        <v>1.3675994772155E-2</v>
      </c>
      <c r="P757" s="81">
        <v>6.1713093519054099E-6</v>
      </c>
      <c r="Q757" s="81">
        <v>5.5938511196914001E-5</v>
      </c>
      <c r="R757" s="82">
        <v>7.8313915675679701E-3</v>
      </c>
      <c r="S757" s="79">
        <v>3.04496830741155E-2</v>
      </c>
      <c r="T757" s="79">
        <v>1.3666781275697801E-2</v>
      </c>
      <c r="U757" s="79">
        <v>2.5922152269732102E-2</v>
      </c>
      <c r="V757" s="79">
        <v>5.3719331957989003E-2</v>
      </c>
      <c r="W757" s="79">
        <v>1</v>
      </c>
    </row>
    <row r="758" spans="1:23" x14ac:dyDescent="0.2">
      <c r="A758" s="69"/>
      <c r="B758" s="56" t="s">
        <v>414</v>
      </c>
      <c r="C758" s="78">
        <v>5554</v>
      </c>
      <c r="D758" s="79">
        <v>-2.4354720000000002E-3</v>
      </c>
      <c r="E758" s="79">
        <v>1.3742298999999999E-2</v>
      </c>
      <c r="F758" s="79">
        <v>0.85933895599999999</v>
      </c>
      <c r="G758" s="79">
        <v>0.98737809010017996</v>
      </c>
      <c r="H758" s="80">
        <v>1</v>
      </c>
      <c r="I758" s="79">
        <v>1.5412478688501901E-3</v>
      </c>
      <c r="J758" s="79">
        <v>1.36645341358904E-2</v>
      </c>
      <c r="K758" s="79">
        <v>0.91020001839192199</v>
      </c>
      <c r="L758" s="79">
        <v>0.981200184300273</v>
      </c>
      <c r="M758" s="80">
        <v>1</v>
      </c>
      <c r="N758" s="81">
        <v>8.6499092691788404E-2</v>
      </c>
      <c r="O758" s="81">
        <v>1.3516850887698899E-2</v>
      </c>
      <c r="P758" s="81">
        <v>1.6996475204276201E-10</v>
      </c>
      <c r="Q758" s="81">
        <v>4.7930060076058899E-9</v>
      </c>
      <c r="R758" s="82">
        <v>2.1568527034226501E-7</v>
      </c>
      <c r="S758" s="81">
        <v>6.0495057122069602E-2</v>
      </c>
      <c r="T758" s="81">
        <v>1.3531763264423499E-2</v>
      </c>
      <c r="U758" s="81">
        <v>7.9666130301302204E-6</v>
      </c>
      <c r="V758" s="81">
        <v>1.29610665836349E-4</v>
      </c>
      <c r="W758" s="81">
        <v>1.01096319352353E-2</v>
      </c>
    </row>
    <row r="759" spans="1:23" x14ac:dyDescent="0.2">
      <c r="A759" s="69"/>
      <c r="B759" s="56" t="s">
        <v>415</v>
      </c>
      <c r="C759" s="78">
        <v>5554</v>
      </c>
      <c r="D759" s="79">
        <v>1.3211191000000001E-2</v>
      </c>
      <c r="E759" s="79">
        <v>1.3752053E-2</v>
      </c>
      <c r="F759" s="79">
        <v>0.336765078</v>
      </c>
      <c r="G759" s="79">
        <v>0.85814233731325296</v>
      </c>
      <c r="H759" s="80">
        <v>1</v>
      </c>
      <c r="I759" s="79">
        <v>-6.3264972497562603E-3</v>
      </c>
      <c r="J759" s="79">
        <v>1.36622354947763E-2</v>
      </c>
      <c r="K759" s="79">
        <v>0.64333908180689003</v>
      </c>
      <c r="L759" s="79">
        <v>0.92144164200106504</v>
      </c>
      <c r="M759" s="80">
        <v>1</v>
      </c>
      <c r="N759" s="79">
        <v>3.9373894749917503E-2</v>
      </c>
      <c r="O759" s="79">
        <v>1.3564831976366499E-2</v>
      </c>
      <c r="P759" s="79">
        <v>3.7171000347001101E-3</v>
      </c>
      <c r="Q759" s="79">
        <v>1.05263322179397E-2</v>
      </c>
      <c r="R759" s="80">
        <v>1</v>
      </c>
      <c r="S759" s="79">
        <v>4.5528211663547799E-2</v>
      </c>
      <c r="T759" s="79">
        <v>1.35534215350254E-2</v>
      </c>
      <c r="U759" s="79">
        <v>7.8773330735714504E-4</v>
      </c>
      <c r="V759" s="79">
        <v>3.7299759964038001E-3</v>
      </c>
      <c r="W759" s="79">
        <v>0.99963356703621697</v>
      </c>
    </row>
    <row r="760" spans="1:23" x14ac:dyDescent="0.2">
      <c r="A760" s="69"/>
      <c r="B760" s="56" t="s">
        <v>416</v>
      </c>
      <c r="C760" s="78">
        <v>5554</v>
      </c>
      <c r="D760" s="79">
        <v>-1.5655612999999999E-2</v>
      </c>
      <c r="E760" s="79">
        <v>1.386546E-2</v>
      </c>
      <c r="F760" s="79">
        <v>0.25890346800000003</v>
      </c>
      <c r="G760" s="79">
        <v>0.80526593355882403</v>
      </c>
      <c r="H760" s="80">
        <v>1</v>
      </c>
      <c r="I760" s="79">
        <v>1.0218999574244599E-2</v>
      </c>
      <c r="J760" s="79">
        <v>1.38053043663009E-2</v>
      </c>
      <c r="K760" s="79">
        <v>0.45919840021153402</v>
      </c>
      <c r="L760" s="79">
        <v>0.87326336285163797</v>
      </c>
      <c r="M760" s="80">
        <v>1</v>
      </c>
      <c r="N760" s="79">
        <v>4.62212627868617E-2</v>
      </c>
      <c r="O760" s="79">
        <v>1.36950293927893E-2</v>
      </c>
      <c r="P760" s="79">
        <v>7.4345326628120502E-4</v>
      </c>
      <c r="Q760" s="79">
        <v>2.8763481552160001E-3</v>
      </c>
      <c r="R760" s="80">
        <v>0.94344219491084902</v>
      </c>
      <c r="S760" s="79">
        <v>3.5570140720705398E-2</v>
      </c>
      <c r="T760" s="79">
        <v>1.3678081979177499E-2</v>
      </c>
      <c r="U760" s="79">
        <v>9.3343329325990005E-3</v>
      </c>
      <c r="V760" s="79">
        <v>2.4990017914489699E-2</v>
      </c>
      <c r="W760" s="79">
        <v>1</v>
      </c>
    </row>
    <row r="761" spans="1:23" x14ac:dyDescent="0.2">
      <c r="A761" s="69"/>
      <c r="B761" s="56" t="s">
        <v>417</v>
      </c>
      <c r="C761" s="78">
        <v>5554</v>
      </c>
      <c r="D761" s="79">
        <v>-2.2206092E-2</v>
      </c>
      <c r="E761" s="79">
        <v>1.3887629E-2</v>
      </c>
      <c r="F761" s="79">
        <v>0.10988404</v>
      </c>
      <c r="G761" s="79">
        <v>0.62812093135135105</v>
      </c>
      <c r="H761" s="80">
        <v>1</v>
      </c>
      <c r="I761" s="79">
        <v>-2.2189020602697399E-2</v>
      </c>
      <c r="J761" s="79">
        <v>1.38143151972238E-2</v>
      </c>
      <c r="K761" s="79">
        <v>0.10828296096781199</v>
      </c>
      <c r="L761" s="79">
        <v>0.62424045135977002</v>
      </c>
      <c r="M761" s="80">
        <v>1</v>
      </c>
      <c r="N761" s="79">
        <v>4.8578224504510603E-2</v>
      </c>
      <c r="O761" s="79">
        <v>1.3709522162826801E-2</v>
      </c>
      <c r="P761" s="79">
        <v>3.9845890737592898E-4</v>
      </c>
      <c r="Q761" s="79">
        <v>1.7867291641698001E-3</v>
      </c>
      <c r="R761" s="80">
        <v>0.50564435346005399</v>
      </c>
      <c r="S761" s="79">
        <v>1.6140532023227301E-2</v>
      </c>
      <c r="T761" s="79">
        <v>1.3702197713283499E-2</v>
      </c>
      <c r="U761" s="79">
        <v>0.23886883328800201</v>
      </c>
      <c r="V761" s="79">
        <v>0.32664283345094203</v>
      </c>
      <c r="W761" s="79">
        <v>1</v>
      </c>
    </row>
    <row r="762" spans="1:23" x14ac:dyDescent="0.2">
      <c r="A762" s="69"/>
      <c r="B762" s="56" t="s">
        <v>418</v>
      </c>
      <c r="C762" s="78">
        <v>5554</v>
      </c>
      <c r="D762" s="79">
        <v>-3.7320579999999999E-3</v>
      </c>
      <c r="E762" s="79">
        <v>1.3848941E-2</v>
      </c>
      <c r="F762" s="79">
        <v>0.78756834099999995</v>
      </c>
      <c r="G762" s="79">
        <v>0.98545101377932998</v>
      </c>
      <c r="H762" s="80">
        <v>1</v>
      </c>
      <c r="I762" s="79">
        <v>1.19871452097379E-2</v>
      </c>
      <c r="J762" s="79">
        <v>1.3766652112012201E-2</v>
      </c>
      <c r="K762" s="79">
        <v>0.38393743316184098</v>
      </c>
      <c r="L762" s="79">
        <v>0.82579085200402702</v>
      </c>
      <c r="M762" s="80">
        <v>1</v>
      </c>
      <c r="N762" s="79">
        <v>1.6536960941406699E-2</v>
      </c>
      <c r="O762" s="79">
        <v>1.36745676506083E-2</v>
      </c>
      <c r="P762" s="79">
        <v>0.226593845246228</v>
      </c>
      <c r="Q762" s="79">
        <v>0.30396151122353399</v>
      </c>
      <c r="R762" s="80">
        <v>1</v>
      </c>
      <c r="S762" s="79">
        <v>3.4024701203302699E-2</v>
      </c>
      <c r="T762" s="79">
        <v>1.36522096619099E-2</v>
      </c>
      <c r="U762" s="79">
        <v>1.2724262530585799E-2</v>
      </c>
      <c r="V762" s="79">
        <v>3.1052094521756501E-2</v>
      </c>
      <c r="W762" s="79">
        <v>1</v>
      </c>
    </row>
    <row r="763" spans="1:23" x14ac:dyDescent="0.2">
      <c r="A763" s="69"/>
      <c r="B763" s="56" t="s">
        <v>419</v>
      </c>
      <c r="C763" s="78">
        <v>5554</v>
      </c>
      <c r="D763" s="79">
        <v>2.8131099E-2</v>
      </c>
      <c r="E763" s="79">
        <v>1.3759212E-2</v>
      </c>
      <c r="F763" s="79">
        <v>4.0953870000000003E-2</v>
      </c>
      <c r="G763" s="79">
        <v>0.450921001285714</v>
      </c>
      <c r="H763" s="80">
        <v>1</v>
      </c>
      <c r="I763" s="79">
        <v>6.8729914936223498E-3</v>
      </c>
      <c r="J763" s="79">
        <v>1.3675263486103701E-2</v>
      </c>
      <c r="K763" s="79">
        <v>0.61527832574215402</v>
      </c>
      <c r="L763" s="79">
        <v>0.91965825061269202</v>
      </c>
      <c r="M763" s="80">
        <v>1</v>
      </c>
      <c r="N763" s="79">
        <v>3.9653311002135899E-2</v>
      </c>
      <c r="O763" s="79">
        <v>1.35795906021719E-2</v>
      </c>
      <c r="P763" s="79">
        <v>3.5155880610712501E-3</v>
      </c>
      <c r="Q763" s="79">
        <v>1.00601650048019E-2</v>
      </c>
      <c r="R763" s="80">
        <v>1</v>
      </c>
      <c r="S763" s="79">
        <v>3.3358819545867099E-2</v>
      </c>
      <c r="T763" s="79">
        <v>1.3567075433577901E-2</v>
      </c>
      <c r="U763" s="79">
        <v>1.39738894203619E-2</v>
      </c>
      <c r="V763" s="79">
        <v>3.3207613622545401E-2</v>
      </c>
      <c r="W763" s="79">
        <v>1</v>
      </c>
    </row>
    <row r="764" spans="1:23" x14ac:dyDescent="0.2">
      <c r="A764" s="69"/>
      <c r="B764" s="56" t="s">
        <v>420</v>
      </c>
      <c r="C764" s="78">
        <v>5554</v>
      </c>
      <c r="D764" s="79">
        <v>-1.0960209E-2</v>
      </c>
      <c r="E764" s="79">
        <v>1.3872842E-2</v>
      </c>
      <c r="F764" s="79">
        <v>0.429535059</v>
      </c>
      <c r="G764" s="79">
        <v>0.89370578605573803</v>
      </c>
      <c r="H764" s="80">
        <v>1</v>
      </c>
      <c r="I764" s="79">
        <v>1.66817288623036E-2</v>
      </c>
      <c r="J764" s="79">
        <v>1.3792239814447301E-2</v>
      </c>
      <c r="K764" s="79">
        <v>0.22652475744192099</v>
      </c>
      <c r="L764" s="79">
        <v>0.73459417908661795</v>
      </c>
      <c r="M764" s="80">
        <v>1</v>
      </c>
      <c r="N764" s="81">
        <v>5.6733935741029799E-2</v>
      </c>
      <c r="O764" s="81">
        <v>1.3681659057973699E-2</v>
      </c>
      <c r="P764" s="81">
        <v>3.4258721600964999E-5</v>
      </c>
      <c r="Q764" s="81">
        <v>2.3756457765915101E-4</v>
      </c>
      <c r="R764" s="82">
        <v>4.3474317711624598E-2</v>
      </c>
      <c r="S764" s="79">
        <v>4.6463464860069498E-2</v>
      </c>
      <c r="T764" s="79">
        <v>1.36668971946853E-2</v>
      </c>
      <c r="U764" s="79">
        <v>6.7955484302154902E-4</v>
      </c>
      <c r="V764" s="79">
        <v>3.3424616116059899E-3</v>
      </c>
      <c r="W764" s="79">
        <v>0.86235509579434599</v>
      </c>
    </row>
    <row r="765" spans="1:23" x14ac:dyDescent="0.2">
      <c r="A765" s="69"/>
      <c r="B765" s="56" t="s">
        <v>421</v>
      </c>
      <c r="C765" s="78">
        <v>5554</v>
      </c>
      <c r="D765" s="79">
        <v>-2.3672101000000001E-2</v>
      </c>
      <c r="E765" s="79">
        <v>1.3923853E-2</v>
      </c>
      <c r="F765" s="79">
        <v>8.9169152000000002E-2</v>
      </c>
      <c r="G765" s="79">
        <v>0.59336855393782395</v>
      </c>
      <c r="H765" s="80">
        <v>1</v>
      </c>
      <c r="I765" s="79">
        <v>1.7565002990671898E-2</v>
      </c>
      <c r="J765" s="79">
        <v>1.38533418223101E-2</v>
      </c>
      <c r="K765" s="79">
        <v>0.20488154582412199</v>
      </c>
      <c r="L765" s="79">
        <v>0.72311176315330705</v>
      </c>
      <c r="M765" s="80">
        <v>1</v>
      </c>
      <c r="N765" s="79">
        <v>2.2333570817231502E-2</v>
      </c>
      <c r="O765" s="79">
        <v>1.37566357436753E-2</v>
      </c>
      <c r="P765" s="79">
        <v>0.10454830391266701</v>
      </c>
      <c r="Q765" s="79">
        <v>0.16359037936519699</v>
      </c>
      <c r="R765" s="80">
        <v>1</v>
      </c>
      <c r="S765" s="79">
        <v>3.3281681591805001E-2</v>
      </c>
      <c r="T765" s="79">
        <v>1.37298092151846E-2</v>
      </c>
      <c r="U765" s="79">
        <v>1.5382290399509399E-2</v>
      </c>
      <c r="V765" s="79">
        <v>3.5751147466991602E-2</v>
      </c>
      <c r="W765" s="79">
        <v>1</v>
      </c>
    </row>
    <row r="766" spans="1:23" x14ac:dyDescent="0.2">
      <c r="A766" s="69"/>
      <c r="B766" s="56" t="s">
        <v>422</v>
      </c>
      <c r="C766" s="78">
        <v>5554</v>
      </c>
      <c r="D766" s="79">
        <v>4.2835677000000003E-2</v>
      </c>
      <c r="E766" s="79">
        <v>1.3833974000000001E-2</v>
      </c>
      <c r="F766" s="79">
        <v>1.9691349999999999E-3</v>
      </c>
      <c r="G766" s="79">
        <v>0.12494161575</v>
      </c>
      <c r="H766" s="80">
        <v>1</v>
      </c>
      <c r="I766" s="79">
        <v>3.9108933241475297E-2</v>
      </c>
      <c r="J766" s="79">
        <v>1.37584589060486E-2</v>
      </c>
      <c r="K766" s="79">
        <v>4.4931343030410603E-3</v>
      </c>
      <c r="L766" s="79">
        <v>0.237574476273296</v>
      </c>
      <c r="M766" s="80">
        <v>1</v>
      </c>
      <c r="N766" s="79">
        <v>2.0933172410113901E-2</v>
      </c>
      <c r="O766" s="79">
        <v>1.3676355773594599E-2</v>
      </c>
      <c r="P766" s="79">
        <v>0.125926741050057</v>
      </c>
      <c r="Q766" s="79">
        <v>0.18845188670257201</v>
      </c>
      <c r="R766" s="80">
        <v>1</v>
      </c>
      <c r="S766" s="79">
        <v>4.7621388713610303E-2</v>
      </c>
      <c r="T766" s="79">
        <v>1.3646152478414201E-2</v>
      </c>
      <c r="U766" s="79">
        <v>4.8749408559378899E-4</v>
      </c>
      <c r="V766" s="79">
        <v>2.6102531418502901E-3</v>
      </c>
      <c r="W766" s="79">
        <v>0.61862999461851798</v>
      </c>
    </row>
    <row r="767" spans="1:23" x14ac:dyDescent="0.2">
      <c r="A767" s="69"/>
      <c r="B767" s="56" t="s">
        <v>423</v>
      </c>
      <c r="C767" s="78">
        <v>5554</v>
      </c>
      <c r="D767" s="79">
        <v>-1.0803188E-2</v>
      </c>
      <c r="E767" s="79">
        <v>1.3410182E-2</v>
      </c>
      <c r="F767" s="79">
        <v>0.42051384400000003</v>
      </c>
      <c r="G767" s="79">
        <v>0.89158896436589397</v>
      </c>
      <c r="H767" s="80">
        <v>1</v>
      </c>
      <c r="I767" s="79">
        <v>1.8444127492625499E-3</v>
      </c>
      <c r="J767" s="79">
        <v>1.3327035548725099E-2</v>
      </c>
      <c r="K767" s="79">
        <v>0.88993283509764898</v>
      </c>
      <c r="L767" s="79">
        <v>0.977770361678716</v>
      </c>
      <c r="M767" s="80">
        <v>1</v>
      </c>
      <c r="N767" s="81">
        <v>6.8045583793714504E-2</v>
      </c>
      <c r="O767" s="81">
        <v>1.32012038692519E-2</v>
      </c>
      <c r="P767" s="81">
        <v>2.6422857517306598E-7</v>
      </c>
      <c r="Q767" s="81">
        <v>3.6846819988419899E-6</v>
      </c>
      <c r="R767" s="82">
        <v>3.35306061894621E-4</v>
      </c>
      <c r="S767" s="79">
        <v>3.29371944487514E-2</v>
      </c>
      <c r="T767" s="79">
        <v>1.32205679193043E-2</v>
      </c>
      <c r="U767" s="79">
        <v>1.27574643640662E-2</v>
      </c>
      <c r="V767" s="79">
        <v>3.1073363297504802E-2</v>
      </c>
      <c r="W767" s="79">
        <v>1</v>
      </c>
    </row>
    <row r="768" spans="1:23" x14ac:dyDescent="0.2">
      <c r="A768" s="69"/>
      <c r="B768" s="56" t="s">
        <v>424</v>
      </c>
      <c r="C768" s="78">
        <v>5554</v>
      </c>
      <c r="D768" s="79">
        <v>1.4716941000000001E-2</v>
      </c>
      <c r="E768" s="79">
        <v>1.3778482E-2</v>
      </c>
      <c r="F768" s="79">
        <v>0.28552221900000002</v>
      </c>
      <c r="G768" s="79">
        <v>0.82932744725629304</v>
      </c>
      <c r="H768" s="80">
        <v>1</v>
      </c>
      <c r="I768" s="79">
        <v>1.2094165604439201E-2</v>
      </c>
      <c r="J768" s="79">
        <v>1.36876490939054E-2</v>
      </c>
      <c r="K768" s="79">
        <v>0.376965049802994</v>
      </c>
      <c r="L768" s="79">
        <v>0.82335395559380298</v>
      </c>
      <c r="M768" s="80">
        <v>1</v>
      </c>
      <c r="N768" s="79">
        <v>4.58198953589914E-3</v>
      </c>
      <c r="O768" s="79">
        <v>1.3598727322976499E-2</v>
      </c>
      <c r="P768" s="79">
        <v>0.73617467155953298</v>
      </c>
      <c r="Q768" s="79">
        <v>0.78902504916304705</v>
      </c>
      <c r="R768" s="80">
        <v>1</v>
      </c>
      <c r="S768" s="79">
        <v>3.17662512430072E-2</v>
      </c>
      <c r="T768" s="79">
        <v>1.35817694518042E-2</v>
      </c>
      <c r="U768" s="79">
        <v>1.9380468807145501E-2</v>
      </c>
      <c r="V768" s="79">
        <v>4.2899003050762802E-2</v>
      </c>
      <c r="W768" s="79">
        <v>1</v>
      </c>
    </row>
    <row r="769" spans="1:23" x14ac:dyDescent="0.2">
      <c r="A769" s="69"/>
      <c r="B769" s="56" t="s">
        <v>425</v>
      </c>
      <c r="C769" s="78">
        <v>5554</v>
      </c>
      <c r="D769" s="79">
        <v>3.6877110000000002E-3</v>
      </c>
      <c r="E769" s="79">
        <v>1.3815600000000001E-2</v>
      </c>
      <c r="F769" s="79">
        <v>0.78953892199999998</v>
      </c>
      <c r="G769" s="79">
        <v>0.98545101377932998</v>
      </c>
      <c r="H769" s="80">
        <v>1</v>
      </c>
      <c r="I769" s="79">
        <v>7.3140707591882502E-3</v>
      </c>
      <c r="J769" s="79">
        <v>1.3725554802070199E-2</v>
      </c>
      <c r="K769" s="79">
        <v>0.59414095115202803</v>
      </c>
      <c r="L769" s="79">
        <v>0.91965825061269202</v>
      </c>
      <c r="M769" s="80">
        <v>1</v>
      </c>
      <c r="N769" s="79">
        <v>3.64248420752777E-2</v>
      </c>
      <c r="O769" s="79">
        <v>1.3625909396745E-2</v>
      </c>
      <c r="P769" s="79">
        <v>7.5379439716774504E-3</v>
      </c>
      <c r="Q769" s="79">
        <v>1.8719473385633401E-2</v>
      </c>
      <c r="R769" s="80">
        <v>1</v>
      </c>
      <c r="S769" s="79">
        <v>3.7537199937735098E-2</v>
      </c>
      <c r="T769" s="79">
        <v>1.36178536209798E-2</v>
      </c>
      <c r="U769" s="79">
        <v>5.8641105965801599E-3</v>
      </c>
      <c r="V769" s="79">
        <v>1.7550840441179799E-2</v>
      </c>
      <c r="W769" s="79">
        <v>1</v>
      </c>
    </row>
    <row r="770" spans="1:23" x14ac:dyDescent="0.2">
      <c r="A770" s="69"/>
      <c r="B770" s="56" t="s">
        <v>426</v>
      </c>
      <c r="C770" s="78">
        <v>5554</v>
      </c>
      <c r="D770" s="79">
        <v>-1.0457780999999999E-2</v>
      </c>
      <c r="E770" s="79">
        <v>1.3942033E-2</v>
      </c>
      <c r="F770" s="79">
        <v>0.45323329400000001</v>
      </c>
      <c r="G770" s="79">
        <v>0.91149453262440605</v>
      </c>
      <c r="H770" s="80">
        <v>1</v>
      </c>
      <c r="I770" s="79">
        <v>2.6870170345414099E-2</v>
      </c>
      <c r="J770" s="79">
        <v>1.3872671666589899E-2</v>
      </c>
      <c r="K770" s="79">
        <v>5.2808852999642199E-2</v>
      </c>
      <c r="L770" s="79">
        <v>0.55845362047121605</v>
      </c>
      <c r="M770" s="80">
        <v>1</v>
      </c>
      <c r="N770" s="79">
        <v>4.7273649298219802E-3</v>
      </c>
      <c r="O770" s="79">
        <v>1.37809211275992E-2</v>
      </c>
      <c r="P770" s="79">
        <v>0.73158422375253096</v>
      </c>
      <c r="Q770" s="79">
        <v>0.78543179352111803</v>
      </c>
      <c r="R770" s="80">
        <v>1</v>
      </c>
      <c r="S770" s="79">
        <v>3.1446045431994897E-2</v>
      </c>
      <c r="T770" s="79">
        <v>1.37469027032972E-2</v>
      </c>
      <c r="U770" s="79">
        <v>2.22054645293948E-2</v>
      </c>
      <c r="V770" s="79">
        <v>4.7518945173359202E-2</v>
      </c>
      <c r="W770" s="79">
        <v>1</v>
      </c>
    </row>
    <row r="771" spans="1:23" x14ac:dyDescent="0.2">
      <c r="A771" s="69"/>
      <c r="B771" s="56" t="s">
        <v>427</v>
      </c>
      <c r="C771" s="78">
        <v>5554</v>
      </c>
      <c r="D771" s="79">
        <v>-2.2427699999999998E-2</v>
      </c>
      <c r="E771" s="79">
        <v>1.3714242999999999E-2</v>
      </c>
      <c r="F771" s="79">
        <v>0.102034634</v>
      </c>
      <c r="G771" s="79">
        <v>0.61409274316589901</v>
      </c>
      <c r="H771" s="80">
        <v>1</v>
      </c>
      <c r="I771" s="79">
        <v>-1.2931754035484799E-2</v>
      </c>
      <c r="J771" s="79">
        <v>1.36364323558603E-2</v>
      </c>
      <c r="K771" s="79">
        <v>0.34300948148659399</v>
      </c>
      <c r="L771" s="79">
        <v>0.80020788839305201</v>
      </c>
      <c r="M771" s="80">
        <v>1</v>
      </c>
      <c r="N771" s="81">
        <v>0.11962391123173099</v>
      </c>
      <c r="O771" s="81">
        <v>1.3441862103335899E-2</v>
      </c>
      <c r="P771" s="81">
        <v>7.6755106808016002E-19</v>
      </c>
      <c r="Q771" s="81">
        <v>3.2467410179790799E-16</v>
      </c>
      <c r="R771" s="82">
        <v>9.7402230539372302E-16</v>
      </c>
      <c r="S771" s="79">
        <v>4.9400492946333197E-2</v>
      </c>
      <c r="T771" s="79">
        <v>1.3509334335860899E-2</v>
      </c>
      <c r="U771" s="79">
        <v>2.5795558387709802E-4</v>
      </c>
      <c r="V771" s="79">
        <v>1.6367281797001899E-3</v>
      </c>
      <c r="W771" s="79">
        <v>0.32734563594003702</v>
      </c>
    </row>
    <row r="772" spans="1:23" x14ac:dyDescent="0.2">
      <c r="A772" s="69"/>
      <c r="B772" s="56" t="s">
        <v>428</v>
      </c>
      <c r="C772" s="78">
        <v>5554</v>
      </c>
      <c r="D772" s="79">
        <v>-4.718585E-3</v>
      </c>
      <c r="E772" s="79">
        <v>1.3741405E-2</v>
      </c>
      <c r="F772" s="79">
        <v>0.73132304999999997</v>
      </c>
      <c r="G772" s="79">
        <v>0.98545101377932998</v>
      </c>
      <c r="H772" s="80">
        <v>1</v>
      </c>
      <c r="I772" s="79">
        <v>-2.1899348033381401E-2</v>
      </c>
      <c r="J772" s="79">
        <v>1.36591338649577E-2</v>
      </c>
      <c r="K772" s="79">
        <v>0.108934981019372</v>
      </c>
      <c r="L772" s="79">
        <v>0.62424045135977002</v>
      </c>
      <c r="M772" s="80">
        <v>1</v>
      </c>
      <c r="N772" s="79">
        <v>-3.9094087954119096E-3</v>
      </c>
      <c r="O772" s="79">
        <v>1.3573032007780299E-2</v>
      </c>
      <c r="P772" s="79">
        <v>0.77333707346886904</v>
      </c>
      <c r="Q772" s="79">
        <v>0.81741637721470495</v>
      </c>
      <c r="R772" s="80">
        <v>1</v>
      </c>
      <c r="S772" s="79">
        <v>-1.46776281281854E-2</v>
      </c>
      <c r="T772" s="79">
        <v>1.35556113259899E-2</v>
      </c>
      <c r="U772" s="79">
        <v>0.27895981257005098</v>
      </c>
      <c r="V772" s="79">
        <v>0.37068063052502098</v>
      </c>
      <c r="W772" s="79">
        <v>1</v>
      </c>
    </row>
    <row r="773" spans="1:23" x14ac:dyDescent="0.2">
      <c r="A773" s="69"/>
      <c r="B773" s="56" t="s">
        <v>429</v>
      </c>
      <c r="C773" s="78">
        <v>5554</v>
      </c>
      <c r="D773" s="79">
        <v>1.7675039E-2</v>
      </c>
      <c r="E773" s="79">
        <v>1.3814552000000001E-2</v>
      </c>
      <c r="F773" s="79">
        <v>0.20079723299999999</v>
      </c>
      <c r="G773" s="79">
        <v>0.73432763307492799</v>
      </c>
      <c r="H773" s="80">
        <v>1</v>
      </c>
      <c r="I773" s="79">
        <v>4.1537575615288501E-2</v>
      </c>
      <c r="J773" s="79">
        <v>1.37085207711494E-2</v>
      </c>
      <c r="K773" s="79">
        <v>2.4577657699761E-3</v>
      </c>
      <c r="L773" s="79">
        <v>0.19370076628026101</v>
      </c>
      <c r="M773" s="80">
        <v>1</v>
      </c>
      <c r="N773" s="81">
        <v>6.5141259652025899E-2</v>
      </c>
      <c r="O773" s="81">
        <v>1.3600356230227401E-2</v>
      </c>
      <c r="P773" s="81">
        <v>1.7195102456493101E-6</v>
      </c>
      <c r="Q773" s="81">
        <v>1.8359031240237398E-5</v>
      </c>
      <c r="R773" s="82">
        <v>2.1820585017289702E-3</v>
      </c>
      <c r="S773" s="81">
        <v>5.8792413711298099E-2</v>
      </c>
      <c r="T773" s="81">
        <v>1.3602114394161299E-2</v>
      </c>
      <c r="U773" s="81">
        <v>1.57391362184E-5</v>
      </c>
      <c r="V773" s="81">
        <v>2.0976261238629199E-4</v>
      </c>
      <c r="W773" s="81">
        <v>1.9972963861149599E-2</v>
      </c>
    </row>
    <row r="774" spans="1:23" x14ac:dyDescent="0.2">
      <c r="A774" s="69"/>
      <c r="B774" s="56" t="s">
        <v>430</v>
      </c>
      <c r="C774" s="78">
        <v>5554</v>
      </c>
      <c r="D774" s="79">
        <v>-4.3953888000000003E-2</v>
      </c>
      <c r="E774" s="79">
        <v>1.3884433999999999E-2</v>
      </c>
      <c r="F774" s="79">
        <v>1.5558359999999999E-3</v>
      </c>
      <c r="G774" s="79">
        <v>0.12494161575</v>
      </c>
      <c r="H774" s="80">
        <v>1</v>
      </c>
      <c r="I774" s="79">
        <v>2.3728620151415702E-3</v>
      </c>
      <c r="J774" s="79">
        <v>1.3830056645812499E-2</v>
      </c>
      <c r="K774" s="79">
        <v>0.86377993229987005</v>
      </c>
      <c r="L774" s="79">
        <v>0.97191618374963396</v>
      </c>
      <c r="M774" s="80">
        <v>1</v>
      </c>
      <c r="N774" s="81">
        <v>6.2135782216380997E-2</v>
      </c>
      <c r="O774" s="81">
        <v>1.3713560157043199E-2</v>
      </c>
      <c r="P774" s="81">
        <v>6.0001437704927899E-6</v>
      </c>
      <c r="Q774" s="81">
        <v>5.4778290969462998E-5</v>
      </c>
      <c r="R774" s="82">
        <v>7.6141824447553503E-3</v>
      </c>
      <c r="S774" s="79">
        <v>4.7834802846832399E-2</v>
      </c>
      <c r="T774" s="79">
        <v>1.36963517282057E-2</v>
      </c>
      <c r="U774" s="79">
        <v>4.8236596811195302E-4</v>
      </c>
      <c r="V774" s="79">
        <v>2.5937390403986001E-3</v>
      </c>
      <c r="W774" s="79">
        <v>0.61212241353406804</v>
      </c>
    </row>
    <row r="775" spans="1:23" x14ac:dyDescent="0.2">
      <c r="A775" s="69"/>
      <c r="B775" s="56" t="s">
        <v>431</v>
      </c>
      <c r="C775" s="78">
        <v>5554</v>
      </c>
      <c r="D775" s="79">
        <v>-9.5322949999999997E-3</v>
      </c>
      <c r="E775" s="79">
        <v>1.3752698000000001E-2</v>
      </c>
      <c r="F775" s="79">
        <v>0.48826556500000001</v>
      </c>
      <c r="G775" s="79">
        <v>0.92884339055395704</v>
      </c>
      <c r="H775" s="80">
        <v>1</v>
      </c>
      <c r="I775" s="79">
        <v>-1.3422726619020499E-3</v>
      </c>
      <c r="J775" s="79">
        <v>1.36711013521218E-2</v>
      </c>
      <c r="K775" s="79">
        <v>0.92179087158897299</v>
      </c>
      <c r="L775" s="79">
        <v>0.981200184300273</v>
      </c>
      <c r="M775" s="80">
        <v>1</v>
      </c>
      <c r="N775" s="79">
        <v>4.8359925553485401E-2</v>
      </c>
      <c r="O775" s="79">
        <v>1.35672888773944E-2</v>
      </c>
      <c r="P775" s="79">
        <v>3.6812175817179001E-4</v>
      </c>
      <c r="Q775" s="79">
        <v>1.68644949862816E-3</v>
      </c>
      <c r="R775" s="80">
        <v>0.46714651112000199</v>
      </c>
      <c r="S775" s="79">
        <v>5.27182422147199E-2</v>
      </c>
      <c r="T775" s="79">
        <v>1.35528147278352E-2</v>
      </c>
      <c r="U775" s="79">
        <v>1.01626900900144E-4</v>
      </c>
      <c r="V775" s="79">
        <v>8.1109771850492297E-4</v>
      </c>
      <c r="W775" s="79">
        <v>0.12896453724228299</v>
      </c>
    </row>
    <row r="776" spans="1:23" x14ac:dyDescent="0.2">
      <c r="A776" s="69"/>
      <c r="B776" s="56" t="s">
        <v>432</v>
      </c>
      <c r="C776" s="78">
        <v>5554</v>
      </c>
      <c r="D776" s="79">
        <v>1.2125406E-2</v>
      </c>
      <c r="E776" s="79">
        <v>1.3770157999999999E-2</v>
      </c>
      <c r="F776" s="79">
        <v>0.378599085</v>
      </c>
      <c r="G776" s="79">
        <v>0.880152082540541</v>
      </c>
      <c r="H776" s="80">
        <v>1</v>
      </c>
      <c r="I776" s="79">
        <v>4.1128347495559797E-2</v>
      </c>
      <c r="J776" s="79">
        <v>1.36613147826229E-2</v>
      </c>
      <c r="K776" s="79">
        <v>2.6205308958940901E-3</v>
      </c>
      <c r="L776" s="79">
        <v>0.19370076628026101</v>
      </c>
      <c r="M776" s="80">
        <v>1</v>
      </c>
      <c r="N776" s="81">
        <v>6.2307137386881803E-2</v>
      </c>
      <c r="O776" s="81">
        <v>1.3547374167516399E-2</v>
      </c>
      <c r="P776" s="81">
        <v>4.3462502280186496E-6</v>
      </c>
      <c r="Q776" s="81">
        <v>4.1159638353400498E-5</v>
      </c>
      <c r="R776" s="82">
        <v>5.5153915393556701E-3</v>
      </c>
      <c r="S776" s="81">
        <v>5.7279956076836502E-2</v>
      </c>
      <c r="T776" s="81">
        <v>1.3549917204361999E-2</v>
      </c>
      <c r="U776" s="81">
        <v>2.4062959987967301E-5</v>
      </c>
      <c r="V776" s="81">
        <v>2.82739779858616E-4</v>
      </c>
      <c r="W776" s="81">
        <v>3.0535896224730501E-2</v>
      </c>
    </row>
    <row r="777" spans="1:23" x14ac:dyDescent="0.2">
      <c r="A777" s="69"/>
      <c r="B777" s="56" t="s">
        <v>433</v>
      </c>
      <c r="C777" s="78">
        <v>5554</v>
      </c>
      <c r="D777" s="79">
        <v>-1.1748475E-2</v>
      </c>
      <c r="E777" s="79">
        <v>1.3808223999999999E-2</v>
      </c>
      <c r="F777" s="79">
        <v>0.39490175999999999</v>
      </c>
      <c r="G777" s="79">
        <v>0.88261195738869902</v>
      </c>
      <c r="H777" s="80">
        <v>1</v>
      </c>
      <c r="I777" s="79">
        <v>1.7419207521851401E-2</v>
      </c>
      <c r="J777" s="79">
        <v>1.3728650898617301E-2</v>
      </c>
      <c r="K777" s="79">
        <v>0.20456191855579201</v>
      </c>
      <c r="L777" s="79">
        <v>0.72311176315330705</v>
      </c>
      <c r="M777" s="80">
        <v>1</v>
      </c>
      <c r="N777" s="81">
        <v>6.9159837915801894E-2</v>
      </c>
      <c r="O777" s="81">
        <v>1.3606272973860301E-2</v>
      </c>
      <c r="P777" s="81">
        <v>3.8473052340461199E-7</v>
      </c>
      <c r="Q777" s="81">
        <v>5.1078528503589299E-6</v>
      </c>
      <c r="R777" s="82">
        <v>4.8822303420045299E-4</v>
      </c>
      <c r="S777" s="79">
        <v>5.3103933070032902E-2</v>
      </c>
      <c r="T777" s="79">
        <v>1.3607049441111799E-2</v>
      </c>
      <c r="U777" s="79">
        <v>9.63311431466768E-5</v>
      </c>
      <c r="V777" s="79">
        <v>7.7369759907046105E-4</v>
      </c>
      <c r="W777" s="79">
        <v>0.12224422065313301</v>
      </c>
    </row>
    <row r="778" spans="1:23" x14ac:dyDescent="0.2">
      <c r="A778" s="69"/>
      <c r="B778" s="56" t="s">
        <v>434</v>
      </c>
      <c r="C778" s="78">
        <v>5554</v>
      </c>
      <c r="D778" s="79">
        <v>9.3103999999999999E-3</v>
      </c>
      <c r="E778" s="79">
        <v>1.3907482000000001E-2</v>
      </c>
      <c r="F778" s="79">
        <v>0.50323614999999999</v>
      </c>
      <c r="G778" s="79">
        <v>0.92884339055395704</v>
      </c>
      <c r="H778" s="80">
        <v>1</v>
      </c>
      <c r="I778" s="79">
        <v>1.30653344281705E-2</v>
      </c>
      <c r="J778" s="79">
        <v>1.3836717935156499E-2</v>
      </c>
      <c r="K778" s="79">
        <v>0.34508522430903199</v>
      </c>
      <c r="L778" s="79">
        <v>0.80057248564563399</v>
      </c>
      <c r="M778" s="80">
        <v>1</v>
      </c>
      <c r="N778" s="79">
        <v>4.5019841408762501E-2</v>
      </c>
      <c r="O778" s="79">
        <v>1.3728993975609701E-2</v>
      </c>
      <c r="P778" s="79">
        <v>1.0479182572604401E-3</v>
      </c>
      <c r="Q778" s="79">
        <v>3.6836794140263098E-3</v>
      </c>
      <c r="R778" s="80">
        <v>1</v>
      </c>
      <c r="S778" s="81">
        <v>6.8035754961929401E-2</v>
      </c>
      <c r="T778" s="81">
        <v>1.36906792982096E-2</v>
      </c>
      <c r="U778" s="81">
        <v>6.9254604213459002E-7</v>
      </c>
      <c r="V778" s="81">
        <v>2.09247839873523E-5</v>
      </c>
      <c r="W778" s="81">
        <v>8.78840927468795E-4</v>
      </c>
    </row>
    <row r="779" spans="1:23" x14ac:dyDescent="0.2">
      <c r="A779" s="69"/>
      <c r="B779" s="56" t="s">
        <v>435</v>
      </c>
      <c r="C779" s="78">
        <v>5554</v>
      </c>
      <c r="D779" s="79">
        <v>2.0626182E-2</v>
      </c>
      <c r="E779" s="79">
        <v>1.389074E-2</v>
      </c>
      <c r="F779" s="79">
        <v>0.13763370599999999</v>
      </c>
      <c r="G779" s="79">
        <v>0.66434080898863601</v>
      </c>
      <c r="H779" s="80">
        <v>1</v>
      </c>
      <c r="I779" s="79">
        <v>6.7661535786402603E-3</v>
      </c>
      <c r="J779" s="79">
        <v>1.3815188711830399E-2</v>
      </c>
      <c r="K779" s="79">
        <v>0.62432308126323099</v>
      </c>
      <c r="L779" s="79">
        <v>0.91965825061269202</v>
      </c>
      <c r="M779" s="80">
        <v>1</v>
      </c>
      <c r="N779" s="79">
        <v>4.9648461681720699E-2</v>
      </c>
      <c r="O779" s="79">
        <v>1.37060188741755E-2</v>
      </c>
      <c r="P779" s="79">
        <v>2.9468885777267801E-4</v>
      </c>
      <c r="Q779" s="79">
        <v>1.4327975498602599E-3</v>
      </c>
      <c r="R779" s="80">
        <v>0.37396016051352798</v>
      </c>
      <c r="S779" s="79">
        <v>4.3110793139105603E-2</v>
      </c>
      <c r="T779" s="79">
        <v>1.3691696413030899E-2</v>
      </c>
      <c r="U779" s="79">
        <v>1.6492996004412201E-3</v>
      </c>
      <c r="V779" s="79">
        <v>6.6872562815376404E-3</v>
      </c>
      <c r="W779" s="79">
        <v>1</v>
      </c>
    </row>
    <row r="780" spans="1:23" x14ac:dyDescent="0.2">
      <c r="A780" s="69"/>
      <c r="B780" s="56" t="s">
        <v>436</v>
      </c>
      <c r="C780" s="78">
        <v>5554</v>
      </c>
      <c r="D780" s="79">
        <v>9.4267670000000008E-3</v>
      </c>
      <c r="E780" s="79">
        <v>1.3837999E-2</v>
      </c>
      <c r="F780" s="79">
        <v>0.49576029399999999</v>
      </c>
      <c r="G780" s="79">
        <v>0.92884339055395704</v>
      </c>
      <c r="H780" s="80">
        <v>1</v>
      </c>
      <c r="I780" s="79">
        <v>2.2301951825810799E-3</v>
      </c>
      <c r="J780" s="79">
        <v>1.37591941004583E-2</v>
      </c>
      <c r="K780" s="79">
        <v>0.87124316130336499</v>
      </c>
      <c r="L780" s="79">
        <v>0.972117051448254</v>
      </c>
      <c r="M780" s="80">
        <v>1</v>
      </c>
      <c r="N780" s="79">
        <v>3.25037326189688E-2</v>
      </c>
      <c r="O780" s="79">
        <v>1.36622373423908E-2</v>
      </c>
      <c r="P780" s="79">
        <v>1.7391214633988301E-2</v>
      </c>
      <c r="Q780" s="79">
        <v>3.7216612766494399E-2</v>
      </c>
      <c r="R780" s="80">
        <v>1</v>
      </c>
      <c r="S780" s="79">
        <v>5.28580007349332E-2</v>
      </c>
      <c r="T780" s="79">
        <v>1.3633502555065E-2</v>
      </c>
      <c r="U780" s="79">
        <v>1.07016360389706E-4</v>
      </c>
      <c r="V780" s="79">
        <v>8.4877350834085599E-4</v>
      </c>
      <c r="W780" s="79">
        <v>0.135803761334537</v>
      </c>
    </row>
    <row r="781" spans="1:23" x14ac:dyDescent="0.2">
      <c r="A781" s="69"/>
      <c r="B781" s="56" t="s">
        <v>437</v>
      </c>
      <c r="C781" s="78">
        <v>5554</v>
      </c>
      <c r="D781" s="79">
        <v>-3.5805699999999999E-3</v>
      </c>
      <c r="E781" s="79">
        <v>1.3892462E-2</v>
      </c>
      <c r="F781" s="79">
        <v>0.79662160199999998</v>
      </c>
      <c r="G781" s="79">
        <v>0.98545101377932998</v>
      </c>
      <c r="H781" s="80">
        <v>1</v>
      </c>
      <c r="I781" s="79">
        <v>2.4610609514926999E-2</v>
      </c>
      <c r="J781" s="79">
        <v>1.3809607993037499E-2</v>
      </c>
      <c r="K781" s="79">
        <v>7.4784705125324605E-2</v>
      </c>
      <c r="L781" s="79">
        <v>0.57866945612217602</v>
      </c>
      <c r="M781" s="80">
        <v>1</v>
      </c>
      <c r="N781" s="79">
        <v>4.5714619454534901E-2</v>
      </c>
      <c r="O781" s="79">
        <v>1.37037643808968E-2</v>
      </c>
      <c r="P781" s="79">
        <v>8.5612841496482395E-4</v>
      </c>
      <c r="Q781" s="79">
        <v>3.1766870134221099E-3</v>
      </c>
      <c r="R781" s="80">
        <v>1</v>
      </c>
      <c r="S781" s="81">
        <v>5.78375244219392E-2</v>
      </c>
      <c r="T781" s="81">
        <v>1.36767612350698E-2</v>
      </c>
      <c r="U781" s="81">
        <v>2.3881214876210599E-5</v>
      </c>
      <c r="V781" s="81">
        <v>2.82739779858616E-4</v>
      </c>
      <c r="W781" s="81">
        <v>3.03052616779113E-2</v>
      </c>
    </row>
    <row r="782" spans="1:23" x14ac:dyDescent="0.2">
      <c r="A782" s="69"/>
      <c r="B782" s="56" t="s">
        <v>438</v>
      </c>
      <c r="C782" s="78">
        <v>5554</v>
      </c>
      <c r="D782" s="79">
        <v>-1.7444353999999999E-2</v>
      </c>
      <c r="E782" s="79">
        <v>1.3817230999999999E-2</v>
      </c>
      <c r="F782" s="79">
        <v>0.206820805</v>
      </c>
      <c r="G782" s="79">
        <v>0.73748064038764105</v>
      </c>
      <c r="H782" s="80">
        <v>1</v>
      </c>
      <c r="I782" s="79">
        <v>2.85787043670204E-2</v>
      </c>
      <c r="J782" s="79">
        <v>1.3753149486992401E-2</v>
      </c>
      <c r="K782" s="79">
        <v>3.7759179617341501E-2</v>
      </c>
      <c r="L782" s="79">
        <v>0.50307562413000395</v>
      </c>
      <c r="M782" s="80">
        <v>1</v>
      </c>
      <c r="N782" s="81">
        <v>8.0178993722865702E-2</v>
      </c>
      <c r="O782" s="81">
        <v>1.36129372271199E-2</v>
      </c>
      <c r="P782" s="81">
        <v>4.0995933595990701E-9</v>
      </c>
      <c r="Q782" s="81">
        <v>8.9696275402262395E-8</v>
      </c>
      <c r="R782" s="82">
        <v>5.2023839733312201E-6</v>
      </c>
      <c r="S782" s="79">
        <v>4.5941410462074603E-2</v>
      </c>
      <c r="T782" s="79">
        <v>1.3616653770606399E-2</v>
      </c>
      <c r="U782" s="79">
        <v>7.46306824281375E-4</v>
      </c>
      <c r="V782" s="79">
        <v>3.6010013688709702E-3</v>
      </c>
      <c r="W782" s="79">
        <v>0.94706336001306501</v>
      </c>
    </row>
    <row r="783" spans="1:23" x14ac:dyDescent="0.2">
      <c r="A783" s="69"/>
      <c r="B783" s="56" t="s">
        <v>439</v>
      </c>
      <c r="C783" s="78">
        <v>5554</v>
      </c>
      <c r="D783" s="79">
        <v>2.2220672E-2</v>
      </c>
      <c r="E783" s="79">
        <v>1.3697011E-2</v>
      </c>
      <c r="F783" s="79">
        <v>0.10479585800000001</v>
      </c>
      <c r="G783" s="79">
        <v>0.61409274316589901</v>
      </c>
      <c r="H783" s="80">
        <v>1</v>
      </c>
      <c r="I783" s="79">
        <v>3.7621918045531298E-2</v>
      </c>
      <c r="J783" s="79">
        <v>1.35836556618666E-2</v>
      </c>
      <c r="K783" s="79">
        <v>5.6304084211477798E-3</v>
      </c>
      <c r="L783" s="79">
        <v>0.238166276214551</v>
      </c>
      <c r="M783" s="80">
        <v>1</v>
      </c>
      <c r="N783" s="79">
        <v>2.35889060012421E-2</v>
      </c>
      <c r="O783" s="79">
        <v>1.3490315959113999E-2</v>
      </c>
      <c r="P783" s="79">
        <v>8.0418910444849098E-2</v>
      </c>
      <c r="Q783" s="79">
        <v>0.13061297494947299</v>
      </c>
      <c r="R783" s="80">
        <v>1</v>
      </c>
      <c r="S783" s="79">
        <v>4.8791746029940401E-2</v>
      </c>
      <c r="T783" s="79">
        <v>1.34848357538719E-2</v>
      </c>
      <c r="U783" s="79">
        <v>2.9922539576932098E-4</v>
      </c>
      <c r="V783" s="79">
        <v>1.79960676412923E-3</v>
      </c>
      <c r="W783" s="79">
        <v>0.37971702723126799</v>
      </c>
    </row>
    <row r="784" spans="1:23" x14ac:dyDescent="0.2">
      <c r="A784" s="69"/>
      <c r="B784" s="56" t="s">
        <v>440</v>
      </c>
      <c r="C784" s="78">
        <v>5554</v>
      </c>
      <c r="D784" s="79">
        <v>-2.7506587999999998E-2</v>
      </c>
      <c r="E784" s="79">
        <v>1.3856686E-2</v>
      </c>
      <c r="F784" s="79">
        <v>4.7188517999999999E-2</v>
      </c>
      <c r="G784" s="79">
        <v>0.45521505020000003</v>
      </c>
      <c r="H784" s="80">
        <v>1</v>
      </c>
      <c r="I784" s="79">
        <v>-1.8314246162880601E-2</v>
      </c>
      <c r="J784" s="79">
        <v>1.3777706266977399E-2</v>
      </c>
      <c r="K784" s="79">
        <v>0.18381942740155899</v>
      </c>
      <c r="L784" s="79">
        <v>0.70261100413427202</v>
      </c>
      <c r="M784" s="80">
        <v>1</v>
      </c>
      <c r="N784" s="79">
        <v>2.53243787713151E-2</v>
      </c>
      <c r="O784" s="79">
        <v>1.3685021519897899E-2</v>
      </c>
      <c r="P784" s="79">
        <v>6.4296598016353901E-2</v>
      </c>
      <c r="Q784" s="79">
        <v>0.109080725779082</v>
      </c>
      <c r="R784" s="80">
        <v>1</v>
      </c>
      <c r="S784" s="79">
        <v>1.37978734447571E-2</v>
      </c>
      <c r="T784" s="79">
        <v>1.36694409731122E-2</v>
      </c>
      <c r="U784" s="79">
        <v>0.31283219642666599</v>
      </c>
      <c r="V784" s="79">
        <v>0.40436171318790598</v>
      </c>
      <c r="W784" s="79">
        <v>1</v>
      </c>
    </row>
    <row r="785" spans="1:23" x14ac:dyDescent="0.2">
      <c r="A785" s="69"/>
      <c r="B785" s="56" t="s">
        <v>441</v>
      </c>
      <c r="C785" s="78">
        <v>5554</v>
      </c>
      <c r="D785" s="79">
        <v>-1.3684195999999999E-2</v>
      </c>
      <c r="E785" s="79">
        <v>1.3714903000000001E-2</v>
      </c>
      <c r="F785" s="79">
        <v>0.31844441800000001</v>
      </c>
      <c r="G785" s="79">
        <v>0.85138679101263204</v>
      </c>
      <c r="H785" s="80">
        <v>1</v>
      </c>
      <c r="I785" s="79">
        <v>-2.8951642010999401E-3</v>
      </c>
      <c r="J785" s="79">
        <v>1.3630736777767299E-2</v>
      </c>
      <c r="K785" s="79">
        <v>0.83180426957479903</v>
      </c>
      <c r="L785" s="79">
        <v>0.96739769919940799</v>
      </c>
      <c r="M785" s="80">
        <v>1</v>
      </c>
      <c r="N785" s="81">
        <v>8.4520510686040898E-2</v>
      </c>
      <c r="O785" s="81">
        <v>1.3492773937775799E-2</v>
      </c>
      <c r="P785" s="81">
        <v>4.0772232844394899E-10</v>
      </c>
      <c r="Q785" s="81">
        <v>1.03479926959074E-8</v>
      </c>
      <c r="R785" s="82">
        <v>5.1739963479537099E-7</v>
      </c>
      <c r="S785" s="79">
        <v>5.35687237308747E-2</v>
      </c>
      <c r="T785" s="79">
        <v>1.35189914834048E-2</v>
      </c>
      <c r="U785" s="79">
        <v>7.5228527979661001E-5</v>
      </c>
      <c r="V785" s="79">
        <v>6.4942178235503304E-4</v>
      </c>
      <c r="W785" s="79">
        <v>9.5465002006189806E-2</v>
      </c>
    </row>
    <row r="786" spans="1:23" x14ac:dyDescent="0.2">
      <c r="A786" s="69"/>
      <c r="B786" s="56" t="s">
        <v>442</v>
      </c>
      <c r="C786" s="78">
        <v>5554</v>
      </c>
      <c r="D786" s="79">
        <v>-2.7542965999999999E-2</v>
      </c>
      <c r="E786" s="79">
        <v>1.3647273E-2</v>
      </c>
      <c r="F786" s="79">
        <v>4.3621376000000003E-2</v>
      </c>
      <c r="G786" s="79">
        <v>0.450921001285714</v>
      </c>
      <c r="H786" s="80">
        <v>1</v>
      </c>
      <c r="I786" s="79">
        <v>7.4860192584304298E-3</v>
      </c>
      <c r="J786" s="79">
        <v>1.3575717748221E-2</v>
      </c>
      <c r="K786" s="79">
        <v>0.58136492133760098</v>
      </c>
      <c r="L786" s="79">
        <v>0.91342751815810697</v>
      </c>
      <c r="M786" s="80">
        <v>1</v>
      </c>
      <c r="N786" s="81">
        <v>6.6321420048080906E-2</v>
      </c>
      <c r="O786" s="81">
        <v>1.34555888653513E-2</v>
      </c>
      <c r="P786" s="81">
        <v>8.5289036088731698E-7</v>
      </c>
      <c r="Q786" s="81">
        <v>1.01151202613645E-5</v>
      </c>
      <c r="R786" s="82">
        <v>1.08231786796601E-3</v>
      </c>
      <c r="S786" s="79">
        <v>2.0001894539324199E-2</v>
      </c>
      <c r="T786" s="79">
        <v>1.3470388443535399E-2</v>
      </c>
      <c r="U786" s="79">
        <v>0.13763662170294</v>
      </c>
      <c r="V786" s="79">
        <v>0.209425507123538</v>
      </c>
      <c r="W786" s="79">
        <v>1</v>
      </c>
    </row>
    <row r="787" spans="1:23" x14ac:dyDescent="0.2">
      <c r="A787" s="69"/>
      <c r="B787" s="56" t="s">
        <v>443</v>
      </c>
      <c r="C787" s="78">
        <v>5554</v>
      </c>
      <c r="D787" s="79">
        <v>1.9458164E-2</v>
      </c>
      <c r="E787" s="79">
        <v>1.3832298E-2</v>
      </c>
      <c r="F787" s="79">
        <v>0.15956978699999999</v>
      </c>
      <c r="G787" s="79">
        <v>0.68875530511224503</v>
      </c>
      <c r="H787" s="80">
        <v>1</v>
      </c>
      <c r="I787" s="79">
        <v>1.7157158019542899E-3</v>
      </c>
      <c r="J787" s="79">
        <v>1.3758035783150499E-2</v>
      </c>
      <c r="K787" s="79">
        <v>0.900760788534683</v>
      </c>
      <c r="L787" s="79">
        <v>0.981200184300273</v>
      </c>
      <c r="M787" s="80">
        <v>1</v>
      </c>
      <c r="N787" s="81">
        <v>6.52966921452513E-2</v>
      </c>
      <c r="O787" s="81">
        <v>1.36382775634778E-2</v>
      </c>
      <c r="P787" s="81">
        <v>1.73343925789017E-6</v>
      </c>
      <c r="Q787" s="81">
        <v>1.8359031240237398E-5</v>
      </c>
      <c r="R787" s="82">
        <v>2.1997344182626299E-3</v>
      </c>
      <c r="S787" s="81">
        <v>6.57408224861427E-2</v>
      </c>
      <c r="T787" s="81">
        <v>1.3619281978283699E-2</v>
      </c>
      <c r="U787" s="81">
        <v>1.4251396570891601E-6</v>
      </c>
      <c r="V787" s="81">
        <v>3.8478770741407301E-5</v>
      </c>
      <c r="W787" s="81">
        <v>1.80850222484614E-3</v>
      </c>
    </row>
    <row r="788" spans="1:23" x14ac:dyDescent="0.2">
      <c r="A788" s="69"/>
      <c r="B788" s="56" t="s">
        <v>444</v>
      </c>
      <c r="C788" s="78">
        <v>5554</v>
      </c>
      <c r="D788" s="79">
        <v>-7.7703889999999999E-3</v>
      </c>
      <c r="E788" s="79">
        <v>1.3820875999999999E-2</v>
      </c>
      <c r="F788" s="79">
        <v>0.57398923999999996</v>
      </c>
      <c r="G788" s="79">
        <v>0.95151180571801597</v>
      </c>
      <c r="H788" s="80">
        <v>1</v>
      </c>
      <c r="I788" s="79">
        <v>-2.2717386390196498E-3</v>
      </c>
      <c r="J788" s="79">
        <v>1.37317372530025E-2</v>
      </c>
      <c r="K788" s="79">
        <v>0.86860637668529606</v>
      </c>
      <c r="L788" s="79">
        <v>0.972117051448254</v>
      </c>
      <c r="M788" s="80">
        <v>1</v>
      </c>
      <c r="N788" s="79">
        <v>4.2372395397261502E-2</v>
      </c>
      <c r="O788" s="79">
        <v>1.3623618223938601E-2</v>
      </c>
      <c r="P788" s="79">
        <v>1.8796349963161E-3</v>
      </c>
      <c r="Q788" s="79">
        <v>5.9631420258128296E-3</v>
      </c>
      <c r="R788" s="80">
        <v>1</v>
      </c>
      <c r="S788" s="79">
        <v>4.6689877191150503E-2</v>
      </c>
      <c r="T788" s="79">
        <v>1.3612665090981999E-2</v>
      </c>
      <c r="U788" s="79">
        <v>6.0848044864154698E-4</v>
      </c>
      <c r="V788" s="79">
        <v>3.1261606855308602E-3</v>
      </c>
      <c r="W788" s="79">
        <v>0.77216168932612295</v>
      </c>
    </row>
    <row r="789" spans="1:23" x14ac:dyDescent="0.2">
      <c r="A789" s="69"/>
      <c r="B789" s="56" t="s">
        <v>445</v>
      </c>
      <c r="C789" s="78">
        <v>5554</v>
      </c>
      <c r="D789" s="79">
        <v>-1.6753110000000002E-2</v>
      </c>
      <c r="E789" s="79">
        <v>1.3806492E-2</v>
      </c>
      <c r="F789" s="79">
        <v>0.22502291699999999</v>
      </c>
      <c r="G789" s="79">
        <v>0.747523774013089</v>
      </c>
      <c r="H789" s="80">
        <v>1</v>
      </c>
      <c r="I789" s="79">
        <v>-2.1636620524212401E-2</v>
      </c>
      <c r="J789" s="79">
        <v>1.37184914531264E-2</v>
      </c>
      <c r="K789" s="79">
        <v>0.11481365371235699</v>
      </c>
      <c r="L789" s="79">
        <v>0.62424045135977002</v>
      </c>
      <c r="M789" s="80">
        <v>1</v>
      </c>
      <c r="N789" s="79">
        <v>1.7412876937712599E-2</v>
      </c>
      <c r="O789" s="79">
        <v>1.36273753873935E-2</v>
      </c>
      <c r="P789" s="79">
        <v>0.20138195334202599</v>
      </c>
      <c r="Q789" s="79">
        <v>0.27687291309970902</v>
      </c>
      <c r="R789" s="80">
        <v>1</v>
      </c>
      <c r="S789" s="79">
        <v>-7.7697503368827497E-3</v>
      </c>
      <c r="T789" s="79">
        <v>1.36170688337563E-2</v>
      </c>
      <c r="U789" s="79">
        <v>0.56830273849886703</v>
      </c>
      <c r="V789" s="79">
        <v>0.644482730254747</v>
      </c>
      <c r="W789" s="79">
        <v>1</v>
      </c>
    </row>
    <row r="790" spans="1:23" x14ac:dyDescent="0.2">
      <c r="A790" s="69"/>
      <c r="B790" s="56" t="s">
        <v>352</v>
      </c>
      <c r="C790" s="78">
        <v>5556</v>
      </c>
      <c r="D790" s="79">
        <v>3.4743978000000002E-2</v>
      </c>
      <c r="E790" s="79">
        <v>1.3821965E-2</v>
      </c>
      <c r="F790" s="79">
        <v>1.1977303999999999E-2</v>
      </c>
      <c r="G790" s="79">
        <v>0.30813561053999999</v>
      </c>
      <c r="H790" s="80">
        <v>1</v>
      </c>
      <c r="I790" s="79">
        <v>1.8357633397743E-2</v>
      </c>
      <c r="J790" s="79">
        <v>1.37649436919614E-2</v>
      </c>
      <c r="K790" s="79">
        <v>0.18237613174689299</v>
      </c>
      <c r="L790" s="79">
        <v>0.70052176755991502</v>
      </c>
      <c r="M790" s="80">
        <v>1</v>
      </c>
      <c r="N790" s="79">
        <v>5.1211888332585997E-2</v>
      </c>
      <c r="O790" s="79">
        <v>1.36617606763384E-2</v>
      </c>
      <c r="P790" s="79">
        <v>1.7976041871520099E-4</v>
      </c>
      <c r="Q790" s="79">
        <v>9.3290907123655105E-4</v>
      </c>
      <c r="R790" s="80">
        <v>0.22811597134959</v>
      </c>
      <c r="S790" s="79">
        <v>5.2450999393131498E-2</v>
      </c>
      <c r="T790" s="79">
        <v>1.36296918555534E-2</v>
      </c>
      <c r="U790" s="79">
        <v>1.20344584897588E-4</v>
      </c>
      <c r="V790" s="79">
        <v>9.0903141806570904E-4</v>
      </c>
      <c r="W790" s="79">
        <v>0.152717278235039</v>
      </c>
    </row>
    <row r="791" spans="1:23" x14ac:dyDescent="0.2">
      <c r="A791" s="69"/>
      <c r="B791" s="56" t="s">
        <v>351</v>
      </c>
      <c r="C791" s="78">
        <v>5556</v>
      </c>
      <c r="D791" s="79">
        <v>1.2704507E-2</v>
      </c>
      <c r="E791" s="79">
        <v>1.3780703E-2</v>
      </c>
      <c r="F791" s="79">
        <v>0.35662181500000001</v>
      </c>
      <c r="G791" s="79">
        <v>0.87466935069364204</v>
      </c>
      <c r="H791" s="80">
        <v>1</v>
      </c>
      <c r="I791" s="79">
        <v>3.0243420389742901E-2</v>
      </c>
      <c r="J791" s="79">
        <v>1.3688138389812201E-2</v>
      </c>
      <c r="K791" s="79">
        <v>2.7188123474322201E-2</v>
      </c>
      <c r="L791" s="79">
        <v>0.46602025326235702</v>
      </c>
      <c r="M791" s="80">
        <v>1</v>
      </c>
      <c r="N791" s="81">
        <v>7.3277766831771396E-2</v>
      </c>
      <c r="O791" s="81">
        <v>1.35742114021406E-2</v>
      </c>
      <c r="P791" s="81">
        <v>7.0403533037810995E-8</v>
      </c>
      <c r="Q791" s="81">
        <v>1.19114012201761E-6</v>
      </c>
      <c r="R791" s="82">
        <v>8.93420834249822E-5</v>
      </c>
      <c r="S791" s="81">
        <v>6.7958937815322196E-2</v>
      </c>
      <c r="T791" s="81">
        <v>1.3567191078501401E-2</v>
      </c>
      <c r="U791" s="81">
        <v>5.6557572663958904E-7</v>
      </c>
      <c r="V791" s="81">
        <v>1.8303695958497901E-5</v>
      </c>
      <c r="W791" s="81">
        <v>7.1771559710563898E-4</v>
      </c>
    </row>
    <row r="792" spans="1:23" x14ac:dyDescent="0.2">
      <c r="A792" s="69"/>
      <c r="B792" s="56" t="s">
        <v>353</v>
      </c>
      <c r="C792" s="78">
        <v>5556</v>
      </c>
      <c r="D792" s="79">
        <v>1.6187561E-2</v>
      </c>
      <c r="E792" s="79">
        <v>1.3774006E-2</v>
      </c>
      <c r="F792" s="79">
        <v>0.23995646900000001</v>
      </c>
      <c r="G792" s="79">
        <v>0.77257570165909095</v>
      </c>
      <c r="H792" s="80">
        <v>1</v>
      </c>
      <c r="I792" s="79">
        <v>9.9939050996630807E-3</v>
      </c>
      <c r="J792" s="79">
        <v>1.37236045513725E-2</v>
      </c>
      <c r="K792" s="79">
        <v>0.46650632346343501</v>
      </c>
      <c r="L792" s="79">
        <v>0.87326336285163797</v>
      </c>
      <c r="M792" s="80">
        <v>1</v>
      </c>
      <c r="N792" s="81">
        <v>8.9561205843097194E-2</v>
      </c>
      <c r="O792" s="81">
        <v>1.35786513402406E-2</v>
      </c>
      <c r="P792" s="81">
        <v>4.6380833876645698E-11</v>
      </c>
      <c r="Q792" s="81">
        <v>1.54887574182798E-9</v>
      </c>
      <c r="R792" s="82">
        <v>5.8857278189463401E-8</v>
      </c>
      <c r="S792" s="81">
        <v>8.7688711730228797E-2</v>
      </c>
      <c r="T792" s="81">
        <v>1.35436322259246E-2</v>
      </c>
      <c r="U792" s="81">
        <v>1.03547567358256E-10</v>
      </c>
      <c r="V792" s="81">
        <v>1.0950155248135601E-8</v>
      </c>
      <c r="W792" s="81">
        <v>1.3140186297762701E-7</v>
      </c>
    </row>
    <row r="793" spans="1:23" x14ac:dyDescent="0.2">
      <c r="A793" s="69"/>
      <c r="B793" s="56" t="s">
        <v>348</v>
      </c>
      <c r="C793" s="78">
        <v>5556</v>
      </c>
      <c r="D793" s="79">
        <v>-2.8398761000000002E-2</v>
      </c>
      <c r="E793" s="79">
        <v>1.3666940000000001E-2</v>
      </c>
      <c r="F793" s="79">
        <v>3.7765251E-2</v>
      </c>
      <c r="G793" s="79">
        <v>0.43563485277876102</v>
      </c>
      <c r="H793" s="80">
        <v>1</v>
      </c>
      <c r="I793" s="79">
        <v>-2.3381240045115801E-2</v>
      </c>
      <c r="J793" s="79">
        <v>1.36035703036977E-2</v>
      </c>
      <c r="K793" s="79">
        <v>8.5717912094417495E-2</v>
      </c>
      <c r="L793" s="79">
        <v>0.59811020064394504</v>
      </c>
      <c r="M793" s="80">
        <v>1</v>
      </c>
      <c r="N793" s="81">
        <v>0.13230867658460599</v>
      </c>
      <c r="O793" s="81">
        <v>1.3402456638861301E-2</v>
      </c>
      <c r="P793" s="81">
        <v>8.7012628240324801E-23</v>
      </c>
      <c r="Q793" s="81">
        <v>1.1041902523697201E-19</v>
      </c>
      <c r="R793" s="82">
        <v>1.1041902523697201E-19</v>
      </c>
      <c r="S793" s="81">
        <v>5.6449797234713599E-2</v>
      </c>
      <c r="T793" s="81">
        <v>1.34700584522142E-2</v>
      </c>
      <c r="U793" s="81">
        <v>2.8256581116771499E-5</v>
      </c>
      <c r="V793" s="81">
        <v>3.2304145438903599E-4</v>
      </c>
      <c r="W793" s="81">
        <v>3.5857601437183001E-2</v>
      </c>
    </row>
    <row r="794" spans="1:23" x14ac:dyDescent="0.2">
      <c r="A794" s="69"/>
      <c r="B794" s="56" t="s">
        <v>346</v>
      </c>
      <c r="C794" s="78">
        <v>5556</v>
      </c>
      <c r="D794" s="79">
        <v>4.4423456E-2</v>
      </c>
      <c r="E794" s="79">
        <v>1.3825482E-2</v>
      </c>
      <c r="F794" s="79">
        <v>1.320686E-3</v>
      </c>
      <c r="G794" s="79">
        <v>0.12494161575</v>
      </c>
      <c r="H794" s="80">
        <v>1</v>
      </c>
      <c r="I794" s="79">
        <v>2.52504972906002E-2</v>
      </c>
      <c r="J794" s="79">
        <v>1.3774550326820499E-2</v>
      </c>
      <c r="K794" s="79">
        <v>6.6840358258936694E-2</v>
      </c>
      <c r="L794" s="79">
        <v>0.57459637698370203</v>
      </c>
      <c r="M794" s="80">
        <v>1</v>
      </c>
      <c r="N794" s="79">
        <v>4.4712940883005002E-2</v>
      </c>
      <c r="O794" s="79">
        <v>1.3676808784679801E-2</v>
      </c>
      <c r="P794" s="79">
        <v>1.0852395189586E-3</v>
      </c>
      <c r="Q794" s="79">
        <v>3.77306561522867E-3</v>
      </c>
      <c r="R794" s="80">
        <v>1</v>
      </c>
      <c r="S794" s="81">
        <v>7.5340699459940805E-2</v>
      </c>
      <c r="T794" s="81">
        <v>1.3617675687202501E-2</v>
      </c>
      <c r="U794" s="81">
        <v>3.3071549279458601E-8</v>
      </c>
      <c r="V794" s="81">
        <v>1.74865816815137E-6</v>
      </c>
      <c r="W794" s="81">
        <v>4.1967796035633E-5</v>
      </c>
    </row>
    <row r="795" spans="1:23" x14ac:dyDescent="0.2">
      <c r="A795" s="69"/>
      <c r="B795" s="56" t="s">
        <v>350</v>
      </c>
      <c r="C795" s="78">
        <v>5556</v>
      </c>
      <c r="D795" s="79">
        <v>-3.1930782999999997E-2</v>
      </c>
      <c r="E795" s="79">
        <v>1.3733778E-2</v>
      </c>
      <c r="F795" s="79">
        <v>2.0109657999999999E-2</v>
      </c>
      <c r="G795" s="79">
        <v>0.349577479479452</v>
      </c>
      <c r="H795" s="80">
        <v>1</v>
      </c>
      <c r="I795" s="79">
        <v>1.15374321206446E-2</v>
      </c>
      <c r="J795" s="79">
        <v>1.36866950490411E-2</v>
      </c>
      <c r="K795" s="79">
        <v>0.3992843529133</v>
      </c>
      <c r="L795" s="79">
        <v>0.83369555356615399</v>
      </c>
      <c r="M795" s="80">
        <v>1</v>
      </c>
      <c r="N795" s="81">
        <v>0.105753916547799</v>
      </c>
      <c r="O795" s="81">
        <v>1.3521209653068999E-2</v>
      </c>
      <c r="P795" s="81">
        <v>6.2412009444931201E-15</v>
      </c>
      <c r="Q795" s="81">
        <v>6.0923723065859803E-13</v>
      </c>
      <c r="R795" s="82">
        <v>7.9200839985617706E-12</v>
      </c>
      <c r="S795" s="81">
        <v>7.5272560513206493E-2</v>
      </c>
      <c r="T795" s="81">
        <v>1.3524399099469399E-2</v>
      </c>
      <c r="U795" s="81">
        <v>2.7365942956723201E-8</v>
      </c>
      <c r="V795" s="81">
        <v>1.50988615704703E-6</v>
      </c>
      <c r="W795" s="81">
        <v>3.4727381612081698E-5</v>
      </c>
    </row>
    <row r="796" spans="1:23" x14ac:dyDescent="0.2">
      <c r="A796" s="69"/>
      <c r="B796" s="56" t="s">
        <v>345</v>
      </c>
      <c r="C796" s="78">
        <v>5556</v>
      </c>
      <c r="D796" s="79">
        <v>1.6996665000000001E-2</v>
      </c>
      <c r="E796" s="79">
        <v>1.3855025E-2</v>
      </c>
      <c r="F796" s="79">
        <v>0.21997070799999999</v>
      </c>
      <c r="G796" s="79">
        <v>0.74224234113157905</v>
      </c>
      <c r="H796" s="80">
        <v>1</v>
      </c>
      <c r="I796" s="79">
        <v>2.0219956634895599E-2</v>
      </c>
      <c r="J796" s="79">
        <v>1.37901891376256E-2</v>
      </c>
      <c r="K796" s="79">
        <v>0.14263845741603301</v>
      </c>
      <c r="L796" s="79">
        <v>0.65821164531253096</v>
      </c>
      <c r="M796" s="80">
        <v>1</v>
      </c>
      <c r="N796" s="81">
        <v>6.4392173780423806E-2</v>
      </c>
      <c r="O796" s="81">
        <v>1.36741466307745E-2</v>
      </c>
      <c r="P796" s="81">
        <v>2.5528113009833899E-6</v>
      </c>
      <c r="Q796" s="81">
        <v>2.5710456674189901E-5</v>
      </c>
      <c r="R796" s="82">
        <v>3.2395175409479201E-3</v>
      </c>
      <c r="S796" s="81">
        <v>9.6033699521115901E-2</v>
      </c>
      <c r="T796" s="81">
        <v>1.3613706491509701E-2</v>
      </c>
      <c r="U796" s="81">
        <v>1.9589166683839502E-12</v>
      </c>
      <c r="V796" s="81">
        <v>8.0788698513435605E-10</v>
      </c>
      <c r="W796" s="81">
        <v>2.48586525217923E-9</v>
      </c>
    </row>
    <row r="797" spans="1:23" x14ac:dyDescent="0.2">
      <c r="A797" s="69"/>
      <c r="B797" s="56" t="s">
        <v>349</v>
      </c>
      <c r="C797" s="78">
        <v>5556</v>
      </c>
      <c r="D797" s="79">
        <v>-4.1088000000000002E-4</v>
      </c>
      <c r="E797" s="79">
        <v>1.3801598999999999E-2</v>
      </c>
      <c r="F797" s="79">
        <v>0.97625120300000001</v>
      </c>
      <c r="G797" s="79">
        <v>0.992299742561502</v>
      </c>
      <c r="H797" s="80">
        <v>1</v>
      </c>
      <c r="I797" s="79">
        <v>1.1399247152148E-2</v>
      </c>
      <c r="J797" s="79">
        <v>1.3738724584412099E-2</v>
      </c>
      <c r="K797" s="79">
        <v>0.40673651656430798</v>
      </c>
      <c r="L797" s="79">
        <v>0.839266080520499</v>
      </c>
      <c r="M797" s="80">
        <v>1</v>
      </c>
      <c r="N797" s="81">
        <v>9.6614200448363496E-2</v>
      </c>
      <c r="O797" s="81">
        <v>1.3587265732714E-2</v>
      </c>
      <c r="P797" s="81">
        <v>1.3079248195204401E-12</v>
      </c>
      <c r="Q797" s="81">
        <v>7.2163330259627795E-11</v>
      </c>
      <c r="R797" s="82">
        <v>1.65975659597144E-9</v>
      </c>
      <c r="S797" s="81">
        <v>8.9309434649265301E-2</v>
      </c>
      <c r="T797" s="81">
        <v>1.3566089141213E-2</v>
      </c>
      <c r="U797" s="81">
        <v>5.0424957375201097E-11</v>
      </c>
      <c r="V797" s="81">
        <v>6.3989270909130196E-9</v>
      </c>
      <c r="W797" s="81">
        <v>6.3989270909130195E-8</v>
      </c>
    </row>
    <row r="798" spans="1:23" x14ac:dyDescent="0.2">
      <c r="A798" s="69"/>
      <c r="B798" s="56" t="s">
        <v>347</v>
      </c>
      <c r="C798" s="78">
        <v>5556</v>
      </c>
      <c r="D798" s="79">
        <v>3.6030392000000001E-2</v>
      </c>
      <c r="E798" s="79">
        <v>1.3878865000000001E-2</v>
      </c>
      <c r="F798" s="79">
        <v>9.4558000000000003E-3</v>
      </c>
      <c r="G798" s="79">
        <v>0.27905605116279097</v>
      </c>
      <c r="H798" s="80">
        <v>1</v>
      </c>
      <c r="I798" s="79">
        <v>-3.2725445390073797E-5</v>
      </c>
      <c r="J798" s="79">
        <v>1.3831106049960599E-2</v>
      </c>
      <c r="K798" s="79">
        <v>0.99811223608101496</v>
      </c>
      <c r="L798" s="79">
        <v>0.99811223608101496</v>
      </c>
      <c r="M798" s="80">
        <v>1</v>
      </c>
      <c r="N798" s="79">
        <v>4.2531797835639297E-2</v>
      </c>
      <c r="O798" s="79">
        <v>1.37290317807988E-2</v>
      </c>
      <c r="P798" s="79">
        <v>1.95887887947963E-3</v>
      </c>
      <c r="Q798" s="79">
        <v>6.1682811366244403E-3</v>
      </c>
      <c r="R798" s="80">
        <v>1</v>
      </c>
      <c r="S798" s="81">
        <v>8.2405153887352506E-2</v>
      </c>
      <c r="T798" s="81">
        <v>1.3659214878816E-2</v>
      </c>
      <c r="U798" s="81">
        <v>1.7188098221732101E-9</v>
      </c>
      <c r="V798" s="81">
        <v>1.3632310402111299E-7</v>
      </c>
      <c r="W798" s="81">
        <v>2.1811696643378002E-6</v>
      </c>
    </row>
    <row r="799" spans="1:23" x14ac:dyDescent="0.2">
      <c r="A799" s="69"/>
      <c r="B799" s="56" t="s">
        <v>341</v>
      </c>
      <c r="C799" s="78">
        <v>5556</v>
      </c>
      <c r="D799" s="79">
        <v>-2.7574209999999999E-3</v>
      </c>
      <c r="E799" s="79">
        <v>1.3762236000000001E-2</v>
      </c>
      <c r="F799" s="79">
        <v>0.84120549899999997</v>
      </c>
      <c r="G799" s="79">
        <v>0.98552821438803295</v>
      </c>
      <c r="H799" s="80">
        <v>1</v>
      </c>
      <c r="I799" s="79">
        <v>1.3531968411430201E-2</v>
      </c>
      <c r="J799" s="79">
        <v>1.3703331267306801E-2</v>
      </c>
      <c r="K799" s="79">
        <v>0.32344491605153203</v>
      </c>
      <c r="L799" s="79">
        <v>0.79366538468944703</v>
      </c>
      <c r="M799" s="80">
        <v>1</v>
      </c>
      <c r="N799" s="81">
        <v>0.102841160497237</v>
      </c>
      <c r="O799" s="81">
        <v>1.3543494958643E-2</v>
      </c>
      <c r="P799" s="81">
        <v>3.6547814394632403E-14</v>
      </c>
      <c r="Q799" s="81">
        <v>2.8986985291742798E-12</v>
      </c>
      <c r="R799" s="82">
        <v>4.6379176466788503E-11</v>
      </c>
      <c r="S799" s="81">
        <v>8.5380024817972897E-2</v>
      </c>
      <c r="T799" s="81">
        <v>1.35355712873125E-2</v>
      </c>
      <c r="U799" s="81">
        <v>3.0558948350706799E-10</v>
      </c>
      <c r="V799" s="81">
        <v>2.7699503897890702E-8</v>
      </c>
      <c r="W799" s="81">
        <v>3.8779305457046898E-7</v>
      </c>
    </row>
    <row r="800" spans="1:23" x14ac:dyDescent="0.2">
      <c r="A800" s="69"/>
      <c r="B800" s="56" t="s">
        <v>334</v>
      </c>
      <c r="C800" s="78">
        <v>5556</v>
      </c>
      <c r="D800" s="79">
        <v>4.8522326999999997E-2</v>
      </c>
      <c r="E800" s="79">
        <v>1.3825769999999999E-2</v>
      </c>
      <c r="F800" s="79">
        <v>4.5256099999999998E-4</v>
      </c>
      <c r="G800" s="79">
        <v>8.2042844142857105E-2</v>
      </c>
      <c r="H800" s="80">
        <v>0.57429990900000005</v>
      </c>
      <c r="I800" s="79">
        <v>2.5928624982801199E-2</v>
      </c>
      <c r="J800" s="79">
        <v>1.3776920271026E-2</v>
      </c>
      <c r="K800" s="79">
        <v>5.9886481475053099E-2</v>
      </c>
      <c r="L800" s="79">
        <v>0.57459637698370203</v>
      </c>
      <c r="M800" s="80">
        <v>1</v>
      </c>
      <c r="N800" s="79">
        <v>3.7460408445294399E-2</v>
      </c>
      <c r="O800" s="79">
        <v>1.36828104111523E-2</v>
      </c>
      <c r="P800" s="79">
        <v>6.2063565934668899E-3</v>
      </c>
      <c r="Q800" s="79">
        <v>1.6040461338308502E-2</v>
      </c>
      <c r="R800" s="80">
        <v>1</v>
      </c>
      <c r="S800" s="81">
        <v>6.6983385638017603E-2</v>
      </c>
      <c r="T800" s="81">
        <v>1.36293141197142E-2</v>
      </c>
      <c r="U800" s="81">
        <v>9.1603550087289098E-7</v>
      </c>
      <c r="V800" s="81">
        <v>2.70336988513418E-5</v>
      </c>
      <c r="W800" s="81">
        <v>1.1624490506077E-3</v>
      </c>
    </row>
    <row r="801" spans="1:23" x14ac:dyDescent="0.2">
      <c r="A801" s="69"/>
      <c r="B801" s="56" t="s">
        <v>339</v>
      </c>
      <c r="C801" s="78">
        <v>5556</v>
      </c>
      <c r="D801" s="79">
        <v>-2.3598733E-2</v>
      </c>
      <c r="E801" s="79">
        <v>1.367257E-2</v>
      </c>
      <c r="F801" s="79">
        <v>8.4407449999999995E-2</v>
      </c>
      <c r="G801" s="79">
        <v>0.59336855393782395</v>
      </c>
      <c r="H801" s="80">
        <v>1</v>
      </c>
      <c r="I801" s="79">
        <v>-1.31497556326702E-2</v>
      </c>
      <c r="J801" s="79">
        <v>1.3609195860287601E-2</v>
      </c>
      <c r="K801" s="79">
        <v>0.33396861122775601</v>
      </c>
      <c r="L801" s="79">
        <v>0.79366538468944703</v>
      </c>
      <c r="M801" s="80">
        <v>1</v>
      </c>
      <c r="N801" s="81">
        <v>0.12869841532925999</v>
      </c>
      <c r="O801" s="81">
        <v>1.3410282986475799E-2</v>
      </c>
      <c r="P801" s="81">
        <v>1.2387098815819001E-21</v>
      </c>
      <c r="Q801" s="81">
        <v>7.8596141986371499E-19</v>
      </c>
      <c r="R801" s="82">
        <v>1.57192283972743E-18</v>
      </c>
      <c r="S801" s="81">
        <v>6.4896007374991793E-2</v>
      </c>
      <c r="T801" s="81">
        <v>1.34659877508748E-2</v>
      </c>
      <c r="U801" s="81">
        <v>1.4813115781405901E-6</v>
      </c>
      <c r="V801" s="81">
        <v>3.9162174847091899E-5</v>
      </c>
      <c r="W801" s="81">
        <v>1.8797843926604101E-3</v>
      </c>
    </row>
    <row r="802" spans="1:23" x14ac:dyDescent="0.2">
      <c r="A802" s="69"/>
      <c r="B802" s="56" t="s">
        <v>343</v>
      </c>
      <c r="C802" s="78">
        <v>5556</v>
      </c>
      <c r="D802" s="79">
        <v>-1.5132692999999999E-2</v>
      </c>
      <c r="E802" s="79">
        <v>1.3727764E-2</v>
      </c>
      <c r="F802" s="79">
        <v>0.27036195099999999</v>
      </c>
      <c r="G802" s="79">
        <v>0.82078783688755996</v>
      </c>
      <c r="H802" s="80">
        <v>1</v>
      </c>
      <c r="I802" s="79">
        <v>1.5374883563219199E-2</v>
      </c>
      <c r="J802" s="79">
        <v>1.36759213004052E-2</v>
      </c>
      <c r="K802" s="79">
        <v>0.26096565033435398</v>
      </c>
      <c r="L802" s="79">
        <v>0.75316534960692805</v>
      </c>
      <c r="M802" s="80">
        <v>1</v>
      </c>
      <c r="N802" s="81">
        <v>0.111144775517675</v>
      </c>
      <c r="O802" s="81">
        <v>1.35024436688793E-2</v>
      </c>
      <c r="P802" s="81">
        <v>2.2986481446547399E-16</v>
      </c>
      <c r="Q802" s="81">
        <v>4.8616408259447701E-14</v>
      </c>
      <c r="R802" s="82">
        <v>2.91698449556687E-13</v>
      </c>
      <c r="S802" s="81">
        <v>8.8424529751131797E-2</v>
      </c>
      <c r="T802" s="81">
        <v>1.35002233669431E-2</v>
      </c>
      <c r="U802" s="81">
        <v>6.2923139088080799E-11</v>
      </c>
      <c r="V802" s="81">
        <v>7.2590421366158703E-9</v>
      </c>
      <c r="W802" s="81">
        <v>7.9849463502774499E-8</v>
      </c>
    </row>
    <row r="803" spans="1:23" x14ac:dyDescent="0.2">
      <c r="A803" s="69"/>
      <c r="B803" s="56" t="s">
        <v>342</v>
      </c>
      <c r="C803" s="78">
        <v>5556</v>
      </c>
      <c r="D803" s="79">
        <v>3.9044898000000001E-2</v>
      </c>
      <c r="E803" s="79">
        <v>1.3820557000000001E-2</v>
      </c>
      <c r="F803" s="79">
        <v>4.7434360000000002E-3</v>
      </c>
      <c r="G803" s="79">
        <v>0.20064734279999999</v>
      </c>
      <c r="H803" s="80">
        <v>1</v>
      </c>
      <c r="I803" s="79">
        <v>2.0257860554832401E-2</v>
      </c>
      <c r="J803" s="79">
        <v>1.37805754552979E-2</v>
      </c>
      <c r="K803" s="79">
        <v>0.141612334979728</v>
      </c>
      <c r="L803" s="79">
        <v>0.65586150762509099</v>
      </c>
      <c r="M803" s="80">
        <v>1</v>
      </c>
      <c r="N803" s="79">
        <v>4.7242326397569499E-2</v>
      </c>
      <c r="O803" s="79">
        <v>1.3673509565678799E-2</v>
      </c>
      <c r="P803" s="79">
        <v>5.5448875333463698E-4</v>
      </c>
      <c r="Q803" s="79">
        <v>2.32430520023743E-3</v>
      </c>
      <c r="R803" s="80">
        <v>0.70364622798165399</v>
      </c>
      <c r="S803" s="81">
        <v>9.0083618215038297E-2</v>
      </c>
      <c r="T803" s="81">
        <v>1.35960876433568E-2</v>
      </c>
      <c r="U803" s="81">
        <v>3.7920977307189701E-11</v>
      </c>
      <c r="V803" s="81">
        <v>5.3468578003137496E-9</v>
      </c>
      <c r="W803" s="81">
        <v>4.8121720202823703E-8</v>
      </c>
    </row>
    <row r="804" spans="1:23" x14ac:dyDescent="0.2">
      <c r="A804" s="69"/>
      <c r="B804" s="56" t="s">
        <v>340</v>
      </c>
      <c r="C804" s="78">
        <v>5556</v>
      </c>
      <c r="D804" s="79">
        <v>-4.2542822000000001E-2</v>
      </c>
      <c r="E804" s="79">
        <v>1.3723795E-2</v>
      </c>
      <c r="F804" s="79">
        <v>1.945588E-3</v>
      </c>
      <c r="G804" s="79">
        <v>0.12494161575</v>
      </c>
      <c r="H804" s="80">
        <v>1</v>
      </c>
      <c r="I804" s="79">
        <v>1.6080774991820802E-2</v>
      </c>
      <c r="J804" s="79">
        <v>1.36843056850797E-2</v>
      </c>
      <c r="K804" s="79">
        <v>0.23999663478902999</v>
      </c>
      <c r="L804" s="79">
        <v>0.74463503556791999</v>
      </c>
      <c r="M804" s="80">
        <v>1</v>
      </c>
      <c r="N804" s="81">
        <v>0.110197592842686</v>
      </c>
      <c r="O804" s="81">
        <v>1.3511391245531801E-2</v>
      </c>
      <c r="P804" s="81">
        <v>4.2735882952346202E-16</v>
      </c>
      <c r="Q804" s="81">
        <v>7.7474050666467596E-14</v>
      </c>
      <c r="R804" s="82">
        <v>5.4231835466527302E-13</v>
      </c>
      <c r="S804" s="81">
        <v>7.8112534760299904E-2</v>
      </c>
      <c r="T804" s="81">
        <v>1.35170437858572E-2</v>
      </c>
      <c r="U804" s="81">
        <v>7.9428645482815697E-9</v>
      </c>
      <c r="V804" s="81">
        <v>5.3049974272470102E-7</v>
      </c>
      <c r="W804" s="81">
        <v>1.0079495111769299E-5</v>
      </c>
    </row>
    <row r="805" spans="1:23" x14ac:dyDescent="0.2">
      <c r="A805" s="69"/>
      <c r="B805" s="56" t="s">
        <v>337</v>
      </c>
      <c r="C805" s="78">
        <v>5556</v>
      </c>
      <c r="D805" s="79">
        <v>-8.1722500000000007E-3</v>
      </c>
      <c r="E805" s="79">
        <v>1.3825394E-2</v>
      </c>
      <c r="F805" s="79">
        <v>0.55447550099999998</v>
      </c>
      <c r="G805" s="79">
        <v>0.94320296349731902</v>
      </c>
      <c r="H805" s="80">
        <v>1</v>
      </c>
      <c r="I805" s="79">
        <v>-1.18261128048685E-2</v>
      </c>
      <c r="J805" s="79">
        <v>1.37675911550924E-2</v>
      </c>
      <c r="K805" s="79">
        <v>0.39038934968848898</v>
      </c>
      <c r="L805" s="79">
        <v>0.83369555356615399</v>
      </c>
      <c r="M805" s="80">
        <v>1</v>
      </c>
      <c r="N805" s="81">
        <v>8.8276128131253698E-2</v>
      </c>
      <c r="O805" s="81">
        <v>1.36256288252967E-2</v>
      </c>
      <c r="P805" s="81">
        <v>1.00865410938507E-10</v>
      </c>
      <c r="Q805" s="81">
        <v>3.0475763447848901E-9</v>
      </c>
      <c r="R805" s="82">
        <v>1.2799820648096501E-7</v>
      </c>
      <c r="S805" s="81">
        <v>7.3093478975058607E-2</v>
      </c>
      <c r="T805" s="81">
        <v>1.36097763939173E-2</v>
      </c>
      <c r="U805" s="81">
        <v>8.1766955636059105E-8</v>
      </c>
      <c r="V805" s="81">
        <v>3.8430469148947802E-6</v>
      </c>
      <c r="W805" s="81">
        <v>1.03762266702159E-4</v>
      </c>
    </row>
    <row r="806" spans="1:23" x14ac:dyDescent="0.2">
      <c r="A806" s="69"/>
      <c r="B806" s="56" t="s">
        <v>336</v>
      </c>
      <c r="C806" s="78">
        <v>5556</v>
      </c>
      <c r="D806" s="79">
        <v>2.7894413999999999E-2</v>
      </c>
      <c r="E806" s="79">
        <v>1.3866452E-2</v>
      </c>
      <c r="F806" s="79">
        <v>4.4306906E-2</v>
      </c>
      <c r="G806" s="79">
        <v>0.450921001285714</v>
      </c>
      <c r="H806" s="80">
        <v>1</v>
      </c>
      <c r="I806" s="79">
        <v>4.3728711314116901E-3</v>
      </c>
      <c r="J806" s="79">
        <v>1.38200761360912E-2</v>
      </c>
      <c r="K806" s="79">
        <v>0.75170040397300497</v>
      </c>
      <c r="L806" s="79">
        <v>0.95292321760430299</v>
      </c>
      <c r="M806" s="80">
        <v>1</v>
      </c>
      <c r="N806" s="79">
        <v>4.3384537858247897E-2</v>
      </c>
      <c r="O806" s="79">
        <v>1.37146060803441E-2</v>
      </c>
      <c r="P806" s="79">
        <v>1.5682112740138499E-3</v>
      </c>
      <c r="Q806" s="79">
        <v>5.1290208936174602E-3</v>
      </c>
      <c r="R806" s="80">
        <v>1</v>
      </c>
      <c r="S806" s="81">
        <v>9.4350892832460301E-2</v>
      </c>
      <c r="T806" s="81">
        <v>1.3629778118028299E-2</v>
      </c>
      <c r="U806" s="81">
        <v>4.9602931784593698E-12</v>
      </c>
      <c r="V806" s="81">
        <v>1.2589224086929899E-9</v>
      </c>
      <c r="W806" s="81">
        <v>6.2946120434649397E-9</v>
      </c>
    </row>
    <row r="807" spans="1:23" x14ac:dyDescent="0.2">
      <c r="A807" s="69"/>
      <c r="B807" s="56" t="s">
        <v>338</v>
      </c>
      <c r="C807" s="78">
        <v>5556</v>
      </c>
      <c r="D807" s="79">
        <v>5.348149E-3</v>
      </c>
      <c r="E807" s="79">
        <v>1.3762201E-2</v>
      </c>
      <c r="F807" s="79">
        <v>0.69757934200000005</v>
      </c>
      <c r="G807" s="79">
        <v>0.98545101377932998</v>
      </c>
      <c r="H807" s="80">
        <v>1</v>
      </c>
      <c r="I807" s="79">
        <v>5.0853218659804604E-3</v>
      </c>
      <c r="J807" s="79">
        <v>1.36975692465197E-2</v>
      </c>
      <c r="K807" s="79">
        <v>0.710461112495129</v>
      </c>
      <c r="L807" s="79">
        <v>0.93958156138094695</v>
      </c>
      <c r="M807" s="80">
        <v>1</v>
      </c>
      <c r="N807" s="81">
        <v>9.1773079385413098E-2</v>
      </c>
      <c r="O807" s="81">
        <v>1.35595053061145E-2</v>
      </c>
      <c r="P807" s="81">
        <v>1.4475561058196199E-11</v>
      </c>
      <c r="Q807" s="81">
        <v>5.7404646821409296E-10</v>
      </c>
      <c r="R807" s="82">
        <v>1.8369486982851001E-8</v>
      </c>
      <c r="S807" s="81">
        <v>7.0941375085389904E-2</v>
      </c>
      <c r="T807" s="81">
        <v>1.35505023512031E-2</v>
      </c>
      <c r="U807" s="81">
        <v>1.71103391314988E-7</v>
      </c>
      <c r="V807" s="81">
        <v>6.5797031387490804E-6</v>
      </c>
      <c r="W807" s="81">
        <v>2.1713020357871999E-4</v>
      </c>
    </row>
    <row r="808" spans="1:23" x14ac:dyDescent="0.2">
      <c r="A808" s="69"/>
      <c r="B808" s="56" t="s">
        <v>344</v>
      </c>
      <c r="C808" s="78">
        <v>5556</v>
      </c>
      <c r="D808" s="79">
        <v>-1.817546E-3</v>
      </c>
      <c r="E808" s="79">
        <v>1.3651826000000001E-2</v>
      </c>
      <c r="F808" s="79">
        <v>0.89409090899999999</v>
      </c>
      <c r="G808" s="79">
        <v>0.991673151733656</v>
      </c>
      <c r="H808" s="80">
        <v>1</v>
      </c>
      <c r="I808" s="79">
        <v>9.8145108266952993E-3</v>
      </c>
      <c r="J808" s="79">
        <v>1.36193399047166E-2</v>
      </c>
      <c r="K808" s="79">
        <v>0.47116772411024299</v>
      </c>
      <c r="L808" s="79">
        <v>0.87326336285163797</v>
      </c>
      <c r="M808" s="80">
        <v>1</v>
      </c>
      <c r="N808" s="81">
        <v>0.113340402717092</v>
      </c>
      <c r="O808" s="81">
        <v>1.34329816065072E-2</v>
      </c>
      <c r="P808" s="81">
        <v>4.1030751426755698E-17</v>
      </c>
      <c r="Q808" s="81">
        <v>1.3017005890138199E-14</v>
      </c>
      <c r="R808" s="82">
        <v>5.2068023560552999E-14</v>
      </c>
      <c r="S808" s="81">
        <v>9.9040288891864794E-2</v>
      </c>
      <c r="T808" s="81">
        <v>1.3413461647217699E-2</v>
      </c>
      <c r="U808" s="81">
        <v>1.7702275489693201E-13</v>
      </c>
      <c r="V808" s="81">
        <v>2.24641875964207E-10</v>
      </c>
      <c r="W808" s="81">
        <v>2.24641875964207E-10</v>
      </c>
    </row>
    <row r="809" spans="1:23" x14ac:dyDescent="0.2">
      <c r="A809" s="69"/>
      <c r="B809" s="56" t="s">
        <v>335</v>
      </c>
      <c r="C809" s="78">
        <v>5556</v>
      </c>
      <c r="D809" s="79">
        <v>6.1811640000000003E-3</v>
      </c>
      <c r="E809" s="79">
        <v>1.3859985E-2</v>
      </c>
      <c r="F809" s="79">
        <v>0.65563589099999997</v>
      </c>
      <c r="G809" s="79">
        <v>0.98345383649999996</v>
      </c>
      <c r="H809" s="80">
        <v>1</v>
      </c>
      <c r="I809" s="79">
        <v>1.306490477685E-2</v>
      </c>
      <c r="J809" s="79">
        <v>1.3785198296846801E-2</v>
      </c>
      <c r="K809" s="79">
        <v>0.34330151547853599</v>
      </c>
      <c r="L809" s="79">
        <v>0.80020788839305201</v>
      </c>
      <c r="M809" s="80">
        <v>1</v>
      </c>
      <c r="N809" s="79">
        <v>4.0159846671958099E-2</v>
      </c>
      <c r="O809" s="79">
        <v>1.36851599865989E-2</v>
      </c>
      <c r="P809" s="79">
        <v>3.3548801672639299E-3</v>
      </c>
      <c r="Q809" s="79">
        <v>9.7199610325523402E-3</v>
      </c>
      <c r="R809" s="80">
        <v>1</v>
      </c>
      <c r="S809" s="81">
        <v>6.4761683869380596E-2</v>
      </c>
      <c r="T809" s="81">
        <v>1.36435574949045E-2</v>
      </c>
      <c r="U809" s="81">
        <v>2.12269514608231E-6</v>
      </c>
      <c r="V809" s="81">
        <v>5.0000886992426498E-5</v>
      </c>
      <c r="W809" s="81">
        <v>2.69370014037845E-3</v>
      </c>
    </row>
    <row r="810" spans="1:23" x14ac:dyDescent="0.2">
      <c r="A810" s="69"/>
      <c r="B810" s="56" t="s">
        <v>325</v>
      </c>
      <c r="C810" s="78">
        <v>5555</v>
      </c>
      <c r="D810" s="79">
        <v>-1.2141386000000001E-2</v>
      </c>
      <c r="E810" s="79">
        <v>1.3826822000000001E-2</v>
      </c>
      <c r="F810" s="79">
        <v>0.37992704900000002</v>
      </c>
      <c r="G810" s="79">
        <v>0.880152082540541</v>
      </c>
      <c r="H810" s="80">
        <v>1</v>
      </c>
      <c r="I810" s="79">
        <v>6.9884652801619103E-3</v>
      </c>
      <c r="J810" s="79">
        <v>1.37623162586383E-2</v>
      </c>
      <c r="K810" s="79">
        <v>0.61161690731999396</v>
      </c>
      <c r="L810" s="79">
        <v>0.91965825061269202</v>
      </c>
      <c r="M810" s="80">
        <v>1</v>
      </c>
      <c r="N810" s="79">
        <v>4.7690838443665201E-2</v>
      </c>
      <c r="O810" s="79">
        <v>1.36635559137409E-2</v>
      </c>
      <c r="P810" s="79">
        <v>4.8629873481176398E-4</v>
      </c>
      <c r="Q810" s="79">
        <v>2.0848415353923299E-3</v>
      </c>
      <c r="R810" s="80">
        <v>0.61711309447612905</v>
      </c>
      <c r="S810" s="79">
        <v>2.3660863831849999E-2</v>
      </c>
      <c r="T810" s="79">
        <v>1.36453063115217E-2</v>
      </c>
      <c r="U810" s="79">
        <v>8.2977404347593695E-2</v>
      </c>
      <c r="V810" s="79">
        <v>0.14053052280834599</v>
      </c>
      <c r="W810" s="79">
        <v>1</v>
      </c>
    </row>
    <row r="811" spans="1:23" x14ac:dyDescent="0.2">
      <c r="A811" s="69"/>
      <c r="B811" s="56" t="s">
        <v>333</v>
      </c>
      <c r="C811" s="78">
        <v>5555</v>
      </c>
      <c r="D811" s="79">
        <v>-7.0092199999999998E-4</v>
      </c>
      <c r="E811" s="79">
        <v>1.3831816E-2</v>
      </c>
      <c r="F811" s="79">
        <v>0.95958673100000003</v>
      </c>
      <c r="G811" s="79">
        <v>0.991673151733656</v>
      </c>
      <c r="H811" s="80">
        <v>1</v>
      </c>
      <c r="I811" s="79">
        <v>-7.0977127042366403E-4</v>
      </c>
      <c r="J811" s="79">
        <v>1.37626849998166E-2</v>
      </c>
      <c r="K811" s="79">
        <v>0.95887161734390203</v>
      </c>
      <c r="L811" s="79">
        <v>0.98719988166166295</v>
      </c>
      <c r="M811" s="80">
        <v>1</v>
      </c>
      <c r="N811" s="79">
        <v>3.8919898197086598E-2</v>
      </c>
      <c r="O811" s="79">
        <v>1.3668284963157499E-2</v>
      </c>
      <c r="P811" s="79">
        <v>4.4243725314725302E-3</v>
      </c>
      <c r="Q811" s="79">
        <v>1.2179021133272501E-2</v>
      </c>
      <c r="R811" s="80">
        <v>1</v>
      </c>
      <c r="S811" s="79">
        <v>2.5769781088082901E-2</v>
      </c>
      <c r="T811" s="79">
        <v>1.3648030851727701E-2</v>
      </c>
      <c r="U811" s="79">
        <v>5.9058902926059802E-2</v>
      </c>
      <c r="V811" s="79">
        <v>0.10630602526690799</v>
      </c>
      <c r="W811" s="79">
        <v>1</v>
      </c>
    </row>
    <row r="812" spans="1:23" x14ac:dyDescent="0.2">
      <c r="A812" s="69"/>
      <c r="B812" s="56" t="s">
        <v>326</v>
      </c>
      <c r="C812" s="78">
        <v>5555</v>
      </c>
      <c r="D812" s="79">
        <v>1.3427234999999999E-2</v>
      </c>
      <c r="E812" s="79">
        <v>1.3790383999999999E-2</v>
      </c>
      <c r="F812" s="79">
        <v>0.33026750900000001</v>
      </c>
      <c r="G812" s="79">
        <v>0.85579729232661295</v>
      </c>
      <c r="H812" s="80">
        <v>1</v>
      </c>
      <c r="I812" s="79">
        <v>6.7699580641127502E-3</v>
      </c>
      <c r="J812" s="79">
        <v>1.3717951408324901E-2</v>
      </c>
      <c r="K812" s="79">
        <v>0.62167286413676404</v>
      </c>
      <c r="L812" s="79">
        <v>0.91965825061269202</v>
      </c>
      <c r="M812" s="80">
        <v>1</v>
      </c>
      <c r="N812" s="79">
        <v>5.1857334085008103E-2</v>
      </c>
      <c r="O812" s="79">
        <v>1.3618955132420899E-2</v>
      </c>
      <c r="P812" s="79">
        <v>1.4188138080757E-4</v>
      </c>
      <c r="Q812" s="79">
        <v>7.7942628677405302E-4</v>
      </c>
      <c r="R812" s="80">
        <v>0.18004747224480599</v>
      </c>
      <c r="S812" s="79">
        <v>2.8102983011703799E-2</v>
      </c>
      <c r="T812" s="79">
        <v>1.36083477289125E-2</v>
      </c>
      <c r="U812" s="79">
        <v>3.8960448620644697E-2</v>
      </c>
      <c r="V812" s="79">
        <v>7.6260073172540202E-2</v>
      </c>
      <c r="W812" s="79">
        <v>1</v>
      </c>
    </row>
    <row r="813" spans="1:23" x14ac:dyDescent="0.2">
      <c r="A813" s="69"/>
      <c r="B813" s="56" t="s">
        <v>327</v>
      </c>
      <c r="C813" s="78">
        <v>5555</v>
      </c>
      <c r="D813" s="79">
        <v>8.327437E-3</v>
      </c>
      <c r="E813" s="79">
        <v>1.3882505999999999E-2</v>
      </c>
      <c r="F813" s="79">
        <v>0.54863182099999996</v>
      </c>
      <c r="G813" s="79">
        <v>0.94233160000673799</v>
      </c>
      <c r="H813" s="80">
        <v>1</v>
      </c>
      <c r="I813" s="79">
        <v>3.3178665380209103E-2</v>
      </c>
      <c r="J813" s="79">
        <v>1.38081804929588E-2</v>
      </c>
      <c r="K813" s="79">
        <v>1.6304602722492699E-2</v>
      </c>
      <c r="L813" s="79">
        <v>0.41909202640396798</v>
      </c>
      <c r="M813" s="80">
        <v>1</v>
      </c>
      <c r="N813" s="79">
        <v>2.9299711827472701E-2</v>
      </c>
      <c r="O813" s="79">
        <v>1.37210467583289E-2</v>
      </c>
      <c r="P813" s="79">
        <v>3.2777150100497497E-2</v>
      </c>
      <c r="Q813" s="79">
        <v>6.1934761528964301E-2</v>
      </c>
      <c r="R813" s="80">
        <v>1</v>
      </c>
      <c r="S813" s="79">
        <v>3.3543618533190399E-2</v>
      </c>
      <c r="T813" s="79">
        <v>1.36942174244422E-2</v>
      </c>
      <c r="U813" s="79">
        <v>1.43396322508607E-2</v>
      </c>
      <c r="V813" s="79">
        <v>3.38863935313636E-2</v>
      </c>
      <c r="W813" s="79">
        <v>1</v>
      </c>
    </row>
    <row r="814" spans="1:23" x14ac:dyDescent="0.2">
      <c r="A814" s="69"/>
      <c r="B814" s="56" t="s">
        <v>328</v>
      </c>
      <c r="C814" s="78">
        <v>5555</v>
      </c>
      <c r="D814" s="79">
        <v>2.2875640000000002E-3</v>
      </c>
      <c r="E814" s="79">
        <v>1.3787331999999999E-2</v>
      </c>
      <c r="F814" s="79">
        <v>0.86822805700000005</v>
      </c>
      <c r="G814" s="79">
        <v>0.98755445668576602</v>
      </c>
      <c r="H814" s="80">
        <v>1</v>
      </c>
      <c r="I814" s="79">
        <v>2.5386011891577302E-2</v>
      </c>
      <c r="J814" s="79">
        <v>1.37033666960866E-2</v>
      </c>
      <c r="K814" s="79">
        <v>6.4005854883939201E-2</v>
      </c>
      <c r="L814" s="79">
        <v>0.57459637698370203</v>
      </c>
      <c r="M814" s="80">
        <v>1</v>
      </c>
      <c r="N814" s="79">
        <v>3.3234277964926902E-2</v>
      </c>
      <c r="O814" s="79">
        <v>1.36184936973114E-2</v>
      </c>
      <c r="P814" s="79">
        <v>1.4705305374912599E-2</v>
      </c>
      <c r="Q814" s="79">
        <v>3.2527684217689701E-2</v>
      </c>
      <c r="R814" s="80">
        <v>1</v>
      </c>
      <c r="S814" s="79">
        <v>3.36598679716478E-2</v>
      </c>
      <c r="T814" s="79">
        <v>1.35989641750726E-2</v>
      </c>
      <c r="U814" s="79">
        <v>1.33485461248537E-2</v>
      </c>
      <c r="V814" s="79">
        <v>3.2204001962812402E-2</v>
      </c>
      <c r="W814" s="79">
        <v>1</v>
      </c>
    </row>
    <row r="815" spans="1:23" x14ac:dyDescent="0.2">
      <c r="A815" s="69"/>
      <c r="B815" s="56" t="s">
        <v>329</v>
      </c>
      <c r="C815" s="78">
        <v>5555</v>
      </c>
      <c r="D815" s="79">
        <v>-9.0870100000000004E-4</v>
      </c>
      <c r="E815" s="79">
        <v>1.3820126E-2</v>
      </c>
      <c r="F815" s="79">
        <v>0.94757781799999996</v>
      </c>
      <c r="G815" s="79">
        <v>0.991673151733656</v>
      </c>
      <c r="H815" s="80">
        <v>1</v>
      </c>
      <c r="I815" s="79">
        <v>4.5834179826830098E-3</v>
      </c>
      <c r="J815" s="79">
        <v>1.37463103702714E-2</v>
      </c>
      <c r="K815" s="79">
        <v>0.73882438326392996</v>
      </c>
      <c r="L815" s="79">
        <v>0.95161388289627002</v>
      </c>
      <c r="M815" s="80">
        <v>1</v>
      </c>
      <c r="N815" s="79">
        <v>3.4321850495838101E-2</v>
      </c>
      <c r="O815" s="79">
        <v>1.3652539101023001E-2</v>
      </c>
      <c r="P815" s="79">
        <v>1.1969400314189501E-2</v>
      </c>
      <c r="Q815" s="79">
        <v>2.76166709067391E-2</v>
      </c>
      <c r="R815" s="80">
        <v>1</v>
      </c>
      <c r="S815" s="79">
        <v>2.25842864887663E-2</v>
      </c>
      <c r="T815" s="79">
        <v>1.36354034309994E-2</v>
      </c>
      <c r="U815" s="79">
        <v>9.7722830785398104E-2</v>
      </c>
      <c r="V815" s="79">
        <v>0.160564875167968</v>
      </c>
      <c r="W815" s="79">
        <v>1</v>
      </c>
    </row>
    <row r="816" spans="1:23" x14ac:dyDescent="0.2">
      <c r="A816" s="69"/>
      <c r="B816" s="56" t="s">
        <v>330</v>
      </c>
      <c r="C816" s="78">
        <v>5555</v>
      </c>
      <c r="D816" s="79">
        <v>2.4737518999999999E-2</v>
      </c>
      <c r="E816" s="79">
        <v>1.3807267999999999E-2</v>
      </c>
      <c r="F816" s="79">
        <v>7.3250817999999995E-2</v>
      </c>
      <c r="G816" s="79">
        <v>0.55330528596428596</v>
      </c>
      <c r="H816" s="80">
        <v>1</v>
      </c>
      <c r="I816" s="79">
        <v>1.2913089365187499E-2</v>
      </c>
      <c r="J816" s="79">
        <v>1.37310092618668E-2</v>
      </c>
      <c r="K816" s="79">
        <v>0.34704045346260198</v>
      </c>
      <c r="L816" s="79">
        <v>0.80071697353462201</v>
      </c>
      <c r="M816" s="80">
        <v>1</v>
      </c>
      <c r="N816" s="79">
        <v>4.4820648454589697E-2</v>
      </c>
      <c r="O816" s="79">
        <v>1.36373695928571E-2</v>
      </c>
      <c r="P816" s="79">
        <v>1.0208949223133399E-3</v>
      </c>
      <c r="Q816" s="79">
        <v>3.59865460115452E-3</v>
      </c>
      <c r="R816" s="80">
        <v>1</v>
      </c>
      <c r="S816" s="79">
        <v>2.59703809492981E-2</v>
      </c>
      <c r="T816" s="79">
        <v>1.36249172484507E-2</v>
      </c>
      <c r="U816" s="79">
        <v>5.6693550783143802E-2</v>
      </c>
      <c r="V816" s="79">
        <v>0.103219678542051</v>
      </c>
      <c r="W816" s="79">
        <v>1</v>
      </c>
    </row>
    <row r="817" spans="1:23" x14ac:dyDescent="0.2">
      <c r="A817" s="69"/>
      <c r="B817" s="56" t="s">
        <v>331</v>
      </c>
      <c r="C817" s="78">
        <v>5555</v>
      </c>
      <c r="D817" s="79">
        <v>6.5333120000000003E-3</v>
      </c>
      <c r="E817" s="79">
        <v>1.3766357999999999E-2</v>
      </c>
      <c r="F817" s="79">
        <v>0.63510309700000001</v>
      </c>
      <c r="G817" s="79">
        <v>0.97816222485489701</v>
      </c>
      <c r="H817" s="80">
        <v>1</v>
      </c>
      <c r="I817" s="79">
        <v>2.23557690038419E-2</v>
      </c>
      <c r="J817" s="79">
        <v>1.36790489999169E-2</v>
      </c>
      <c r="K817" s="79">
        <v>0.10225799369090199</v>
      </c>
      <c r="L817" s="79">
        <v>0.61793044758930804</v>
      </c>
      <c r="M817" s="80">
        <v>1</v>
      </c>
      <c r="N817" s="79">
        <v>3.5547972445512901E-2</v>
      </c>
      <c r="O817" s="79">
        <v>1.3593457710251999E-2</v>
      </c>
      <c r="P817" s="79">
        <v>8.9476253624644203E-3</v>
      </c>
      <c r="Q817" s="79">
        <v>2.1545610218154401E-2</v>
      </c>
      <c r="R817" s="80">
        <v>1</v>
      </c>
      <c r="S817" s="79">
        <v>5.1670671169906E-2</v>
      </c>
      <c r="T817" s="79">
        <v>1.3565174597674499E-2</v>
      </c>
      <c r="U817" s="79">
        <v>1.4115348982680001E-4</v>
      </c>
      <c r="V817" s="79">
        <v>1.0294470033920099E-3</v>
      </c>
      <c r="W817" s="79">
        <v>0.179123778590209</v>
      </c>
    </row>
    <row r="818" spans="1:23" x14ac:dyDescent="0.2">
      <c r="A818" s="69"/>
      <c r="B818" s="56" t="s">
        <v>332</v>
      </c>
      <c r="C818" s="78">
        <v>5555</v>
      </c>
      <c r="D818" s="79">
        <v>7.6646809999999996E-3</v>
      </c>
      <c r="E818" s="79">
        <v>1.3789892E-2</v>
      </c>
      <c r="F818" s="79">
        <v>0.57835874899999995</v>
      </c>
      <c r="G818" s="79">
        <v>0.95350818012595395</v>
      </c>
      <c r="H818" s="80">
        <v>1</v>
      </c>
      <c r="I818" s="79">
        <v>1.8349887413720602E-2</v>
      </c>
      <c r="J818" s="79">
        <v>1.3708947009015799E-2</v>
      </c>
      <c r="K818" s="79">
        <v>0.18078216677329301</v>
      </c>
      <c r="L818" s="79">
        <v>0.69753933724487105</v>
      </c>
      <c r="M818" s="80">
        <v>1</v>
      </c>
      <c r="N818" s="79">
        <v>2.7730589257995101E-2</v>
      </c>
      <c r="O818" s="79">
        <v>1.36239869836201E-2</v>
      </c>
      <c r="P818" s="79">
        <v>4.18595959634371E-2</v>
      </c>
      <c r="Q818" s="79">
        <v>7.6335078408695897E-2</v>
      </c>
      <c r="R818" s="80">
        <v>1</v>
      </c>
      <c r="S818" s="79">
        <v>4.1195850022829501E-2</v>
      </c>
      <c r="T818" s="79">
        <v>1.3598647250922099E-2</v>
      </c>
      <c r="U818" s="79">
        <v>2.4624379497716702E-3</v>
      </c>
      <c r="V818" s="79">
        <v>9.1103025022164705E-3</v>
      </c>
      <c r="W818" s="79">
        <v>1</v>
      </c>
    </row>
    <row r="819" spans="1:23" x14ac:dyDescent="0.2">
      <c r="A819" s="69"/>
      <c r="B819" s="56" t="s">
        <v>1517</v>
      </c>
      <c r="C819" s="78">
        <v>5485</v>
      </c>
      <c r="D819" s="79">
        <v>1.0098714535092916</v>
      </c>
      <c r="E819" s="79">
        <v>0.17073845500000001</v>
      </c>
      <c r="F819" s="79">
        <v>0.95412083800000003</v>
      </c>
      <c r="G819" s="79">
        <v>0.991673151733656</v>
      </c>
      <c r="H819" s="80">
        <v>1</v>
      </c>
      <c r="I819" s="79">
        <v>1.1622342455925192</v>
      </c>
      <c r="J819" s="79">
        <v>0.17229794894918801</v>
      </c>
      <c r="K819" s="79">
        <v>0.382890519997513</v>
      </c>
      <c r="L819" s="79">
        <v>0.82571589111641397</v>
      </c>
      <c r="M819" s="80">
        <v>1</v>
      </c>
      <c r="N819" s="79">
        <v>7.2089072789194297E-2</v>
      </c>
      <c r="O819" s="79">
        <v>0.166990578481091</v>
      </c>
      <c r="P819" s="79">
        <v>0.66596277537851301</v>
      </c>
      <c r="Q819" s="79">
        <v>0.735436719304845</v>
      </c>
      <c r="R819" s="80">
        <v>1</v>
      </c>
      <c r="S819" s="79">
        <v>0.21898246087144099</v>
      </c>
      <c r="T819" s="79">
        <v>0.17547590338864499</v>
      </c>
      <c r="U819" s="79">
        <v>0.21205498845852699</v>
      </c>
      <c r="V819" s="79">
        <v>0.29725417141190302</v>
      </c>
      <c r="W819" s="79">
        <v>1</v>
      </c>
    </row>
    <row r="820" spans="1:23" x14ac:dyDescent="0.2">
      <c r="A820" s="69"/>
      <c r="B820" s="56" t="s">
        <v>1516</v>
      </c>
      <c r="C820" s="78">
        <v>5485</v>
      </c>
      <c r="D820" s="79">
        <v>1.0515570547174582</v>
      </c>
      <c r="E820" s="79">
        <v>0.11573146099999999</v>
      </c>
      <c r="F820" s="79">
        <v>0.66400911200000001</v>
      </c>
      <c r="G820" s="79">
        <v>0.98545101377932998</v>
      </c>
      <c r="H820" s="80">
        <v>1</v>
      </c>
      <c r="I820" s="79">
        <v>0.96984013849041373</v>
      </c>
      <c r="J820" s="79">
        <v>0.11393307338413999</v>
      </c>
      <c r="K820" s="79">
        <v>0.78809158662346002</v>
      </c>
      <c r="L820" s="79">
        <v>0.95970310918962698</v>
      </c>
      <c r="M820" s="80">
        <v>1</v>
      </c>
      <c r="N820" s="79">
        <v>-4.6893955794146402E-2</v>
      </c>
      <c r="O820" s="79">
        <v>0.11294812711461701</v>
      </c>
      <c r="P820" s="79">
        <v>0.67800915116244997</v>
      </c>
      <c r="Q820" s="79">
        <v>0.74107976987523605</v>
      </c>
      <c r="R820" s="80">
        <v>1</v>
      </c>
      <c r="S820" s="79">
        <v>-5.14130802680821E-3</v>
      </c>
      <c r="T820" s="79">
        <v>0.11324238648387901</v>
      </c>
      <c r="U820" s="79">
        <v>0.963787751228669</v>
      </c>
      <c r="V820" s="79">
        <v>0.97343213187192101</v>
      </c>
      <c r="W820" s="79">
        <v>1</v>
      </c>
    </row>
    <row r="821" spans="1:23" x14ac:dyDescent="0.2">
      <c r="A821" s="69"/>
      <c r="B821" s="56" t="s">
        <v>1518</v>
      </c>
      <c r="C821" s="78">
        <v>5485</v>
      </c>
      <c r="D821" s="79">
        <v>0.96147921928016866</v>
      </c>
      <c r="E821" s="79">
        <v>9.7385004999999997E-2</v>
      </c>
      <c r="F821" s="79">
        <v>0.68667501500000006</v>
      </c>
      <c r="G821" s="79">
        <v>0.98545101377932998</v>
      </c>
      <c r="H821" s="80">
        <v>1</v>
      </c>
      <c r="I821" s="79">
        <v>0.97147551551429534</v>
      </c>
      <c r="J821" s="79">
        <v>9.6711111009606304E-2</v>
      </c>
      <c r="K821" s="79">
        <v>0.76476181923019104</v>
      </c>
      <c r="L821" s="79">
        <v>0.95389133514851498</v>
      </c>
      <c r="M821" s="80">
        <v>1</v>
      </c>
      <c r="N821" s="79">
        <v>5.3627032198440396E-3</v>
      </c>
      <c r="O821" s="79">
        <v>9.5550380247561906E-2</v>
      </c>
      <c r="P821" s="79">
        <v>0.955242744043862</v>
      </c>
      <c r="Q821" s="79">
        <v>0.96512981066214998</v>
      </c>
      <c r="R821" s="80">
        <v>1</v>
      </c>
      <c r="S821" s="79">
        <v>-6.5185109825685206E-2</v>
      </c>
      <c r="T821" s="79">
        <v>9.6958760835143598E-2</v>
      </c>
      <c r="U821" s="79">
        <v>0.50139446992315195</v>
      </c>
      <c r="V821" s="79">
        <v>0.58696455934730596</v>
      </c>
      <c r="W821" s="79">
        <v>1</v>
      </c>
    </row>
    <row r="822" spans="1:23" x14ac:dyDescent="0.2">
      <c r="A822" s="69"/>
      <c r="B822" s="56" t="s">
        <v>323</v>
      </c>
      <c r="C822" s="78">
        <v>851</v>
      </c>
      <c r="D822" s="79">
        <v>-2.3138099999999999E-3</v>
      </c>
      <c r="E822" s="79">
        <v>3.3907377000000002E-2</v>
      </c>
      <c r="F822" s="79">
        <v>0.945611647</v>
      </c>
      <c r="G822" s="79">
        <v>0.991673151733656</v>
      </c>
      <c r="H822" s="80">
        <v>1</v>
      </c>
      <c r="I822" s="79">
        <v>-5.0360318682730297E-2</v>
      </c>
      <c r="J822" s="79">
        <v>3.1897430800324901E-2</v>
      </c>
      <c r="K822" s="79">
        <v>0.114759469324901</v>
      </c>
      <c r="L822" s="79">
        <v>0.62424045135977002</v>
      </c>
      <c r="M822" s="80">
        <v>1</v>
      </c>
      <c r="N822" s="79">
        <v>-1.57982966891535E-3</v>
      </c>
      <c r="O822" s="79">
        <v>3.3793872159756697E-2</v>
      </c>
      <c r="P822" s="79">
        <v>0.96272450354806005</v>
      </c>
      <c r="Q822" s="79">
        <v>0.97037124305201605</v>
      </c>
      <c r="R822" s="80">
        <v>1</v>
      </c>
      <c r="S822" s="79">
        <v>-4.86272000497125E-2</v>
      </c>
      <c r="T822" s="79">
        <v>3.2622854928732098E-2</v>
      </c>
      <c r="U822" s="79">
        <v>0.13644735728063001</v>
      </c>
      <c r="V822" s="79">
        <v>0.208115019698461</v>
      </c>
      <c r="W822" s="79">
        <v>1</v>
      </c>
    </row>
    <row r="823" spans="1:23" x14ac:dyDescent="0.2">
      <c r="A823" s="69"/>
      <c r="B823" s="84" t="s">
        <v>2455</v>
      </c>
      <c r="C823" s="78">
        <v>5105</v>
      </c>
      <c r="D823" s="79">
        <v>0.96428410023755162</v>
      </c>
      <c r="E823" s="79">
        <v>3.8112674999999999E-2</v>
      </c>
      <c r="F823" s="79">
        <v>0.339953159</v>
      </c>
      <c r="G823" s="79">
        <v>0.861253401065737</v>
      </c>
      <c r="H823" s="80">
        <v>1</v>
      </c>
      <c r="I823" s="79">
        <v>0.99170724381162856</v>
      </c>
      <c r="J823" s="79">
        <v>3.7780558066891901E-2</v>
      </c>
      <c r="K823" s="79">
        <v>0.82554939334326705</v>
      </c>
      <c r="L823" s="79">
        <v>0.44324333718626002</v>
      </c>
      <c r="M823" s="80">
        <v>1</v>
      </c>
      <c r="N823" s="79">
        <v>0.90509430960617787</v>
      </c>
      <c r="O823" s="79">
        <v>3.7530499312515501E-2</v>
      </c>
      <c r="P823" s="79">
        <v>7.8854433301873694E-3</v>
      </c>
      <c r="Q823" s="79">
        <v>1.93551790831872E-2</v>
      </c>
      <c r="R823" s="80">
        <v>1</v>
      </c>
      <c r="S823" s="79">
        <v>1.047218354096076</v>
      </c>
      <c r="T823" s="79">
        <v>3.7580975323687003E-2</v>
      </c>
      <c r="U823" s="79">
        <v>0.21956661247508499</v>
      </c>
      <c r="V823" s="79">
        <v>0.30484686130293498</v>
      </c>
      <c r="W823" s="79">
        <v>1</v>
      </c>
    </row>
    <row r="824" spans="1:23" x14ac:dyDescent="0.2">
      <c r="A824" s="69"/>
      <c r="B824" s="84" t="s">
        <v>318</v>
      </c>
      <c r="C824" s="78">
        <v>4076</v>
      </c>
      <c r="D824" s="79">
        <v>-1.5166939000000001E-2</v>
      </c>
      <c r="E824" s="79">
        <v>1.6039055E-2</v>
      </c>
      <c r="F824" s="79">
        <v>0.34439671199999999</v>
      </c>
      <c r="G824" s="79">
        <v>0.86848798173214303</v>
      </c>
      <c r="H824" s="80">
        <v>1</v>
      </c>
      <c r="I824" s="79">
        <v>-3.64470109712485E-2</v>
      </c>
      <c r="J824" s="79">
        <v>1.6039351976492301E-2</v>
      </c>
      <c r="K824" s="79">
        <v>2.3118657306120598E-2</v>
      </c>
      <c r="L824" s="79">
        <v>0.44324333718626002</v>
      </c>
      <c r="M824" s="80">
        <v>1</v>
      </c>
      <c r="N824" s="79">
        <v>-3.6851455628731197E-2</v>
      </c>
      <c r="O824" s="79">
        <v>1.5873456584311399E-2</v>
      </c>
      <c r="P824" s="79">
        <v>2.0305966008386099E-2</v>
      </c>
      <c r="Q824" s="79">
        <v>4.2105017752682897E-2</v>
      </c>
      <c r="R824" s="80">
        <v>1</v>
      </c>
      <c r="S824" s="79">
        <v>-2.93374414523732E-2</v>
      </c>
      <c r="T824" s="79">
        <v>1.5678772002067801E-2</v>
      </c>
      <c r="U824" s="79">
        <v>6.1396230381347602E-2</v>
      </c>
      <c r="V824" s="79">
        <v>0.109803647989886</v>
      </c>
      <c r="W824" s="79">
        <v>1</v>
      </c>
    </row>
    <row r="825" spans="1:23" x14ac:dyDescent="0.2">
      <c r="A825" s="69"/>
      <c r="B825" s="84" t="s">
        <v>2456</v>
      </c>
      <c r="C825" s="78">
        <v>5556</v>
      </c>
      <c r="D825" s="79">
        <v>0.98224369647364596</v>
      </c>
      <c r="E825" s="79">
        <v>4.0791421000000001E-2</v>
      </c>
      <c r="F825" s="79">
        <v>0.66051225800000002</v>
      </c>
      <c r="G825" s="79">
        <v>0.98545101377932998</v>
      </c>
      <c r="H825" s="80">
        <v>1</v>
      </c>
      <c r="I825" s="79">
        <v>0.9869289465924258</v>
      </c>
      <c r="J825" s="79">
        <v>4.0567347729412499E-2</v>
      </c>
      <c r="K825" s="79">
        <v>0.74568777056846003</v>
      </c>
      <c r="L825" s="79">
        <v>0.95175527893917999</v>
      </c>
      <c r="M825" s="80">
        <v>1</v>
      </c>
      <c r="N825" s="79">
        <v>1.1606816801482398</v>
      </c>
      <c r="O825" s="79">
        <v>4.0492157181246102E-2</v>
      </c>
      <c r="P825" s="79">
        <v>2.3331642664496701E-4</v>
      </c>
      <c r="Q825" s="79">
        <v>1.1795957984560301E-3</v>
      </c>
      <c r="R825" s="80">
        <v>0.29607854541246298</v>
      </c>
      <c r="S825" s="81">
        <v>1.2178453127221534</v>
      </c>
      <c r="T825" s="81">
        <v>4.07207035894692E-2</v>
      </c>
      <c r="U825" s="81">
        <v>1.29920099472783E-6</v>
      </c>
      <c r="V825" s="81">
        <v>3.6637468051324798E-5</v>
      </c>
      <c r="W825" s="81">
        <v>1.64868606230962E-3</v>
      </c>
    </row>
    <row r="826" spans="1:23" x14ac:dyDescent="0.2">
      <c r="A826" s="69"/>
      <c r="B826" s="84" t="s">
        <v>2457</v>
      </c>
      <c r="C826" s="78">
        <v>5465</v>
      </c>
      <c r="D826" s="79">
        <v>0.81812574720860765</v>
      </c>
      <c r="E826" s="79">
        <v>8.4150850999999999E-2</v>
      </c>
      <c r="F826" s="79">
        <v>1.7057368999999999E-2</v>
      </c>
      <c r="G826" s="79">
        <v>0.349577479479452</v>
      </c>
      <c r="H826" s="80">
        <v>1</v>
      </c>
      <c r="I826" s="79">
        <v>0.98381411487832038</v>
      </c>
      <c r="J826" s="79">
        <v>8.3104138352193394E-2</v>
      </c>
      <c r="K826" s="79">
        <v>0.844328601666538</v>
      </c>
      <c r="L826" s="79">
        <v>0.96964513668720897</v>
      </c>
      <c r="M826" s="80">
        <v>1</v>
      </c>
      <c r="N826" s="79">
        <v>1.2714840359829185</v>
      </c>
      <c r="O826" s="79">
        <v>8.2955812150865907E-2</v>
      </c>
      <c r="P826" s="79">
        <v>3.78755774155214E-3</v>
      </c>
      <c r="Q826" s="79">
        <v>1.06336521549329E-2</v>
      </c>
      <c r="R826" s="80">
        <v>1</v>
      </c>
      <c r="S826" s="79">
        <v>1.0785541703223607</v>
      </c>
      <c r="T826" s="79">
        <v>8.19036867915309E-2</v>
      </c>
      <c r="U826" s="79">
        <v>0.35585254786533699</v>
      </c>
      <c r="V826" s="79">
        <v>0.448883581750609</v>
      </c>
      <c r="W826" s="79">
        <v>1</v>
      </c>
    </row>
    <row r="827" spans="1:23" x14ac:dyDescent="0.2">
      <c r="A827" s="69"/>
      <c r="B827" s="84" t="s">
        <v>2458</v>
      </c>
      <c r="C827" s="78">
        <v>5386</v>
      </c>
      <c r="D827" s="79">
        <v>1.0005118829673947</v>
      </c>
      <c r="E827" s="79">
        <v>5.9338513000000002E-2</v>
      </c>
      <c r="F827" s="79">
        <v>0.99311890999999997</v>
      </c>
      <c r="G827" s="79">
        <v>0.99538600326677196</v>
      </c>
      <c r="H827" s="80">
        <v>1</v>
      </c>
      <c r="I827" s="79">
        <v>0.98627942610178965</v>
      </c>
      <c r="J827" s="79">
        <v>5.8722955012019698E-2</v>
      </c>
      <c r="K827" s="79">
        <v>0.81400154009529802</v>
      </c>
      <c r="L827" s="79">
        <v>0.96211732726388599</v>
      </c>
      <c r="M827" s="80">
        <v>1</v>
      </c>
      <c r="N827" s="79">
        <v>1.1682781957578068</v>
      </c>
      <c r="O827" s="79">
        <v>5.88601859213592E-2</v>
      </c>
      <c r="P827" s="79">
        <v>8.2325387603242196E-3</v>
      </c>
      <c r="Q827" s="79">
        <v>2.0090560936252801E-2</v>
      </c>
      <c r="R827" s="80">
        <v>1</v>
      </c>
      <c r="S827" s="79">
        <v>1.1175346728032085</v>
      </c>
      <c r="T827" s="79">
        <v>5.8257194058946797E-2</v>
      </c>
      <c r="U827" s="79">
        <v>5.6457033637432097E-2</v>
      </c>
      <c r="V827" s="79">
        <v>0.102936746675146</v>
      </c>
      <c r="W827" s="79">
        <v>1</v>
      </c>
    </row>
    <row r="828" spans="1:23" x14ac:dyDescent="0.2">
      <c r="A828" s="69"/>
      <c r="B828" s="84" t="s">
        <v>321</v>
      </c>
      <c r="C828" s="78">
        <v>5508</v>
      </c>
      <c r="D828" s="79">
        <v>2.0287138E-2</v>
      </c>
      <c r="E828" s="79">
        <v>1.3836185000000001E-2</v>
      </c>
      <c r="F828" s="79">
        <v>0.14264115599999999</v>
      </c>
      <c r="G828" s="79">
        <v>0.674047366026022</v>
      </c>
      <c r="H828" s="80">
        <v>1</v>
      </c>
      <c r="I828" s="79">
        <v>-1.32784646527588E-2</v>
      </c>
      <c r="J828" s="79">
        <v>1.3828912750502E-2</v>
      </c>
      <c r="K828" s="79">
        <v>0.33699947672744002</v>
      </c>
      <c r="L828" s="79">
        <v>0.79637306511568196</v>
      </c>
      <c r="M828" s="80">
        <v>1</v>
      </c>
      <c r="N828" s="79">
        <v>-1.23476847637183E-2</v>
      </c>
      <c r="O828" s="79">
        <v>1.3725416069783E-2</v>
      </c>
      <c r="P828" s="79">
        <v>0.36836127859870499</v>
      </c>
      <c r="Q828" s="79">
        <v>0.45339521100073399</v>
      </c>
      <c r="R828" s="80">
        <v>1</v>
      </c>
      <c r="S828" s="79">
        <v>-9.4138053651424899E-3</v>
      </c>
      <c r="T828" s="79">
        <v>1.3685143815969501E-2</v>
      </c>
      <c r="U828" s="79">
        <v>0.491554457951347</v>
      </c>
      <c r="V828" s="79">
        <v>0.578111776775032</v>
      </c>
      <c r="W828" s="79">
        <v>1</v>
      </c>
    </row>
    <row r="829" spans="1:23" x14ac:dyDescent="0.2">
      <c r="A829" s="69"/>
      <c r="B829" s="84" t="s">
        <v>322</v>
      </c>
      <c r="C829" s="78">
        <v>558</v>
      </c>
      <c r="D829" s="79">
        <v>-6.8507806000000004E-2</v>
      </c>
      <c r="E829" s="79">
        <v>4.3798726000000003E-2</v>
      </c>
      <c r="F829" s="79">
        <v>0.118487827</v>
      </c>
      <c r="G829" s="79">
        <v>0.64506284688461601</v>
      </c>
      <c r="H829" s="80">
        <v>1</v>
      </c>
      <c r="I829" s="79">
        <v>-8.8747936082095996E-3</v>
      </c>
      <c r="J829" s="79">
        <v>4.55159045065913E-2</v>
      </c>
      <c r="K829" s="79">
        <v>0.84548589166926202</v>
      </c>
      <c r="L829" s="79">
        <v>0.96964513668720897</v>
      </c>
      <c r="M829" s="80">
        <v>1</v>
      </c>
      <c r="N829" s="79">
        <v>5.0932134839417303E-2</v>
      </c>
      <c r="O829" s="79">
        <v>4.0591087205347799E-2</v>
      </c>
      <c r="P829" s="79">
        <v>0.210134573474756</v>
      </c>
      <c r="Q829" s="79">
        <v>0.28581004688045603</v>
      </c>
      <c r="R829" s="80">
        <v>1</v>
      </c>
      <c r="S829" s="79">
        <v>-5.9815309399111102E-2</v>
      </c>
      <c r="T829" s="79">
        <v>4.1153084742864297E-2</v>
      </c>
      <c r="U829" s="79">
        <v>0.14669079189776099</v>
      </c>
      <c r="V829" s="79">
        <v>0.220557600614051</v>
      </c>
      <c r="W829" s="79">
        <v>1</v>
      </c>
    </row>
    <row r="830" spans="1:23" x14ac:dyDescent="0.2">
      <c r="A830" s="69"/>
      <c r="B830" s="84" t="s">
        <v>2459</v>
      </c>
      <c r="C830" s="78">
        <v>5556</v>
      </c>
      <c r="D830" s="79">
        <v>0.9753416423018384</v>
      </c>
      <c r="E830" s="79">
        <v>0.184687395</v>
      </c>
      <c r="F830" s="79">
        <v>0.89246346099999996</v>
      </c>
      <c r="G830" s="79">
        <v>0.991673151733656</v>
      </c>
      <c r="H830" s="80">
        <v>1</v>
      </c>
      <c r="I830" s="79">
        <v>1.0604686224282034</v>
      </c>
      <c r="J830" s="79">
        <v>0.18684796395470701</v>
      </c>
      <c r="K830" s="79">
        <v>0.75335582400539203</v>
      </c>
      <c r="L830" s="79">
        <v>0.95292321760430299</v>
      </c>
      <c r="M830" s="80">
        <v>1</v>
      </c>
      <c r="N830" s="79">
        <v>1.3113120638394657</v>
      </c>
      <c r="O830" s="79">
        <v>0.18422003556661701</v>
      </c>
      <c r="P830" s="79">
        <v>0.14123161441072299</v>
      </c>
      <c r="Q830" s="79">
        <v>0.208398742659544</v>
      </c>
      <c r="R830" s="80">
        <v>1</v>
      </c>
      <c r="S830" s="79">
        <v>1.1205447881620356</v>
      </c>
      <c r="T830" s="79">
        <v>0.182619426724793</v>
      </c>
      <c r="U830" s="79">
        <v>0.53312950536310799</v>
      </c>
      <c r="V830" s="79">
        <v>0.61447896667192003</v>
      </c>
      <c r="W830" s="79">
        <v>1</v>
      </c>
    </row>
    <row r="831" spans="1:23" x14ac:dyDescent="0.2">
      <c r="A831" s="69"/>
      <c r="B831" s="84" t="s">
        <v>2460</v>
      </c>
      <c r="C831" s="78">
        <v>5556</v>
      </c>
      <c r="D831" s="79">
        <v>1.0895913459810413</v>
      </c>
      <c r="E831" s="79">
        <v>0.10314489</v>
      </c>
      <c r="F831" s="79">
        <v>0.405484658</v>
      </c>
      <c r="G831" s="79">
        <v>0.88261195738869902</v>
      </c>
      <c r="H831" s="80">
        <v>1</v>
      </c>
      <c r="I831" s="79">
        <v>1.0254642890946326</v>
      </c>
      <c r="J831" s="79">
        <v>0.102971192428509</v>
      </c>
      <c r="K831" s="79">
        <v>0.80707660536800496</v>
      </c>
      <c r="L831" s="79">
        <v>0.96211732726388599</v>
      </c>
      <c r="M831" s="80">
        <v>1</v>
      </c>
      <c r="N831" s="79">
        <v>1.0938793424163518</v>
      </c>
      <c r="O831" s="79">
        <v>0.102449715163507</v>
      </c>
      <c r="P831" s="79">
        <v>0.38111251509050997</v>
      </c>
      <c r="Q831" s="79">
        <v>0.465478134407947</v>
      </c>
      <c r="R831" s="80">
        <v>1</v>
      </c>
      <c r="S831" s="79">
        <v>1.1707648702845428</v>
      </c>
      <c r="T831" s="79">
        <v>0.10252666038416999</v>
      </c>
      <c r="U831" s="79">
        <v>0.12411715266887099</v>
      </c>
      <c r="V831" s="79">
        <v>0.19406388472084801</v>
      </c>
      <c r="W831" s="79">
        <v>1</v>
      </c>
    </row>
    <row r="832" spans="1:23" x14ac:dyDescent="0.2">
      <c r="A832" s="69"/>
      <c r="B832" s="84" t="s">
        <v>2461</v>
      </c>
      <c r="C832" s="78">
        <v>5555</v>
      </c>
      <c r="D832" s="79">
        <v>0.9391430879966769</v>
      </c>
      <c r="E832" s="79">
        <v>8.8947931999999993E-2</v>
      </c>
      <c r="F832" s="79">
        <v>0.48025674000000002</v>
      </c>
      <c r="G832" s="79">
        <v>0.92480395001517501</v>
      </c>
      <c r="H832" s="80">
        <v>1</v>
      </c>
      <c r="I832" s="79">
        <v>0.97401990451092779</v>
      </c>
      <c r="J832" s="79">
        <v>8.9092463769626401E-2</v>
      </c>
      <c r="K832" s="79">
        <v>0.76764010087052403</v>
      </c>
      <c r="L832" s="79">
        <v>0.95389133514851498</v>
      </c>
      <c r="M832" s="80">
        <v>1</v>
      </c>
      <c r="N832" s="79">
        <v>0.87073976242909301</v>
      </c>
      <c r="O832" s="79">
        <v>8.8586113098822E-2</v>
      </c>
      <c r="P832" s="79">
        <v>0.11818001078400001</v>
      </c>
      <c r="Q832" s="79">
        <v>0.179390470914947</v>
      </c>
      <c r="R832" s="80">
        <v>1</v>
      </c>
      <c r="S832" s="79">
        <v>0.85566461106068026</v>
      </c>
      <c r="T832" s="79">
        <v>8.8363730318919906E-2</v>
      </c>
      <c r="U832" s="79">
        <v>7.7725941696755105E-2</v>
      </c>
      <c r="V832" s="79">
        <v>0.13239492619219101</v>
      </c>
      <c r="W832" s="79">
        <v>1</v>
      </c>
    </row>
    <row r="833" spans="1:23" x14ac:dyDescent="0.2">
      <c r="A833" s="69"/>
      <c r="B833" s="84" t="s">
        <v>2462</v>
      </c>
      <c r="C833" s="78">
        <v>5529</v>
      </c>
      <c r="D833" s="79">
        <v>1.0614665068478242</v>
      </c>
      <c r="E833" s="79">
        <v>3.859833E-2</v>
      </c>
      <c r="F833" s="79">
        <v>0.122239582</v>
      </c>
      <c r="G833" s="79">
        <v>0.65626131345967698</v>
      </c>
      <c r="H833" s="80">
        <v>1</v>
      </c>
      <c r="I833" s="79">
        <v>0.99077022583538277</v>
      </c>
      <c r="J833" s="79">
        <v>3.8191166883658201E-2</v>
      </c>
      <c r="K833" s="79">
        <v>0.80816404510800199</v>
      </c>
      <c r="L833" s="79">
        <v>0.96211732726388599</v>
      </c>
      <c r="M833" s="80">
        <v>1</v>
      </c>
      <c r="N833" s="81">
        <v>1.274334304155994</v>
      </c>
      <c r="O833" s="81">
        <v>3.84699382827704E-2</v>
      </c>
      <c r="P833" s="81">
        <v>2.9450142420878898E-10</v>
      </c>
      <c r="Q833" s="81">
        <v>7.6269858636929202E-9</v>
      </c>
      <c r="R833" s="82">
        <v>3.73722307320953E-7</v>
      </c>
      <c r="S833" s="81">
        <v>1.1963652542736625</v>
      </c>
      <c r="T833" s="81">
        <v>3.81456470904592E-2</v>
      </c>
      <c r="U833" s="81">
        <v>2.6004582260011899E-6</v>
      </c>
      <c r="V833" s="81">
        <v>5.5931889640601899E-5</v>
      </c>
      <c r="W833" s="81">
        <v>3.2999814887955102E-3</v>
      </c>
    </row>
    <row r="834" spans="1:23" x14ac:dyDescent="0.2">
      <c r="A834" s="69"/>
      <c r="B834" s="84" t="s">
        <v>2463</v>
      </c>
      <c r="C834" s="78">
        <v>5427</v>
      </c>
      <c r="D834" s="79">
        <v>1.0450138584463631</v>
      </c>
      <c r="E834" s="79">
        <v>5.2633052999999999E-2</v>
      </c>
      <c r="F834" s="79">
        <v>0.40284591800000003</v>
      </c>
      <c r="G834" s="79">
        <v>0.88261195738869902</v>
      </c>
      <c r="H834" s="80">
        <v>1</v>
      </c>
      <c r="I834" s="79">
        <v>1.0042840313412511</v>
      </c>
      <c r="J834" s="79">
        <v>5.3023432908503802E-2</v>
      </c>
      <c r="K834" s="79">
        <v>0.93574218278407195</v>
      </c>
      <c r="L834" s="79">
        <v>0.981200184300273</v>
      </c>
      <c r="M834" s="80">
        <v>1</v>
      </c>
      <c r="N834" s="79">
        <v>0.8502488053486229</v>
      </c>
      <c r="O834" s="79">
        <v>5.2502672714841402E-2</v>
      </c>
      <c r="P834" s="79">
        <v>2.0024634398252798E-3</v>
      </c>
      <c r="Q834" s="79">
        <v>6.2743854447858804E-3</v>
      </c>
      <c r="R834" s="80">
        <v>1</v>
      </c>
      <c r="S834" s="79">
        <v>0.92774509472659383</v>
      </c>
      <c r="T834" s="79">
        <v>5.2315666120836303E-2</v>
      </c>
      <c r="U834" s="79">
        <v>0.15169448106528899</v>
      </c>
      <c r="V834" s="79">
        <v>0.22673768724599699</v>
      </c>
      <c r="W834" s="79">
        <v>1</v>
      </c>
    </row>
    <row r="835" spans="1:23" x14ac:dyDescent="0.2">
      <c r="A835" s="69"/>
      <c r="B835" s="84" t="s">
        <v>319</v>
      </c>
      <c r="C835" s="78">
        <v>4986</v>
      </c>
      <c r="D835" s="79">
        <v>1.522238E-3</v>
      </c>
      <c r="E835" s="79">
        <v>1.4311776999999999E-2</v>
      </c>
      <c r="F835" s="79">
        <v>0.91529896700000002</v>
      </c>
      <c r="G835" s="79">
        <v>0.991673151733656</v>
      </c>
      <c r="H835" s="80">
        <v>1</v>
      </c>
      <c r="I835" s="79">
        <v>1.8224302793305701E-3</v>
      </c>
      <c r="J835" s="79">
        <v>1.4211190276016099E-2</v>
      </c>
      <c r="K835" s="79">
        <v>0.89796495305495405</v>
      </c>
      <c r="L835" s="79">
        <v>0.981200184300273</v>
      </c>
      <c r="M835" s="80">
        <v>1</v>
      </c>
      <c r="N835" s="79">
        <v>-4.0085977081648502E-2</v>
      </c>
      <c r="O835" s="79">
        <v>1.40962991723749E-2</v>
      </c>
      <c r="P835" s="79">
        <v>4.4772602958471699E-3</v>
      </c>
      <c r="Q835" s="79">
        <v>1.22979292541776E-2</v>
      </c>
      <c r="R835" s="80">
        <v>1</v>
      </c>
      <c r="S835" s="79">
        <v>-1.0969232534709999E-2</v>
      </c>
      <c r="T835" s="79">
        <v>1.40461795691285E-2</v>
      </c>
      <c r="U835" s="79">
        <v>0.43487474198584197</v>
      </c>
      <c r="V835" s="79">
        <v>0.52358258783684397</v>
      </c>
      <c r="W835" s="79">
        <v>1</v>
      </c>
    </row>
    <row r="836" spans="1:23" x14ac:dyDescent="0.2">
      <c r="A836" s="69"/>
      <c r="B836" s="84" t="s">
        <v>320</v>
      </c>
      <c r="C836" s="78">
        <v>4986</v>
      </c>
      <c r="D836" s="79">
        <v>-1.2530003E-2</v>
      </c>
      <c r="E836" s="79">
        <v>1.4731403000000001E-2</v>
      </c>
      <c r="F836" s="79">
        <v>0.39505275299999998</v>
      </c>
      <c r="G836" s="79">
        <v>0.88261195738869902</v>
      </c>
      <c r="H836" s="80">
        <v>1</v>
      </c>
      <c r="I836" s="79">
        <v>-4.6495059721080997E-3</v>
      </c>
      <c r="J836" s="79">
        <v>1.4601390548745E-2</v>
      </c>
      <c r="K836" s="79">
        <v>0.75017307419720303</v>
      </c>
      <c r="L836" s="79">
        <v>0.95292255370996004</v>
      </c>
      <c r="M836" s="80">
        <v>1</v>
      </c>
      <c r="N836" s="79">
        <v>2.72586448078408E-2</v>
      </c>
      <c r="O836" s="79">
        <v>1.45195988834609E-2</v>
      </c>
      <c r="P836" s="79">
        <v>6.0526362964884603E-2</v>
      </c>
      <c r="Q836" s="79">
        <v>0.10389676964054601</v>
      </c>
      <c r="R836" s="80">
        <v>1</v>
      </c>
      <c r="S836" s="79">
        <v>1.6568180847073701E-2</v>
      </c>
      <c r="T836" s="79">
        <v>1.4457582421060799E-2</v>
      </c>
      <c r="U836" s="79">
        <v>0.25185658577999898</v>
      </c>
      <c r="V836" s="79">
        <v>0.34109499184078801</v>
      </c>
      <c r="W836" s="79">
        <v>1</v>
      </c>
    </row>
    <row r="837" spans="1:23" x14ac:dyDescent="0.2">
      <c r="A837" s="69"/>
      <c r="B837" s="84" t="s">
        <v>2464</v>
      </c>
      <c r="C837" s="78">
        <v>5556</v>
      </c>
      <c r="D837" s="79">
        <v>1.03370046041804</v>
      </c>
      <c r="E837" s="79">
        <v>4.8386851000000002E-2</v>
      </c>
      <c r="F837" s="79">
        <v>0.49334325400000001</v>
      </c>
      <c r="G837" s="79">
        <v>0.92884339055395704</v>
      </c>
      <c r="H837" s="80">
        <v>1</v>
      </c>
      <c r="I837" s="79">
        <v>0.96728013434129179</v>
      </c>
      <c r="J837" s="79">
        <v>4.7772632709744002E-2</v>
      </c>
      <c r="K837" s="79">
        <v>0.48620103815196403</v>
      </c>
      <c r="L837" s="79">
        <v>0.88153376642422299</v>
      </c>
      <c r="M837" s="80">
        <v>1</v>
      </c>
      <c r="N837" s="81">
        <v>1.2749327647035653</v>
      </c>
      <c r="O837" s="81">
        <v>4.8083861333618201E-2</v>
      </c>
      <c r="P837" s="81">
        <v>4.3845810420864902E-7</v>
      </c>
      <c r="Q837" s="81">
        <v>5.6202356994017698E-6</v>
      </c>
      <c r="R837" s="82">
        <v>5.5640333424077603E-4</v>
      </c>
      <c r="S837" s="81">
        <v>1.2539422231695208</v>
      </c>
      <c r="T837" s="81">
        <v>4.8044033731491E-2</v>
      </c>
      <c r="U837" s="81">
        <v>2.4759113586645001E-6</v>
      </c>
      <c r="V837" s="81">
        <v>5.5697683199453403E-5</v>
      </c>
      <c r="W837" s="81">
        <v>3.14193151414525E-3</v>
      </c>
    </row>
    <row r="838" spans="1:23" x14ac:dyDescent="0.2">
      <c r="A838" s="69"/>
      <c r="B838" s="84" t="s">
        <v>2465</v>
      </c>
      <c r="C838" s="78">
        <v>5556</v>
      </c>
      <c r="D838" s="79">
        <v>0.95123193289601371</v>
      </c>
      <c r="E838" s="79">
        <v>3.8228813E-2</v>
      </c>
      <c r="F838" s="79">
        <v>0.19092588699999999</v>
      </c>
      <c r="G838" s="79">
        <v>0.71824426474260405</v>
      </c>
      <c r="H838" s="80">
        <v>1</v>
      </c>
      <c r="I838" s="79">
        <v>1.0158067162840121</v>
      </c>
      <c r="J838" s="79">
        <v>3.7812456471614297E-2</v>
      </c>
      <c r="K838" s="79">
        <v>0.67831766756092005</v>
      </c>
      <c r="L838" s="79">
        <v>0.93057850825384603</v>
      </c>
      <c r="M838" s="80">
        <v>1</v>
      </c>
      <c r="N838" s="81">
        <v>0.78846013024934614</v>
      </c>
      <c r="O838" s="81">
        <v>3.8113920463177499E-2</v>
      </c>
      <c r="P838" s="81">
        <v>4.4927524539164498E-10</v>
      </c>
      <c r="Q838" s="81">
        <v>1.10520402131997E-8</v>
      </c>
      <c r="R838" s="82">
        <v>5.7013028640199804E-7</v>
      </c>
      <c r="S838" s="81">
        <v>0.839646749818169</v>
      </c>
      <c r="T838" s="81">
        <v>3.7781049992085598E-2</v>
      </c>
      <c r="U838" s="81">
        <v>3.72848902208526E-6</v>
      </c>
      <c r="V838" s="81">
        <v>7.5177168992727895E-5</v>
      </c>
      <c r="W838" s="81">
        <v>4.7314525690262E-3</v>
      </c>
    </row>
    <row r="839" spans="1:23" x14ac:dyDescent="0.2">
      <c r="A839" s="69"/>
      <c r="B839" s="84" t="s">
        <v>2466</v>
      </c>
      <c r="C839" s="78">
        <v>5556</v>
      </c>
      <c r="D839" s="79">
        <v>1.1394688342994495</v>
      </c>
      <c r="E839" s="79">
        <v>6.2372324999999999E-2</v>
      </c>
      <c r="F839" s="79">
        <v>3.6324914999999999E-2</v>
      </c>
      <c r="G839" s="79">
        <v>0.43563485277876102</v>
      </c>
      <c r="H839" s="80">
        <v>1</v>
      </c>
      <c r="I839" s="79">
        <v>1.0705292546112737</v>
      </c>
      <c r="J839" s="79">
        <v>6.12142151170025E-2</v>
      </c>
      <c r="K839" s="79">
        <v>0.26555596417011801</v>
      </c>
      <c r="L839" s="79">
        <v>0.75728206411658405</v>
      </c>
      <c r="M839" s="80">
        <v>1</v>
      </c>
      <c r="N839" s="79">
        <v>1.2711114123813485</v>
      </c>
      <c r="O839" s="79">
        <v>6.1178968385284603E-2</v>
      </c>
      <c r="P839" s="79">
        <v>8.8128972824466498E-5</v>
      </c>
      <c r="Q839" s="79">
        <v>5.2752672884079203E-4</v>
      </c>
      <c r="R839" s="80">
        <v>0.11183566651424801</v>
      </c>
      <c r="S839" s="79">
        <v>1.1389716521531139</v>
      </c>
      <c r="T839" s="79">
        <v>6.0789972276105601E-2</v>
      </c>
      <c r="U839" s="79">
        <v>3.2307927129509702E-2</v>
      </c>
      <c r="V839" s="79">
        <v>6.4564975633618599E-2</v>
      </c>
      <c r="W839" s="79">
        <v>1</v>
      </c>
    </row>
    <row r="840" spans="1:23" x14ac:dyDescent="0.2">
      <c r="A840" s="69"/>
      <c r="B840" s="84" t="s">
        <v>2467</v>
      </c>
      <c r="C840" s="78">
        <v>5556</v>
      </c>
      <c r="D840" s="79">
        <v>0.92051649579224304</v>
      </c>
      <c r="E840" s="79">
        <v>6.6136058999999997E-2</v>
      </c>
      <c r="F840" s="79">
        <v>0.21047064500000001</v>
      </c>
      <c r="G840" s="79">
        <v>0.74224234113157905</v>
      </c>
      <c r="H840" s="80">
        <v>1</v>
      </c>
      <c r="I840" s="79">
        <v>1.0345330184236676</v>
      </c>
      <c r="J840" s="79">
        <v>6.5736893705485799E-2</v>
      </c>
      <c r="K840" s="79">
        <v>0.60553679300029795</v>
      </c>
      <c r="L840" s="79">
        <v>0.91965825061269202</v>
      </c>
      <c r="M840" s="80">
        <v>1</v>
      </c>
      <c r="N840" s="81">
        <v>1.4103848922743902</v>
      </c>
      <c r="O840" s="81">
        <v>6.5816894553614197E-2</v>
      </c>
      <c r="P840" s="81">
        <v>1.7459371534617599E-7</v>
      </c>
      <c r="Q840" s="81">
        <v>2.5762723810964799E-6</v>
      </c>
      <c r="R840" s="82">
        <v>2.2155942477429701E-4</v>
      </c>
      <c r="S840" s="81">
        <v>1.332399374070468</v>
      </c>
      <c r="T840" s="81">
        <v>6.5988262983469201E-2</v>
      </c>
      <c r="U840" s="81">
        <v>1.3677481430775301E-5</v>
      </c>
      <c r="V840" s="81">
        <v>1.92852488173932E-4</v>
      </c>
      <c r="W840" s="81">
        <v>1.7356723935653899E-2</v>
      </c>
    </row>
    <row r="841" spans="1:23" x14ac:dyDescent="0.2">
      <c r="A841" s="69"/>
      <c r="B841" s="84" t="s">
        <v>2468</v>
      </c>
      <c r="C841" s="78">
        <v>5556</v>
      </c>
      <c r="D841" s="79">
        <v>1.0568227539669404</v>
      </c>
      <c r="E841" s="79">
        <v>8.4404942999999996E-2</v>
      </c>
      <c r="F841" s="79">
        <v>0.51260684199999995</v>
      </c>
      <c r="G841" s="79">
        <v>0.93029368998857198</v>
      </c>
      <c r="H841" s="80">
        <v>1</v>
      </c>
      <c r="I841" s="79">
        <v>0.96337920431382962</v>
      </c>
      <c r="J841" s="79">
        <v>8.3879903309295498E-2</v>
      </c>
      <c r="K841" s="79">
        <v>0.65647816880503895</v>
      </c>
      <c r="L841" s="79">
        <v>0.92464388912011197</v>
      </c>
      <c r="M841" s="80">
        <v>1</v>
      </c>
      <c r="N841" s="79">
        <v>1.2129233869481735</v>
      </c>
      <c r="O841" s="79">
        <v>8.3349271148072002E-2</v>
      </c>
      <c r="P841" s="79">
        <v>2.0560524873545101E-2</v>
      </c>
      <c r="Q841" s="79">
        <v>4.22873680138229E-2</v>
      </c>
      <c r="R841" s="80">
        <v>1</v>
      </c>
      <c r="S841" s="79">
        <v>1.1112010165042221</v>
      </c>
      <c r="T841" s="79">
        <v>8.3534710079091704E-2</v>
      </c>
      <c r="U841" s="79">
        <v>0.20685996417883301</v>
      </c>
      <c r="V841" s="79">
        <v>0.29264804296871699</v>
      </c>
      <c r="W841" s="79">
        <v>1</v>
      </c>
    </row>
    <row r="842" spans="1:23" x14ac:dyDescent="0.2">
      <c r="A842" s="69"/>
      <c r="B842" s="84" t="s">
        <v>2469</v>
      </c>
      <c r="C842" s="78">
        <v>5556</v>
      </c>
      <c r="D842" s="79">
        <v>0.99621321900715443</v>
      </c>
      <c r="E842" s="79">
        <v>3.0905776999999999E-2</v>
      </c>
      <c r="F842" s="79">
        <v>0.90229776399999995</v>
      </c>
      <c r="G842" s="79">
        <v>0.991673151733656</v>
      </c>
      <c r="H842" s="80">
        <v>1</v>
      </c>
      <c r="I842" s="79">
        <v>1.0576036073581798</v>
      </c>
      <c r="J842" s="79">
        <v>3.07106319456221E-2</v>
      </c>
      <c r="K842" s="79">
        <v>6.8204228761593794E-2</v>
      </c>
      <c r="L842" s="79">
        <v>0.57459637698370203</v>
      </c>
      <c r="M842" s="80">
        <v>1</v>
      </c>
      <c r="N842" s="79">
        <v>0.92771870873496409</v>
      </c>
      <c r="O842" s="79">
        <v>3.05409009774983E-2</v>
      </c>
      <c r="P842" s="79">
        <v>1.40259649627613E-2</v>
      </c>
      <c r="Q842" s="79">
        <v>3.1281106393223401E-2</v>
      </c>
      <c r="R842" s="80">
        <v>1</v>
      </c>
      <c r="S842" s="79">
        <v>0.97806988943662143</v>
      </c>
      <c r="T842" s="79">
        <v>3.0479487192011601E-2</v>
      </c>
      <c r="U842" s="79">
        <v>0.46691322636626198</v>
      </c>
      <c r="V842" s="79">
        <v>0.55375035912036097</v>
      </c>
      <c r="W842" s="79">
        <v>1</v>
      </c>
    </row>
    <row r="843" spans="1:23" x14ac:dyDescent="0.2">
      <c r="A843" s="69"/>
      <c r="B843" s="84" t="s">
        <v>2470</v>
      </c>
      <c r="C843" s="78">
        <v>5556</v>
      </c>
      <c r="D843" s="79">
        <v>0.9392161167241605</v>
      </c>
      <c r="E843" s="79">
        <v>7.1697413000000002E-2</v>
      </c>
      <c r="F843" s="79">
        <v>0.38176795800000002</v>
      </c>
      <c r="G843" s="79">
        <v>0.880152082540541</v>
      </c>
      <c r="H843" s="80">
        <v>1</v>
      </c>
      <c r="I843" s="79">
        <v>0.98158081837654021</v>
      </c>
      <c r="J843" s="79">
        <v>7.0478176745181101E-2</v>
      </c>
      <c r="K843" s="79">
        <v>0.79194733093413106</v>
      </c>
      <c r="L843" s="79">
        <v>0.95970310918962698</v>
      </c>
      <c r="M843" s="80">
        <v>1</v>
      </c>
      <c r="N843" s="79">
        <v>1.2877145796860285</v>
      </c>
      <c r="O843" s="79">
        <v>7.1550444106644906E-2</v>
      </c>
      <c r="P843" s="79">
        <v>4.0911044371641801E-4</v>
      </c>
      <c r="Q843" s="79">
        <v>1.8216180809688899E-3</v>
      </c>
      <c r="R843" s="80">
        <v>0.51916115307613397</v>
      </c>
      <c r="S843" s="79">
        <v>1.2744520465893312</v>
      </c>
      <c r="T843" s="79">
        <v>7.2010357052161897E-2</v>
      </c>
      <c r="U843" s="79">
        <v>7.57711572996073E-4</v>
      </c>
      <c r="V843" s="79">
        <v>3.6421817656515799E-3</v>
      </c>
      <c r="W843" s="79">
        <v>0.96153598613201696</v>
      </c>
    </row>
    <row r="844" spans="1:23" x14ac:dyDescent="0.2">
      <c r="A844" s="69"/>
      <c r="B844" s="84" t="s">
        <v>2471</v>
      </c>
      <c r="C844" s="78">
        <v>5556</v>
      </c>
      <c r="D844" s="79">
        <v>0.9966438275796512</v>
      </c>
      <c r="E844" s="79">
        <v>7.4329646999999999E-2</v>
      </c>
      <c r="F844" s="79">
        <v>0.96392519600000004</v>
      </c>
      <c r="G844" s="79">
        <v>0.991673151733656</v>
      </c>
      <c r="H844" s="80">
        <v>1</v>
      </c>
      <c r="I844" s="79">
        <v>0.89079676837970101</v>
      </c>
      <c r="J844" s="79">
        <v>7.3958938443613495E-2</v>
      </c>
      <c r="K844" s="79">
        <v>0.117921781299044</v>
      </c>
      <c r="L844" s="79">
        <v>0.629154133129187</v>
      </c>
      <c r="M844" s="80">
        <v>1</v>
      </c>
      <c r="N844" s="79">
        <v>1.1662604370507088</v>
      </c>
      <c r="O844" s="79">
        <v>7.3734573246580407E-2</v>
      </c>
      <c r="P844" s="79">
        <v>3.6988326120251699E-2</v>
      </c>
      <c r="Q844" s="79">
        <v>6.8723551751975698E-2</v>
      </c>
      <c r="R844" s="80">
        <v>1</v>
      </c>
      <c r="S844" s="79">
        <v>1.1741226366233137</v>
      </c>
      <c r="T844" s="79">
        <v>7.3959958256864494E-2</v>
      </c>
      <c r="U844" s="79">
        <v>2.99781092802298E-2</v>
      </c>
      <c r="V844" s="79">
        <v>6.0576784516897499E-2</v>
      </c>
      <c r="W844" s="79">
        <v>1</v>
      </c>
    </row>
    <row r="845" spans="1:23" x14ac:dyDescent="0.2">
      <c r="A845" s="69"/>
      <c r="B845" s="84" t="s">
        <v>2472</v>
      </c>
      <c r="C845" s="78">
        <v>5556</v>
      </c>
      <c r="D845" s="79">
        <v>1.0135681977601871</v>
      </c>
      <c r="E845" s="79">
        <v>6.7305756999999994E-2</v>
      </c>
      <c r="F845" s="79">
        <v>0.84129673199999999</v>
      </c>
      <c r="G845" s="79">
        <v>0.98552821438803295</v>
      </c>
      <c r="H845" s="80">
        <v>1</v>
      </c>
      <c r="I845" s="79">
        <v>0.90955384235843062</v>
      </c>
      <c r="J845" s="79">
        <v>6.6488125369615098E-2</v>
      </c>
      <c r="K845" s="79">
        <v>0.15391603368766901</v>
      </c>
      <c r="L845" s="79">
        <v>0.66470888806839401</v>
      </c>
      <c r="M845" s="80">
        <v>1</v>
      </c>
      <c r="N845" s="79">
        <v>1.1680466120990394</v>
      </c>
      <c r="O845" s="79">
        <v>6.6677623847632997E-2</v>
      </c>
      <c r="P845" s="79">
        <v>1.9826827144826999E-2</v>
      </c>
      <c r="Q845" s="79">
        <v>4.1381979682212897E-2</v>
      </c>
      <c r="R845" s="80">
        <v>1</v>
      </c>
      <c r="S845" s="79">
        <v>0.98880203204250716</v>
      </c>
      <c r="T845" s="79">
        <v>6.6168335423559502E-2</v>
      </c>
      <c r="U845" s="79">
        <v>0.86486133129381404</v>
      </c>
      <c r="V845" s="79">
        <v>0.89519496689384204</v>
      </c>
      <c r="W845" s="79">
        <v>1</v>
      </c>
    </row>
    <row r="846" spans="1:23" x14ac:dyDescent="0.2">
      <c r="A846" s="69"/>
      <c r="B846" s="84" t="s">
        <v>2473</v>
      </c>
      <c r="C846" s="78">
        <v>5556</v>
      </c>
      <c r="D846" s="79">
        <v>1.0246494888393032</v>
      </c>
      <c r="E846" s="79">
        <v>4.3006649000000001E-2</v>
      </c>
      <c r="F846" s="79">
        <v>0.571254233</v>
      </c>
      <c r="G846" s="79">
        <v>0.95028446965399804</v>
      </c>
      <c r="H846" s="80">
        <v>1</v>
      </c>
      <c r="I846" s="79">
        <v>0.9366484286400959</v>
      </c>
      <c r="J846" s="79">
        <v>4.2715791397880697E-2</v>
      </c>
      <c r="K846" s="79">
        <v>0.125483824270788</v>
      </c>
      <c r="L846" s="79">
        <v>0.64438349441390497</v>
      </c>
      <c r="M846" s="80">
        <v>1</v>
      </c>
      <c r="N846" s="79">
        <v>0.9022669974145634</v>
      </c>
      <c r="O846" s="79">
        <v>4.2278463643205498E-2</v>
      </c>
      <c r="P846" s="79">
        <v>1.4992607976700901E-2</v>
      </c>
      <c r="Q846" s="79">
        <v>3.3088033952058199E-2</v>
      </c>
      <c r="R846" s="80">
        <v>1</v>
      </c>
      <c r="S846" s="79">
        <v>0.89647937757297824</v>
      </c>
      <c r="T846" s="79">
        <v>4.2403878356805501E-2</v>
      </c>
      <c r="U846" s="79">
        <v>9.9626633362097997E-3</v>
      </c>
      <c r="V846" s="79">
        <v>2.5909469748836199E-2</v>
      </c>
      <c r="W846" s="79">
        <v>1</v>
      </c>
    </row>
    <row r="847" spans="1:23" x14ac:dyDescent="0.2">
      <c r="A847" s="69"/>
      <c r="B847" s="84" t="s">
        <v>2474</v>
      </c>
      <c r="C847" s="78">
        <v>5556</v>
      </c>
      <c r="D847" s="79">
        <v>0.97321901269173539</v>
      </c>
      <c r="E847" s="79">
        <v>5.0380611999999998E-2</v>
      </c>
      <c r="F847" s="79">
        <v>0.59001037499999998</v>
      </c>
      <c r="G847" s="79">
        <v>0.95350818012595395</v>
      </c>
      <c r="H847" s="80">
        <v>1</v>
      </c>
      <c r="I847" s="79">
        <v>0.94694764496750183</v>
      </c>
      <c r="J847" s="79">
        <v>5.0110134015278099E-2</v>
      </c>
      <c r="K847" s="79">
        <v>0.27666870574326902</v>
      </c>
      <c r="L847" s="79">
        <v>0.76689313855516394</v>
      </c>
      <c r="M847" s="80">
        <v>1</v>
      </c>
      <c r="N847" s="79">
        <v>1.082430051950674</v>
      </c>
      <c r="O847" s="79">
        <v>4.9914746099772603E-2</v>
      </c>
      <c r="P847" s="79">
        <v>0.112540508991986</v>
      </c>
      <c r="Q847" s="79">
        <v>0.172480562694239</v>
      </c>
      <c r="R847" s="80">
        <v>1</v>
      </c>
      <c r="S847" s="79">
        <v>1.0313042975563815</v>
      </c>
      <c r="T847" s="79">
        <v>4.9635394175764597E-2</v>
      </c>
      <c r="U847" s="79">
        <v>0.53458995077802796</v>
      </c>
      <c r="V847" s="79">
        <v>0.61560312843676701</v>
      </c>
      <c r="W847" s="79">
        <v>1</v>
      </c>
    </row>
    <row r="848" spans="1:23" x14ac:dyDescent="0.2">
      <c r="A848" s="69"/>
      <c r="B848" s="84" t="s">
        <v>315</v>
      </c>
      <c r="C848" s="78">
        <v>5555</v>
      </c>
      <c r="D848" s="79">
        <v>-5.197864E-3</v>
      </c>
      <c r="E848" s="79">
        <v>1.3932019E-2</v>
      </c>
      <c r="F848" s="79">
        <v>0.70909821100000003</v>
      </c>
      <c r="G848" s="79">
        <v>0.98545101377932998</v>
      </c>
      <c r="H848" s="80">
        <v>1</v>
      </c>
      <c r="I848" s="79">
        <v>1.40967631312798E-2</v>
      </c>
      <c r="J848" s="79">
        <v>1.3857823670450801E-2</v>
      </c>
      <c r="K848" s="79">
        <v>0.309085505043182</v>
      </c>
      <c r="L848" s="79">
        <v>0.78754770700353705</v>
      </c>
      <c r="M848" s="80">
        <v>1</v>
      </c>
      <c r="N848" s="79">
        <v>5.2452972694802903E-2</v>
      </c>
      <c r="O848" s="79">
        <v>1.3755432583517401E-2</v>
      </c>
      <c r="P848" s="79">
        <v>1.3872818393426901E-4</v>
      </c>
      <c r="Q848" s="79">
        <v>7.6876011097199695E-4</v>
      </c>
      <c r="R848" s="80">
        <v>0.17604606541258699</v>
      </c>
      <c r="S848" s="81">
        <v>5.9576930131486197E-2</v>
      </c>
      <c r="T848" s="81">
        <v>1.37153702972724E-2</v>
      </c>
      <c r="U848" s="81">
        <v>1.4266710366738299E-5</v>
      </c>
      <c r="V848" s="81">
        <v>1.9484972232496501E-4</v>
      </c>
      <c r="W848" s="81">
        <v>1.8104455455390901E-2</v>
      </c>
    </row>
    <row r="849" spans="1:23" x14ac:dyDescent="0.2">
      <c r="A849" s="69"/>
      <c r="B849" s="84" t="s">
        <v>2475</v>
      </c>
      <c r="C849" s="78">
        <v>5556</v>
      </c>
      <c r="D849" s="79">
        <v>0.95647116397007492</v>
      </c>
      <c r="E849" s="79">
        <v>4.0990528999999998E-2</v>
      </c>
      <c r="F849" s="79">
        <v>0.27759856199999999</v>
      </c>
      <c r="G849" s="79">
        <v>0.82719597069976902</v>
      </c>
      <c r="H849" s="80">
        <v>1</v>
      </c>
      <c r="I849" s="79">
        <v>1.0113268688943704</v>
      </c>
      <c r="J849" s="79">
        <v>4.0650057888742999E-2</v>
      </c>
      <c r="K849" s="79">
        <v>0.78172090360511803</v>
      </c>
      <c r="L849" s="79">
        <v>0.95813246455571699</v>
      </c>
      <c r="M849" s="80">
        <v>1</v>
      </c>
      <c r="N849" s="79">
        <v>1.1240678351129643</v>
      </c>
      <c r="O849" s="79">
        <v>4.0356051160321899E-2</v>
      </c>
      <c r="P849" s="79">
        <v>3.7548339163799502E-3</v>
      </c>
      <c r="Q849" s="79">
        <v>1.05651535252465E-2</v>
      </c>
      <c r="R849" s="80">
        <v>1</v>
      </c>
      <c r="S849" s="79">
        <v>1.1718865955151199</v>
      </c>
      <c r="T849" s="79">
        <v>4.0617389205969898E-2</v>
      </c>
      <c r="U849" s="79">
        <v>9.4186828456808603E-5</v>
      </c>
      <c r="V849" s="79">
        <v>7.6617362379288495E-4</v>
      </c>
      <c r="W849" s="79">
        <v>0.11952308531168999</v>
      </c>
    </row>
    <row r="850" spans="1:23" x14ac:dyDescent="0.2">
      <c r="A850" s="69"/>
      <c r="B850" s="84" t="s">
        <v>2476</v>
      </c>
      <c r="C850" s="78">
        <v>5556</v>
      </c>
      <c r="D850" s="79">
        <v>0.970071082734553</v>
      </c>
      <c r="E850" s="79">
        <v>4.4342838000000002E-2</v>
      </c>
      <c r="F850" s="79">
        <v>0.49318619200000002</v>
      </c>
      <c r="G850" s="79">
        <v>0.92884339055395704</v>
      </c>
      <c r="H850" s="80">
        <v>1</v>
      </c>
      <c r="I850" s="79">
        <v>1.0046717550512188</v>
      </c>
      <c r="J850" s="79">
        <v>4.4039475318255202E-2</v>
      </c>
      <c r="K850" s="79">
        <v>0.91571401618267001</v>
      </c>
      <c r="L850" s="79">
        <v>0.981200184300273</v>
      </c>
      <c r="M850" s="80">
        <v>1</v>
      </c>
      <c r="N850" s="79">
        <v>1.1681502816581681</v>
      </c>
      <c r="O850" s="79">
        <v>4.3651700013974101E-2</v>
      </c>
      <c r="P850" s="79">
        <v>3.7016016130266699E-4</v>
      </c>
      <c r="Q850" s="79">
        <v>1.68968793055066E-3</v>
      </c>
      <c r="R850" s="80">
        <v>0.46973324469308397</v>
      </c>
      <c r="S850" s="79">
        <v>1.1981830614890685</v>
      </c>
      <c r="T850" s="79">
        <v>4.4041486929864003E-2</v>
      </c>
      <c r="U850" s="79">
        <v>4.0368035086437103E-5</v>
      </c>
      <c r="V850" s="79">
        <v>4.0981629219750899E-4</v>
      </c>
      <c r="W850" s="79">
        <v>5.1227036524688699E-2</v>
      </c>
    </row>
    <row r="851" spans="1:23" x14ac:dyDescent="0.2">
      <c r="A851" s="69"/>
      <c r="B851" s="84" t="s">
        <v>2477</v>
      </c>
      <c r="C851" s="78">
        <v>5556</v>
      </c>
      <c r="D851" s="79">
        <v>0.9859592360328594</v>
      </c>
      <c r="E851" s="79">
        <v>3.8601117999999997E-2</v>
      </c>
      <c r="F851" s="79">
        <v>0.71412811899999995</v>
      </c>
      <c r="G851" s="79">
        <v>0.98545101377932998</v>
      </c>
      <c r="H851" s="80">
        <v>1</v>
      </c>
      <c r="I851" s="79">
        <v>1.029767809036447</v>
      </c>
      <c r="J851" s="79">
        <v>3.83199620530848E-2</v>
      </c>
      <c r="K851" s="79">
        <v>0.44398291075812701</v>
      </c>
      <c r="L851" s="79">
        <v>0.86970662028650003</v>
      </c>
      <c r="M851" s="80">
        <v>1</v>
      </c>
      <c r="N851" s="79">
        <v>1.0954458837020402</v>
      </c>
      <c r="O851" s="79">
        <v>3.8022150264177303E-2</v>
      </c>
      <c r="P851" s="79">
        <v>1.6503382000516199E-2</v>
      </c>
      <c r="Q851" s="79">
        <v>3.5860944792217603E-2</v>
      </c>
      <c r="R851" s="80">
        <v>1</v>
      </c>
      <c r="S851" s="79">
        <v>1.1303280352641931</v>
      </c>
      <c r="T851" s="79">
        <v>3.81935115306513E-2</v>
      </c>
      <c r="U851" s="79">
        <v>1.33867261230381E-3</v>
      </c>
      <c r="V851" s="79">
        <v>5.7781481122909399E-3</v>
      </c>
      <c r="W851" s="79">
        <v>1</v>
      </c>
    </row>
    <row r="852" spans="1:23" x14ac:dyDescent="0.2">
      <c r="A852" s="69"/>
      <c r="B852" s="84" t="s">
        <v>2478</v>
      </c>
      <c r="C852" s="78">
        <v>5556</v>
      </c>
      <c r="D852" s="79">
        <v>1.0659792070800576</v>
      </c>
      <c r="E852" s="79">
        <v>0.102898526</v>
      </c>
      <c r="F852" s="79">
        <v>0.53463904600000001</v>
      </c>
      <c r="G852" s="79">
        <v>0.93839135459751</v>
      </c>
      <c r="H852" s="80">
        <v>1</v>
      </c>
      <c r="I852" s="79">
        <v>1.1477209059948121</v>
      </c>
      <c r="J852" s="79">
        <v>0.10296072001015399</v>
      </c>
      <c r="K852" s="79">
        <v>0.18084353187829999</v>
      </c>
      <c r="L852" s="79">
        <v>0.69753933724487105</v>
      </c>
      <c r="M852" s="80">
        <v>1</v>
      </c>
      <c r="N852" s="79">
        <v>1.3338831714148858</v>
      </c>
      <c r="O852" s="79">
        <v>0.101481017134748</v>
      </c>
      <c r="P852" s="79">
        <v>4.5269472108971E-3</v>
      </c>
      <c r="Q852" s="79">
        <v>1.23579682850837E-2</v>
      </c>
      <c r="R852" s="80">
        <v>1</v>
      </c>
      <c r="S852" s="79">
        <v>1.3435039812202747</v>
      </c>
      <c r="T852" s="79">
        <v>0.102482196068127</v>
      </c>
      <c r="U852" s="79">
        <v>3.9604877799171399E-3</v>
      </c>
      <c r="V852" s="79">
        <v>1.2853859316406299E-2</v>
      </c>
      <c r="W852" s="79">
        <v>1</v>
      </c>
    </row>
    <row r="853" spans="1:23" x14ac:dyDescent="0.2">
      <c r="A853" s="69"/>
      <c r="B853" s="84" t="s">
        <v>2479</v>
      </c>
      <c r="C853" s="78">
        <v>5556</v>
      </c>
      <c r="D853" s="79">
        <v>1.0122513534498772</v>
      </c>
      <c r="E853" s="79">
        <v>8.1559607000000006E-2</v>
      </c>
      <c r="F853" s="79">
        <v>0.88131630100000002</v>
      </c>
      <c r="G853" s="79">
        <v>0.99157126274999996</v>
      </c>
      <c r="H853" s="80">
        <v>1</v>
      </c>
      <c r="I853" s="79">
        <v>1.0407263394051911</v>
      </c>
      <c r="J853" s="79">
        <v>8.1315473645007297E-2</v>
      </c>
      <c r="K853" s="79">
        <v>0.62348755107974296</v>
      </c>
      <c r="L853" s="79">
        <v>0.91965825061269202</v>
      </c>
      <c r="M853" s="80">
        <v>1</v>
      </c>
      <c r="N853" s="79">
        <v>1.1882282152277719</v>
      </c>
      <c r="O853" s="79">
        <v>8.0395827103659501E-2</v>
      </c>
      <c r="P853" s="79">
        <v>3.19386743044517E-2</v>
      </c>
      <c r="Q853" s="79">
        <v>6.0673918701121599E-2</v>
      </c>
      <c r="R853" s="80">
        <v>1</v>
      </c>
      <c r="S853" s="79">
        <v>1.1735495997390764</v>
      </c>
      <c r="T853" s="79">
        <v>8.0782455134890005E-2</v>
      </c>
      <c r="U853" s="79">
        <v>4.7587166967078903E-2</v>
      </c>
      <c r="V853" s="79">
        <v>8.9656478981278598E-2</v>
      </c>
      <c r="W853" s="79">
        <v>1</v>
      </c>
    </row>
    <row r="854" spans="1:23" x14ac:dyDescent="0.2">
      <c r="A854" s="69"/>
      <c r="B854" s="84" t="s">
        <v>2480</v>
      </c>
      <c r="C854" s="78">
        <v>5556</v>
      </c>
      <c r="D854" s="79">
        <v>0.96750177156978057</v>
      </c>
      <c r="E854" s="79">
        <v>4.0874230999999997E-2</v>
      </c>
      <c r="F854" s="79">
        <v>0.418926613</v>
      </c>
      <c r="G854" s="79">
        <v>0.89158896436589397</v>
      </c>
      <c r="H854" s="80">
        <v>1</v>
      </c>
      <c r="I854" s="79">
        <v>1.062726473103754</v>
      </c>
      <c r="J854" s="79">
        <v>4.0621989239994098E-2</v>
      </c>
      <c r="K854" s="79">
        <v>0.134222749337405</v>
      </c>
      <c r="L854" s="79">
        <v>0.65283885689403798</v>
      </c>
      <c r="M854" s="80">
        <v>1</v>
      </c>
      <c r="N854" s="79">
        <v>1.1684584563946976</v>
      </c>
      <c r="O854" s="79">
        <v>4.0356061291522798E-2</v>
      </c>
      <c r="P854" s="79">
        <v>1.14415590407703E-4</v>
      </c>
      <c r="Q854" s="79">
        <v>6.5996992830625104E-4</v>
      </c>
      <c r="R854" s="80">
        <v>0.14519338422737499</v>
      </c>
      <c r="S854" s="81">
        <v>1.197243533508574</v>
      </c>
      <c r="T854" s="81">
        <v>4.0635276562319897E-2</v>
      </c>
      <c r="U854" s="81">
        <v>9.4151569208451996E-6</v>
      </c>
      <c r="V854" s="81">
        <v>1.4750412509324101E-4</v>
      </c>
      <c r="W854" s="81">
        <v>1.19478341325526E-2</v>
      </c>
    </row>
    <row r="855" spans="1:23" x14ac:dyDescent="0.2">
      <c r="A855" s="69"/>
      <c r="B855" s="84" t="s">
        <v>2481</v>
      </c>
      <c r="C855" s="78">
        <v>5556</v>
      </c>
      <c r="D855" s="79">
        <v>1.081747843941498</v>
      </c>
      <c r="E855" s="79">
        <v>7.7277413000000003E-2</v>
      </c>
      <c r="F855" s="79">
        <v>0.30923359500000003</v>
      </c>
      <c r="G855" s="79">
        <v>0.85008618545806502</v>
      </c>
      <c r="H855" s="80">
        <v>1</v>
      </c>
      <c r="I855" s="79">
        <v>1.0229245673555825</v>
      </c>
      <c r="J855" s="79">
        <v>7.6943564182729907E-2</v>
      </c>
      <c r="K855" s="79">
        <v>0.76831759780929698</v>
      </c>
      <c r="L855" s="79">
        <v>0.95389133514851498</v>
      </c>
      <c r="M855" s="80">
        <v>1</v>
      </c>
      <c r="N855" s="79">
        <v>1.0831591671812371</v>
      </c>
      <c r="O855" s="79">
        <v>7.6287277509977797E-2</v>
      </c>
      <c r="P855" s="79">
        <v>0.29504428469863098</v>
      </c>
      <c r="Q855" s="79">
        <v>0.37705055114054697</v>
      </c>
      <c r="R855" s="80">
        <v>1</v>
      </c>
      <c r="S855" s="79">
        <v>1.2410004219501696</v>
      </c>
      <c r="T855" s="79">
        <v>7.6783387134111605E-2</v>
      </c>
      <c r="U855" s="79">
        <v>4.9228599691586803E-3</v>
      </c>
      <c r="V855" s="79">
        <v>1.5162886652578599E-2</v>
      </c>
      <c r="W855" s="79">
        <v>1</v>
      </c>
    </row>
    <row r="856" spans="1:23" x14ac:dyDescent="0.2">
      <c r="A856" s="69"/>
      <c r="B856" s="84" t="s">
        <v>317</v>
      </c>
      <c r="C856" s="78">
        <v>5405</v>
      </c>
      <c r="D856" s="79">
        <v>-2.5799120000000002E-3</v>
      </c>
      <c r="E856" s="79">
        <v>1.3648507000000001E-2</v>
      </c>
      <c r="F856" s="79">
        <v>0.85008022800000005</v>
      </c>
      <c r="G856" s="79">
        <v>0.98552821438803295</v>
      </c>
      <c r="H856" s="80">
        <v>1</v>
      </c>
      <c r="I856" s="79">
        <v>2.9368673458287499E-3</v>
      </c>
      <c r="J856" s="79">
        <v>1.3611721811498501E-2</v>
      </c>
      <c r="K856" s="79">
        <v>0.82918289314083304</v>
      </c>
      <c r="L856" s="79">
        <v>0.96535145999607097</v>
      </c>
      <c r="M856" s="80">
        <v>1</v>
      </c>
      <c r="N856" s="81">
        <v>6.6264335813513195E-2</v>
      </c>
      <c r="O856" s="81">
        <v>1.3522482579014301E-2</v>
      </c>
      <c r="P856" s="81">
        <v>9.85029927168677E-7</v>
      </c>
      <c r="Q856" s="81">
        <v>1.1363663432518601E-5</v>
      </c>
      <c r="R856" s="82">
        <v>1.25000297757705E-3</v>
      </c>
      <c r="S856" s="79">
        <v>4.4110571251206099E-2</v>
      </c>
      <c r="T856" s="79">
        <v>1.34522606605228E-2</v>
      </c>
      <c r="U856" s="79">
        <v>1.0482398753659499E-3</v>
      </c>
      <c r="V856" s="79">
        <v>4.6480727404678698E-3</v>
      </c>
      <c r="W856" s="79">
        <v>1</v>
      </c>
    </row>
    <row r="857" spans="1:23" x14ac:dyDescent="0.2">
      <c r="A857" s="69"/>
      <c r="B857" s="84" t="s">
        <v>316</v>
      </c>
      <c r="C857" s="78">
        <v>5479</v>
      </c>
      <c r="D857" s="79">
        <v>-1.4387687E-2</v>
      </c>
      <c r="E857" s="79">
        <v>1.3924542999999999E-2</v>
      </c>
      <c r="F857" s="79">
        <v>0.30152881300000001</v>
      </c>
      <c r="G857" s="79">
        <v>0.84461457437444898</v>
      </c>
      <c r="H857" s="80">
        <v>1</v>
      </c>
      <c r="I857" s="79">
        <v>1.5557526012625099E-2</v>
      </c>
      <c r="J857" s="79">
        <v>1.38539182701769E-2</v>
      </c>
      <c r="K857" s="79">
        <v>0.26150180671686701</v>
      </c>
      <c r="L857" s="79">
        <v>0.75316534960692805</v>
      </c>
      <c r="M857" s="80">
        <v>1</v>
      </c>
      <c r="N857" s="81">
        <v>8.7083234851423399E-2</v>
      </c>
      <c r="O857" s="81">
        <v>1.37451806444656E-2</v>
      </c>
      <c r="P857" s="81">
        <v>2.56116779448893E-10</v>
      </c>
      <c r="Q857" s="81">
        <v>6.9151530451201102E-9</v>
      </c>
      <c r="R857" s="82">
        <v>3.25012193120645E-7</v>
      </c>
      <c r="S857" s="81">
        <v>6.3085521077253098E-2</v>
      </c>
      <c r="T857" s="81">
        <v>1.37245198098247E-2</v>
      </c>
      <c r="U857" s="81">
        <v>4.3949239993820199E-6</v>
      </c>
      <c r="V857" s="81">
        <v>8.4502402351754302E-5</v>
      </c>
      <c r="W857" s="81">
        <v>5.5771585552157801E-3</v>
      </c>
    </row>
    <row r="858" spans="1:23" x14ac:dyDescent="0.2">
      <c r="A858" s="69"/>
      <c r="B858" s="84" t="s">
        <v>2482</v>
      </c>
      <c r="C858" s="78">
        <v>5556</v>
      </c>
      <c r="D858" s="79">
        <v>0.96857446708453776</v>
      </c>
      <c r="E858" s="79">
        <v>0.10109283500000001</v>
      </c>
      <c r="F858" s="79">
        <v>0.75211833299999997</v>
      </c>
      <c r="G858" s="79">
        <v>0.98545101377932998</v>
      </c>
      <c r="H858" s="80">
        <v>1</v>
      </c>
      <c r="I858" s="79">
        <v>0.85955386344744056</v>
      </c>
      <c r="J858" s="79">
        <v>9.9839557953521493E-2</v>
      </c>
      <c r="K858" s="79">
        <v>0.12955730130099499</v>
      </c>
      <c r="L858" s="79">
        <v>0.65241355298001003</v>
      </c>
      <c r="M858" s="80">
        <v>1</v>
      </c>
      <c r="N858" s="79">
        <v>1.1996791893350585</v>
      </c>
      <c r="O858" s="79">
        <v>0.100111398060816</v>
      </c>
      <c r="P858" s="79">
        <v>6.8985304006107903E-2</v>
      </c>
      <c r="Q858" s="79">
        <v>0.115643792316712</v>
      </c>
      <c r="R858" s="80">
        <v>1</v>
      </c>
      <c r="S858" s="79">
        <v>1.4004649296291707</v>
      </c>
      <c r="T858" s="79">
        <v>0.100705954978342</v>
      </c>
      <c r="U858" s="79">
        <v>8.2451075036320395E-4</v>
      </c>
      <c r="V858" s="79">
        <v>3.8452584527832001E-3</v>
      </c>
      <c r="W858" s="79">
        <v>1</v>
      </c>
    </row>
    <row r="859" spans="1:23" x14ac:dyDescent="0.2">
      <c r="A859" s="69"/>
      <c r="B859" s="84" t="s">
        <v>2483</v>
      </c>
      <c r="C859" s="78">
        <v>5556</v>
      </c>
      <c r="D859" s="79">
        <v>0.90995773737024999</v>
      </c>
      <c r="E859" s="79">
        <v>8.1994786E-2</v>
      </c>
      <c r="F859" s="79">
        <v>0.24982695699999999</v>
      </c>
      <c r="G859" s="79">
        <v>0.78667595144665003</v>
      </c>
      <c r="H859" s="80">
        <v>1</v>
      </c>
      <c r="I859" s="79">
        <v>1.0195455733855674</v>
      </c>
      <c r="J859" s="79">
        <v>8.1513006357091994E-2</v>
      </c>
      <c r="K859" s="79">
        <v>0.81229106614044899</v>
      </c>
      <c r="L859" s="79">
        <v>0.96211732726388599</v>
      </c>
      <c r="M859" s="80">
        <v>1</v>
      </c>
      <c r="N859" s="79">
        <v>1.1524020743244894</v>
      </c>
      <c r="O859" s="79">
        <v>8.0722822358141294E-2</v>
      </c>
      <c r="P859" s="79">
        <v>7.8878700053431505E-2</v>
      </c>
      <c r="Q859" s="79">
        <v>0.12915751015200599</v>
      </c>
      <c r="R859" s="80">
        <v>1</v>
      </c>
      <c r="S859" s="79">
        <v>1.0751507058293934</v>
      </c>
      <c r="T859" s="79">
        <v>8.0557919633214695E-2</v>
      </c>
      <c r="U859" s="79">
        <v>0.368393041145751</v>
      </c>
      <c r="V859" s="79">
        <v>0.46012870985625798</v>
      </c>
      <c r="W859" s="79">
        <v>1</v>
      </c>
    </row>
    <row r="860" spans="1:23" x14ac:dyDescent="0.2">
      <c r="A860" s="69"/>
      <c r="B860" s="84" t="s">
        <v>2484</v>
      </c>
      <c r="C860" s="78">
        <v>5551</v>
      </c>
      <c r="D860" s="79">
        <v>0.92526938485292287</v>
      </c>
      <c r="E860" s="79">
        <v>6.3827322000000006E-2</v>
      </c>
      <c r="F860" s="79">
        <v>0.22364889399999999</v>
      </c>
      <c r="G860" s="79">
        <v>0.74490930836220504</v>
      </c>
      <c r="H860" s="80">
        <v>1</v>
      </c>
      <c r="I860" s="79">
        <v>0.9652125385917748</v>
      </c>
      <c r="J860" s="79">
        <v>6.33048759197814E-2</v>
      </c>
      <c r="K860" s="79">
        <v>0.57595120119349497</v>
      </c>
      <c r="L860" s="79">
        <v>0.911324282187712</v>
      </c>
      <c r="M860" s="80">
        <v>1</v>
      </c>
      <c r="N860" s="79">
        <v>1.183128905682052</v>
      </c>
      <c r="O860" s="79">
        <v>6.2979102005823295E-2</v>
      </c>
      <c r="P860" s="79">
        <v>7.5821330888751898E-3</v>
      </c>
      <c r="Q860" s="79">
        <v>1.87924353316067E-2</v>
      </c>
      <c r="R860" s="80">
        <v>1</v>
      </c>
      <c r="S860" s="79">
        <v>1.1714699999940201</v>
      </c>
      <c r="T860" s="79">
        <v>6.2873904585251605E-2</v>
      </c>
      <c r="U860" s="79">
        <v>1.1832809701521001E-2</v>
      </c>
      <c r="V860" s="79">
        <v>2.9335029214654099E-2</v>
      </c>
      <c r="W860" s="79">
        <v>1</v>
      </c>
    </row>
    <row r="861" spans="1:23" x14ac:dyDescent="0.2">
      <c r="A861" s="69"/>
      <c r="B861" s="84" t="s">
        <v>2485</v>
      </c>
      <c r="C861" s="78">
        <v>5552</v>
      </c>
      <c r="D861" s="79">
        <v>0.90150800205491111</v>
      </c>
      <c r="E861" s="79">
        <v>4.5980025000000001E-2</v>
      </c>
      <c r="F861" s="79">
        <v>2.4131414E-2</v>
      </c>
      <c r="G861" s="79">
        <v>0.37436086021348303</v>
      </c>
      <c r="H861" s="80">
        <v>1</v>
      </c>
      <c r="I861" s="79">
        <v>1.0226557495766486</v>
      </c>
      <c r="J861" s="79">
        <v>4.5716633455290603E-2</v>
      </c>
      <c r="K861" s="79">
        <v>0.62410651351398005</v>
      </c>
      <c r="L861" s="79">
        <v>0.91965825061269202</v>
      </c>
      <c r="M861" s="80">
        <v>1</v>
      </c>
      <c r="N861" s="79">
        <v>1.1327201893335768</v>
      </c>
      <c r="O861" s="79">
        <v>4.5575578795699102E-2</v>
      </c>
      <c r="P861" s="79">
        <v>6.2493556327621897E-3</v>
      </c>
      <c r="Q861" s="79">
        <v>1.6118764833282999E-2</v>
      </c>
      <c r="R861" s="80">
        <v>1</v>
      </c>
      <c r="S861" s="79">
        <v>1.0976343968144491</v>
      </c>
      <c r="T861" s="79">
        <v>4.5773646059258197E-2</v>
      </c>
      <c r="U861" s="79">
        <v>4.1833409155414399E-2</v>
      </c>
      <c r="V861" s="79">
        <v>8.1296472003400996E-2</v>
      </c>
      <c r="W861" s="79">
        <v>1</v>
      </c>
    </row>
    <row r="862" spans="1:23" x14ac:dyDescent="0.2">
      <c r="A862" s="69"/>
      <c r="B862" s="84" t="s">
        <v>2486</v>
      </c>
      <c r="C862" s="78">
        <v>5554</v>
      </c>
      <c r="D862" s="79">
        <v>1.0533736020560307</v>
      </c>
      <c r="E862" s="79">
        <v>6.6554198999999994E-2</v>
      </c>
      <c r="F862" s="79">
        <v>0.43463338200000001</v>
      </c>
      <c r="G862" s="79">
        <v>0.898245103558442</v>
      </c>
      <c r="H862" s="80">
        <v>1</v>
      </c>
      <c r="I862" s="79">
        <v>0.9937104069468834</v>
      </c>
      <c r="J862" s="79">
        <v>6.6019784742089499E-2</v>
      </c>
      <c r="K862" s="79">
        <v>0.92386275376783999</v>
      </c>
      <c r="L862" s="79">
        <v>0.981200184300273</v>
      </c>
      <c r="M862" s="80">
        <v>1</v>
      </c>
      <c r="N862" s="79">
        <v>1.1598161687428727</v>
      </c>
      <c r="O862" s="79">
        <v>6.5432544158090494E-2</v>
      </c>
      <c r="P862" s="79">
        <v>2.3459457628813098E-2</v>
      </c>
      <c r="Q862" s="79">
        <v>4.72540503666092E-2</v>
      </c>
      <c r="R862" s="80">
        <v>1</v>
      </c>
      <c r="S862" s="79">
        <v>1.1856901092513461</v>
      </c>
      <c r="T862" s="79">
        <v>6.6021853109462195E-2</v>
      </c>
      <c r="U862" s="79">
        <v>9.8849750304847907E-3</v>
      </c>
      <c r="V862" s="79">
        <v>2.5909469748836199E-2</v>
      </c>
      <c r="W862" s="79">
        <v>1</v>
      </c>
    </row>
    <row r="863" spans="1:23" x14ac:dyDescent="0.2">
      <c r="A863" s="69"/>
      <c r="B863" s="84" t="s">
        <v>312</v>
      </c>
      <c r="C863" s="78">
        <v>4057</v>
      </c>
      <c r="D863" s="79">
        <v>-2.1669266999999999E-2</v>
      </c>
      <c r="E863" s="79">
        <v>1.626882E-2</v>
      </c>
      <c r="F863" s="79">
        <v>0.18295623499999999</v>
      </c>
      <c r="G863" s="79">
        <v>0.716578587083333</v>
      </c>
      <c r="H863" s="80">
        <v>1</v>
      </c>
      <c r="I863" s="79">
        <v>-1.45877079634767E-2</v>
      </c>
      <c r="J863" s="79">
        <v>1.6127642602618501E-2</v>
      </c>
      <c r="K863" s="79">
        <v>0.36577917802819698</v>
      </c>
      <c r="L863" s="79">
        <v>0.81642974499659005</v>
      </c>
      <c r="M863" s="80">
        <v>1</v>
      </c>
      <c r="N863" s="79">
        <v>-4.6943627503515301E-2</v>
      </c>
      <c r="O863" s="79">
        <v>1.59438926300965E-2</v>
      </c>
      <c r="P863" s="79">
        <v>3.2564687770218399E-3</v>
      </c>
      <c r="Q863" s="79">
        <v>9.4999054667602601E-3</v>
      </c>
      <c r="R863" s="80">
        <v>1</v>
      </c>
      <c r="S863" s="79">
        <v>-3.67061022124721E-2</v>
      </c>
      <c r="T863" s="79">
        <v>1.57517264892485E-2</v>
      </c>
      <c r="U863" s="79">
        <v>1.9842656215509E-2</v>
      </c>
      <c r="V863" s="79">
        <v>4.3663224216777097E-2</v>
      </c>
      <c r="W863" s="79">
        <v>1</v>
      </c>
    </row>
    <row r="864" spans="1:23" x14ac:dyDescent="0.2">
      <c r="A864" s="69"/>
      <c r="B864" s="84" t="s">
        <v>2487</v>
      </c>
      <c r="C864" s="78">
        <v>5531</v>
      </c>
      <c r="D864" s="79">
        <v>1.0182021662369587</v>
      </c>
      <c r="E864" s="79">
        <v>9.9744326999999994E-2</v>
      </c>
      <c r="F864" s="79">
        <v>0.85648745500000001</v>
      </c>
      <c r="G864" s="79">
        <v>0.98552821438803295</v>
      </c>
      <c r="H864" s="80">
        <v>1</v>
      </c>
      <c r="I864" s="79">
        <v>1.0436055184232782</v>
      </c>
      <c r="J864" s="79">
        <v>9.9185710136809005E-2</v>
      </c>
      <c r="K864" s="79">
        <v>0.66696311990895096</v>
      </c>
      <c r="L864" s="79">
        <v>0.92967939975467695</v>
      </c>
      <c r="M864" s="80">
        <v>1</v>
      </c>
      <c r="N864" s="81">
        <v>1.5544142331347151</v>
      </c>
      <c r="O864" s="81">
        <v>9.8310166174560398E-2</v>
      </c>
      <c r="P864" s="81">
        <v>7.2298394502786903E-6</v>
      </c>
      <c r="Q864" s="81">
        <v>6.4610325791575093E-5</v>
      </c>
      <c r="R864" s="82">
        <v>9.1746662624036593E-3</v>
      </c>
      <c r="S864" s="79">
        <v>1.1606234601898651</v>
      </c>
      <c r="T864" s="79">
        <v>9.8470447088372395E-2</v>
      </c>
      <c r="U864" s="79">
        <v>0.13035308956174399</v>
      </c>
      <c r="V864" s="79">
        <v>0.201975666244021</v>
      </c>
      <c r="W864" s="79">
        <v>1</v>
      </c>
    </row>
    <row r="865" spans="1:23" x14ac:dyDescent="0.2">
      <c r="A865" s="69"/>
      <c r="B865" s="84" t="s">
        <v>2608</v>
      </c>
      <c r="C865" s="78">
        <v>5509</v>
      </c>
      <c r="D865" s="79">
        <v>1.0683771265982325</v>
      </c>
      <c r="E865" s="79">
        <v>6.8067122999999993E-2</v>
      </c>
      <c r="F865" s="79">
        <v>0.331200037</v>
      </c>
      <c r="G865" s="79">
        <v>0.85579729232661295</v>
      </c>
      <c r="H865" s="80">
        <v>1</v>
      </c>
      <c r="I865" s="79">
        <v>1.2486191134097853</v>
      </c>
      <c r="J865" s="79">
        <v>6.8313046936199495E-2</v>
      </c>
      <c r="K865" s="79">
        <v>1.1528133716532799E-3</v>
      </c>
      <c r="L865" s="79">
        <v>0.18043336354349901</v>
      </c>
      <c r="M865" s="80">
        <v>1</v>
      </c>
      <c r="N865" s="79">
        <v>1.2290265164403604</v>
      </c>
      <c r="O865" s="79">
        <v>6.7136596594575298E-2</v>
      </c>
      <c r="P865" s="79">
        <v>2.1285496916696998E-3</v>
      </c>
      <c r="Q865" s="79">
        <v>6.6042287499482903E-3</v>
      </c>
      <c r="R865" s="80">
        <v>1</v>
      </c>
      <c r="S865" s="79">
        <v>1.2759029240641737</v>
      </c>
      <c r="T865" s="79">
        <v>6.7590810502537998E-2</v>
      </c>
      <c r="U865" s="79">
        <v>3.1234447187072499E-4</v>
      </c>
      <c r="V865" s="79">
        <v>1.8608691774833299E-3</v>
      </c>
      <c r="W865" s="79">
        <v>0.39636513480395003</v>
      </c>
    </row>
    <row r="866" spans="1:23" x14ac:dyDescent="0.2">
      <c r="A866" s="69"/>
      <c r="B866" s="84" t="s">
        <v>2488</v>
      </c>
      <c r="C866" s="78">
        <v>5531</v>
      </c>
      <c r="D866" s="79">
        <v>0.99827863824552399</v>
      </c>
      <c r="E866" s="79">
        <v>6.4463935999999999E-2</v>
      </c>
      <c r="F866" s="79">
        <v>0.97867850499999998</v>
      </c>
      <c r="G866" s="79">
        <v>0.992299742561502</v>
      </c>
      <c r="H866" s="80">
        <v>1</v>
      </c>
      <c r="I866" s="79">
        <v>0.99069514968926498</v>
      </c>
      <c r="J866" s="79">
        <v>6.3888274273509807E-2</v>
      </c>
      <c r="K866" s="79">
        <v>0.88366533616548704</v>
      </c>
      <c r="L866" s="79">
        <v>0.97573578102632397</v>
      </c>
      <c r="M866" s="80">
        <v>1</v>
      </c>
      <c r="N866" s="79">
        <v>1.2202562271801507</v>
      </c>
      <c r="O866" s="79">
        <v>6.3522928492016503E-2</v>
      </c>
      <c r="P866" s="79">
        <v>1.72625961671944E-3</v>
      </c>
      <c r="Q866" s="79">
        <v>5.53187740812366E-3</v>
      </c>
      <c r="R866" s="80">
        <v>1</v>
      </c>
      <c r="S866" s="79">
        <v>1.1205965935424442</v>
      </c>
      <c r="T866" s="79">
        <v>6.3769874679490496E-2</v>
      </c>
      <c r="U866" s="79">
        <v>7.4179984368683199E-2</v>
      </c>
      <c r="V866" s="79">
        <v>0.12755338775590599</v>
      </c>
      <c r="W866" s="79">
        <v>1</v>
      </c>
    </row>
    <row r="867" spans="1:23" x14ac:dyDescent="0.2">
      <c r="A867" s="69"/>
      <c r="B867" s="84" t="s">
        <v>2489</v>
      </c>
      <c r="C867" s="78">
        <v>5531</v>
      </c>
      <c r="D867" s="79">
        <v>0.91839860625267888</v>
      </c>
      <c r="E867" s="79">
        <v>9.0450213000000002E-2</v>
      </c>
      <c r="F867" s="79">
        <v>0.34664752199999999</v>
      </c>
      <c r="G867" s="79">
        <v>0.86935910161660102</v>
      </c>
      <c r="H867" s="80">
        <v>1</v>
      </c>
      <c r="I867" s="79">
        <v>1.0520381184953433</v>
      </c>
      <c r="J867" s="79">
        <v>9.0113593695586303E-2</v>
      </c>
      <c r="K867" s="79">
        <v>0.57346968425198097</v>
      </c>
      <c r="L867" s="79">
        <v>0.911324282187712</v>
      </c>
      <c r="M867" s="80">
        <v>1</v>
      </c>
      <c r="N867" s="79">
        <v>1.2198195461834225</v>
      </c>
      <c r="O867" s="79">
        <v>8.93015458967273E-2</v>
      </c>
      <c r="P867" s="79">
        <v>2.6075980032120999E-2</v>
      </c>
      <c r="Q867" s="79">
        <v>5.1223558298392501E-2</v>
      </c>
      <c r="R867" s="80">
        <v>1</v>
      </c>
      <c r="S867" s="79">
        <v>1.1909554393635868</v>
      </c>
      <c r="T867" s="79">
        <v>9.0069303223000496E-2</v>
      </c>
      <c r="U867" s="79">
        <v>5.2350785211335502E-2</v>
      </c>
      <c r="V867" s="79">
        <v>9.6982695522897497E-2</v>
      </c>
      <c r="W867" s="79">
        <v>1</v>
      </c>
    </row>
    <row r="868" spans="1:23" x14ac:dyDescent="0.2">
      <c r="A868" s="69"/>
      <c r="B868" s="84" t="s">
        <v>2609</v>
      </c>
      <c r="C868" s="78">
        <v>5509</v>
      </c>
      <c r="D868" s="79">
        <v>1.071448346446469</v>
      </c>
      <c r="E868" s="79">
        <v>7.6429921999999997E-2</v>
      </c>
      <c r="F868" s="79">
        <v>0.36655986099999999</v>
      </c>
      <c r="G868" s="79">
        <v>0.880152082540541</v>
      </c>
      <c r="H868" s="80">
        <v>1</v>
      </c>
      <c r="I868" s="79">
        <v>1.119174340076645</v>
      </c>
      <c r="J868" s="79">
        <v>7.6115347905178807E-2</v>
      </c>
      <c r="K868" s="79">
        <v>0.139081974672741</v>
      </c>
      <c r="L868" s="79">
        <v>0.65586150762509099</v>
      </c>
      <c r="M868" s="80">
        <v>1</v>
      </c>
      <c r="N868" s="79">
        <v>1.2389920289533478</v>
      </c>
      <c r="O868" s="79">
        <v>7.5035314620041205E-2</v>
      </c>
      <c r="P868" s="79">
        <v>4.2906356658175696E-3</v>
      </c>
      <c r="Q868" s="79">
        <v>1.18882459823635E-2</v>
      </c>
      <c r="R868" s="80">
        <v>1</v>
      </c>
      <c r="S868" s="79">
        <v>1.3324688551640065</v>
      </c>
      <c r="T868" s="79">
        <v>7.53690417542347E-2</v>
      </c>
      <c r="U868" s="79">
        <v>1.3988355921151099E-4</v>
      </c>
      <c r="V868" s="79">
        <v>1.0294470033920099E-3</v>
      </c>
      <c r="W868" s="79">
        <v>0.17751223663940699</v>
      </c>
    </row>
    <row r="869" spans="1:23" x14ac:dyDescent="0.2">
      <c r="A869" s="69"/>
      <c r="B869" s="84" t="s">
        <v>2490</v>
      </c>
      <c r="C869" s="78">
        <v>5531</v>
      </c>
      <c r="D869" s="79">
        <v>1.1201441977379436</v>
      </c>
      <c r="E869" s="79">
        <v>6.4144821000000005E-2</v>
      </c>
      <c r="F869" s="79">
        <v>7.6932293999999998E-2</v>
      </c>
      <c r="G869" s="79">
        <v>0.56615521903448296</v>
      </c>
      <c r="H869" s="80">
        <v>1</v>
      </c>
      <c r="I869" s="79">
        <v>1.1153552604328891</v>
      </c>
      <c r="J869" s="79">
        <v>6.3627906242117796E-2</v>
      </c>
      <c r="K869" s="79">
        <v>8.6198044569002194E-2</v>
      </c>
      <c r="L869" s="79">
        <v>0.59811020064394504</v>
      </c>
      <c r="M869" s="80">
        <v>1</v>
      </c>
      <c r="N869" s="79">
        <v>1.2401818313495416</v>
      </c>
      <c r="O869" s="79">
        <v>6.3097326604858298E-2</v>
      </c>
      <c r="P869" s="79">
        <v>6.4600953011875002E-4</v>
      </c>
      <c r="Q869" s="79">
        <v>2.5698623627608001E-3</v>
      </c>
      <c r="R869" s="80">
        <v>0.819786093720694</v>
      </c>
      <c r="S869" s="79">
        <v>1.2233794987063416</v>
      </c>
      <c r="T869" s="79">
        <v>6.3561448552021796E-2</v>
      </c>
      <c r="U869" s="79">
        <v>1.5139140571178E-3</v>
      </c>
      <c r="V869" s="79">
        <v>6.2782906486355799E-3</v>
      </c>
      <c r="W869" s="79">
        <v>1</v>
      </c>
    </row>
    <row r="870" spans="1:23" x14ac:dyDescent="0.2">
      <c r="A870" s="69"/>
      <c r="B870" s="84" t="s">
        <v>2610</v>
      </c>
      <c r="C870" s="78">
        <v>5509</v>
      </c>
      <c r="D870" s="79">
        <v>0.99169759393051904</v>
      </c>
      <c r="E870" s="79">
        <v>6.0605476999999998E-2</v>
      </c>
      <c r="F870" s="79">
        <v>0.89058590900000001</v>
      </c>
      <c r="G870" s="79">
        <v>0.991673151733656</v>
      </c>
      <c r="H870" s="80">
        <v>1</v>
      </c>
      <c r="I870" s="79">
        <v>1.0948477064550095</v>
      </c>
      <c r="J870" s="79">
        <v>6.0397794645384001E-2</v>
      </c>
      <c r="K870" s="79">
        <v>0.13353473139154001</v>
      </c>
      <c r="L870" s="79">
        <v>0.65283885689403798</v>
      </c>
      <c r="M870" s="80">
        <v>1</v>
      </c>
      <c r="N870" s="79">
        <v>1.2695642913195908</v>
      </c>
      <c r="O870" s="79">
        <v>6.01181827859587E-2</v>
      </c>
      <c r="P870" s="79">
        <v>7.1849663360289994E-5</v>
      </c>
      <c r="Q870" s="79">
        <v>4.4694717060886298E-4</v>
      </c>
      <c r="R870" s="80">
        <v>9.1177222804207994E-2</v>
      </c>
      <c r="S870" s="79">
        <v>1.1734132014531071</v>
      </c>
      <c r="T870" s="79">
        <v>5.9747123692801003E-2</v>
      </c>
      <c r="U870" s="79">
        <v>7.4382221514705301E-3</v>
      </c>
      <c r="V870" s="79">
        <v>2.07909777758064E-2</v>
      </c>
      <c r="W870" s="79">
        <v>1</v>
      </c>
    </row>
    <row r="871" spans="1:23" x14ac:dyDescent="0.2">
      <c r="A871" s="69"/>
      <c r="B871" s="84" t="s">
        <v>2491</v>
      </c>
      <c r="C871" s="78">
        <v>5531</v>
      </c>
      <c r="D871" s="79">
        <v>1.0558641867703098</v>
      </c>
      <c r="E871" s="79">
        <v>6.1058589000000003E-2</v>
      </c>
      <c r="F871" s="79">
        <v>0.37331269500000003</v>
      </c>
      <c r="G871" s="79">
        <v>0.880152082540541</v>
      </c>
      <c r="H871" s="80">
        <v>1</v>
      </c>
      <c r="I871" s="79">
        <v>1.0849253147720153</v>
      </c>
      <c r="J871" s="79">
        <v>6.0735617507878703E-2</v>
      </c>
      <c r="K871" s="79">
        <v>0.17957490073031501</v>
      </c>
      <c r="L871" s="79">
        <v>0.69688241292590103</v>
      </c>
      <c r="M871" s="80">
        <v>1</v>
      </c>
      <c r="N871" s="79">
        <v>1.1932375040668963</v>
      </c>
      <c r="O871" s="79">
        <v>6.0149767829815202E-2</v>
      </c>
      <c r="P871" s="79">
        <v>3.3122050628866398E-3</v>
      </c>
      <c r="Q871" s="79">
        <v>9.6182796906250506E-3</v>
      </c>
      <c r="R871" s="80">
        <v>1</v>
      </c>
      <c r="S871" s="79">
        <v>1.229593193596265</v>
      </c>
      <c r="T871" s="79">
        <v>6.0696114701919199E-2</v>
      </c>
      <c r="U871" s="79">
        <v>6.6111751706047096E-4</v>
      </c>
      <c r="V871" s="79">
        <v>3.3091145416112699E-3</v>
      </c>
      <c r="W871" s="79">
        <v>0.838958129149738</v>
      </c>
    </row>
    <row r="872" spans="1:23" x14ac:dyDescent="0.2">
      <c r="A872" s="69"/>
      <c r="B872" s="84" t="s">
        <v>2611</v>
      </c>
      <c r="C872" s="78">
        <v>5509</v>
      </c>
      <c r="D872" s="79">
        <v>0.97936689557990242</v>
      </c>
      <c r="E872" s="79">
        <v>7.1307033000000006E-2</v>
      </c>
      <c r="F872" s="79">
        <v>0.76999404999999999</v>
      </c>
      <c r="G872" s="79">
        <v>0.98545101377932998</v>
      </c>
      <c r="H872" s="80">
        <v>1</v>
      </c>
      <c r="I872" s="79">
        <v>1.0359875017237035</v>
      </c>
      <c r="J872" s="79">
        <v>7.0638090763988304E-2</v>
      </c>
      <c r="K872" s="79">
        <v>0.61671592709566903</v>
      </c>
      <c r="L872" s="79">
        <v>0.91965825061269202</v>
      </c>
      <c r="M872" s="80">
        <v>1</v>
      </c>
      <c r="N872" s="79">
        <v>1.2368484916842355</v>
      </c>
      <c r="O872" s="79">
        <v>7.0174716637043805E-2</v>
      </c>
      <c r="P872" s="79">
        <v>2.45279182090413E-3</v>
      </c>
      <c r="Q872" s="79">
        <v>7.4286224838361397E-3</v>
      </c>
      <c r="R872" s="80">
        <v>1</v>
      </c>
      <c r="S872" s="79">
        <v>1.16187196754634</v>
      </c>
      <c r="T872" s="79">
        <v>7.03329686829893E-2</v>
      </c>
      <c r="U872" s="79">
        <v>3.2910444192970699E-2</v>
      </c>
      <c r="V872" s="79">
        <v>6.5665650441634901E-2</v>
      </c>
      <c r="W872" s="79">
        <v>1</v>
      </c>
    </row>
    <row r="873" spans="1:23" x14ac:dyDescent="0.2">
      <c r="A873" s="69"/>
      <c r="B873" s="84" t="s">
        <v>2492</v>
      </c>
      <c r="C873" s="78">
        <v>5531</v>
      </c>
      <c r="D873" s="79">
        <v>1.0078999522470142</v>
      </c>
      <c r="E873" s="79">
        <v>7.5602172999999995E-2</v>
      </c>
      <c r="F873" s="79">
        <v>0.91710337799999997</v>
      </c>
      <c r="G873" s="79">
        <v>0.991673151733656</v>
      </c>
      <c r="H873" s="80">
        <v>1</v>
      </c>
      <c r="I873" s="79">
        <v>1.029699537599267</v>
      </c>
      <c r="J873" s="79">
        <v>7.4877821718110804E-2</v>
      </c>
      <c r="K873" s="79">
        <v>0.69589772858256105</v>
      </c>
      <c r="L873" s="79">
        <v>0.9363531347706</v>
      </c>
      <c r="M873" s="80">
        <v>1</v>
      </c>
      <c r="N873" s="79">
        <v>1.2896703351415055</v>
      </c>
      <c r="O873" s="79">
        <v>7.4138116259807901E-2</v>
      </c>
      <c r="P873" s="79">
        <v>6.0080005106550097E-4</v>
      </c>
      <c r="Q873" s="79">
        <v>2.4327287001716501E-3</v>
      </c>
      <c r="R873" s="80">
        <v>0.76241526480212096</v>
      </c>
      <c r="S873" s="79">
        <v>1.263972295081182</v>
      </c>
      <c r="T873" s="79">
        <v>7.5315921787803997E-2</v>
      </c>
      <c r="U873" s="79">
        <v>1.86861580743338E-3</v>
      </c>
      <c r="V873" s="79">
        <v>7.3564485558610601E-3</v>
      </c>
      <c r="W873" s="79">
        <v>1</v>
      </c>
    </row>
    <row r="874" spans="1:23" x14ac:dyDescent="0.2">
      <c r="A874" s="69"/>
      <c r="B874" s="84" t="s">
        <v>2612</v>
      </c>
      <c r="C874" s="78">
        <v>5509</v>
      </c>
      <c r="D874" s="79">
        <v>1.09674672613574</v>
      </c>
      <c r="E874" s="79">
        <v>9.3155162999999999E-2</v>
      </c>
      <c r="F874" s="79">
        <v>0.32152044699999999</v>
      </c>
      <c r="G874" s="79">
        <v>0.85438413256066903</v>
      </c>
      <c r="H874" s="80">
        <v>1</v>
      </c>
      <c r="I874" s="79">
        <v>1.1067274661459301</v>
      </c>
      <c r="J874" s="79">
        <v>9.2896501964131795E-2</v>
      </c>
      <c r="K874" s="79">
        <v>0.27500133279726102</v>
      </c>
      <c r="L874" s="79">
        <v>0.76529976166606195</v>
      </c>
      <c r="M874" s="80">
        <v>1</v>
      </c>
      <c r="N874" s="79">
        <v>1.1762748478235312</v>
      </c>
      <c r="O874" s="79">
        <v>9.1351508858436903E-2</v>
      </c>
      <c r="P874" s="79">
        <v>7.5530595863644606E-2</v>
      </c>
      <c r="Q874" s="79">
        <v>0.124316895137438</v>
      </c>
      <c r="R874" s="80">
        <v>1</v>
      </c>
      <c r="S874" s="79">
        <v>1.0330240815520011</v>
      </c>
      <c r="T874" s="79">
        <v>9.1858349336865305E-2</v>
      </c>
      <c r="U874" s="79">
        <v>0.72356205847510402</v>
      </c>
      <c r="V874" s="79">
        <v>0.77813580695331097</v>
      </c>
      <c r="W874" s="79">
        <v>1</v>
      </c>
    </row>
    <row r="875" spans="1:23" x14ac:dyDescent="0.2">
      <c r="A875" s="69"/>
      <c r="B875" s="84" t="s">
        <v>2493</v>
      </c>
      <c r="C875" s="78">
        <v>5531</v>
      </c>
      <c r="D875" s="79">
        <v>1.0317162296722231</v>
      </c>
      <c r="E875" s="79">
        <v>7.3722779000000002E-2</v>
      </c>
      <c r="F875" s="79">
        <v>0.67191010900000003</v>
      </c>
      <c r="G875" s="79">
        <v>0.98545101377932998</v>
      </c>
      <c r="H875" s="80">
        <v>1</v>
      </c>
      <c r="I875" s="79">
        <v>1.0087299077491785</v>
      </c>
      <c r="J875" s="79">
        <v>7.33033436081445E-2</v>
      </c>
      <c r="K875" s="79">
        <v>0.90561122459756005</v>
      </c>
      <c r="L875" s="79">
        <v>0.981200184300273</v>
      </c>
      <c r="M875" s="80">
        <v>1</v>
      </c>
      <c r="N875" s="79">
        <v>1.2507645679541435</v>
      </c>
      <c r="O875" s="79">
        <v>7.2692180287648206E-2</v>
      </c>
      <c r="P875" s="79">
        <v>2.08313276279585E-3</v>
      </c>
      <c r="Q875" s="79">
        <v>6.4950748795772296E-3</v>
      </c>
      <c r="R875" s="80">
        <v>1</v>
      </c>
      <c r="S875" s="79">
        <v>1.2536417180843866</v>
      </c>
      <c r="T875" s="79">
        <v>7.3770464932987903E-2</v>
      </c>
      <c r="U875" s="79">
        <v>2.18201215485759E-3</v>
      </c>
      <c r="V875" s="79">
        <v>8.2409923348639308E-3</v>
      </c>
      <c r="W875" s="79">
        <v>1</v>
      </c>
    </row>
    <row r="876" spans="1:23" x14ac:dyDescent="0.2">
      <c r="A876" s="69"/>
      <c r="B876" s="84" t="s">
        <v>2494</v>
      </c>
      <c r="C876" s="78">
        <v>5531</v>
      </c>
      <c r="D876" s="79">
        <v>0.8906086113372248</v>
      </c>
      <c r="E876" s="79">
        <v>9.7291243999999999E-2</v>
      </c>
      <c r="F876" s="79">
        <v>0.23374904299999999</v>
      </c>
      <c r="G876" s="79">
        <v>0.76253865184318803</v>
      </c>
      <c r="H876" s="80">
        <v>1</v>
      </c>
      <c r="I876" s="79">
        <v>1.0117161678585</v>
      </c>
      <c r="J876" s="79">
        <v>9.7262445344845197E-2</v>
      </c>
      <c r="K876" s="79">
        <v>0.90467396533502598</v>
      </c>
      <c r="L876" s="79">
        <v>0.981200184300273</v>
      </c>
      <c r="M876" s="80">
        <v>1</v>
      </c>
      <c r="N876" s="79">
        <v>1.217487248853901</v>
      </c>
      <c r="O876" s="79">
        <v>9.6315349056279698E-2</v>
      </c>
      <c r="P876" s="79">
        <v>4.10351285087742E-2</v>
      </c>
      <c r="Q876" s="79">
        <v>7.5033974175265805E-2</v>
      </c>
      <c r="R876" s="80">
        <v>1</v>
      </c>
      <c r="S876" s="79">
        <v>1.1054971306870689</v>
      </c>
      <c r="T876" s="79">
        <v>9.6721432625041598E-2</v>
      </c>
      <c r="U876" s="79">
        <v>0.29975994894326502</v>
      </c>
      <c r="V876" s="79">
        <v>0.39297042893492101</v>
      </c>
      <c r="W876" s="79">
        <v>1</v>
      </c>
    </row>
    <row r="877" spans="1:23" x14ac:dyDescent="0.2">
      <c r="A877" s="69"/>
      <c r="B877" s="84" t="s">
        <v>2613</v>
      </c>
      <c r="C877" s="78">
        <v>5509</v>
      </c>
      <c r="D877" s="79">
        <v>1.0027935386775693</v>
      </c>
      <c r="E877" s="79">
        <v>7.0040266000000004E-2</v>
      </c>
      <c r="F877" s="79">
        <v>0.96822934199999999</v>
      </c>
      <c r="G877" s="79">
        <v>0.991673151733656</v>
      </c>
      <c r="H877" s="80">
        <v>1</v>
      </c>
      <c r="I877" s="79">
        <v>1.0597666125163945</v>
      </c>
      <c r="J877" s="79">
        <v>6.9428383658271697E-2</v>
      </c>
      <c r="K877" s="79">
        <v>0.403101602187803</v>
      </c>
      <c r="L877" s="79">
        <v>0.83581181467964405</v>
      </c>
      <c r="M877" s="80">
        <v>1</v>
      </c>
      <c r="N877" s="79">
        <v>1.2263395742170364</v>
      </c>
      <c r="O877" s="79">
        <v>6.9233290249233498E-2</v>
      </c>
      <c r="P877" s="79">
        <v>3.20824194148323E-3</v>
      </c>
      <c r="Q877" s="79">
        <v>9.4242107031069899E-3</v>
      </c>
      <c r="R877" s="80">
        <v>1</v>
      </c>
      <c r="S877" s="79">
        <v>1.1440193033410611</v>
      </c>
      <c r="T877" s="79">
        <v>6.9063470631528803E-2</v>
      </c>
      <c r="U877" s="79">
        <v>5.1393958754174199E-2</v>
      </c>
      <c r="V877" s="79">
        <v>9.5910196557422098E-2</v>
      </c>
      <c r="W877" s="79">
        <v>1</v>
      </c>
    </row>
    <row r="878" spans="1:23" x14ac:dyDescent="0.2">
      <c r="A878" s="69"/>
      <c r="B878" s="84" t="s">
        <v>2495</v>
      </c>
      <c r="C878" s="78">
        <v>5531</v>
      </c>
      <c r="D878" s="79">
        <v>0.91319015605521403</v>
      </c>
      <c r="E878" s="79">
        <v>6.4479877000000005E-2</v>
      </c>
      <c r="F878" s="79">
        <v>0.15902328700000001</v>
      </c>
      <c r="G878" s="79">
        <v>0.68875530511224503</v>
      </c>
      <c r="H878" s="80">
        <v>1</v>
      </c>
      <c r="I878" s="79">
        <v>1.0289470129365534</v>
      </c>
      <c r="J878" s="79">
        <v>6.4020675485676401E-2</v>
      </c>
      <c r="K878" s="79">
        <v>0.65579199692602796</v>
      </c>
      <c r="L878" s="79">
        <v>0.92464388912011197</v>
      </c>
      <c r="M878" s="80">
        <v>1</v>
      </c>
      <c r="N878" s="79">
        <v>1.2714187372347157</v>
      </c>
      <c r="O878" s="79">
        <v>6.3815013669514697E-2</v>
      </c>
      <c r="P878" s="79">
        <v>1.67913550697669E-4</v>
      </c>
      <c r="Q878" s="79">
        <v>8.9155772316042701E-4</v>
      </c>
      <c r="R878" s="80">
        <v>0.21308229583534199</v>
      </c>
      <c r="S878" s="79">
        <v>1.2019113294613875</v>
      </c>
      <c r="T878" s="79">
        <v>6.4306167614766901E-2</v>
      </c>
      <c r="U878" s="79">
        <v>4.2369450611231298E-3</v>
      </c>
      <c r="V878" s="79">
        <v>1.34753966981585E-2</v>
      </c>
      <c r="W878" s="79">
        <v>1</v>
      </c>
    </row>
    <row r="879" spans="1:23" x14ac:dyDescent="0.2">
      <c r="A879" s="69"/>
      <c r="B879" s="84" t="s">
        <v>2496</v>
      </c>
      <c r="C879" s="78">
        <v>5531</v>
      </c>
      <c r="D879" s="79">
        <v>0.99546834507452819</v>
      </c>
      <c r="E879" s="79">
        <v>9.1045215999999998E-2</v>
      </c>
      <c r="F879" s="79">
        <v>0.96021260100000005</v>
      </c>
      <c r="G879" s="79">
        <v>0.991673151733656</v>
      </c>
      <c r="H879" s="80">
        <v>1</v>
      </c>
      <c r="I879" s="79">
        <v>1.0990624591028779</v>
      </c>
      <c r="J879" s="79">
        <v>9.0999362426084293E-2</v>
      </c>
      <c r="K879" s="79">
        <v>0.29926919416799802</v>
      </c>
      <c r="L879" s="79">
        <v>0.78301026406251295</v>
      </c>
      <c r="M879" s="80">
        <v>1</v>
      </c>
      <c r="N879" s="79">
        <v>1.3379016670916553</v>
      </c>
      <c r="O879" s="79">
        <v>8.9797101072687402E-2</v>
      </c>
      <c r="P879" s="79">
        <v>1.18785588047954E-3</v>
      </c>
      <c r="Q879" s="79">
        <v>4.0359436008394903E-3</v>
      </c>
      <c r="R879" s="80">
        <v>1</v>
      </c>
      <c r="S879" s="79">
        <v>1.263011832872728</v>
      </c>
      <c r="T879" s="79">
        <v>9.0177209836542094E-2</v>
      </c>
      <c r="U879" s="79">
        <v>9.6160854785786697E-3</v>
      </c>
      <c r="V879" s="79">
        <v>2.55833462053645E-2</v>
      </c>
      <c r="W879" s="79">
        <v>1</v>
      </c>
    </row>
    <row r="880" spans="1:23" x14ac:dyDescent="0.2">
      <c r="A880" s="69"/>
      <c r="B880" s="84" t="s">
        <v>2614</v>
      </c>
      <c r="C880" s="78">
        <v>5509</v>
      </c>
      <c r="D880" s="79">
        <v>1.1304185654032557</v>
      </c>
      <c r="E880" s="79">
        <v>8.4667600999999995E-2</v>
      </c>
      <c r="F880" s="79">
        <v>0.14765243</v>
      </c>
      <c r="G880" s="79">
        <v>0.67644481499999998</v>
      </c>
      <c r="H880" s="80">
        <v>1</v>
      </c>
      <c r="I880" s="79">
        <v>1.1652070916415513</v>
      </c>
      <c r="J880" s="79">
        <v>8.4340778137914296E-2</v>
      </c>
      <c r="K880" s="79">
        <v>6.9851936788675406E-2</v>
      </c>
      <c r="L880" s="79">
        <v>0.57459637698370203</v>
      </c>
      <c r="M880" s="80">
        <v>1</v>
      </c>
      <c r="N880" s="79">
        <v>1.2173601155309011</v>
      </c>
      <c r="O880" s="79">
        <v>8.3318806114346097E-2</v>
      </c>
      <c r="P880" s="79">
        <v>1.8244040058663299E-2</v>
      </c>
      <c r="Q880" s="79">
        <v>3.8457951552232097E-2</v>
      </c>
      <c r="R880" s="80">
        <v>1</v>
      </c>
      <c r="S880" s="79">
        <v>1.2356783427954467</v>
      </c>
      <c r="T880" s="79">
        <v>8.3499119187268406E-2</v>
      </c>
      <c r="U880" s="79">
        <v>1.1264039109838E-2</v>
      </c>
      <c r="V880" s="79">
        <v>2.8361241330127799E-2</v>
      </c>
      <c r="W880" s="79">
        <v>1</v>
      </c>
    </row>
    <row r="881" spans="1:23" x14ac:dyDescent="0.2">
      <c r="A881" s="69"/>
      <c r="B881" s="84" t="s">
        <v>2497</v>
      </c>
      <c r="C881" s="78">
        <v>5531</v>
      </c>
      <c r="D881" s="79">
        <v>1.1024040278713101</v>
      </c>
      <c r="E881" s="79">
        <v>9.9838501999999996E-2</v>
      </c>
      <c r="F881" s="79">
        <v>0.32881189799999999</v>
      </c>
      <c r="G881" s="79">
        <v>0.85579729232661295</v>
      </c>
      <c r="H881" s="80">
        <v>1</v>
      </c>
      <c r="I881" s="79">
        <v>1.1208749420933701</v>
      </c>
      <c r="J881" s="79">
        <v>9.8867292790100703E-2</v>
      </c>
      <c r="K881" s="79">
        <v>0.24843083046037201</v>
      </c>
      <c r="L881" s="79">
        <v>0.75087229971384495</v>
      </c>
      <c r="M881" s="80">
        <v>1</v>
      </c>
      <c r="N881" s="79">
        <v>1.367699334150122</v>
      </c>
      <c r="O881" s="79">
        <v>9.7978008440971306E-2</v>
      </c>
      <c r="P881" s="79">
        <v>1.3938509585207899E-3</v>
      </c>
      <c r="Q881" s="79">
        <v>4.6425114602700298E-3</v>
      </c>
      <c r="R881" s="80">
        <v>1</v>
      </c>
      <c r="S881" s="79">
        <v>1.4415591661918952</v>
      </c>
      <c r="T881" s="79">
        <v>9.9163291782783602E-2</v>
      </c>
      <c r="U881" s="79">
        <v>2.2592460367491199E-4</v>
      </c>
      <c r="V881" s="79">
        <v>1.47782640238899E-3</v>
      </c>
      <c r="W881" s="79">
        <v>0.28669832206346302</v>
      </c>
    </row>
    <row r="882" spans="1:23" x14ac:dyDescent="0.2">
      <c r="A882" s="69"/>
      <c r="B882" s="84" t="s">
        <v>2615</v>
      </c>
      <c r="C882" s="78">
        <v>5509</v>
      </c>
      <c r="D882" s="79">
        <v>1.0164635143161265</v>
      </c>
      <c r="E882" s="79">
        <v>6.3427200000000003E-2</v>
      </c>
      <c r="F882" s="79">
        <v>0.79682986200000006</v>
      </c>
      <c r="G882" s="79">
        <v>0.98545101377932998</v>
      </c>
      <c r="H882" s="80">
        <v>1</v>
      </c>
      <c r="I882" s="79">
        <v>1.148228743611226</v>
      </c>
      <c r="J882" s="79">
        <v>6.34112790967956E-2</v>
      </c>
      <c r="K882" s="79">
        <v>2.9276236126641798E-2</v>
      </c>
      <c r="L882" s="79">
        <v>0.46602025326235702</v>
      </c>
      <c r="M882" s="80">
        <v>1</v>
      </c>
      <c r="N882" s="79">
        <v>1.253921350729583</v>
      </c>
      <c r="O882" s="79">
        <v>6.2942831839792296E-2</v>
      </c>
      <c r="P882" s="79">
        <v>3.2446599675977901E-4</v>
      </c>
      <c r="Q882" s="79">
        <v>1.5425666543863899E-3</v>
      </c>
      <c r="R882" s="80">
        <v>0.41174734988815997</v>
      </c>
      <c r="S882" s="79">
        <v>1.1597418819709391</v>
      </c>
      <c r="T882" s="79">
        <v>6.2666537911084202E-2</v>
      </c>
      <c r="U882" s="79">
        <v>1.8036984213051901E-2</v>
      </c>
      <c r="V882" s="79">
        <v>4.0439810894633998E-2</v>
      </c>
      <c r="W882" s="79">
        <v>1</v>
      </c>
    </row>
    <row r="883" spans="1:23" x14ac:dyDescent="0.2">
      <c r="A883" s="69"/>
      <c r="B883" s="84" t="s">
        <v>2498</v>
      </c>
      <c r="C883" s="78">
        <v>5531</v>
      </c>
      <c r="D883" s="79">
        <v>1.1444801288937063</v>
      </c>
      <c r="E883" s="79">
        <v>8.5907509000000007E-2</v>
      </c>
      <c r="F883" s="79">
        <v>0.116210225</v>
      </c>
      <c r="G883" s="79">
        <v>0.64215920265517301</v>
      </c>
      <c r="H883" s="80">
        <v>1</v>
      </c>
      <c r="I883" s="79">
        <v>1.1706931380088725</v>
      </c>
      <c r="J883" s="79">
        <v>8.49409341175352E-2</v>
      </c>
      <c r="K883" s="79">
        <v>6.3544856380450501E-2</v>
      </c>
      <c r="L883" s="79">
        <v>0.57459637698370203</v>
      </c>
      <c r="M883" s="80">
        <v>1</v>
      </c>
      <c r="N883" s="79">
        <v>1.255895141970242</v>
      </c>
      <c r="O883" s="79">
        <v>8.4230918687439996E-2</v>
      </c>
      <c r="P883" s="79">
        <v>6.8294762567582901E-3</v>
      </c>
      <c r="Q883" s="79">
        <v>1.7333210739652501E-2</v>
      </c>
      <c r="R883" s="80">
        <v>1</v>
      </c>
      <c r="S883" s="79">
        <v>1.4001163789510171</v>
      </c>
      <c r="T883" s="79">
        <v>8.5396244756678105E-2</v>
      </c>
      <c r="U883" s="79">
        <v>8.1107927022009199E-5</v>
      </c>
      <c r="V883" s="79">
        <v>6.8617306260619799E-4</v>
      </c>
      <c r="W883" s="79">
        <v>0.10292595939092999</v>
      </c>
    </row>
    <row r="884" spans="1:23" x14ac:dyDescent="0.2">
      <c r="A884" s="69"/>
      <c r="B884" s="84" t="s">
        <v>2616</v>
      </c>
      <c r="C884" s="78">
        <v>5509</v>
      </c>
      <c r="D884" s="79">
        <v>0.86276311390313742</v>
      </c>
      <c r="E884" s="79">
        <v>9.7049570000000002E-2</v>
      </c>
      <c r="F884" s="79">
        <v>0.128252802</v>
      </c>
      <c r="G884" s="79">
        <v>0.65626131345967698</v>
      </c>
      <c r="H884" s="80">
        <v>1</v>
      </c>
      <c r="I884" s="79">
        <v>1.014165149806165</v>
      </c>
      <c r="J884" s="79">
        <v>9.5645284381629503E-2</v>
      </c>
      <c r="K884" s="79">
        <v>0.88308329187455603</v>
      </c>
      <c r="L884" s="79">
        <v>0.97573578102632397</v>
      </c>
      <c r="M884" s="80">
        <v>1</v>
      </c>
      <c r="N884" s="79">
        <v>1.198347421786123</v>
      </c>
      <c r="O884" s="79">
        <v>9.5150779761825496E-2</v>
      </c>
      <c r="P884" s="79">
        <v>5.7216955737754802E-2</v>
      </c>
      <c r="Q884" s="79">
        <v>9.9327382806033995E-2</v>
      </c>
      <c r="R884" s="80">
        <v>1</v>
      </c>
      <c r="S884" s="79">
        <v>1.2742078203817835</v>
      </c>
      <c r="T884" s="79">
        <v>9.6455587959954195E-2</v>
      </c>
      <c r="U884" s="79">
        <v>1.19949559105817E-2</v>
      </c>
      <c r="V884" s="79">
        <v>2.95565030107343E-2</v>
      </c>
      <c r="W884" s="79">
        <v>1</v>
      </c>
    </row>
    <row r="885" spans="1:23" x14ac:dyDescent="0.2">
      <c r="A885" s="69"/>
      <c r="B885" s="84" t="s">
        <v>2499</v>
      </c>
      <c r="C885" s="78">
        <v>5531</v>
      </c>
      <c r="D885" s="79">
        <v>1.0887977033365683</v>
      </c>
      <c r="E885" s="79">
        <v>7.9322892000000006E-2</v>
      </c>
      <c r="F885" s="79">
        <v>0.28349403400000001</v>
      </c>
      <c r="G885" s="79">
        <v>0.82879534725517201</v>
      </c>
      <c r="H885" s="80">
        <v>1</v>
      </c>
      <c r="I885" s="79">
        <v>1.0872686962510869</v>
      </c>
      <c r="J885" s="79">
        <v>7.9426127727669396E-2</v>
      </c>
      <c r="K885" s="79">
        <v>0.29215029070853299</v>
      </c>
      <c r="L885" s="79">
        <v>0.77544249817709499</v>
      </c>
      <c r="M885" s="80">
        <v>1</v>
      </c>
      <c r="N885" s="81">
        <v>1.4412660416459504</v>
      </c>
      <c r="O885" s="81">
        <v>7.8882007056746806E-2</v>
      </c>
      <c r="P885" s="81">
        <v>3.5904732510840801E-6</v>
      </c>
      <c r="Q885" s="81">
        <v>3.47809966078298E-5</v>
      </c>
      <c r="R885" s="82">
        <v>4.5563105556257E-3</v>
      </c>
      <c r="S885" s="79">
        <v>1.3444333010459346</v>
      </c>
      <c r="T885" s="79">
        <v>7.9040294175396195E-2</v>
      </c>
      <c r="U885" s="79">
        <v>1.8069687004369301E-4</v>
      </c>
      <c r="V885" s="79">
        <v>1.24621917437743E-3</v>
      </c>
      <c r="W885" s="79">
        <v>0.22930432808544601</v>
      </c>
    </row>
    <row r="886" spans="1:23" x14ac:dyDescent="0.2">
      <c r="A886" s="69"/>
      <c r="B886" s="84" t="s">
        <v>2617</v>
      </c>
      <c r="C886" s="78">
        <v>5509</v>
      </c>
      <c r="D886" s="79">
        <v>1.0120403250917371</v>
      </c>
      <c r="E886" s="79">
        <v>5.1294256000000003E-2</v>
      </c>
      <c r="F886" s="79">
        <v>0.81550624400000005</v>
      </c>
      <c r="G886" s="79">
        <v>0.98545101377932998</v>
      </c>
      <c r="H886" s="80">
        <v>1</v>
      </c>
      <c r="I886" s="79">
        <v>1.070176539235864</v>
      </c>
      <c r="J886" s="79">
        <v>5.0902423339346303E-2</v>
      </c>
      <c r="K886" s="79">
        <v>0.18272080777173499</v>
      </c>
      <c r="L886" s="79">
        <v>0.70052176755991502</v>
      </c>
      <c r="M886" s="80">
        <v>1</v>
      </c>
      <c r="N886" s="79">
        <v>1.1596642833398518</v>
      </c>
      <c r="O886" s="79">
        <v>5.0667131534343199E-2</v>
      </c>
      <c r="P886" s="79">
        <v>3.4600628831258102E-3</v>
      </c>
      <c r="Q886" s="79">
        <v>9.9791359061060306E-3</v>
      </c>
      <c r="R886" s="80">
        <v>1</v>
      </c>
      <c r="S886" s="79">
        <v>1.1359903100971804</v>
      </c>
      <c r="T886" s="79">
        <v>5.0554556781634501E-2</v>
      </c>
      <c r="U886" s="79">
        <v>1.1664904352944001E-2</v>
      </c>
      <c r="V886" s="79">
        <v>2.9082050341622701E-2</v>
      </c>
      <c r="W886" s="79">
        <v>1</v>
      </c>
    </row>
    <row r="887" spans="1:23" x14ac:dyDescent="0.2">
      <c r="A887" s="69"/>
      <c r="B887" s="84" t="s">
        <v>2500</v>
      </c>
      <c r="C887" s="78">
        <v>5531</v>
      </c>
      <c r="D887" s="79">
        <v>1.0372723019125643</v>
      </c>
      <c r="E887" s="79">
        <v>5.6669827999999998E-2</v>
      </c>
      <c r="F887" s="79">
        <v>0.51844196300000001</v>
      </c>
      <c r="G887" s="79">
        <v>0.93335478450424902</v>
      </c>
      <c r="H887" s="80">
        <v>1</v>
      </c>
      <c r="I887" s="79">
        <v>1.0439926589459574</v>
      </c>
      <c r="J887" s="79">
        <v>5.6307845786233698E-2</v>
      </c>
      <c r="K887" s="79">
        <v>0.44451528178056399</v>
      </c>
      <c r="L887" s="79">
        <v>0.86970662028650003</v>
      </c>
      <c r="M887" s="80">
        <v>1</v>
      </c>
      <c r="N887" s="81">
        <v>1.2991496328348682</v>
      </c>
      <c r="O887" s="81">
        <v>5.6047196918288203E-2</v>
      </c>
      <c r="P887" s="81">
        <v>3.01998320259659E-6</v>
      </c>
      <c r="Q887" s="81">
        <v>2.9708206853450199E-5</v>
      </c>
      <c r="R887" s="82">
        <v>3.8323586840950702E-3</v>
      </c>
      <c r="S887" s="81">
        <v>1.2940761742321072</v>
      </c>
      <c r="T887" s="81">
        <v>5.6575528988246297E-2</v>
      </c>
      <c r="U887" s="81">
        <v>5.1966406343636001E-6</v>
      </c>
      <c r="V887" s="81">
        <v>9.4207670928677295E-5</v>
      </c>
      <c r="W887" s="81">
        <v>6.5945369650074097E-3</v>
      </c>
    </row>
    <row r="888" spans="1:23" x14ac:dyDescent="0.2">
      <c r="A888" s="69"/>
      <c r="B888" s="84" t="s">
        <v>2618</v>
      </c>
      <c r="C888" s="78">
        <v>5509</v>
      </c>
      <c r="D888" s="79">
        <v>1.0185935344892409</v>
      </c>
      <c r="E888" s="79">
        <v>3.3749366000000003E-2</v>
      </c>
      <c r="F888" s="79">
        <v>0.585154854</v>
      </c>
      <c r="G888" s="79">
        <v>0.95350818012595395</v>
      </c>
      <c r="H888" s="80">
        <v>1</v>
      </c>
      <c r="I888" s="79">
        <v>1.0160334877191144</v>
      </c>
      <c r="J888" s="79">
        <v>3.3751710523439803E-2</v>
      </c>
      <c r="K888" s="79">
        <v>0.63744496713903998</v>
      </c>
      <c r="L888" s="79">
        <v>0.91965825061269202</v>
      </c>
      <c r="M888" s="80">
        <v>1</v>
      </c>
      <c r="N888" s="79">
        <v>0.98422044481386284</v>
      </c>
      <c r="O888" s="79">
        <v>3.3524960330125399E-2</v>
      </c>
      <c r="P888" s="79">
        <v>0.63519052233315698</v>
      </c>
      <c r="Q888" s="79">
        <v>0.71206428696181601</v>
      </c>
      <c r="R888" s="80">
        <v>1</v>
      </c>
      <c r="S888" s="79">
        <v>0.96289824734955243</v>
      </c>
      <c r="T888" s="79">
        <v>3.3426594604853303E-2</v>
      </c>
      <c r="U888" s="79">
        <v>0.25802919868936203</v>
      </c>
      <c r="V888" s="79">
        <v>0.34908214620127997</v>
      </c>
      <c r="W888" s="79">
        <v>1</v>
      </c>
    </row>
    <row r="889" spans="1:23" x14ac:dyDescent="0.2">
      <c r="A889" s="69"/>
      <c r="B889" s="84" t="s">
        <v>2501</v>
      </c>
      <c r="C889" s="78">
        <v>5531</v>
      </c>
      <c r="D889" s="79">
        <v>1.0152212672231633</v>
      </c>
      <c r="E889" s="79">
        <v>3.3675311999999999E-2</v>
      </c>
      <c r="F889" s="79">
        <v>0.65372364699999996</v>
      </c>
      <c r="G889" s="79">
        <v>0.98290913275237002</v>
      </c>
      <c r="H889" s="80">
        <v>1</v>
      </c>
      <c r="I889" s="79">
        <v>1.0253372233277604</v>
      </c>
      <c r="J889" s="79">
        <v>3.3734182880709597E-2</v>
      </c>
      <c r="K889" s="79">
        <v>0.45825271113877403</v>
      </c>
      <c r="L889" s="79">
        <v>0.87326336285163797</v>
      </c>
      <c r="M889" s="80">
        <v>1</v>
      </c>
      <c r="N889" s="79">
        <v>0.98604714010743466</v>
      </c>
      <c r="O889" s="79">
        <v>3.3466866115055803E-2</v>
      </c>
      <c r="P889" s="79">
        <v>0.67459389328923103</v>
      </c>
      <c r="Q889" s="79">
        <v>0.73989598149008995</v>
      </c>
      <c r="R889" s="80">
        <v>1</v>
      </c>
      <c r="S889" s="79">
        <v>0.96682281212443633</v>
      </c>
      <c r="T889" s="79">
        <v>3.3411425184227801E-2</v>
      </c>
      <c r="U889" s="79">
        <v>0.31257422822956099</v>
      </c>
      <c r="V889" s="79">
        <v>0.40436171318790598</v>
      </c>
      <c r="W889" s="79">
        <v>1</v>
      </c>
    </row>
    <row r="890" spans="1:23" x14ac:dyDescent="0.2">
      <c r="A890" s="69"/>
      <c r="B890" s="84" t="s">
        <v>2619</v>
      </c>
      <c r="C890" s="78">
        <v>5509</v>
      </c>
      <c r="D890" s="79">
        <v>1.017394148535826</v>
      </c>
      <c r="E890" s="79">
        <v>3.3831662999999998E-2</v>
      </c>
      <c r="F890" s="79">
        <v>0.61024916600000001</v>
      </c>
      <c r="G890" s="79">
        <v>0.96049373783807201</v>
      </c>
      <c r="H890" s="80">
        <v>1</v>
      </c>
      <c r="I890" s="79">
        <v>1.0210313144743506</v>
      </c>
      <c r="J890" s="79">
        <v>3.3841836905732302E-2</v>
      </c>
      <c r="K890" s="79">
        <v>0.53854536503539796</v>
      </c>
      <c r="L890" s="79">
        <v>0.90092665236727199</v>
      </c>
      <c r="M890" s="80">
        <v>1</v>
      </c>
      <c r="N890" s="79">
        <v>0.9843687722699177</v>
      </c>
      <c r="O890" s="79">
        <v>3.3607159141877403E-2</v>
      </c>
      <c r="P890" s="79">
        <v>0.63922010081566605</v>
      </c>
      <c r="Q890" s="79">
        <v>0.71531773186515002</v>
      </c>
      <c r="R890" s="80">
        <v>1</v>
      </c>
      <c r="S890" s="79">
        <v>0.96366793019071062</v>
      </c>
      <c r="T890" s="79">
        <v>3.3505574268163002E-2</v>
      </c>
      <c r="U890" s="79">
        <v>0.269355501212656</v>
      </c>
      <c r="V890" s="79">
        <v>0.36132360574932398</v>
      </c>
      <c r="W890" s="79">
        <v>1</v>
      </c>
    </row>
    <row r="891" spans="1:23" x14ac:dyDescent="0.2">
      <c r="A891" s="69"/>
      <c r="B891" s="84" t="s">
        <v>2502</v>
      </c>
      <c r="C891" s="78">
        <v>5531</v>
      </c>
      <c r="D891" s="79">
        <v>1.0126543015702849</v>
      </c>
      <c r="E891" s="79">
        <v>3.3676209999999998E-2</v>
      </c>
      <c r="F891" s="79">
        <v>0.70884615699999998</v>
      </c>
      <c r="G891" s="79">
        <v>0.98545101377932998</v>
      </c>
      <c r="H891" s="80">
        <v>1</v>
      </c>
      <c r="I891" s="79">
        <v>1.022688314868456</v>
      </c>
      <c r="J891" s="79">
        <v>3.3730254138407502E-2</v>
      </c>
      <c r="K891" s="79">
        <v>0.50597191632149396</v>
      </c>
      <c r="L891" s="79">
        <v>0.890538643289842</v>
      </c>
      <c r="M891" s="80">
        <v>1</v>
      </c>
      <c r="N891" s="79">
        <v>0.98392314891847932</v>
      </c>
      <c r="O891" s="79">
        <v>3.3468126878110897E-2</v>
      </c>
      <c r="P891" s="79">
        <v>0.62819689573862603</v>
      </c>
      <c r="Q891" s="79">
        <v>0.70609553648566603</v>
      </c>
      <c r="R891" s="80">
        <v>1</v>
      </c>
      <c r="S891" s="79">
        <v>0.96792092248516048</v>
      </c>
      <c r="T891" s="79">
        <v>3.3411563926454398E-2</v>
      </c>
      <c r="U891" s="79">
        <v>0.32913565757056301</v>
      </c>
      <c r="V891" s="79">
        <v>0.421466346576231</v>
      </c>
      <c r="W891" s="79">
        <v>1</v>
      </c>
    </row>
    <row r="892" spans="1:23" x14ac:dyDescent="0.2">
      <c r="A892" s="69"/>
      <c r="B892" s="84" t="s">
        <v>2620</v>
      </c>
      <c r="C892" s="78">
        <v>5509</v>
      </c>
      <c r="D892" s="79">
        <v>0.98211632147718042</v>
      </c>
      <c r="E892" s="79">
        <v>6.0120544999999997E-2</v>
      </c>
      <c r="F892" s="79">
        <v>0.76405840199999997</v>
      </c>
      <c r="G892" s="79">
        <v>0.98545101377932998</v>
      </c>
      <c r="H892" s="80">
        <v>1</v>
      </c>
      <c r="I892" s="79">
        <v>1.0763402963063207</v>
      </c>
      <c r="J892" s="79">
        <v>5.9804057318310198E-2</v>
      </c>
      <c r="K892" s="79">
        <v>0.21864900840541901</v>
      </c>
      <c r="L892" s="79">
        <v>0.73459417908661795</v>
      </c>
      <c r="M892" s="80">
        <v>1</v>
      </c>
      <c r="N892" s="79">
        <v>1.0915207516735967</v>
      </c>
      <c r="O892" s="79">
        <v>5.9390390182630898E-2</v>
      </c>
      <c r="P892" s="79">
        <v>0.14034349068652799</v>
      </c>
      <c r="Q892" s="79">
        <v>0.20757096699440999</v>
      </c>
      <c r="R892" s="80">
        <v>1</v>
      </c>
      <c r="S892" s="79">
        <v>1.0882430207295919</v>
      </c>
      <c r="T892" s="79">
        <v>5.90452953933856E-2</v>
      </c>
      <c r="U892" s="79">
        <v>0.15208748298441699</v>
      </c>
      <c r="V892" s="79">
        <v>0.22705766577320599</v>
      </c>
      <c r="W892" s="79">
        <v>1</v>
      </c>
    </row>
    <row r="893" spans="1:23" x14ac:dyDescent="0.2">
      <c r="A893" s="69"/>
      <c r="B893" s="84" t="s">
        <v>2503</v>
      </c>
      <c r="C893" s="78">
        <v>5531</v>
      </c>
      <c r="D893" s="79">
        <v>1.040034964188312</v>
      </c>
      <c r="E893" s="79">
        <v>5.3949982E-2</v>
      </c>
      <c r="F893" s="79">
        <v>0.46685478200000002</v>
      </c>
      <c r="G893" s="79">
        <v>0.91708779931578899</v>
      </c>
      <c r="H893" s="80">
        <v>1</v>
      </c>
      <c r="I893" s="79">
        <v>0.99874068187901333</v>
      </c>
      <c r="J893" s="79">
        <v>5.33430656554892E-2</v>
      </c>
      <c r="K893" s="79">
        <v>0.98115349805981</v>
      </c>
      <c r="L893" s="79">
        <v>0.99340446144064498</v>
      </c>
      <c r="M893" s="80">
        <v>1</v>
      </c>
      <c r="N893" s="81">
        <v>1.3010674343497228</v>
      </c>
      <c r="O893" s="81">
        <v>5.3287248357325602E-2</v>
      </c>
      <c r="P893" s="81">
        <v>7.8529416766491498E-7</v>
      </c>
      <c r="Q893" s="81">
        <v>9.4908409406359698E-6</v>
      </c>
      <c r="R893" s="82">
        <v>9.965382987667771E-4</v>
      </c>
      <c r="S893" s="79">
        <v>1.243728304641736</v>
      </c>
      <c r="T893" s="79">
        <v>5.3537193066833799E-2</v>
      </c>
      <c r="U893" s="79">
        <v>4.6201204262864002E-5</v>
      </c>
      <c r="V893" s="79">
        <v>4.5216696200680299E-4</v>
      </c>
      <c r="W893" s="79">
        <v>5.8629328209574401E-2</v>
      </c>
    </row>
    <row r="894" spans="1:23" x14ac:dyDescent="0.2">
      <c r="A894" s="69"/>
      <c r="B894" s="84" t="s">
        <v>2504</v>
      </c>
      <c r="C894" s="78">
        <v>5531</v>
      </c>
      <c r="D894" s="79">
        <v>1.0323026628322192</v>
      </c>
      <c r="E894" s="79">
        <v>8.7982592999999998E-2</v>
      </c>
      <c r="F894" s="79">
        <v>0.71784298700000004</v>
      </c>
      <c r="G894" s="79">
        <v>0.98545101377932998</v>
      </c>
      <c r="H894" s="80">
        <v>1</v>
      </c>
      <c r="I894" s="79">
        <v>0.8118772979647787</v>
      </c>
      <c r="J894" s="79">
        <v>8.6952027034055399E-2</v>
      </c>
      <c r="K894" s="79">
        <v>1.6539237643576302E-2</v>
      </c>
      <c r="L894" s="79">
        <v>0.41909202640396798</v>
      </c>
      <c r="M894" s="80">
        <v>1</v>
      </c>
      <c r="N894" s="79">
        <v>1.2225086818143072</v>
      </c>
      <c r="O894" s="79">
        <v>8.6646494454567596E-2</v>
      </c>
      <c r="P894" s="79">
        <v>2.0412675394126101E-2</v>
      </c>
      <c r="Q894" s="79">
        <v>4.2257235032864597E-2</v>
      </c>
      <c r="R894" s="80">
        <v>1</v>
      </c>
      <c r="S894" s="79">
        <v>1.0560758049666938</v>
      </c>
      <c r="T894" s="79">
        <v>8.6786542088989005E-2</v>
      </c>
      <c r="U894" s="79">
        <v>0.52956608587361997</v>
      </c>
      <c r="V894" s="79">
        <v>0.61165761590367795</v>
      </c>
      <c r="W894" s="79">
        <v>1</v>
      </c>
    </row>
    <row r="895" spans="1:23" x14ac:dyDescent="0.2">
      <c r="A895" s="69"/>
      <c r="B895" s="84" t="s">
        <v>2621</v>
      </c>
      <c r="C895" s="78">
        <v>5509</v>
      </c>
      <c r="D895" s="79">
        <v>0.97986905264052548</v>
      </c>
      <c r="E895" s="79">
        <v>5.6581567999999999E-2</v>
      </c>
      <c r="F895" s="79">
        <v>0.71928370799999997</v>
      </c>
      <c r="G895" s="79">
        <v>0.98545101377932998</v>
      </c>
      <c r="H895" s="80">
        <v>1</v>
      </c>
      <c r="I895" s="79">
        <v>1.085213513318154</v>
      </c>
      <c r="J895" s="79">
        <v>5.6304837505317597E-2</v>
      </c>
      <c r="K895" s="79">
        <v>0.14639235050114899</v>
      </c>
      <c r="L895" s="79">
        <v>0.66347104566413595</v>
      </c>
      <c r="M895" s="80">
        <v>1</v>
      </c>
      <c r="N895" s="79">
        <v>1.1996241873416564</v>
      </c>
      <c r="O895" s="79">
        <v>5.5889588398323697E-2</v>
      </c>
      <c r="P895" s="79">
        <v>1.1276730873858E-3</v>
      </c>
      <c r="Q895" s="79">
        <v>3.8886335540559199E-3</v>
      </c>
      <c r="R895" s="80">
        <v>1</v>
      </c>
      <c r="S895" s="79">
        <v>1.1756073827363231</v>
      </c>
      <c r="T895" s="79">
        <v>5.59435557563654E-2</v>
      </c>
      <c r="U895" s="79">
        <v>3.8288132039347501E-3</v>
      </c>
      <c r="V895" s="79">
        <v>1.25007966244944E-2</v>
      </c>
      <c r="W895" s="79">
        <v>1</v>
      </c>
    </row>
    <row r="896" spans="1:23" x14ac:dyDescent="0.2">
      <c r="A896" s="69"/>
      <c r="B896" s="84" t="s">
        <v>2505</v>
      </c>
      <c r="C896" s="78">
        <v>5531</v>
      </c>
      <c r="D896" s="79">
        <v>0.98311471968235775</v>
      </c>
      <c r="E896" s="79">
        <v>7.1813275999999995E-2</v>
      </c>
      <c r="F896" s="79">
        <v>0.812551833</v>
      </c>
      <c r="G896" s="79">
        <v>0.98545101377932998</v>
      </c>
      <c r="H896" s="80">
        <v>1</v>
      </c>
      <c r="I896" s="79">
        <v>1.0045284181122092</v>
      </c>
      <c r="J896" s="79">
        <v>7.1293557203789396E-2</v>
      </c>
      <c r="K896" s="79">
        <v>0.94946826862670397</v>
      </c>
      <c r="L896" s="79">
        <v>0.98536926999016194</v>
      </c>
      <c r="M896" s="80">
        <v>1</v>
      </c>
      <c r="N896" s="79">
        <v>1.1887446312486609</v>
      </c>
      <c r="O896" s="79">
        <v>7.0602552615268099E-2</v>
      </c>
      <c r="P896" s="79">
        <v>1.4329757799229801E-2</v>
      </c>
      <c r="Q896" s="79">
        <v>3.1846694653629798E-2</v>
      </c>
      <c r="R896" s="80">
        <v>1</v>
      </c>
      <c r="S896" s="79">
        <v>1.0976746892090874</v>
      </c>
      <c r="T896" s="79">
        <v>7.0803618566907603E-2</v>
      </c>
      <c r="U896" s="79">
        <v>0.18809602070220799</v>
      </c>
      <c r="V896" s="79">
        <v>0.27062794815317698</v>
      </c>
      <c r="W896" s="79">
        <v>1</v>
      </c>
    </row>
    <row r="897" spans="1:23" x14ac:dyDescent="0.2">
      <c r="A897" s="69"/>
      <c r="B897" s="84" t="s">
        <v>2506</v>
      </c>
      <c r="C897" s="78">
        <v>5531</v>
      </c>
      <c r="D897" s="79">
        <v>0.91089678473943214</v>
      </c>
      <c r="E897" s="79">
        <v>7.9775867E-2</v>
      </c>
      <c r="F897" s="79">
        <v>0.242061897</v>
      </c>
      <c r="G897" s="79">
        <v>0.773744451619647</v>
      </c>
      <c r="H897" s="80">
        <v>1</v>
      </c>
      <c r="I897" s="79">
        <v>1.0453316841613509</v>
      </c>
      <c r="J897" s="79">
        <v>8.0017771027566395E-2</v>
      </c>
      <c r="K897" s="79">
        <v>0.57954129086642003</v>
      </c>
      <c r="L897" s="79">
        <v>0.91342751815810697</v>
      </c>
      <c r="M897" s="80">
        <v>1</v>
      </c>
      <c r="N897" s="79">
        <v>1.3099522319696413</v>
      </c>
      <c r="O897" s="79">
        <v>7.9489130121295506E-2</v>
      </c>
      <c r="P897" s="79">
        <v>6.8235230910738704E-4</v>
      </c>
      <c r="Q897" s="79">
        <v>2.6891462119791099E-3</v>
      </c>
      <c r="R897" s="80">
        <v>0.86590508025727397</v>
      </c>
      <c r="S897" s="79">
        <v>1.2621011993945186</v>
      </c>
      <c r="T897" s="79">
        <v>7.9844573154933304E-2</v>
      </c>
      <c r="U897" s="79">
        <v>3.5524601587022201E-3</v>
      </c>
      <c r="V897" s="79">
        <v>1.1801235448673101E-2</v>
      </c>
      <c r="W897" s="79">
        <v>1</v>
      </c>
    </row>
    <row r="898" spans="1:23" x14ac:dyDescent="0.2">
      <c r="A898" s="69"/>
      <c r="B898" s="84" t="s">
        <v>2622</v>
      </c>
      <c r="C898" s="78">
        <v>5509</v>
      </c>
      <c r="D898" s="79">
        <v>0.92573036615088122</v>
      </c>
      <c r="E898" s="79">
        <v>7.0238876000000006E-2</v>
      </c>
      <c r="F898" s="79">
        <v>0.27189387500000001</v>
      </c>
      <c r="G898" s="79">
        <v>0.82346856175417704</v>
      </c>
      <c r="H898" s="80">
        <v>1</v>
      </c>
      <c r="I898" s="79">
        <v>0.96811072266255827</v>
      </c>
      <c r="J898" s="79">
        <v>6.9018253890866799E-2</v>
      </c>
      <c r="K898" s="79">
        <v>0.63866315433940701</v>
      </c>
      <c r="L898" s="79">
        <v>0.91965825061269202</v>
      </c>
      <c r="M898" s="80">
        <v>1</v>
      </c>
      <c r="N898" s="79">
        <v>1.2519227112079394</v>
      </c>
      <c r="O898" s="79">
        <v>6.9316061711460999E-2</v>
      </c>
      <c r="P898" s="79">
        <v>1.18947431577145E-3</v>
      </c>
      <c r="Q898" s="79">
        <v>4.0359436008394903E-3</v>
      </c>
      <c r="R898" s="80">
        <v>1</v>
      </c>
      <c r="S898" s="79">
        <v>1.0138793436771707</v>
      </c>
      <c r="T898" s="79">
        <v>6.8734280741144002E-2</v>
      </c>
      <c r="U898" s="79">
        <v>0.84105901766248103</v>
      </c>
      <c r="V898" s="79">
        <v>0.87627577455967898</v>
      </c>
      <c r="W898" s="79">
        <v>1</v>
      </c>
    </row>
    <row r="899" spans="1:23" x14ac:dyDescent="0.2">
      <c r="A899" s="69"/>
      <c r="B899" s="84" t="s">
        <v>2507</v>
      </c>
      <c r="C899" s="78">
        <v>5531</v>
      </c>
      <c r="D899" s="79">
        <v>0.97403240682387848</v>
      </c>
      <c r="E899" s="79">
        <v>6.3202067000000001E-2</v>
      </c>
      <c r="F899" s="79">
        <v>0.67719415999999999</v>
      </c>
      <c r="G899" s="79">
        <v>0.98545101377932998</v>
      </c>
      <c r="H899" s="80">
        <v>1</v>
      </c>
      <c r="I899" s="79">
        <v>1.0638951879240006</v>
      </c>
      <c r="J899" s="79">
        <v>6.3034506974838395E-2</v>
      </c>
      <c r="K899" s="79">
        <v>0.32581081255232103</v>
      </c>
      <c r="L899" s="79">
        <v>0.79366538468944703</v>
      </c>
      <c r="M899" s="80">
        <v>1</v>
      </c>
      <c r="N899" s="79">
        <v>1.1778533538253024</v>
      </c>
      <c r="O899" s="79">
        <v>6.2520058765696898E-2</v>
      </c>
      <c r="P899" s="79">
        <v>8.8380178516004899E-3</v>
      </c>
      <c r="Q899" s="79">
        <v>2.1362751721297198E-2</v>
      </c>
      <c r="R899" s="80">
        <v>1</v>
      </c>
      <c r="S899" s="79">
        <v>1.0832303129887282</v>
      </c>
      <c r="T899" s="79">
        <v>6.2700928593056995E-2</v>
      </c>
      <c r="U899" s="79">
        <v>0.20228709464776801</v>
      </c>
      <c r="V899" s="79">
        <v>0.28713906387921401</v>
      </c>
      <c r="W899" s="79">
        <v>1</v>
      </c>
    </row>
    <row r="900" spans="1:23" x14ac:dyDescent="0.2">
      <c r="A900" s="69"/>
      <c r="B900" s="84" t="s">
        <v>2623</v>
      </c>
      <c r="C900" s="78">
        <v>5509</v>
      </c>
      <c r="D900" s="79">
        <v>0.99532799592351662</v>
      </c>
      <c r="E900" s="79">
        <v>7.7229434999999999E-2</v>
      </c>
      <c r="F900" s="79">
        <v>0.95164840399999995</v>
      </c>
      <c r="G900" s="79">
        <v>0.991673151733656</v>
      </c>
      <c r="H900" s="80">
        <v>1</v>
      </c>
      <c r="I900" s="79">
        <v>1.0489198364744423</v>
      </c>
      <c r="J900" s="79">
        <v>7.6476887192449897E-2</v>
      </c>
      <c r="K900" s="79">
        <v>0.53228990068362303</v>
      </c>
      <c r="L900" s="79">
        <v>0.89965480158269595</v>
      </c>
      <c r="M900" s="80">
        <v>1</v>
      </c>
      <c r="N900" s="79">
        <v>1.106079629458359</v>
      </c>
      <c r="O900" s="79">
        <v>7.6222642614070801E-2</v>
      </c>
      <c r="P900" s="79">
        <v>0.18592552298952</v>
      </c>
      <c r="Q900" s="79">
        <v>0.26020318613651</v>
      </c>
      <c r="R900" s="80">
        <v>1</v>
      </c>
      <c r="S900" s="79">
        <v>1.0591003002630099</v>
      </c>
      <c r="T900" s="79">
        <v>7.6017892411372898E-2</v>
      </c>
      <c r="U900" s="79">
        <v>0.45004169351957501</v>
      </c>
      <c r="V900" s="79">
        <v>0.53864029927733903</v>
      </c>
      <c r="W900" s="79">
        <v>1</v>
      </c>
    </row>
    <row r="901" spans="1:23" x14ac:dyDescent="0.2">
      <c r="A901" s="69"/>
      <c r="B901" s="84" t="s">
        <v>2508</v>
      </c>
      <c r="C901" s="78">
        <v>5531</v>
      </c>
      <c r="D901" s="79">
        <v>1.0406364446624279</v>
      </c>
      <c r="E901" s="79">
        <v>0.101861041</v>
      </c>
      <c r="F901" s="79">
        <v>0.69576222099999996</v>
      </c>
      <c r="G901" s="79">
        <v>0.98545101377932998</v>
      </c>
      <c r="H901" s="80">
        <v>1</v>
      </c>
      <c r="I901" s="79">
        <v>1.1371930044170733</v>
      </c>
      <c r="J901" s="79">
        <v>0.101814890816238</v>
      </c>
      <c r="K901" s="79">
        <v>0.20669247115567299</v>
      </c>
      <c r="L901" s="79">
        <v>0.72311176315330705</v>
      </c>
      <c r="M901" s="80">
        <v>1</v>
      </c>
      <c r="N901" s="79">
        <v>1.3709751994548465</v>
      </c>
      <c r="O901" s="79">
        <v>0.10014630728212701</v>
      </c>
      <c r="P901" s="79">
        <v>1.62927919582648E-3</v>
      </c>
      <c r="Q901" s="79">
        <v>5.2743757640403097E-3</v>
      </c>
      <c r="R901" s="80">
        <v>1</v>
      </c>
      <c r="S901" s="79">
        <v>1.2439213919989727</v>
      </c>
      <c r="T901" s="79">
        <v>0.10175473681130701</v>
      </c>
      <c r="U901" s="79">
        <v>3.1949003171705202E-2</v>
      </c>
      <c r="V901" s="79">
        <v>6.3948399092892599E-2</v>
      </c>
      <c r="W901" s="79">
        <v>1</v>
      </c>
    </row>
    <row r="902" spans="1:23" x14ac:dyDescent="0.2">
      <c r="A902" s="69"/>
      <c r="B902" s="84" t="s">
        <v>2624</v>
      </c>
      <c r="C902" s="78">
        <v>5509</v>
      </c>
      <c r="D902" s="79">
        <v>1.0346145138976057</v>
      </c>
      <c r="E902" s="79">
        <v>8.5951191999999996E-2</v>
      </c>
      <c r="F902" s="79">
        <v>0.69217167999999996</v>
      </c>
      <c r="G902" s="79">
        <v>0.98545101377932998</v>
      </c>
      <c r="H902" s="80">
        <v>1</v>
      </c>
      <c r="I902" s="79">
        <v>1.0437901304886998</v>
      </c>
      <c r="J902" s="79">
        <v>8.5152462544984195E-2</v>
      </c>
      <c r="K902" s="79">
        <v>0.614743374029602</v>
      </c>
      <c r="L902" s="79">
        <v>0.91965825061269202</v>
      </c>
      <c r="M902" s="80">
        <v>1</v>
      </c>
      <c r="N902" s="79">
        <v>1.0641493562888527</v>
      </c>
      <c r="O902" s="79">
        <v>8.4460225231863403E-2</v>
      </c>
      <c r="P902" s="79">
        <v>0.46163683255251398</v>
      </c>
      <c r="Q902" s="79">
        <v>0.54393420660087299</v>
      </c>
      <c r="R902" s="80">
        <v>1</v>
      </c>
      <c r="S902" s="79">
        <v>1.1726476414278821</v>
      </c>
      <c r="T902" s="79">
        <v>8.5151862882550194E-2</v>
      </c>
      <c r="U902" s="79">
        <v>6.1434665148005503E-2</v>
      </c>
      <c r="V902" s="79">
        <v>0.109803647989886</v>
      </c>
      <c r="W902" s="79">
        <v>1</v>
      </c>
    </row>
    <row r="903" spans="1:23" x14ac:dyDescent="0.2">
      <c r="A903" s="69"/>
      <c r="B903" s="84" t="s">
        <v>2625</v>
      </c>
      <c r="C903" s="78">
        <v>5509</v>
      </c>
      <c r="D903" s="79">
        <v>1.0884386280809557</v>
      </c>
      <c r="E903" s="79">
        <v>4.7556277000000001E-2</v>
      </c>
      <c r="F903" s="79">
        <v>7.4752891000000002E-2</v>
      </c>
      <c r="G903" s="79">
        <v>0.55800834517058795</v>
      </c>
      <c r="H903" s="80">
        <v>1</v>
      </c>
      <c r="I903" s="79">
        <v>1.0368069352078593</v>
      </c>
      <c r="J903" s="79">
        <v>4.69898378734733E-2</v>
      </c>
      <c r="K903" s="79">
        <v>0.44176003457113699</v>
      </c>
      <c r="L903" s="79">
        <v>0.86970662028650003</v>
      </c>
      <c r="M903" s="80">
        <v>1</v>
      </c>
      <c r="N903" s="79">
        <v>1.0987321600866777</v>
      </c>
      <c r="O903" s="79">
        <v>4.6740570755660599E-2</v>
      </c>
      <c r="P903" s="79">
        <v>4.39614328407055E-2</v>
      </c>
      <c r="Q903" s="79">
        <v>7.95821088086381E-2</v>
      </c>
      <c r="R903" s="80">
        <v>1</v>
      </c>
      <c r="S903" s="81">
        <v>1.2488489800486613</v>
      </c>
      <c r="T903" s="81">
        <v>4.7134252422591498E-2</v>
      </c>
      <c r="U903" s="81">
        <v>2.42106198968833E-6</v>
      </c>
      <c r="V903" s="81">
        <v>5.5697683199453403E-5</v>
      </c>
      <c r="W903" s="81">
        <v>3.0723276649144899E-3</v>
      </c>
    </row>
    <row r="904" spans="1:23" x14ac:dyDescent="0.2">
      <c r="A904" s="69"/>
      <c r="B904" s="84" t="s">
        <v>2509</v>
      </c>
      <c r="C904" s="78">
        <v>5531</v>
      </c>
      <c r="D904" s="79">
        <v>0.90595684547467614</v>
      </c>
      <c r="E904" s="79">
        <v>8.3996556999999999E-2</v>
      </c>
      <c r="F904" s="79">
        <v>0.23967264899999999</v>
      </c>
      <c r="G904" s="79">
        <v>0.77257570165909095</v>
      </c>
      <c r="H904" s="80">
        <v>1</v>
      </c>
      <c r="I904" s="79">
        <v>1.0810688806879956</v>
      </c>
      <c r="J904" s="79">
        <v>8.3254294662583994E-2</v>
      </c>
      <c r="K904" s="79">
        <v>0.34912332360742399</v>
      </c>
      <c r="L904" s="79">
        <v>0.80406079429731603</v>
      </c>
      <c r="M904" s="80">
        <v>1</v>
      </c>
      <c r="N904" s="79">
        <v>1.0149149634716774</v>
      </c>
      <c r="O904" s="79">
        <v>8.3019229710693199E-2</v>
      </c>
      <c r="P904" s="79">
        <v>0.85846372598888099</v>
      </c>
      <c r="Q904" s="79">
        <v>0.887125788501539</v>
      </c>
      <c r="R904" s="80">
        <v>1</v>
      </c>
      <c r="S904" s="79">
        <v>1.3034166831744582</v>
      </c>
      <c r="T904" s="79">
        <v>8.3825395443110101E-2</v>
      </c>
      <c r="U904" s="79">
        <v>1.57119323669339E-3</v>
      </c>
      <c r="V904" s="79">
        <v>6.4735201862464696E-3</v>
      </c>
      <c r="W904" s="79">
        <v>1</v>
      </c>
    </row>
    <row r="905" spans="1:23" x14ac:dyDescent="0.2">
      <c r="A905" s="69"/>
      <c r="B905" s="84" t="s">
        <v>2626</v>
      </c>
      <c r="C905" s="78">
        <v>5509</v>
      </c>
      <c r="D905" s="79">
        <v>1.1274020375909397</v>
      </c>
      <c r="E905" s="79">
        <v>9.6646224000000003E-2</v>
      </c>
      <c r="F905" s="79">
        <v>0.21469008000000001</v>
      </c>
      <c r="G905" s="79">
        <v>0.74224234113157905</v>
      </c>
      <c r="H905" s="80">
        <v>1</v>
      </c>
      <c r="I905" s="79">
        <v>1.1091506188406313</v>
      </c>
      <c r="J905" s="79">
        <v>9.5598781222183002E-2</v>
      </c>
      <c r="K905" s="79">
        <v>0.278525140121058</v>
      </c>
      <c r="L905" s="79">
        <v>0.76694710984058201</v>
      </c>
      <c r="M905" s="80">
        <v>1</v>
      </c>
      <c r="N905" s="79">
        <v>1.1806301926569658</v>
      </c>
      <c r="O905" s="79">
        <v>9.4643740251258504E-2</v>
      </c>
      <c r="P905" s="79">
        <v>7.9352259070731401E-2</v>
      </c>
      <c r="Q905" s="79">
        <v>0.12959847716957301</v>
      </c>
      <c r="R905" s="80">
        <v>1</v>
      </c>
      <c r="S905" s="79">
        <v>1.2441007298525362</v>
      </c>
      <c r="T905" s="79">
        <v>9.5603980381198994E-2</v>
      </c>
      <c r="U905" s="79">
        <v>2.2338681055960399E-2</v>
      </c>
      <c r="V905" s="79">
        <v>4.7723545892279E-2</v>
      </c>
      <c r="W905" s="79">
        <v>1</v>
      </c>
    </row>
    <row r="906" spans="1:23" x14ac:dyDescent="0.2">
      <c r="A906" s="69"/>
      <c r="B906" s="84" t="s">
        <v>2627</v>
      </c>
      <c r="C906" s="78">
        <v>5509</v>
      </c>
      <c r="D906" s="79">
        <v>1.1094611766219928</v>
      </c>
      <c r="E906" s="79">
        <v>4.3146938000000003E-2</v>
      </c>
      <c r="F906" s="79">
        <v>1.6063978E-2</v>
      </c>
      <c r="G906" s="79">
        <v>0.349577479479452</v>
      </c>
      <c r="H906" s="80">
        <v>1</v>
      </c>
      <c r="I906" s="79">
        <v>1.0589306996620487</v>
      </c>
      <c r="J906" s="79">
        <v>4.2636735428172597E-2</v>
      </c>
      <c r="K906" s="79">
        <v>0.17928344646899799</v>
      </c>
      <c r="L906" s="79">
        <v>0.69688241292590103</v>
      </c>
      <c r="M906" s="80">
        <v>1</v>
      </c>
      <c r="N906" s="79">
        <v>1.0493288182031359</v>
      </c>
      <c r="O906" s="79">
        <v>4.2363296632894697E-2</v>
      </c>
      <c r="P906" s="79">
        <v>0.25569945799272797</v>
      </c>
      <c r="Q906" s="79">
        <v>0.33520931011650001</v>
      </c>
      <c r="R906" s="80">
        <v>1</v>
      </c>
      <c r="S906" s="81">
        <v>1.1948564064204699</v>
      </c>
      <c r="T906" s="81">
        <v>4.25766958741048E-2</v>
      </c>
      <c r="U906" s="81">
        <v>2.8984480934405699E-5</v>
      </c>
      <c r="V906" s="81">
        <v>3.2840452058715002E-4</v>
      </c>
      <c r="W906" s="81">
        <v>3.6781306305760798E-2</v>
      </c>
    </row>
    <row r="907" spans="1:23" x14ac:dyDescent="0.2">
      <c r="A907" s="69"/>
      <c r="B907" s="84" t="s">
        <v>2510</v>
      </c>
      <c r="C907" s="78">
        <v>5531</v>
      </c>
      <c r="D907" s="79">
        <v>0.93533998075958169</v>
      </c>
      <c r="E907" s="79">
        <v>7.4590536999999998E-2</v>
      </c>
      <c r="F907" s="79">
        <v>0.37016628400000001</v>
      </c>
      <c r="G907" s="79">
        <v>0.880152082540541</v>
      </c>
      <c r="H907" s="80">
        <v>1</v>
      </c>
      <c r="I907" s="79">
        <v>0.9976026059475388</v>
      </c>
      <c r="J907" s="79">
        <v>7.41099936847604E-2</v>
      </c>
      <c r="K907" s="79">
        <v>0.97416265438401695</v>
      </c>
      <c r="L907" s="79">
        <v>0.99134916472599599</v>
      </c>
      <c r="M907" s="80">
        <v>1</v>
      </c>
      <c r="N907" s="79">
        <v>0.99454132226530234</v>
      </c>
      <c r="O907" s="79">
        <v>7.3646317073390102E-2</v>
      </c>
      <c r="P907" s="79">
        <v>0.940753208469983</v>
      </c>
      <c r="Q907" s="79">
        <v>0.95200623727943201</v>
      </c>
      <c r="R907" s="80">
        <v>1</v>
      </c>
      <c r="S907" s="79">
        <v>1.189001172027478</v>
      </c>
      <c r="T907" s="79">
        <v>7.3763086425120902E-2</v>
      </c>
      <c r="U907" s="79">
        <v>1.8931012498888899E-2</v>
      </c>
      <c r="V907" s="79">
        <v>4.1999046959947599E-2</v>
      </c>
      <c r="W907" s="79">
        <v>1</v>
      </c>
    </row>
    <row r="908" spans="1:23" x14ac:dyDescent="0.2">
      <c r="A908" s="69"/>
      <c r="B908" s="84" t="s">
        <v>2628</v>
      </c>
      <c r="C908" s="78">
        <v>5509</v>
      </c>
      <c r="D908" s="79">
        <v>1.0667710054893471</v>
      </c>
      <c r="E908" s="79">
        <v>9.8651620999999995E-2</v>
      </c>
      <c r="F908" s="79">
        <v>0.51234034799999995</v>
      </c>
      <c r="G908" s="79">
        <v>0.93029368998857198</v>
      </c>
      <c r="H908" s="80">
        <v>1</v>
      </c>
      <c r="I908" s="79">
        <v>1.1572896702754725</v>
      </c>
      <c r="J908" s="79">
        <v>9.81948342028722E-2</v>
      </c>
      <c r="K908" s="79">
        <v>0.13683990145938699</v>
      </c>
      <c r="L908" s="79">
        <v>0.65586150762509099</v>
      </c>
      <c r="M908" s="80">
        <v>1</v>
      </c>
      <c r="N908" s="79">
        <v>1.0312938961737621</v>
      </c>
      <c r="O908" s="79">
        <v>9.7138228099004006E-2</v>
      </c>
      <c r="P908" s="79">
        <v>0.75107640160236</v>
      </c>
      <c r="Q908" s="79">
        <v>0.800324856227564</v>
      </c>
      <c r="R908" s="80">
        <v>1</v>
      </c>
      <c r="S908" s="79">
        <v>1.1224475490133108</v>
      </c>
      <c r="T908" s="79">
        <v>9.7576371285280503E-2</v>
      </c>
      <c r="U908" s="79">
        <v>0.23648938444053799</v>
      </c>
      <c r="V908" s="79">
        <v>0.32443786903247901</v>
      </c>
      <c r="W908" s="79">
        <v>1</v>
      </c>
    </row>
    <row r="909" spans="1:23" x14ac:dyDescent="0.2">
      <c r="A909" s="69"/>
      <c r="B909" s="84" t="s">
        <v>2629</v>
      </c>
      <c r="C909" s="78">
        <v>5509</v>
      </c>
      <c r="D909" s="79">
        <v>1.14719043025443</v>
      </c>
      <c r="E909" s="79">
        <v>4.6889236000000001E-2</v>
      </c>
      <c r="F909" s="79">
        <v>3.4058500000000002E-3</v>
      </c>
      <c r="G909" s="79">
        <v>0.1663627275</v>
      </c>
      <c r="H909" s="80">
        <v>1</v>
      </c>
      <c r="I909" s="79">
        <v>1.0365100733060866</v>
      </c>
      <c r="J909" s="79">
        <v>4.6198232808836198E-2</v>
      </c>
      <c r="K909" s="79">
        <v>0.43762703265167702</v>
      </c>
      <c r="L909" s="79">
        <v>0.86909030428009104</v>
      </c>
      <c r="M909" s="80">
        <v>1</v>
      </c>
      <c r="N909" s="79">
        <v>1.0864113703078957</v>
      </c>
      <c r="O909" s="79">
        <v>4.5896512444267401E-2</v>
      </c>
      <c r="P909" s="79">
        <v>7.0949511814612301E-2</v>
      </c>
      <c r="Q909" s="79">
        <v>0.118001219518667</v>
      </c>
      <c r="R909" s="80">
        <v>1</v>
      </c>
      <c r="S909" s="79">
        <v>1.204872008378713</v>
      </c>
      <c r="T909" s="79">
        <v>4.6134721964550603E-2</v>
      </c>
      <c r="U909" s="79">
        <v>5.3505233441953102E-5</v>
      </c>
      <c r="V909" s="79">
        <v>4.9201551621622097E-4</v>
      </c>
      <c r="W909" s="79">
        <v>6.7898141237838494E-2</v>
      </c>
    </row>
    <row r="910" spans="1:23" x14ac:dyDescent="0.2">
      <c r="A910" s="69"/>
      <c r="B910" s="84" t="s">
        <v>2511</v>
      </c>
      <c r="C910" s="78">
        <v>5531</v>
      </c>
      <c r="D910" s="79">
        <v>1.0245013874845501</v>
      </c>
      <c r="E910" s="79">
        <v>8.6975738999999996E-2</v>
      </c>
      <c r="F910" s="79">
        <v>0.78077594400000006</v>
      </c>
      <c r="G910" s="79">
        <v>0.98545101377932998</v>
      </c>
      <c r="H910" s="80">
        <v>1</v>
      </c>
      <c r="I910" s="79">
        <v>1.0164313517544017</v>
      </c>
      <c r="J910" s="79">
        <v>8.5452024645178801E-2</v>
      </c>
      <c r="K910" s="79">
        <v>0.84874123012193903</v>
      </c>
      <c r="L910" s="79">
        <v>0.96964513668720897</v>
      </c>
      <c r="M910" s="80">
        <v>1</v>
      </c>
      <c r="N910" s="79">
        <v>1.1615991038503897</v>
      </c>
      <c r="O910" s="79">
        <v>8.5703367371568404E-2</v>
      </c>
      <c r="P910" s="79">
        <v>8.0488058637106299E-2</v>
      </c>
      <c r="Q910" s="79">
        <v>0.13061297494947299</v>
      </c>
      <c r="R910" s="80">
        <v>1</v>
      </c>
      <c r="S910" s="79">
        <v>1.1537538779819767</v>
      </c>
      <c r="T910" s="79">
        <v>8.5823265966027504E-2</v>
      </c>
      <c r="U910" s="79">
        <v>9.5622227188229297E-2</v>
      </c>
      <c r="V910" s="79">
        <v>0.15779532679045899</v>
      </c>
      <c r="W910" s="79">
        <v>1</v>
      </c>
    </row>
    <row r="911" spans="1:23" x14ac:dyDescent="0.2">
      <c r="A911" s="69"/>
      <c r="B911" s="84" t="s">
        <v>2630</v>
      </c>
      <c r="C911" s="78">
        <v>5509</v>
      </c>
      <c r="D911" s="79">
        <v>0.99569849309690994</v>
      </c>
      <c r="E911" s="79">
        <v>9.2070033999999995E-2</v>
      </c>
      <c r="F911" s="79">
        <v>0.96265612099999998</v>
      </c>
      <c r="G911" s="79">
        <v>0.991673151733656</v>
      </c>
      <c r="H911" s="80">
        <v>1</v>
      </c>
      <c r="I911" s="79">
        <v>1.068334008582597</v>
      </c>
      <c r="J911" s="79">
        <v>9.1410776248883704E-2</v>
      </c>
      <c r="K911" s="79">
        <v>0.469609702886569</v>
      </c>
      <c r="L911" s="79">
        <v>0.87326336285163797</v>
      </c>
      <c r="M911" s="80">
        <v>1</v>
      </c>
      <c r="N911" s="79">
        <v>1.0318602917575705</v>
      </c>
      <c r="O911" s="79">
        <v>9.0807614471847195E-2</v>
      </c>
      <c r="P911" s="79">
        <v>0.72980748736494405</v>
      </c>
      <c r="Q911" s="79">
        <v>0.784187723510681</v>
      </c>
      <c r="R911" s="80">
        <v>1</v>
      </c>
      <c r="S911" s="79">
        <v>1.1385343964151411</v>
      </c>
      <c r="T911" s="79">
        <v>9.1211498129866606E-2</v>
      </c>
      <c r="U911" s="79">
        <v>0.15490194643333399</v>
      </c>
      <c r="V911" s="79">
        <v>0.22990709944315901</v>
      </c>
      <c r="W911" s="79">
        <v>1</v>
      </c>
    </row>
    <row r="912" spans="1:23" x14ac:dyDescent="0.2">
      <c r="A912" s="69"/>
      <c r="B912" s="84" t="s">
        <v>2631</v>
      </c>
      <c r="C912" s="78">
        <v>5509</v>
      </c>
      <c r="D912" s="79">
        <v>1.0930720232093987</v>
      </c>
      <c r="E912" s="79">
        <v>4.8489416E-2</v>
      </c>
      <c r="F912" s="79">
        <v>6.6462848000000005E-2</v>
      </c>
      <c r="G912" s="79">
        <v>0.520625642666667</v>
      </c>
      <c r="H912" s="80">
        <v>1</v>
      </c>
      <c r="I912" s="79">
        <v>1.0439789859101452</v>
      </c>
      <c r="J912" s="79">
        <v>4.7936920311851199E-2</v>
      </c>
      <c r="K912" s="79">
        <v>0.36927445679735699</v>
      </c>
      <c r="L912" s="79">
        <v>0.81825890508292898</v>
      </c>
      <c r="M912" s="80">
        <v>1</v>
      </c>
      <c r="N912" s="79">
        <v>1.0899298648989455</v>
      </c>
      <c r="O912" s="79">
        <v>4.7641030679099701E-2</v>
      </c>
      <c r="P912" s="79">
        <v>7.06772035577167E-2</v>
      </c>
      <c r="Q912" s="79">
        <v>0.117857255341317</v>
      </c>
      <c r="R912" s="80">
        <v>1</v>
      </c>
      <c r="S912" s="79">
        <v>1.1806484729002076</v>
      </c>
      <c r="T912" s="79">
        <v>4.7785165521768001E-2</v>
      </c>
      <c r="U912" s="79">
        <v>5.1043941165089405E-4</v>
      </c>
      <c r="V912" s="79">
        <v>2.6877494331327199E-3</v>
      </c>
      <c r="W912" s="79">
        <v>0.64774761338498499</v>
      </c>
    </row>
    <row r="913" spans="1:23" x14ac:dyDescent="0.2">
      <c r="A913" s="69"/>
      <c r="B913" s="84" t="s">
        <v>2512</v>
      </c>
      <c r="C913" s="78">
        <v>5531</v>
      </c>
      <c r="D913" s="79">
        <v>0.90394866835075682</v>
      </c>
      <c r="E913" s="79">
        <v>8.9108669000000001E-2</v>
      </c>
      <c r="F913" s="79">
        <v>0.257107849</v>
      </c>
      <c r="G913" s="79">
        <v>0.80165977018673196</v>
      </c>
      <c r="H913" s="80">
        <v>1</v>
      </c>
      <c r="I913" s="79">
        <v>1.0268159932215661</v>
      </c>
      <c r="J913" s="79">
        <v>8.8206058145792396E-2</v>
      </c>
      <c r="K913" s="79">
        <v>0.76416912853307095</v>
      </c>
      <c r="L913" s="79">
        <v>0.95389133514851498</v>
      </c>
      <c r="M913" s="80">
        <v>1</v>
      </c>
      <c r="N913" s="79">
        <v>1.0856127282876014</v>
      </c>
      <c r="O913" s="79">
        <v>8.7995483033365796E-2</v>
      </c>
      <c r="P913" s="79">
        <v>0.35055735038677399</v>
      </c>
      <c r="Q913" s="79">
        <v>0.43594436544962001</v>
      </c>
      <c r="R913" s="80">
        <v>1</v>
      </c>
      <c r="S913" s="79">
        <v>1.2968179591027154</v>
      </c>
      <c r="T913" s="79">
        <v>8.8463807676923301E-2</v>
      </c>
      <c r="U913" s="79">
        <v>3.3025424834174999E-3</v>
      </c>
      <c r="V913" s="79">
        <v>1.1175803763884801E-2</v>
      </c>
      <c r="W913" s="79">
        <v>1</v>
      </c>
    </row>
    <row r="914" spans="1:23" x14ac:dyDescent="0.2">
      <c r="A914" s="69"/>
      <c r="B914" s="84" t="s">
        <v>2632</v>
      </c>
      <c r="C914" s="78">
        <v>5509</v>
      </c>
      <c r="D914" s="79">
        <v>1.0422013043214353</v>
      </c>
      <c r="E914" s="79">
        <v>8.2938467000000002E-2</v>
      </c>
      <c r="F914" s="79">
        <v>0.61821417599999995</v>
      </c>
      <c r="G914" s="79">
        <v>0.96648114430418697</v>
      </c>
      <c r="H914" s="80">
        <v>1</v>
      </c>
      <c r="I914" s="79">
        <v>1.0513732918959471</v>
      </c>
      <c r="J914" s="79">
        <v>8.2283767072320504E-2</v>
      </c>
      <c r="K914" s="79">
        <v>0.54263405891831995</v>
      </c>
      <c r="L914" s="79">
        <v>0.90343620294808502</v>
      </c>
      <c r="M914" s="80">
        <v>1</v>
      </c>
      <c r="N914" s="79">
        <v>1.0944124967796156</v>
      </c>
      <c r="O914" s="79">
        <v>8.15207560559814E-2</v>
      </c>
      <c r="P914" s="79">
        <v>0.26843073311789001</v>
      </c>
      <c r="Q914" s="79">
        <v>0.34865772807226397</v>
      </c>
      <c r="R914" s="80">
        <v>1</v>
      </c>
      <c r="S914" s="79">
        <v>1.1406187083780523</v>
      </c>
      <c r="T914" s="79">
        <v>8.2093264689425904E-2</v>
      </c>
      <c r="U914" s="79">
        <v>0.109000993638157</v>
      </c>
      <c r="V914" s="79">
        <v>0.17531338520509701</v>
      </c>
      <c r="W914" s="79">
        <v>1</v>
      </c>
    </row>
    <row r="915" spans="1:23" x14ac:dyDescent="0.2">
      <c r="A915" s="69"/>
      <c r="B915" s="84" t="s">
        <v>2633</v>
      </c>
      <c r="C915" s="78">
        <v>5509</v>
      </c>
      <c r="D915" s="79">
        <v>1.1051410269220612</v>
      </c>
      <c r="E915" s="79">
        <v>4.2372106E-2</v>
      </c>
      <c r="F915" s="79">
        <v>1.8304273999999999E-2</v>
      </c>
      <c r="G915" s="79">
        <v>0.349577479479452</v>
      </c>
      <c r="H915" s="80">
        <v>1</v>
      </c>
      <c r="I915" s="79">
        <v>1.0342710083218105</v>
      </c>
      <c r="J915" s="79">
        <v>4.1836074899873101E-2</v>
      </c>
      <c r="K915" s="79">
        <v>0.420560431250179</v>
      </c>
      <c r="L915" s="79">
        <v>0.85254183267807904</v>
      </c>
      <c r="M915" s="80">
        <v>1</v>
      </c>
      <c r="N915" s="79">
        <v>1.0689992540509829</v>
      </c>
      <c r="O915" s="79">
        <v>4.1608358884007997E-2</v>
      </c>
      <c r="P915" s="79">
        <v>0.108803470330071</v>
      </c>
      <c r="Q915" s="79">
        <v>0.16858559688505501</v>
      </c>
      <c r="R915" s="80">
        <v>1</v>
      </c>
      <c r="S915" s="79">
        <v>1.1854221604634689</v>
      </c>
      <c r="T915" s="79">
        <v>4.1760285126708797E-2</v>
      </c>
      <c r="U915" s="79">
        <v>4.6366938148068598E-5</v>
      </c>
      <c r="V915" s="79">
        <v>4.5216696200680299E-4</v>
      </c>
      <c r="W915" s="79">
        <v>5.8839644509899099E-2</v>
      </c>
    </row>
    <row r="916" spans="1:23" x14ac:dyDescent="0.2">
      <c r="A916" s="69"/>
      <c r="B916" s="84" t="s">
        <v>2513</v>
      </c>
      <c r="C916" s="78">
        <v>5531</v>
      </c>
      <c r="D916" s="79">
        <v>0.93863265880021207</v>
      </c>
      <c r="E916" s="79">
        <v>7.5103158000000003E-2</v>
      </c>
      <c r="F916" s="79">
        <v>0.39908608099999998</v>
      </c>
      <c r="G916" s="79">
        <v>0.88261195738869902</v>
      </c>
      <c r="H916" s="80">
        <v>1</v>
      </c>
      <c r="I916" s="79">
        <v>1.0521539502928825</v>
      </c>
      <c r="J916" s="79">
        <v>7.4621204755673701E-2</v>
      </c>
      <c r="K916" s="79">
        <v>0.49568153585949498</v>
      </c>
      <c r="L916" s="79">
        <v>0.88650784260657001</v>
      </c>
      <c r="M916" s="80">
        <v>1</v>
      </c>
      <c r="N916" s="79">
        <v>1.0302251629406809</v>
      </c>
      <c r="O916" s="79">
        <v>7.4044486531709294E-2</v>
      </c>
      <c r="P916" s="79">
        <v>0.68756973233208796</v>
      </c>
      <c r="Q916" s="79">
        <v>0.74702567665190001</v>
      </c>
      <c r="R916" s="80">
        <v>1</v>
      </c>
      <c r="S916" s="79">
        <v>1.1515123849836812</v>
      </c>
      <c r="T916" s="79">
        <v>7.4185959808166793E-2</v>
      </c>
      <c r="U916" s="79">
        <v>5.7216106135111897E-2</v>
      </c>
      <c r="V916" s="79">
        <v>0.10372462669351</v>
      </c>
      <c r="W916" s="79">
        <v>1</v>
      </c>
    </row>
    <row r="917" spans="1:23" x14ac:dyDescent="0.2">
      <c r="A917" s="69"/>
      <c r="B917" s="84" t="s">
        <v>2634</v>
      </c>
      <c r="C917" s="78">
        <v>5509</v>
      </c>
      <c r="D917" s="79">
        <v>1.0625345054428201</v>
      </c>
      <c r="E917" s="79">
        <v>5.3231141000000003E-2</v>
      </c>
      <c r="F917" s="79">
        <v>0.25449300200000002</v>
      </c>
      <c r="G917" s="79">
        <v>0.79938519687623799</v>
      </c>
      <c r="H917" s="80">
        <v>1</v>
      </c>
      <c r="I917" s="79">
        <v>1.0198258308505996</v>
      </c>
      <c r="J917" s="79">
        <v>5.2683532135256401E-2</v>
      </c>
      <c r="K917" s="79">
        <v>0.70941827381951805</v>
      </c>
      <c r="L917" s="79">
        <v>0.93958156138094695</v>
      </c>
      <c r="M917" s="80">
        <v>1</v>
      </c>
      <c r="N917" s="79">
        <v>1.0963609034474384</v>
      </c>
      <c r="O917" s="79">
        <v>5.2476337795834598E-2</v>
      </c>
      <c r="P917" s="79">
        <v>7.95843268323701E-2</v>
      </c>
      <c r="Q917" s="79">
        <v>0.12981042512889199</v>
      </c>
      <c r="R917" s="80">
        <v>1</v>
      </c>
      <c r="S917" s="79">
        <v>1.2115723892590657</v>
      </c>
      <c r="T917" s="79">
        <v>5.2553522232795399E-2</v>
      </c>
      <c r="U917" s="79">
        <v>2.6033033953976601E-4</v>
      </c>
      <c r="V917" s="79">
        <v>1.64357811381076E-3</v>
      </c>
      <c r="W917" s="79">
        <v>0.33035920087596299</v>
      </c>
    </row>
    <row r="918" spans="1:23" x14ac:dyDescent="0.2">
      <c r="A918" s="69"/>
      <c r="B918" s="84" t="s">
        <v>2635</v>
      </c>
      <c r="C918" s="78">
        <v>5509</v>
      </c>
      <c r="D918" s="79">
        <v>1.0428197788946576</v>
      </c>
      <c r="E918" s="79">
        <v>8.1166132000000002E-2</v>
      </c>
      <c r="F918" s="79">
        <v>0.60545308200000003</v>
      </c>
      <c r="G918" s="79">
        <v>0.9603999513225</v>
      </c>
      <c r="H918" s="80">
        <v>1</v>
      </c>
      <c r="I918" s="79">
        <v>1.0143561982257574</v>
      </c>
      <c r="J918" s="79">
        <v>8.0453385253471302E-2</v>
      </c>
      <c r="K918" s="79">
        <v>0.85937293101824397</v>
      </c>
      <c r="L918" s="79">
        <v>0.96964513668720897</v>
      </c>
      <c r="M918" s="80">
        <v>1</v>
      </c>
      <c r="N918" s="79">
        <v>1.1014071053629679</v>
      </c>
      <c r="O918" s="79">
        <v>7.9823695794416893E-2</v>
      </c>
      <c r="P918" s="79">
        <v>0.22626986949564101</v>
      </c>
      <c r="Q918" s="79">
        <v>0.30384811046557503</v>
      </c>
      <c r="R918" s="80">
        <v>1</v>
      </c>
      <c r="S918" s="79">
        <v>1.1446109520916805</v>
      </c>
      <c r="T918" s="79">
        <v>8.03827373162814E-2</v>
      </c>
      <c r="U918" s="79">
        <v>9.2904559555989794E-2</v>
      </c>
      <c r="V918" s="79">
        <v>0.15431398701119201</v>
      </c>
      <c r="W918" s="79">
        <v>1</v>
      </c>
    </row>
    <row r="919" spans="1:23" x14ac:dyDescent="0.2">
      <c r="A919" s="69"/>
      <c r="B919" s="84" t="s">
        <v>2636</v>
      </c>
      <c r="C919" s="78">
        <v>5509</v>
      </c>
      <c r="D919" s="79">
        <v>1.1019053800271081</v>
      </c>
      <c r="E919" s="79">
        <v>4.1408249000000001E-2</v>
      </c>
      <c r="F919" s="79">
        <v>1.9103004999999999E-2</v>
      </c>
      <c r="G919" s="79">
        <v>0.349577479479452</v>
      </c>
      <c r="H919" s="80">
        <v>1</v>
      </c>
      <c r="I919" s="79">
        <v>1.0317450038472151</v>
      </c>
      <c r="J919" s="79">
        <v>4.08951981883664E-2</v>
      </c>
      <c r="K919" s="79">
        <v>0.44475627266068202</v>
      </c>
      <c r="L919" s="79">
        <v>0.86970662028650003</v>
      </c>
      <c r="M919" s="80">
        <v>1</v>
      </c>
      <c r="N919" s="79">
        <v>1.0567725131738361</v>
      </c>
      <c r="O919" s="79">
        <v>4.0666896149210797E-2</v>
      </c>
      <c r="P919" s="79">
        <v>0.17451191415744899</v>
      </c>
      <c r="Q919" s="79">
        <v>0.24826863123968901</v>
      </c>
      <c r="R919" s="80">
        <v>1</v>
      </c>
      <c r="S919" s="81">
        <v>1.189108556055845</v>
      </c>
      <c r="T919" s="81">
        <v>4.0862572788727798E-2</v>
      </c>
      <c r="U919" s="81">
        <v>2.24824546109989E-5</v>
      </c>
      <c r="V919" s="81">
        <v>2.76624076030177E-4</v>
      </c>
      <c r="W919" s="81">
        <v>2.8530234901357601E-2</v>
      </c>
    </row>
    <row r="920" spans="1:23" x14ac:dyDescent="0.2">
      <c r="A920" s="69"/>
      <c r="B920" s="84" t="s">
        <v>2514</v>
      </c>
      <c r="C920" s="78">
        <v>5531</v>
      </c>
      <c r="D920" s="79">
        <v>0.93915716303960783</v>
      </c>
      <c r="E920" s="79">
        <v>6.8252566000000001E-2</v>
      </c>
      <c r="F920" s="79">
        <v>0.35772528999999997</v>
      </c>
      <c r="G920" s="79">
        <v>0.87466935069364204</v>
      </c>
      <c r="H920" s="80">
        <v>1</v>
      </c>
      <c r="I920" s="79">
        <v>1.0184345869209084</v>
      </c>
      <c r="J920" s="79">
        <v>6.7723990791362806E-2</v>
      </c>
      <c r="K920" s="79">
        <v>0.78737323135840398</v>
      </c>
      <c r="L920" s="79">
        <v>0.95970310918962698</v>
      </c>
      <c r="M920" s="80">
        <v>1</v>
      </c>
      <c r="N920" s="79">
        <v>0.98837575378835951</v>
      </c>
      <c r="O920" s="79">
        <v>6.7189621969311705E-2</v>
      </c>
      <c r="P920" s="79">
        <v>0.86184976862041895</v>
      </c>
      <c r="Q920" s="79">
        <v>0.88990020860806496</v>
      </c>
      <c r="R920" s="80">
        <v>1</v>
      </c>
      <c r="S920" s="79">
        <v>1.1439576667887805</v>
      </c>
      <c r="T920" s="79">
        <v>6.7241717635003501E-2</v>
      </c>
      <c r="U920" s="79">
        <v>4.5483481159277202E-2</v>
      </c>
      <c r="V920" s="79">
        <v>8.7056617784498899E-2</v>
      </c>
      <c r="W920" s="79">
        <v>1</v>
      </c>
    </row>
    <row r="921" spans="1:23" x14ac:dyDescent="0.2">
      <c r="A921" s="69"/>
      <c r="B921" s="84" t="s">
        <v>2637</v>
      </c>
      <c r="C921" s="78">
        <v>5509</v>
      </c>
      <c r="D921" s="79">
        <v>1.0182827234696989</v>
      </c>
      <c r="E921" s="79">
        <v>8.4303481E-2</v>
      </c>
      <c r="F921" s="79">
        <v>0.82983801700000004</v>
      </c>
      <c r="G921" s="79">
        <v>0.98545101377932998</v>
      </c>
      <c r="H921" s="80">
        <v>1</v>
      </c>
      <c r="I921" s="79">
        <v>1.0356001271324395</v>
      </c>
      <c r="J921" s="79">
        <v>8.3722170713581498E-2</v>
      </c>
      <c r="K921" s="79">
        <v>0.67607615678028399</v>
      </c>
      <c r="L921" s="79">
        <v>0.93057850825384603</v>
      </c>
      <c r="M921" s="80">
        <v>1</v>
      </c>
      <c r="N921" s="79">
        <v>1.0664168554170368</v>
      </c>
      <c r="O921" s="79">
        <v>8.2815941381537195E-2</v>
      </c>
      <c r="P921" s="79">
        <v>0.43747009026864497</v>
      </c>
      <c r="Q921" s="79">
        <v>0.52077818438171697</v>
      </c>
      <c r="R921" s="80">
        <v>1</v>
      </c>
      <c r="S921" s="79">
        <v>1.1508168784316373</v>
      </c>
      <c r="T921" s="79">
        <v>8.3418503217750697E-2</v>
      </c>
      <c r="U921" s="79">
        <v>9.2192650979716406E-2</v>
      </c>
      <c r="V921" s="79">
        <v>0.15333220719955501</v>
      </c>
      <c r="W921" s="79">
        <v>1</v>
      </c>
    </row>
    <row r="922" spans="1:23" x14ac:dyDescent="0.2">
      <c r="A922" s="69"/>
      <c r="B922" s="84" t="s">
        <v>2638</v>
      </c>
      <c r="C922" s="78">
        <v>5509</v>
      </c>
      <c r="D922" s="79">
        <v>1.0569757950954235</v>
      </c>
      <c r="E922" s="79">
        <v>6.6037111999999995E-2</v>
      </c>
      <c r="F922" s="79">
        <v>0.40141263599999999</v>
      </c>
      <c r="G922" s="79">
        <v>0.88261195738869902</v>
      </c>
      <c r="H922" s="80">
        <v>1</v>
      </c>
      <c r="I922" s="79">
        <v>1.0746084031466687</v>
      </c>
      <c r="J922" s="79">
        <v>6.5453539580805797E-2</v>
      </c>
      <c r="K922" s="79">
        <v>0.27161562859162403</v>
      </c>
      <c r="L922" s="79">
        <v>0.76256688646630699</v>
      </c>
      <c r="M922" s="80">
        <v>1</v>
      </c>
      <c r="N922" s="79">
        <v>1.0891064930953649</v>
      </c>
      <c r="O922" s="79">
        <v>6.5061720697159903E-2</v>
      </c>
      <c r="P922" s="79">
        <v>0.189537500761569</v>
      </c>
      <c r="Q922" s="79">
        <v>0.26460185749882398</v>
      </c>
      <c r="R922" s="80">
        <v>1</v>
      </c>
      <c r="S922" s="79">
        <v>1.2874575299961264</v>
      </c>
      <c r="T922" s="79">
        <v>6.5453542156960504E-2</v>
      </c>
      <c r="U922" s="79">
        <v>1.13254572667141E-4</v>
      </c>
      <c r="V922" s="79">
        <v>8.6059911805150898E-4</v>
      </c>
      <c r="W922" s="79">
        <v>0.143720052714602</v>
      </c>
    </row>
    <row r="923" spans="1:23" x14ac:dyDescent="0.2">
      <c r="A923" s="69"/>
      <c r="B923" s="84" t="s">
        <v>2639</v>
      </c>
      <c r="C923" s="78">
        <v>5509</v>
      </c>
      <c r="D923" s="79">
        <v>1.2579413014814476</v>
      </c>
      <c r="E923" s="79">
        <v>8.9837051000000001E-2</v>
      </c>
      <c r="F923" s="79">
        <v>1.0638208999999999E-2</v>
      </c>
      <c r="G923" s="79">
        <v>0.29999749380000001</v>
      </c>
      <c r="H923" s="80">
        <v>1</v>
      </c>
      <c r="I923" s="79">
        <v>1.0037003970529215</v>
      </c>
      <c r="J923" s="79">
        <v>8.7917040466541196E-2</v>
      </c>
      <c r="K923" s="79">
        <v>0.96648916166389298</v>
      </c>
      <c r="L923" s="79">
        <v>0.98858779149967102</v>
      </c>
      <c r="M923" s="80">
        <v>1</v>
      </c>
      <c r="N923" s="79">
        <v>1.0988521344236564</v>
      </c>
      <c r="O923" s="79">
        <v>8.7195873193428003E-2</v>
      </c>
      <c r="P923" s="79">
        <v>0.27965945699431299</v>
      </c>
      <c r="Q923" s="79">
        <v>0.36051256673429599</v>
      </c>
      <c r="R923" s="80">
        <v>1</v>
      </c>
      <c r="S923" s="79">
        <v>1.2088155840066872</v>
      </c>
      <c r="T923" s="79">
        <v>8.8036668736490298E-2</v>
      </c>
      <c r="U923" s="79">
        <v>3.12312298800142E-2</v>
      </c>
      <c r="V923" s="79">
        <v>6.29086201868857E-2</v>
      </c>
      <c r="W923" s="79">
        <v>1</v>
      </c>
    </row>
    <row r="924" spans="1:23" x14ac:dyDescent="0.2">
      <c r="A924" s="69"/>
      <c r="B924" s="84" t="s">
        <v>2640</v>
      </c>
      <c r="C924" s="78">
        <v>5509</v>
      </c>
      <c r="D924" s="79">
        <v>1.1228409385894391</v>
      </c>
      <c r="E924" s="79">
        <v>7.5325883999999996E-2</v>
      </c>
      <c r="F924" s="79">
        <v>0.124013507</v>
      </c>
      <c r="G924" s="79">
        <v>0.65626131345967698</v>
      </c>
      <c r="H924" s="80">
        <v>1</v>
      </c>
      <c r="I924" s="79">
        <v>1.116518434962144</v>
      </c>
      <c r="J924" s="79">
        <v>7.4795033421951193E-2</v>
      </c>
      <c r="K924" s="79">
        <v>0.140598894424593</v>
      </c>
      <c r="L924" s="79">
        <v>0.65586150762509099</v>
      </c>
      <c r="M924" s="80">
        <v>1</v>
      </c>
      <c r="N924" s="79">
        <v>1.179263441149957</v>
      </c>
      <c r="O924" s="79">
        <v>7.3679053011514395E-2</v>
      </c>
      <c r="P924" s="79">
        <v>2.52243119383464E-2</v>
      </c>
      <c r="Q924" s="79">
        <v>5.0171868103074599E-2</v>
      </c>
      <c r="R924" s="80">
        <v>1</v>
      </c>
      <c r="S924" s="79">
        <v>1.0826749281728418</v>
      </c>
      <c r="T924" s="79">
        <v>7.3936113033368195E-2</v>
      </c>
      <c r="U924" s="79">
        <v>0.282656746154413</v>
      </c>
      <c r="V924" s="79">
        <v>0.37520022057526198</v>
      </c>
      <c r="W924" s="79">
        <v>1</v>
      </c>
    </row>
    <row r="925" spans="1:23" x14ac:dyDescent="0.2">
      <c r="A925" s="69"/>
      <c r="B925" s="84" t="s">
        <v>2641</v>
      </c>
      <c r="C925" s="78">
        <v>5509</v>
      </c>
      <c r="D925" s="79">
        <v>1.1929072524893016</v>
      </c>
      <c r="E925" s="79">
        <v>8.5168704999999997E-2</v>
      </c>
      <c r="F925" s="79">
        <v>3.8348911999999999E-2</v>
      </c>
      <c r="G925" s="79">
        <v>0.43563485277876102</v>
      </c>
      <c r="H925" s="80">
        <v>1</v>
      </c>
      <c r="I925" s="79">
        <v>0.98509899186775651</v>
      </c>
      <c r="J925" s="79">
        <v>8.3970431009063207E-2</v>
      </c>
      <c r="K925" s="79">
        <v>0.85810194169494303</v>
      </c>
      <c r="L925" s="79">
        <v>0.96964513668720897</v>
      </c>
      <c r="M925" s="80">
        <v>1</v>
      </c>
      <c r="N925" s="79">
        <v>1.2287115722559767</v>
      </c>
      <c r="O925" s="79">
        <v>8.3299242727252698E-2</v>
      </c>
      <c r="P925" s="79">
        <v>1.34132331253933E-2</v>
      </c>
      <c r="Q925" s="79">
        <v>3.02333798154957E-2</v>
      </c>
      <c r="R925" s="80">
        <v>1</v>
      </c>
      <c r="S925" s="79">
        <v>0.97834090539072494</v>
      </c>
      <c r="T925" s="79">
        <v>8.3310557488518303E-2</v>
      </c>
      <c r="U925" s="79">
        <v>0.79267622831653595</v>
      </c>
      <c r="V925" s="79">
        <v>0.83547021074226302</v>
      </c>
      <c r="W925" s="79">
        <v>1</v>
      </c>
    </row>
    <row r="926" spans="1:23" x14ac:dyDescent="0.2">
      <c r="A926" s="69"/>
      <c r="B926" s="84" t="s">
        <v>2642</v>
      </c>
      <c r="C926" s="78">
        <v>5509</v>
      </c>
      <c r="D926" s="79">
        <v>1.0936660987138425</v>
      </c>
      <c r="E926" s="79">
        <v>6.5875781999999994E-2</v>
      </c>
      <c r="F926" s="79">
        <v>0.17409725300000001</v>
      </c>
      <c r="G926" s="79">
        <v>0.70136321922857203</v>
      </c>
      <c r="H926" s="80">
        <v>1</v>
      </c>
      <c r="I926" s="79">
        <v>1.0033487988660539</v>
      </c>
      <c r="J926" s="79">
        <v>6.5055871792545406E-2</v>
      </c>
      <c r="K926" s="79">
        <v>0.95901496284774401</v>
      </c>
      <c r="L926" s="79">
        <v>0.98719988166166295</v>
      </c>
      <c r="M926" s="80">
        <v>1</v>
      </c>
      <c r="N926" s="79">
        <v>1.1704369524276714</v>
      </c>
      <c r="O926" s="79">
        <v>6.4742342849144902E-2</v>
      </c>
      <c r="P926" s="79">
        <v>1.5064593288578501E-2</v>
      </c>
      <c r="Q926" s="79">
        <v>3.3189182088899503E-2</v>
      </c>
      <c r="R926" s="80">
        <v>1</v>
      </c>
      <c r="S926" s="79">
        <v>1.1282714066814157</v>
      </c>
      <c r="T926" s="79">
        <v>6.4577978594502899E-2</v>
      </c>
      <c r="U926" s="79">
        <v>6.1643303554612297E-2</v>
      </c>
      <c r="V926" s="79">
        <v>0.110021592420257</v>
      </c>
      <c r="W926" s="79">
        <v>1</v>
      </c>
    </row>
    <row r="927" spans="1:23" x14ac:dyDescent="0.2">
      <c r="A927" s="69"/>
      <c r="B927" s="84" t="s">
        <v>2643</v>
      </c>
      <c r="C927" s="78">
        <v>5509</v>
      </c>
      <c r="D927" s="79">
        <v>1.0570536421153842</v>
      </c>
      <c r="E927" s="79">
        <v>7.8046704999999994E-2</v>
      </c>
      <c r="F927" s="79">
        <v>0.47712991300000002</v>
      </c>
      <c r="G927" s="79">
        <v>0.92469797334961801</v>
      </c>
      <c r="H927" s="80">
        <v>1</v>
      </c>
      <c r="I927" s="79">
        <v>0.97464081391538648</v>
      </c>
      <c r="J927" s="79">
        <v>7.7477537421986001E-2</v>
      </c>
      <c r="K927" s="79">
        <v>0.74024278199835603</v>
      </c>
      <c r="L927" s="79">
        <v>0.95161388289627002</v>
      </c>
      <c r="M927" s="80">
        <v>1</v>
      </c>
      <c r="N927" s="79">
        <v>1.116188124318747</v>
      </c>
      <c r="O927" s="79">
        <v>7.6719700786325104E-2</v>
      </c>
      <c r="P927" s="79">
        <v>0.15193202025165001</v>
      </c>
      <c r="Q927" s="79">
        <v>0.22084963768538801</v>
      </c>
      <c r="R927" s="80">
        <v>1</v>
      </c>
      <c r="S927" s="79">
        <v>1.0191209925747744</v>
      </c>
      <c r="T927" s="79">
        <v>7.6854560852508497E-2</v>
      </c>
      <c r="U927" s="79">
        <v>0.805337155586763</v>
      </c>
      <c r="V927" s="79">
        <v>0.84460566152033301</v>
      </c>
      <c r="W927" s="79">
        <v>1</v>
      </c>
    </row>
    <row r="928" spans="1:23" x14ac:dyDescent="0.2">
      <c r="A928" s="69"/>
      <c r="B928" s="84" t="s">
        <v>2644</v>
      </c>
      <c r="C928" s="78">
        <v>5509</v>
      </c>
      <c r="D928" s="79">
        <v>1.1751634966484605</v>
      </c>
      <c r="E928" s="79">
        <v>9.8078424999999997E-2</v>
      </c>
      <c r="F928" s="79">
        <v>9.9826339E-2</v>
      </c>
      <c r="G928" s="79">
        <v>0.61409274316589901</v>
      </c>
      <c r="H928" s="80">
        <v>1</v>
      </c>
      <c r="I928" s="79">
        <v>0.99655006857700423</v>
      </c>
      <c r="J928" s="79">
        <v>9.6895604151996606E-2</v>
      </c>
      <c r="K928" s="79">
        <v>0.97154853701164601</v>
      </c>
      <c r="L928" s="79">
        <v>0.99045212281500505</v>
      </c>
      <c r="M928" s="80">
        <v>1</v>
      </c>
      <c r="N928" s="79">
        <v>1.1582550552732804</v>
      </c>
      <c r="O928" s="79">
        <v>9.6001035554592606E-2</v>
      </c>
      <c r="P928" s="79">
        <v>0.125931599624729</v>
      </c>
      <c r="Q928" s="79">
        <v>0.18845188670257201</v>
      </c>
      <c r="R928" s="80">
        <v>1</v>
      </c>
      <c r="S928" s="79">
        <v>1.1419412054706317</v>
      </c>
      <c r="T928" s="79">
        <v>9.6420906219345501E-2</v>
      </c>
      <c r="U928" s="79">
        <v>0.168646838124557</v>
      </c>
      <c r="V928" s="79">
        <v>0.24783645747434499</v>
      </c>
      <c r="W928" s="79">
        <v>1</v>
      </c>
    </row>
    <row r="929" spans="1:23" x14ac:dyDescent="0.2">
      <c r="A929" s="69"/>
      <c r="B929" s="84" t="s">
        <v>2645</v>
      </c>
      <c r="C929" s="78">
        <v>5509</v>
      </c>
      <c r="D929" s="79">
        <v>1.0651302743352662</v>
      </c>
      <c r="E929" s="79">
        <v>7.1342559999999999E-2</v>
      </c>
      <c r="F929" s="79">
        <v>0.376467051</v>
      </c>
      <c r="G929" s="79">
        <v>0.880152082540541</v>
      </c>
      <c r="H929" s="80">
        <v>1</v>
      </c>
      <c r="I929" s="79">
        <v>1.1195182948936557</v>
      </c>
      <c r="J929" s="79">
        <v>7.1224299142652298E-2</v>
      </c>
      <c r="K929" s="79">
        <v>0.112940865096353</v>
      </c>
      <c r="L929" s="79">
        <v>0.62424045135977002</v>
      </c>
      <c r="M929" s="80">
        <v>1</v>
      </c>
      <c r="N929" s="79">
        <v>1.3252384664634775</v>
      </c>
      <c r="O929" s="79">
        <v>7.0340976313555306E-2</v>
      </c>
      <c r="P929" s="79">
        <v>6.2478577294620603E-5</v>
      </c>
      <c r="Q929" s="79">
        <v>3.9864250255955701E-4</v>
      </c>
      <c r="R929" s="80">
        <v>7.9285314586873504E-2</v>
      </c>
      <c r="S929" s="79">
        <v>1.2145382608592037</v>
      </c>
      <c r="T929" s="79">
        <v>7.0481865011527603E-2</v>
      </c>
      <c r="U929" s="79">
        <v>5.8219361679993902E-3</v>
      </c>
      <c r="V929" s="79">
        <v>1.7507196675808599E-2</v>
      </c>
      <c r="W929" s="79">
        <v>1</v>
      </c>
    </row>
    <row r="930" spans="1:23" x14ac:dyDescent="0.2">
      <c r="A930" s="69"/>
      <c r="B930" s="84" t="s">
        <v>2646</v>
      </c>
      <c r="C930" s="78">
        <v>5509</v>
      </c>
      <c r="D930" s="79">
        <v>1.2058418455152506</v>
      </c>
      <c r="E930" s="79">
        <v>7.8927416E-2</v>
      </c>
      <c r="F930" s="79">
        <v>1.7715084999999998E-2</v>
      </c>
      <c r="G930" s="79">
        <v>0.349577479479452</v>
      </c>
      <c r="H930" s="80">
        <v>1</v>
      </c>
      <c r="I930" s="79">
        <v>0.97754122016193323</v>
      </c>
      <c r="J930" s="79">
        <v>7.8017107692448698E-2</v>
      </c>
      <c r="K930" s="79">
        <v>0.77093524680135295</v>
      </c>
      <c r="L930" s="79">
        <v>0.95389133514851498</v>
      </c>
      <c r="M930" s="80">
        <v>1</v>
      </c>
      <c r="N930" s="79">
        <v>1.2456310866452762</v>
      </c>
      <c r="O930" s="79">
        <v>7.7308532865273005E-2</v>
      </c>
      <c r="P930" s="79">
        <v>4.49563419060437E-3</v>
      </c>
      <c r="Q930" s="79">
        <v>1.2321727403621901E-2</v>
      </c>
      <c r="R930" s="80">
        <v>1</v>
      </c>
      <c r="S930" s="79">
        <v>1.1883184152988686</v>
      </c>
      <c r="T930" s="79">
        <v>7.77447963044548E-2</v>
      </c>
      <c r="U930" s="79">
        <v>2.6466159895359699E-2</v>
      </c>
      <c r="V930" s="79">
        <v>5.4522007966252402E-2</v>
      </c>
      <c r="W930" s="79">
        <v>1</v>
      </c>
    </row>
    <row r="931" spans="1:23" x14ac:dyDescent="0.2">
      <c r="A931" s="69"/>
      <c r="B931" s="84" t="s">
        <v>2647</v>
      </c>
      <c r="C931" s="78">
        <v>5509</v>
      </c>
      <c r="D931" s="79">
        <v>1.1215318241600511</v>
      </c>
      <c r="E931" s="79">
        <v>5.8783543000000001E-2</v>
      </c>
      <c r="F931" s="79">
        <v>5.1039322999999998E-2</v>
      </c>
      <c r="G931" s="79">
        <v>0.465963315733813</v>
      </c>
      <c r="H931" s="80">
        <v>1</v>
      </c>
      <c r="I931" s="79">
        <v>1.0737272242963316</v>
      </c>
      <c r="J931" s="79">
        <v>5.8193046392032002E-2</v>
      </c>
      <c r="K931" s="79">
        <v>0.22155118483917399</v>
      </c>
      <c r="L931" s="79">
        <v>0.73459417908661795</v>
      </c>
      <c r="M931" s="80">
        <v>1</v>
      </c>
      <c r="N931" s="79">
        <v>1.1637122134255737</v>
      </c>
      <c r="O931" s="79">
        <v>5.7676734347899501E-2</v>
      </c>
      <c r="P931" s="79">
        <v>8.5710854855264498E-3</v>
      </c>
      <c r="Q931" s="79">
        <v>2.0836604369986699E-2</v>
      </c>
      <c r="R931" s="80">
        <v>1</v>
      </c>
      <c r="S931" s="79">
        <v>1.1958386585171088</v>
      </c>
      <c r="T931" s="79">
        <v>5.7837076527582403E-2</v>
      </c>
      <c r="U931" s="79">
        <v>1.98633378136717E-3</v>
      </c>
      <c r="V931" s="79">
        <v>7.6615731567019401E-3</v>
      </c>
      <c r="W931" s="79">
        <v>1</v>
      </c>
    </row>
    <row r="932" spans="1:23" x14ac:dyDescent="0.2">
      <c r="A932" s="69"/>
      <c r="B932" s="84" t="s">
        <v>2648</v>
      </c>
      <c r="C932" s="78">
        <v>5509</v>
      </c>
      <c r="D932" s="79">
        <v>1.1646147108299505</v>
      </c>
      <c r="E932" s="79">
        <v>6.5441447E-2</v>
      </c>
      <c r="F932" s="79">
        <v>1.9877545E-2</v>
      </c>
      <c r="G932" s="79">
        <v>0.349577479479452</v>
      </c>
      <c r="H932" s="80">
        <v>1</v>
      </c>
      <c r="I932" s="79">
        <v>0.98358315848489974</v>
      </c>
      <c r="J932" s="79">
        <v>6.4800417817796302E-2</v>
      </c>
      <c r="K932" s="79">
        <v>0.79837764998383798</v>
      </c>
      <c r="L932" s="79">
        <v>0.96123457099572096</v>
      </c>
      <c r="M932" s="80">
        <v>1</v>
      </c>
      <c r="N932" s="79">
        <v>1.1638173072043982</v>
      </c>
      <c r="O932" s="79">
        <v>6.4140828973252503E-2</v>
      </c>
      <c r="P932" s="79">
        <v>1.8020718996478498E-2</v>
      </c>
      <c r="Q932" s="79">
        <v>3.8113820677552E-2</v>
      </c>
      <c r="R932" s="80">
        <v>1</v>
      </c>
      <c r="S932" s="79">
        <v>1.15312729077645</v>
      </c>
      <c r="T932" s="79">
        <v>6.4548905760498598E-2</v>
      </c>
      <c r="U932" s="79">
        <v>2.72943672642454E-2</v>
      </c>
      <c r="V932" s="79">
        <v>5.5942555372281197E-2</v>
      </c>
      <c r="W932" s="79">
        <v>1</v>
      </c>
    </row>
    <row r="933" spans="1:23" x14ac:dyDescent="0.2">
      <c r="A933" s="69"/>
      <c r="B933" s="84" t="s">
        <v>2649</v>
      </c>
      <c r="C933" s="78">
        <v>5509</v>
      </c>
      <c r="D933" s="79">
        <v>1.1197927773887046</v>
      </c>
      <c r="E933" s="79">
        <v>0.101926318</v>
      </c>
      <c r="F933" s="79">
        <v>0.26697604800000002</v>
      </c>
      <c r="G933" s="79">
        <v>0.82078783688755996</v>
      </c>
      <c r="H933" s="80">
        <v>1</v>
      </c>
      <c r="I933" s="79">
        <v>1.1573937655975488</v>
      </c>
      <c r="J933" s="79">
        <v>0.10163064078101</v>
      </c>
      <c r="K933" s="79">
        <v>0.150361864681889</v>
      </c>
      <c r="L933" s="79">
        <v>0.66470888806839401</v>
      </c>
      <c r="M933" s="80">
        <v>1</v>
      </c>
      <c r="N933" s="79">
        <v>1.2119728567336088</v>
      </c>
      <c r="O933" s="79">
        <v>0.100053847605477</v>
      </c>
      <c r="P933" s="79">
        <v>5.46737078925989E-2</v>
      </c>
      <c r="Q933" s="79">
        <v>9.5697841814769702E-2</v>
      </c>
      <c r="R933" s="80">
        <v>1</v>
      </c>
      <c r="S933" s="79">
        <v>1.2984633074314078</v>
      </c>
      <c r="T933" s="79">
        <v>0.100868572716259</v>
      </c>
      <c r="U933" s="79">
        <v>9.6164350984703304E-3</v>
      </c>
      <c r="V933" s="79">
        <v>2.55833462053645E-2</v>
      </c>
      <c r="W933" s="79">
        <v>1</v>
      </c>
    </row>
    <row r="934" spans="1:23" x14ac:dyDescent="0.2">
      <c r="A934" s="69"/>
      <c r="B934" s="84" t="s">
        <v>2650</v>
      </c>
      <c r="C934" s="78">
        <v>5509</v>
      </c>
      <c r="D934" s="79">
        <v>1.1061807726650301</v>
      </c>
      <c r="E934" s="79">
        <v>5.3468859000000001E-2</v>
      </c>
      <c r="F934" s="79">
        <v>5.9116065000000002E-2</v>
      </c>
      <c r="G934" s="79">
        <v>0.49680984427152303</v>
      </c>
      <c r="H934" s="80">
        <v>1</v>
      </c>
      <c r="I934" s="79">
        <v>1.1818456080148545</v>
      </c>
      <c r="J934" s="79">
        <v>5.3258360015185399E-2</v>
      </c>
      <c r="K934" s="79">
        <v>1.7062256599858099E-3</v>
      </c>
      <c r="L934" s="79">
        <v>0.18043336354349901</v>
      </c>
      <c r="M934" s="80">
        <v>1</v>
      </c>
      <c r="N934" s="79">
        <v>1.0595527718772408</v>
      </c>
      <c r="O934" s="79">
        <v>5.2353817186610599E-2</v>
      </c>
      <c r="P934" s="79">
        <v>0.269193211757908</v>
      </c>
      <c r="Q934" s="79">
        <v>0.34893379542470399</v>
      </c>
      <c r="R934" s="80">
        <v>1</v>
      </c>
      <c r="S934" s="79">
        <v>1.159721719423503</v>
      </c>
      <c r="T934" s="79">
        <v>5.2617289350056801E-2</v>
      </c>
      <c r="U934" s="79">
        <v>4.8597505934452404E-3</v>
      </c>
      <c r="V934" s="79">
        <v>1.50516230864265E-2</v>
      </c>
      <c r="W934" s="79">
        <v>1</v>
      </c>
    </row>
    <row r="935" spans="1:23" x14ac:dyDescent="0.2">
      <c r="A935" s="69"/>
      <c r="B935" s="84" t="s">
        <v>2651</v>
      </c>
      <c r="C935" s="78">
        <v>5509</v>
      </c>
      <c r="D935" s="79">
        <v>1.2956914294229356</v>
      </c>
      <c r="E935" s="79">
        <v>7.1796449999999998E-2</v>
      </c>
      <c r="F935" s="79">
        <v>3.0851899999999999E-4</v>
      </c>
      <c r="G935" s="79">
        <v>8.2042844142857105E-2</v>
      </c>
      <c r="H935" s="80">
        <v>0.39151061100000001</v>
      </c>
      <c r="I935" s="79">
        <v>1.0277265227681864</v>
      </c>
      <c r="J935" s="79">
        <v>7.07484446704469E-2</v>
      </c>
      <c r="K935" s="79">
        <v>0.69907585887299994</v>
      </c>
      <c r="L935" s="79">
        <v>0.9363531347706</v>
      </c>
      <c r="M935" s="80">
        <v>1</v>
      </c>
      <c r="N935" s="79">
        <v>1.0305504628833286</v>
      </c>
      <c r="O935" s="79">
        <v>7.0081345802922301E-2</v>
      </c>
      <c r="P935" s="79">
        <v>0.66763049695759002</v>
      </c>
      <c r="Q935" s="79">
        <v>0.735436719304845</v>
      </c>
      <c r="R935" s="80">
        <v>1</v>
      </c>
      <c r="S935" s="79">
        <v>1.1014127802640319</v>
      </c>
      <c r="T935" s="79">
        <v>7.0217594827392094E-2</v>
      </c>
      <c r="U935" s="79">
        <v>0.16893501632412</v>
      </c>
      <c r="V935" s="79">
        <v>0.24783645747434499</v>
      </c>
      <c r="W935" s="79">
        <v>1</v>
      </c>
    </row>
    <row r="936" spans="1:23" x14ac:dyDescent="0.2">
      <c r="A936" s="69"/>
      <c r="B936" s="84" t="s">
        <v>2652</v>
      </c>
      <c r="C936" s="78">
        <v>5509</v>
      </c>
      <c r="D936" s="79">
        <v>1.1204322832182596</v>
      </c>
      <c r="E936" s="79">
        <v>8.2691508999999996E-2</v>
      </c>
      <c r="F936" s="79">
        <v>0.16907989000000001</v>
      </c>
      <c r="G936" s="79">
        <v>0.701184249705882</v>
      </c>
      <c r="H936" s="80">
        <v>1</v>
      </c>
      <c r="I936" s="79">
        <v>1.260300326185755</v>
      </c>
      <c r="J936" s="79">
        <v>8.2903122731428996E-2</v>
      </c>
      <c r="K936" s="79">
        <v>5.2609284263594996E-3</v>
      </c>
      <c r="L936" s="79">
        <v>0.238166276214551</v>
      </c>
      <c r="M936" s="80">
        <v>1</v>
      </c>
      <c r="N936" s="79">
        <v>1.2072107038077347</v>
      </c>
      <c r="O936" s="79">
        <v>8.1039236847891993E-2</v>
      </c>
      <c r="P936" s="79">
        <v>2.0140506075653999E-2</v>
      </c>
      <c r="Q936" s="79">
        <v>4.18988560819753E-2</v>
      </c>
      <c r="R936" s="80">
        <v>1</v>
      </c>
      <c r="S936" s="79">
        <v>1.2289207207011055</v>
      </c>
      <c r="T936" s="79">
        <v>8.1579908448288802E-2</v>
      </c>
      <c r="U936" s="79">
        <v>1.1510619385104399E-2</v>
      </c>
      <c r="V936" s="79">
        <v>2.8855467321518301E-2</v>
      </c>
      <c r="W936" s="79">
        <v>1</v>
      </c>
    </row>
    <row r="937" spans="1:23" x14ac:dyDescent="0.2">
      <c r="A937" s="69"/>
      <c r="B937" s="84" t="s">
        <v>2653</v>
      </c>
      <c r="C937" s="78">
        <v>5509</v>
      </c>
      <c r="D937" s="79">
        <v>1.321506923274429</v>
      </c>
      <c r="E937" s="79">
        <v>0.10134275800000001</v>
      </c>
      <c r="F937" s="79">
        <v>5.9451649999999997E-3</v>
      </c>
      <c r="G937" s="79">
        <v>0.23576294953124999</v>
      </c>
      <c r="H937" s="80">
        <v>1</v>
      </c>
      <c r="I937" s="79">
        <v>1.0093993646937236</v>
      </c>
      <c r="J937" s="79">
        <v>0.10058597691013201</v>
      </c>
      <c r="K937" s="79">
        <v>0.92589590255486898</v>
      </c>
      <c r="L937" s="79">
        <v>0.981200184300273</v>
      </c>
      <c r="M937" s="80">
        <v>1</v>
      </c>
      <c r="N937" s="79">
        <v>1.045931209500232</v>
      </c>
      <c r="O937" s="79">
        <v>9.9667077884389305E-2</v>
      </c>
      <c r="P937" s="79">
        <v>0.65229513192569799</v>
      </c>
      <c r="Q937" s="79">
        <v>0.72656897797208098</v>
      </c>
      <c r="R937" s="80">
        <v>1</v>
      </c>
      <c r="S937" s="79">
        <v>1.2016571027521012</v>
      </c>
      <c r="T937" s="79">
        <v>0.100088516564666</v>
      </c>
      <c r="U937" s="79">
        <v>6.6447834480596907E-2</v>
      </c>
      <c r="V937" s="79">
        <v>0.11678989190564699</v>
      </c>
      <c r="W937" s="79">
        <v>1</v>
      </c>
    </row>
    <row r="938" spans="1:23" x14ac:dyDescent="0.2">
      <c r="A938" s="69"/>
      <c r="B938" s="84" t="s">
        <v>2654</v>
      </c>
      <c r="C938" s="78">
        <v>5509</v>
      </c>
      <c r="D938" s="79">
        <v>1.1346906026636525</v>
      </c>
      <c r="E938" s="79">
        <v>7.3961740999999998E-2</v>
      </c>
      <c r="F938" s="79">
        <v>8.7552674999999996E-2</v>
      </c>
      <c r="G938" s="79">
        <v>0.59336855393782395</v>
      </c>
      <c r="H938" s="80">
        <v>1</v>
      </c>
      <c r="I938" s="79">
        <v>1.3202389866129656</v>
      </c>
      <c r="J938" s="79">
        <v>7.4138004360822005E-2</v>
      </c>
      <c r="K938" s="79">
        <v>1.7879220246277099E-4</v>
      </c>
      <c r="L938" s="79">
        <v>0.18043336354349901</v>
      </c>
      <c r="M938" s="80">
        <v>0.22688730492525599</v>
      </c>
      <c r="N938" s="79">
        <v>1.0631870684686253</v>
      </c>
      <c r="O938" s="79">
        <v>7.2416975243312795E-2</v>
      </c>
      <c r="P938" s="79">
        <v>0.39750418021656497</v>
      </c>
      <c r="Q938" s="79">
        <v>0.48224933527229602</v>
      </c>
      <c r="R938" s="80">
        <v>1</v>
      </c>
      <c r="S938" s="79">
        <v>1.2776534291423651</v>
      </c>
      <c r="T938" s="79">
        <v>7.3134757936279701E-2</v>
      </c>
      <c r="U938" s="79">
        <v>8.0717077028776604E-4</v>
      </c>
      <c r="V938" s="79">
        <v>3.7937026203525002E-3</v>
      </c>
      <c r="W938" s="79">
        <v>1</v>
      </c>
    </row>
    <row r="939" spans="1:23" x14ac:dyDescent="0.2">
      <c r="A939" s="69"/>
      <c r="B939" s="84" t="s">
        <v>2655</v>
      </c>
      <c r="C939" s="78">
        <v>5509</v>
      </c>
      <c r="D939" s="79">
        <v>1.2864322177221221</v>
      </c>
      <c r="E939" s="79">
        <v>9.3984759000000001E-2</v>
      </c>
      <c r="F939" s="79">
        <v>7.3637349999999997E-3</v>
      </c>
      <c r="G939" s="79">
        <v>0.25255620851351401</v>
      </c>
      <c r="H939" s="80">
        <v>1</v>
      </c>
      <c r="I939" s="79">
        <v>1.0127252775162225</v>
      </c>
      <c r="J939" s="79">
        <v>9.2731627272404707E-2</v>
      </c>
      <c r="K939" s="79">
        <v>0.89153578262880395</v>
      </c>
      <c r="L939" s="79">
        <v>0.978684176605495</v>
      </c>
      <c r="M939" s="80">
        <v>1</v>
      </c>
      <c r="N939" s="79">
        <v>1.0391434073734689</v>
      </c>
      <c r="O939" s="79">
        <v>9.2096246772290405E-2</v>
      </c>
      <c r="P939" s="79">
        <v>0.67673724334969898</v>
      </c>
      <c r="Q939" s="79">
        <v>0.740953655632133</v>
      </c>
      <c r="R939" s="80">
        <v>1</v>
      </c>
      <c r="S939" s="79">
        <v>1.156325997570623</v>
      </c>
      <c r="T939" s="79">
        <v>9.2654565044749504E-2</v>
      </c>
      <c r="U939" s="79">
        <v>0.1169683647227</v>
      </c>
      <c r="V939" s="79">
        <v>0.18530943175169301</v>
      </c>
      <c r="W939" s="79">
        <v>1</v>
      </c>
    </row>
    <row r="940" spans="1:23" x14ac:dyDescent="0.2">
      <c r="A940" s="69"/>
      <c r="B940" s="84" t="s">
        <v>2656</v>
      </c>
      <c r="C940" s="78">
        <v>5509</v>
      </c>
      <c r="D940" s="79">
        <v>1.0665094663714474</v>
      </c>
      <c r="E940" s="79">
        <v>4.9797446000000002E-2</v>
      </c>
      <c r="F940" s="79">
        <v>0.19598996199999999</v>
      </c>
      <c r="G940" s="79">
        <v>0.73150371111176504</v>
      </c>
      <c r="H940" s="80">
        <v>1</v>
      </c>
      <c r="I940" s="79">
        <v>1.0258654949358617</v>
      </c>
      <c r="J940" s="79">
        <v>4.9243208350223E-2</v>
      </c>
      <c r="K940" s="79">
        <v>0.60405226217719399</v>
      </c>
      <c r="L940" s="79">
        <v>0.91965825061269202</v>
      </c>
      <c r="M940" s="80">
        <v>1</v>
      </c>
      <c r="N940" s="79">
        <v>1.1362131978094483</v>
      </c>
      <c r="O940" s="79">
        <v>4.8980518127054798E-2</v>
      </c>
      <c r="P940" s="79">
        <v>9.1291630486118706E-3</v>
      </c>
      <c r="Q940" s="79">
        <v>2.1941113463425099E-2</v>
      </c>
      <c r="R940" s="80">
        <v>1</v>
      </c>
      <c r="S940" s="79">
        <v>1.1317032386311805</v>
      </c>
      <c r="T940" s="79">
        <v>4.91235788481756E-2</v>
      </c>
      <c r="U940" s="79">
        <v>1.1781463632371101E-2</v>
      </c>
      <c r="V940" s="79">
        <v>2.9315053626429301E-2</v>
      </c>
      <c r="W940" s="79">
        <v>1</v>
      </c>
    </row>
    <row r="941" spans="1:23" x14ac:dyDescent="0.2">
      <c r="A941" s="69"/>
      <c r="B941" s="84" t="s">
        <v>2657</v>
      </c>
      <c r="C941" s="78">
        <v>5509</v>
      </c>
      <c r="D941" s="79">
        <v>1.0756980008609291</v>
      </c>
      <c r="E941" s="79">
        <v>5.0384206000000001E-2</v>
      </c>
      <c r="F941" s="79">
        <v>0.147542548</v>
      </c>
      <c r="G941" s="79">
        <v>0.67644481499999998</v>
      </c>
      <c r="H941" s="80">
        <v>1</v>
      </c>
      <c r="I941" s="79">
        <v>0.96028597194523546</v>
      </c>
      <c r="J941" s="79">
        <v>4.9843351277025001E-2</v>
      </c>
      <c r="K941" s="79">
        <v>0.41620072533325397</v>
      </c>
      <c r="L941" s="79">
        <v>0.84788718421834897</v>
      </c>
      <c r="M941" s="80">
        <v>1</v>
      </c>
      <c r="N941" s="79">
        <v>1.0870202852171265</v>
      </c>
      <c r="O941" s="79">
        <v>4.9446525253195803E-2</v>
      </c>
      <c r="P941" s="79">
        <v>9.1510131994027494E-2</v>
      </c>
      <c r="Q941" s="79">
        <v>0.14515794687552599</v>
      </c>
      <c r="R941" s="80">
        <v>1</v>
      </c>
      <c r="S941" s="79">
        <v>1.09559333379426</v>
      </c>
      <c r="T941" s="79">
        <v>4.9664091464858402E-2</v>
      </c>
      <c r="U941" s="79">
        <v>6.6022438320870305E-2</v>
      </c>
      <c r="V941" s="79">
        <v>0.116203154270713</v>
      </c>
      <c r="W941" s="79">
        <v>1</v>
      </c>
    </row>
    <row r="942" spans="1:23" x14ac:dyDescent="0.2">
      <c r="A942" s="69"/>
      <c r="B942" s="84" t="s">
        <v>2658</v>
      </c>
      <c r="C942" s="78">
        <v>5509</v>
      </c>
      <c r="D942" s="79">
        <v>1.1061807726650301</v>
      </c>
      <c r="E942" s="79">
        <v>5.3468859000000001E-2</v>
      </c>
      <c r="F942" s="79">
        <v>5.9116065000000002E-2</v>
      </c>
      <c r="G942" s="79">
        <v>0.49680984427152303</v>
      </c>
      <c r="H942" s="80">
        <v>1</v>
      </c>
      <c r="I942" s="79">
        <v>1.1818456080148545</v>
      </c>
      <c r="J942" s="79">
        <v>5.3258360015185399E-2</v>
      </c>
      <c r="K942" s="79">
        <v>1.7062256599858099E-3</v>
      </c>
      <c r="L942" s="79">
        <v>0.18043336354349901</v>
      </c>
      <c r="M942" s="80">
        <v>1</v>
      </c>
      <c r="N942" s="79">
        <v>1.0595527718772408</v>
      </c>
      <c r="O942" s="79">
        <v>5.2353817186610599E-2</v>
      </c>
      <c r="P942" s="79">
        <v>0.269193211757908</v>
      </c>
      <c r="Q942" s="79">
        <v>0.34893379542470399</v>
      </c>
      <c r="R942" s="80">
        <v>1</v>
      </c>
      <c r="S942" s="79">
        <v>1.159721719423503</v>
      </c>
      <c r="T942" s="79">
        <v>5.2617289350056801E-2</v>
      </c>
      <c r="U942" s="79">
        <v>4.8597505934452404E-3</v>
      </c>
      <c r="V942" s="79">
        <v>1.50516230864265E-2</v>
      </c>
      <c r="W942" s="79">
        <v>1</v>
      </c>
    </row>
    <row r="943" spans="1:23" x14ac:dyDescent="0.2">
      <c r="A943" s="69"/>
      <c r="B943" s="84" t="s">
        <v>2659</v>
      </c>
      <c r="C943" s="78">
        <v>5509</v>
      </c>
      <c r="D943" s="79">
        <v>1.2956914294229356</v>
      </c>
      <c r="E943" s="79">
        <v>7.1796449999999998E-2</v>
      </c>
      <c r="F943" s="79">
        <v>3.0851899999999999E-4</v>
      </c>
      <c r="G943" s="79">
        <v>8.2042844142857105E-2</v>
      </c>
      <c r="H943" s="80">
        <v>0.39151061100000001</v>
      </c>
      <c r="I943" s="79">
        <v>1.0277265227681864</v>
      </c>
      <c r="J943" s="79">
        <v>7.07484446704469E-2</v>
      </c>
      <c r="K943" s="79">
        <v>0.69907585887299994</v>
      </c>
      <c r="L943" s="79">
        <v>0.9363531347706</v>
      </c>
      <c r="M943" s="80">
        <v>1</v>
      </c>
      <c r="N943" s="79">
        <v>1.0305504628833286</v>
      </c>
      <c r="O943" s="79">
        <v>7.0081345802922301E-2</v>
      </c>
      <c r="P943" s="79">
        <v>0.66763049695759002</v>
      </c>
      <c r="Q943" s="79">
        <v>0.735436719304845</v>
      </c>
      <c r="R943" s="80">
        <v>1</v>
      </c>
      <c r="S943" s="79">
        <v>1.1014127802640319</v>
      </c>
      <c r="T943" s="79">
        <v>7.0217594827392094E-2</v>
      </c>
      <c r="U943" s="79">
        <v>0.16893501632412</v>
      </c>
      <c r="V943" s="79">
        <v>0.24783645747434499</v>
      </c>
      <c r="W943" s="79">
        <v>1</v>
      </c>
    </row>
    <row r="944" spans="1:23" x14ac:dyDescent="0.2">
      <c r="A944" s="69"/>
      <c r="B944" s="84" t="s">
        <v>2660</v>
      </c>
      <c r="C944" s="78">
        <v>5509</v>
      </c>
      <c r="D944" s="79">
        <v>1.1211502519926144</v>
      </c>
      <c r="E944" s="79">
        <v>5.5315454999999999E-2</v>
      </c>
      <c r="F944" s="79">
        <v>3.8703290000000001E-2</v>
      </c>
      <c r="G944" s="79">
        <v>0.43563485277876102</v>
      </c>
      <c r="H944" s="80">
        <v>1</v>
      </c>
      <c r="I944" s="79">
        <v>1.1628190821885747</v>
      </c>
      <c r="J944" s="79">
        <v>5.5051450235029199E-2</v>
      </c>
      <c r="K944" s="79">
        <v>6.1417705569638201E-3</v>
      </c>
      <c r="L944" s="79">
        <v>0.25141634957377701</v>
      </c>
      <c r="M944" s="80">
        <v>1</v>
      </c>
      <c r="N944" s="79">
        <v>1.1222273940345471</v>
      </c>
      <c r="O944" s="79">
        <v>5.4244990570322803E-2</v>
      </c>
      <c r="P944" s="79">
        <v>3.3517683153493703E-2</v>
      </c>
      <c r="Q944" s="79">
        <v>6.3106735788996296E-2</v>
      </c>
      <c r="R944" s="80">
        <v>1</v>
      </c>
      <c r="S944" s="79">
        <v>1.1532376669001316</v>
      </c>
      <c r="T944" s="79">
        <v>5.4357275916145198E-2</v>
      </c>
      <c r="U944" s="79">
        <v>8.7186504967106098E-3</v>
      </c>
      <c r="V944" s="79">
        <v>2.3540356341118701E-2</v>
      </c>
      <c r="W944" s="79">
        <v>1</v>
      </c>
    </row>
    <row r="945" spans="1:23" x14ac:dyDescent="0.2">
      <c r="A945" s="69"/>
      <c r="B945" s="84" t="s">
        <v>2661</v>
      </c>
      <c r="C945" s="78">
        <v>5509</v>
      </c>
      <c r="D945" s="79">
        <v>1.2821726540800504</v>
      </c>
      <c r="E945" s="79">
        <v>6.7321135000000004E-2</v>
      </c>
      <c r="F945" s="79">
        <v>2.2241399999999999E-4</v>
      </c>
      <c r="G945" s="79">
        <v>8.2042844142857105E-2</v>
      </c>
      <c r="H945" s="80">
        <v>0.282243366</v>
      </c>
      <c r="I945" s="79">
        <v>1.0450059587237686</v>
      </c>
      <c r="J945" s="79">
        <v>6.6575289750686301E-2</v>
      </c>
      <c r="K945" s="79">
        <v>0.50845510997243804</v>
      </c>
      <c r="L945" s="79">
        <v>0.89366971545017204</v>
      </c>
      <c r="M945" s="80">
        <v>1</v>
      </c>
      <c r="N945" s="79">
        <v>1.0987451380511213</v>
      </c>
      <c r="O945" s="79">
        <v>6.5988317779386796E-2</v>
      </c>
      <c r="P945" s="79">
        <v>0.15356497579237899</v>
      </c>
      <c r="Q945" s="79">
        <v>0.222713090606319</v>
      </c>
      <c r="R945" s="80">
        <v>1</v>
      </c>
      <c r="S945" s="79">
        <v>1.0598754198634193</v>
      </c>
      <c r="T945" s="79">
        <v>6.5965270953793301E-2</v>
      </c>
      <c r="U945" s="79">
        <v>0.378022761279866</v>
      </c>
      <c r="V945" s="79">
        <v>0.46801061859917098</v>
      </c>
      <c r="W945" s="79">
        <v>1</v>
      </c>
    </row>
    <row r="946" spans="1:23" x14ac:dyDescent="0.2">
      <c r="A946" s="69"/>
      <c r="B946" s="84" t="s">
        <v>2662</v>
      </c>
      <c r="C946" s="78">
        <v>5509</v>
      </c>
      <c r="D946" s="79">
        <v>0.97377361060499268</v>
      </c>
      <c r="E946" s="79">
        <v>0.102929018</v>
      </c>
      <c r="F946" s="79">
        <v>0.79625134099999995</v>
      </c>
      <c r="G946" s="79">
        <v>0.98545101377932998</v>
      </c>
      <c r="H946" s="80">
        <v>1</v>
      </c>
      <c r="I946" s="79">
        <v>1.174002988759405</v>
      </c>
      <c r="J946" s="79">
        <v>0.103004477940281</v>
      </c>
      <c r="K946" s="79">
        <v>0.119375331350865</v>
      </c>
      <c r="L946" s="79">
        <v>0.63272252158902098</v>
      </c>
      <c r="M946" s="80">
        <v>1</v>
      </c>
      <c r="N946" s="81">
        <v>1.5337570863666976</v>
      </c>
      <c r="O946" s="81">
        <v>0.10155933027769699</v>
      </c>
      <c r="P946" s="81">
        <v>2.53644968419984E-5</v>
      </c>
      <c r="Q946" s="81">
        <v>1.8823126603798799E-4</v>
      </c>
      <c r="R946" s="82">
        <v>3.2187546492496E-2</v>
      </c>
      <c r="S946" s="79">
        <v>1.399228060327371</v>
      </c>
      <c r="T946" s="79">
        <v>0.102525894547287</v>
      </c>
      <c r="U946" s="79">
        <v>1.05121897282449E-3</v>
      </c>
      <c r="V946" s="79">
        <v>4.6480727404678698E-3</v>
      </c>
      <c r="W946" s="79">
        <v>1</v>
      </c>
    </row>
    <row r="947" spans="1:23" x14ac:dyDescent="0.2">
      <c r="A947" s="69"/>
      <c r="B947" s="84" t="s">
        <v>2663</v>
      </c>
      <c r="C947" s="78">
        <v>5509</v>
      </c>
      <c r="D947" s="79">
        <v>1.0409674144692311</v>
      </c>
      <c r="E947" s="79">
        <v>9.5257818999999994E-2</v>
      </c>
      <c r="F947" s="79">
        <v>0.67339524900000003</v>
      </c>
      <c r="G947" s="79">
        <v>0.98545101377932998</v>
      </c>
      <c r="H947" s="80">
        <v>1</v>
      </c>
      <c r="I947" s="79">
        <v>1.1770385006962183</v>
      </c>
      <c r="J947" s="79">
        <v>9.4980061459931306E-2</v>
      </c>
      <c r="K947" s="79">
        <v>8.6131690283424003E-2</v>
      </c>
      <c r="L947" s="79">
        <v>0.59811020064394504</v>
      </c>
      <c r="M947" s="80">
        <v>1</v>
      </c>
      <c r="N947" s="79">
        <v>1.1841470178036255</v>
      </c>
      <c r="O947" s="79">
        <v>9.3765953968937596E-2</v>
      </c>
      <c r="P947" s="79">
        <v>7.1450737613641693E-2</v>
      </c>
      <c r="Q947" s="79">
        <v>0.118524164747335</v>
      </c>
      <c r="R947" s="80">
        <v>1</v>
      </c>
      <c r="S947" s="79">
        <v>1.214646276219304</v>
      </c>
      <c r="T947" s="79">
        <v>9.4203826534480797E-2</v>
      </c>
      <c r="U947" s="79">
        <v>3.9001408580755403E-2</v>
      </c>
      <c r="V947" s="79">
        <v>7.6260073172540202E-2</v>
      </c>
      <c r="W947" s="79">
        <v>1</v>
      </c>
    </row>
    <row r="948" spans="1:23" x14ac:dyDescent="0.2">
      <c r="A948" s="69"/>
      <c r="B948" s="84" t="s">
        <v>2664</v>
      </c>
      <c r="C948" s="78">
        <v>5509</v>
      </c>
      <c r="D948" s="79">
        <v>0.98103216596418785</v>
      </c>
      <c r="E948" s="79">
        <v>5.9745245000000002E-2</v>
      </c>
      <c r="F948" s="79">
        <v>0.74856802099999997</v>
      </c>
      <c r="G948" s="79">
        <v>0.98545101377932998</v>
      </c>
      <c r="H948" s="80">
        <v>1</v>
      </c>
      <c r="I948" s="79">
        <v>1.0310373738405727</v>
      </c>
      <c r="J948" s="79">
        <v>5.9492222954442703E-2</v>
      </c>
      <c r="K948" s="79">
        <v>0.607411217147243</v>
      </c>
      <c r="L948" s="79">
        <v>0.91965825061269202</v>
      </c>
      <c r="M948" s="80">
        <v>1</v>
      </c>
      <c r="N948" s="79">
        <v>1.1919389935373585</v>
      </c>
      <c r="O948" s="79">
        <v>5.9074739065426499E-2</v>
      </c>
      <c r="P948" s="79">
        <v>2.9568300855375498E-3</v>
      </c>
      <c r="Q948" s="79">
        <v>8.7668630339886693E-3</v>
      </c>
      <c r="R948" s="80">
        <v>1</v>
      </c>
      <c r="S948" s="79">
        <v>1.0919670108337023</v>
      </c>
      <c r="T948" s="79">
        <v>5.88900230249607E-2</v>
      </c>
      <c r="U948" s="79">
        <v>0.13518017922349199</v>
      </c>
      <c r="V948" s="79">
        <v>0.20717831815774301</v>
      </c>
      <c r="W948" s="79">
        <v>1</v>
      </c>
    </row>
    <row r="949" spans="1:23" x14ac:dyDescent="0.2">
      <c r="A949" s="69"/>
      <c r="B949" s="84" t="s">
        <v>2665</v>
      </c>
      <c r="C949" s="78">
        <v>5509</v>
      </c>
      <c r="D949" s="79">
        <v>0.98355276240673584</v>
      </c>
      <c r="E949" s="79">
        <v>5.0007219999999998E-2</v>
      </c>
      <c r="F949" s="79">
        <v>0.74016713899999997</v>
      </c>
      <c r="G949" s="79">
        <v>0.98545101377932998</v>
      </c>
      <c r="H949" s="80">
        <v>1</v>
      </c>
      <c r="I949" s="79">
        <v>0.9341714630076976</v>
      </c>
      <c r="J949" s="79">
        <v>4.9439392850377899E-2</v>
      </c>
      <c r="K949" s="79">
        <v>0.168404497183964</v>
      </c>
      <c r="L949" s="79">
        <v>0.69119364508706604</v>
      </c>
      <c r="M949" s="80">
        <v>1</v>
      </c>
      <c r="N949" s="79">
        <v>0.91508415562146805</v>
      </c>
      <c r="O949" s="79">
        <v>4.9546915773656199E-2</v>
      </c>
      <c r="P949" s="79">
        <v>7.3290968183484295E-2</v>
      </c>
      <c r="Q949" s="79">
        <v>0.121259763526521</v>
      </c>
      <c r="R949" s="80">
        <v>1</v>
      </c>
      <c r="S949" s="79">
        <v>0.89446540353775428</v>
      </c>
      <c r="T949" s="79">
        <v>4.92077336161936E-2</v>
      </c>
      <c r="U949" s="79">
        <v>2.34211284273056E-2</v>
      </c>
      <c r="V949" s="79">
        <v>4.95356866237514E-2</v>
      </c>
      <c r="W949" s="79">
        <v>1</v>
      </c>
    </row>
    <row r="950" spans="1:23" x14ac:dyDescent="0.2">
      <c r="A950" s="69"/>
      <c r="B950" s="84" t="s">
        <v>2666</v>
      </c>
      <c r="C950" s="78">
        <v>5509</v>
      </c>
      <c r="D950" s="79">
        <v>1.0466412839973005</v>
      </c>
      <c r="E950" s="79">
        <v>7.0698274000000005E-2</v>
      </c>
      <c r="F950" s="79">
        <v>0.51905668199999999</v>
      </c>
      <c r="G950" s="79">
        <v>0.93335478450424902</v>
      </c>
      <c r="H950" s="80">
        <v>1</v>
      </c>
      <c r="I950" s="79">
        <v>1.0850512277531765</v>
      </c>
      <c r="J950" s="79">
        <v>7.0432993274544095E-2</v>
      </c>
      <c r="K950" s="79">
        <v>0.24648303213141901</v>
      </c>
      <c r="L950" s="79">
        <v>0.75037318131730402</v>
      </c>
      <c r="M950" s="80">
        <v>1</v>
      </c>
      <c r="N950" s="81">
        <v>1.3639598242283089</v>
      </c>
      <c r="O950" s="81">
        <v>6.9648443123195194E-2</v>
      </c>
      <c r="P950" s="81">
        <v>8.3287311641163505E-6</v>
      </c>
      <c r="Q950" s="81">
        <v>7.2391505803175702E-5</v>
      </c>
      <c r="R950" s="82">
        <v>1.05691598472637E-2</v>
      </c>
      <c r="S950" s="79">
        <v>1.213037553477377</v>
      </c>
      <c r="T950" s="79">
        <v>6.9999357735401904E-2</v>
      </c>
      <c r="U950" s="79">
        <v>5.7980155429245596E-3</v>
      </c>
      <c r="V950" s="79">
        <v>1.7476678679266701E-2</v>
      </c>
      <c r="W950" s="79">
        <v>1</v>
      </c>
    </row>
    <row r="951" spans="1:23" x14ac:dyDescent="0.2">
      <c r="A951" s="69"/>
      <c r="B951" s="84" t="s">
        <v>2667</v>
      </c>
      <c r="C951" s="78">
        <v>5509</v>
      </c>
      <c r="D951" s="79">
        <v>0.97648131354806211</v>
      </c>
      <c r="E951" s="79">
        <v>5.0351748000000002E-2</v>
      </c>
      <c r="F951" s="79">
        <v>0.63644999000000002</v>
      </c>
      <c r="G951" s="79">
        <v>0.97816222485489701</v>
      </c>
      <c r="H951" s="80">
        <v>1</v>
      </c>
      <c r="I951" s="79">
        <v>0.93330359395177698</v>
      </c>
      <c r="J951" s="79">
        <v>4.9775178725479798E-2</v>
      </c>
      <c r="K951" s="79">
        <v>0.16552409671635401</v>
      </c>
      <c r="L951" s="79">
        <v>0.69119364508706604</v>
      </c>
      <c r="M951" s="80">
        <v>1</v>
      </c>
      <c r="N951" s="79">
        <v>0.91818253552412088</v>
      </c>
      <c r="O951" s="79">
        <v>4.9917746708516501E-2</v>
      </c>
      <c r="P951" s="79">
        <v>8.7266907278789801E-2</v>
      </c>
      <c r="Q951" s="79">
        <v>0.13929774256199301</v>
      </c>
      <c r="R951" s="80">
        <v>1</v>
      </c>
      <c r="S951" s="79">
        <v>0.88472373737538823</v>
      </c>
      <c r="T951" s="79">
        <v>4.9584651015201403E-2</v>
      </c>
      <c r="U951" s="79">
        <v>1.35069214527395E-2</v>
      </c>
      <c r="V951" s="79">
        <v>3.24012917268931E-2</v>
      </c>
      <c r="W951" s="79">
        <v>1</v>
      </c>
    </row>
    <row r="952" spans="1:23" x14ac:dyDescent="0.2">
      <c r="A952" s="69"/>
      <c r="B952" s="84" t="s">
        <v>2668</v>
      </c>
      <c r="C952" s="78">
        <v>5509</v>
      </c>
      <c r="D952" s="79">
        <v>0.91397048332919539</v>
      </c>
      <c r="E952" s="79">
        <v>5.2215729000000002E-2</v>
      </c>
      <c r="F952" s="79">
        <v>8.4925585999999997E-2</v>
      </c>
      <c r="G952" s="79">
        <v>0.59336855393782395</v>
      </c>
      <c r="H952" s="80">
        <v>1</v>
      </c>
      <c r="I952" s="79">
        <v>0.96162796272182327</v>
      </c>
      <c r="J952" s="79">
        <v>5.2009888350719999E-2</v>
      </c>
      <c r="K952" s="79">
        <v>0.45186376369234599</v>
      </c>
      <c r="L952" s="79">
        <v>0.87326336285163797</v>
      </c>
      <c r="M952" s="80">
        <v>1</v>
      </c>
      <c r="N952" s="81">
        <v>1.2392713184949318</v>
      </c>
      <c r="O952" s="81">
        <v>5.1715199292334903E-2</v>
      </c>
      <c r="P952" s="81">
        <v>3.3514004115232601E-5</v>
      </c>
      <c r="Q952" s="81">
        <v>2.3367731440785799E-4</v>
      </c>
      <c r="R952" s="82">
        <v>4.25292712222302E-2</v>
      </c>
      <c r="S952" s="79">
        <v>1.0448069205517883</v>
      </c>
      <c r="T952" s="79">
        <v>5.1541934106042901E-2</v>
      </c>
      <c r="U952" s="79">
        <v>0.39509365082051401</v>
      </c>
      <c r="V952" s="79">
        <v>0.48513162161258799</v>
      </c>
      <c r="W952" s="79">
        <v>1</v>
      </c>
    </row>
    <row r="953" spans="1:23" x14ac:dyDescent="0.2">
      <c r="A953" s="69"/>
      <c r="B953" s="84" t="s">
        <v>2669</v>
      </c>
      <c r="C953" s="78">
        <v>5509</v>
      </c>
      <c r="D953" s="79">
        <v>0.90927489843824572</v>
      </c>
      <c r="E953" s="79">
        <v>4.5773709000000003E-2</v>
      </c>
      <c r="F953" s="79">
        <v>3.7729395999999998E-2</v>
      </c>
      <c r="G953" s="79">
        <v>0.43563485277876102</v>
      </c>
      <c r="H953" s="80">
        <v>1</v>
      </c>
      <c r="I953" s="79">
        <v>0.97864403739367001</v>
      </c>
      <c r="J953" s="79">
        <v>4.5544949300237302E-2</v>
      </c>
      <c r="K953" s="79">
        <v>0.63551564633641799</v>
      </c>
      <c r="L953" s="79">
        <v>0.91965825061269202</v>
      </c>
      <c r="M953" s="80">
        <v>1</v>
      </c>
      <c r="N953" s="79">
        <v>1.1973669765947024</v>
      </c>
      <c r="O953" s="79">
        <v>4.5447756732963598E-2</v>
      </c>
      <c r="P953" s="79">
        <v>7.3908078918830493E-5</v>
      </c>
      <c r="Q953" s="79">
        <v>4.5528811722328098E-4</v>
      </c>
      <c r="R953" s="80">
        <v>9.37893521479959E-2</v>
      </c>
      <c r="S953" s="79">
        <v>1.029565864399395</v>
      </c>
      <c r="T953" s="79">
        <v>4.5193421414199103E-2</v>
      </c>
      <c r="U953" s="79">
        <v>0.51910693409116204</v>
      </c>
      <c r="V953" s="79">
        <v>0.60324789318835603</v>
      </c>
      <c r="W953" s="79">
        <v>1</v>
      </c>
    </row>
    <row r="954" spans="1:23" x14ac:dyDescent="0.2">
      <c r="A954" s="69"/>
      <c r="B954" s="84" t="s">
        <v>2670</v>
      </c>
      <c r="C954" s="78">
        <v>5509</v>
      </c>
      <c r="D954" s="79">
        <v>0.90836572194631593</v>
      </c>
      <c r="E954" s="79">
        <v>4.6292171E-2</v>
      </c>
      <c r="F954" s="79">
        <v>3.7882651000000003E-2</v>
      </c>
      <c r="G954" s="79">
        <v>0.43563485277876102</v>
      </c>
      <c r="H954" s="80">
        <v>1</v>
      </c>
      <c r="I954" s="79">
        <v>0.95917957998195424</v>
      </c>
      <c r="J954" s="79">
        <v>4.6061410647501203E-2</v>
      </c>
      <c r="K954" s="79">
        <v>0.36556445263869197</v>
      </c>
      <c r="L954" s="79">
        <v>0.81642974499659005</v>
      </c>
      <c r="M954" s="80">
        <v>1</v>
      </c>
      <c r="N954" s="81">
        <v>1.2214342399636342</v>
      </c>
      <c r="O954" s="81">
        <v>4.6031158583778799E-2</v>
      </c>
      <c r="P954" s="81">
        <v>1.38994877383694E-5</v>
      </c>
      <c r="Q954" s="81">
        <v>1.15283986535887E-4</v>
      </c>
      <c r="R954" s="82">
        <v>1.7638449939990801E-2</v>
      </c>
      <c r="S954" s="79">
        <v>0.99719374484068513</v>
      </c>
      <c r="T954" s="79">
        <v>4.5742322839096697E-2</v>
      </c>
      <c r="U954" s="79">
        <v>0.95101242260636998</v>
      </c>
      <c r="V954" s="79">
        <v>0.96315623646247694</v>
      </c>
      <c r="W954" s="79">
        <v>1</v>
      </c>
    </row>
    <row r="955" spans="1:23" x14ac:dyDescent="0.2">
      <c r="A955" s="69"/>
      <c r="B955" s="84" t="s">
        <v>2671</v>
      </c>
      <c r="C955" s="78">
        <v>5509</v>
      </c>
      <c r="D955" s="79">
        <v>0.9094511930139163</v>
      </c>
      <c r="E955" s="79">
        <v>4.7296461999999997E-2</v>
      </c>
      <c r="F955" s="79">
        <v>4.4772298000000002E-2</v>
      </c>
      <c r="G955" s="79">
        <v>0.450921001285714</v>
      </c>
      <c r="H955" s="80">
        <v>1</v>
      </c>
      <c r="I955" s="79">
        <v>0.93070836847133187</v>
      </c>
      <c r="J955" s="79">
        <v>4.7049434463204302E-2</v>
      </c>
      <c r="K955" s="79">
        <v>0.12694710291842101</v>
      </c>
      <c r="L955" s="79">
        <v>0.64438349441390497</v>
      </c>
      <c r="M955" s="80">
        <v>1</v>
      </c>
      <c r="N955" s="81">
        <v>1.2502571045334978</v>
      </c>
      <c r="O955" s="81">
        <v>4.7014813837042299E-2</v>
      </c>
      <c r="P955" s="81">
        <v>2.02800330814401E-6</v>
      </c>
      <c r="Q955" s="81">
        <v>2.0923058520607701E-5</v>
      </c>
      <c r="R955" s="82">
        <v>2.57353619803475E-3</v>
      </c>
      <c r="S955" s="79">
        <v>1.0240635606335842</v>
      </c>
      <c r="T955" s="79">
        <v>4.6739103777502303E-2</v>
      </c>
      <c r="U955" s="79">
        <v>0.61092632192331298</v>
      </c>
      <c r="V955" s="79">
        <v>0.68065452372316404</v>
      </c>
      <c r="W955" s="79">
        <v>1</v>
      </c>
    </row>
    <row r="956" spans="1:23" x14ac:dyDescent="0.2">
      <c r="A956" s="69"/>
      <c r="B956" s="84" t="s">
        <v>2672</v>
      </c>
      <c r="C956" s="78">
        <v>5509</v>
      </c>
      <c r="D956" s="79">
        <v>0.92557919931995825</v>
      </c>
      <c r="E956" s="79">
        <v>4.6843634000000002E-2</v>
      </c>
      <c r="F956" s="79">
        <v>9.8752805999999999E-2</v>
      </c>
      <c r="G956" s="79">
        <v>0.61409274316589901</v>
      </c>
      <c r="H956" s="80">
        <v>1</v>
      </c>
      <c r="I956" s="79">
        <v>0.93447909856969713</v>
      </c>
      <c r="J956" s="79">
        <v>4.6613919800318399E-2</v>
      </c>
      <c r="K956" s="79">
        <v>0.14600948506229799</v>
      </c>
      <c r="L956" s="79">
        <v>0.66347104566413595</v>
      </c>
      <c r="M956" s="80">
        <v>1</v>
      </c>
      <c r="N956" s="79">
        <v>1.1946811249033307</v>
      </c>
      <c r="O956" s="79">
        <v>4.6473243627606298E-2</v>
      </c>
      <c r="P956" s="79">
        <v>1.2941780287942299E-4</v>
      </c>
      <c r="Q956" s="79">
        <v>7.2348542666955001E-4</v>
      </c>
      <c r="R956" s="80">
        <v>0.16423119185398799</v>
      </c>
      <c r="S956" s="79">
        <v>1.0132227346497844</v>
      </c>
      <c r="T956" s="79">
        <v>4.62081164106279E-2</v>
      </c>
      <c r="U956" s="79">
        <v>0.77619524762482806</v>
      </c>
      <c r="V956" s="79">
        <v>0.82082647436325595</v>
      </c>
      <c r="W956" s="79">
        <v>1</v>
      </c>
    </row>
    <row r="957" spans="1:23" x14ac:dyDescent="0.2">
      <c r="A957" s="69"/>
      <c r="B957" s="84" t="s">
        <v>2673</v>
      </c>
      <c r="C957" s="78">
        <v>5509</v>
      </c>
      <c r="D957" s="79">
        <v>0.92939582080546845</v>
      </c>
      <c r="E957" s="79">
        <v>5.3528300000000001E-2</v>
      </c>
      <c r="F957" s="79">
        <v>0.17134807199999999</v>
      </c>
      <c r="G957" s="79">
        <v>0.70136321922857203</v>
      </c>
      <c r="H957" s="80">
        <v>1</v>
      </c>
      <c r="I957" s="79">
        <v>0.926088069979908</v>
      </c>
      <c r="J957" s="79">
        <v>5.3308769277458201E-2</v>
      </c>
      <c r="K957" s="79">
        <v>0.14975431873449299</v>
      </c>
      <c r="L957" s="79">
        <v>0.66470888806839401</v>
      </c>
      <c r="M957" s="80">
        <v>1</v>
      </c>
      <c r="N957" s="79">
        <v>1.1985760204569509</v>
      </c>
      <c r="O957" s="79">
        <v>5.3177720514848099E-2</v>
      </c>
      <c r="P957" s="79">
        <v>6.5872764434026399E-4</v>
      </c>
      <c r="Q957" s="79">
        <v>2.61226681458686E-3</v>
      </c>
      <c r="R957" s="80">
        <v>0.83592538066779498</v>
      </c>
      <c r="S957" s="79">
        <v>0.99111557399115191</v>
      </c>
      <c r="T957" s="79">
        <v>5.28812021883538E-2</v>
      </c>
      <c r="U957" s="79">
        <v>0.86598696685087195</v>
      </c>
      <c r="V957" s="79">
        <v>0.89562955251324905</v>
      </c>
      <c r="W957" s="79">
        <v>1</v>
      </c>
    </row>
    <row r="958" spans="1:23" x14ac:dyDescent="0.2">
      <c r="A958" s="69"/>
      <c r="B958" s="84" t="s">
        <v>2674</v>
      </c>
      <c r="C958" s="78">
        <v>5509</v>
      </c>
      <c r="D958" s="79">
        <v>0.9131336742512941</v>
      </c>
      <c r="E958" s="79">
        <v>4.6927798E-2</v>
      </c>
      <c r="F958" s="79">
        <v>5.2813493000000003E-2</v>
      </c>
      <c r="G958" s="79">
        <v>0.46691476724999997</v>
      </c>
      <c r="H958" s="80">
        <v>1</v>
      </c>
      <c r="I958" s="79">
        <v>0.93773153299476641</v>
      </c>
      <c r="J958" s="79">
        <v>4.6661993917395297E-2</v>
      </c>
      <c r="K958" s="79">
        <v>0.16826049334088999</v>
      </c>
      <c r="L958" s="79">
        <v>0.69119364508706604</v>
      </c>
      <c r="M958" s="80">
        <v>1</v>
      </c>
      <c r="N958" s="81">
        <v>1.2482514817853496</v>
      </c>
      <c r="O958" s="81">
        <v>4.6644184256565302E-2</v>
      </c>
      <c r="P958" s="81">
        <v>1.9948805765887798E-6</v>
      </c>
      <c r="Q958" s="81">
        <v>2.0750028292550499E-5</v>
      </c>
      <c r="R958" s="82">
        <v>2.5315034516911598E-3</v>
      </c>
      <c r="S958" s="79">
        <v>1.0235478459025478</v>
      </c>
      <c r="T958" s="79">
        <v>4.6356832415313902E-2</v>
      </c>
      <c r="U958" s="79">
        <v>0.615610732967107</v>
      </c>
      <c r="V958" s="79">
        <v>0.68407182148446499</v>
      </c>
      <c r="W958" s="79">
        <v>1</v>
      </c>
    </row>
    <row r="959" spans="1:23" x14ac:dyDescent="0.2">
      <c r="A959" s="69"/>
      <c r="B959" s="84" t="s">
        <v>2675</v>
      </c>
      <c r="C959" s="78">
        <v>5509</v>
      </c>
      <c r="D959" s="79">
        <v>0.89734546436203599</v>
      </c>
      <c r="E959" s="79">
        <v>4.8729475000000001E-2</v>
      </c>
      <c r="F959" s="79">
        <v>2.6231391E-2</v>
      </c>
      <c r="G959" s="79">
        <v>0.37436086021348303</v>
      </c>
      <c r="H959" s="80">
        <v>1</v>
      </c>
      <c r="I959" s="79">
        <v>0.85825854447585703</v>
      </c>
      <c r="J959" s="79">
        <v>4.8286989073093402E-2</v>
      </c>
      <c r="K959" s="79">
        <v>1.54845019571066E-3</v>
      </c>
      <c r="L959" s="79">
        <v>0.18043336354349901</v>
      </c>
      <c r="M959" s="80">
        <v>1</v>
      </c>
      <c r="N959" s="81">
        <v>1.2319471287331929</v>
      </c>
      <c r="O959" s="81">
        <v>4.8398297005243097E-2</v>
      </c>
      <c r="P959" s="81">
        <v>1.6326538977158602E-5</v>
      </c>
      <c r="Q959" s="81">
        <v>1.288542789489E-4</v>
      </c>
      <c r="R959" s="82">
        <v>2.0718377962014301E-2</v>
      </c>
      <c r="S959" s="79">
        <v>0.95707402017666776</v>
      </c>
      <c r="T959" s="79">
        <v>4.8023074850468597E-2</v>
      </c>
      <c r="U959" s="79">
        <v>0.36091980637146898</v>
      </c>
      <c r="V959" s="79">
        <v>0.45300098331100203</v>
      </c>
      <c r="W959" s="79">
        <v>1</v>
      </c>
    </row>
    <row r="960" spans="1:23" x14ac:dyDescent="0.2">
      <c r="A960" s="69"/>
      <c r="B960" s="84" t="s">
        <v>2676</v>
      </c>
      <c r="C960" s="78">
        <v>5509</v>
      </c>
      <c r="D960" s="79">
        <v>0.90125079074175607</v>
      </c>
      <c r="E960" s="79">
        <v>6.1916142E-2</v>
      </c>
      <c r="F960" s="79">
        <v>9.3106377000000004E-2</v>
      </c>
      <c r="G960" s="79">
        <v>0.59927287404545504</v>
      </c>
      <c r="H960" s="80">
        <v>1</v>
      </c>
      <c r="I960" s="79">
        <v>0.89295361736724088</v>
      </c>
      <c r="J960" s="79">
        <v>6.1753386122484197E-2</v>
      </c>
      <c r="K960" s="79">
        <v>6.6738339269932195E-2</v>
      </c>
      <c r="L960" s="79">
        <v>0.57459637698370203</v>
      </c>
      <c r="M960" s="80">
        <v>1</v>
      </c>
      <c r="N960" s="81">
        <v>1.3085022864698854</v>
      </c>
      <c r="O960" s="81">
        <v>6.1937901865503499E-2</v>
      </c>
      <c r="P960" s="81">
        <v>1.41723629138576E-5</v>
      </c>
      <c r="Q960" s="81">
        <v>1.16783951543411E-4</v>
      </c>
      <c r="R960" s="82">
        <v>1.7984728537685301E-2</v>
      </c>
      <c r="S960" s="79">
        <v>1.0110557415272354</v>
      </c>
      <c r="T960" s="79">
        <v>6.1280810776011899E-2</v>
      </c>
      <c r="U960" s="79">
        <v>0.85760702531716004</v>
      </c>
      <c r="V960" s="79">
        <v>0.88913669536558504</v>
      </c>
      <c r="W960" s="79">
        <v>1</v>
      </c>
    </row>
    <row r="961" spans="1:23" x14ac:dyDescent="0.2">
      <c r="A961" s="69"/>
      <c r="B961" s="84" t="s">
        <v>2677</v>
      </c>
      <c r="C961" s="78">
        <v>5509</v>
      </c>
      <c r="D961" s="79">
        <v>0.89657378313653358</v>
      </c>
      <c r="E961" s="79">
        <v>5.4383922000000001E-2</v>
      </c>
      <c r="F961" s="79">
        <v>4.4698476000000001E-2</v>
      </c>
      <c r="G961" s="79">
        <v>0.450921001285714</v>
      </c>
      <c r="H961" s="80">
        <v>1</v>
      </c>
      <c r="I961" s="79">
        <v>0.92322237007062113</v>
      </c>
      <c r="J961" s="79">
        <v>5.4073137690404401E-2</v>
      </c>
      <c r="K961" s="79">
        <v>0.13958083805218999</v>
      </c>
      <c r="L961" s="79">
        <v>0.65586150762509099</v>
      </c>
      <c r="M961" s="80">
        <v>1</v>
      </c>
      <c r="N961" s="81">
        <v>1.2786854512460915</v>
      </c>
      <c r="O961" s="81">
        <v>5.4064125633855001E-2</v>
      </c>
      <c r="P961" s="81">
        <v>5.44017555929472E-6</v>
      </c>
      <c r="Q961" s="81">
        <v>5.0025962208297099E-5</v>
      </c>
      <c r="R961" s="82">
        <v>6.903582784745E-3</v>
      </c>
      <c r="S961" s="79">
        <v>1.0030643810952931</v>
      </c>
      <c r="T961" s="79">
        <v>5.3734591628147102E-2</v>
      </c>
      <c r="U961" s="79">
        <v>0.95459228194443602</v>
      </c>
      <c r="V961" s="79">
        <v>0.96601084991027797</v>
      </c>
      <c r="W961" s="79">
        <v>1</v>
      </c>
    </row>
    <row r="962" spans="1:23" x14ac:dyDescent="0.2">
      <c r="A962" s="69"/>
      <c r="B962" s="84" t="s">
        <v>2678</v>
      </c>
      <c r="C962" s="78">
        <v>5509</v>
      </c>
      <c r="D962" s="79">
        <v>0.91731265375142101</v>
      </c>
      <c r="E962" s="79">
        <v>5.4507596999999998E-2</v>
      </c>
      <c r="F962" s="79">
        <v>0.113332062</v>
      </c>
      <c r="G962" s="79">
        <v>0.63598185099118898</v>
      </c>
      <c r="H962" s="80">
        <v>1</v>
      </c>
      <c r="I962" s="79">
        <v>0.91925233056893096</v>
      </c>
      <c r="J962" s="79">
        <v>5.4241473366448002E-2</v>
      </c>
      <c r="K962" s="79">
        <v>0.12060992855121801</v>
      </c>
      <c r="L962" s="79">
        <v>0.635078835400397</v>
      </c>
      <c r="M962" s="80">
        <v>1</v>
      </c>
      <c r="N962" s="81">
        <v>1.2556672223853538</v>
      </c>
      <c r="O962" s="81">
        <v>5.4310381893678102E-2</v>
      </c>
      <c r="P962" s="81">
        <v>2.7655175352935601E-5</v>
      </c>
      <c r="Q962" s="81">
        <v>1.99420657102996E-4</v>
      </c>
      <c r="R962" s="82">
        <v>3.5094417522875301E-2</v>
      </c>
      <c r="S962" s="79">
        <v>1.0621842321239539</v>
      </c>
      <c r="T962" s="79">
        <v>5.4071530473687797E-2</v>
      </c>
      <c r="U962" s="79">
        <v>0.26455233017176799</v>
      </c>
      <c r="V962" s="79">
        <v>0.35638737472184001</v>
      </c>
      <c r="W962" s="79">
        <v>1</v>
      </c>
    </row>
    <row r="963" spans="1:23" x14ac:dyDescent="0.2">
      <c r="A963" s="69"/>
      <c r="B963" s="84" t="s">
        <v>2679</v>
      </c>
      <c r="C963" s="78">
        <v>5509</v>
      </c>
      <c r="D963" s="79">
        <v>0.95892118120582981</v>
      </c>
      <c r="E963" s="79">
        <v>6.3383702E-2</v>
      </c>
      <c r="F963" s="79">
        <v>0.50810888899999995</v>
      </c>
      <c r="G963" s="79">
        <v>0.92884339055395704</v>
      </c>
      <c r="H963" s="80">
        <v>1</v>
      </c>
      <c r="I963" s="79">
        <v>0.92742294229922839</v>
      </c>
      <c r="J963" s="79">
        <v>6.3030294486517702E-2</v>
      </c>
      <c r="K963" s="79">
        <v>0.23193602108994901</v>
      </c>
      <c r="L963" s="79">
        <v>0.73717954403955399</v>
      </c>
      <c r="M963" s="80">
        <v>1</v>
      </c>
      <c r="N963" s="79">
        <v>1.132458501038786</v>
      </c>
      <c r="O963" s="79">
        <v>6.2976907821594805E-2</v>
      </c>
      <c r="P963" s="79">
        <v>4.8247355031562897E-2</v>
      </c>
      <c r="Q963" s="79">
        <v>8.61123678411439E-2</v>
      </c>
      <c r="R963" s="80">
        <v>1</v>
      </c>
      <c r="S963" s="79">
        <v>0.97509038958702687</v>
      </c>
      <c r="T963" s="79">
        <v>6.2704507516839897E-2</v>
      </c>
      <c r="U963" s="79">
        <v>0.68747403199642898</v>
      </c>
      <c r="V963" s="79">
        <v>0.75142510474028301</v>
      </c>
      <c r="W963" s="79">
        <v>1</v>
      </c>
    </row>
    <row r="964" spans="1:23" x14ac:dyDescent="0.2">
      <c r="A964" s="69"/>
      <c r="B964" s="84" t="s">
        <v>2680</v>
      </c>
      <c r="C964" s="78">
        <v>5509</v>
      </c>
      <c r="D964" s="79">
        <v>0.8725745940036056</v>
      </c>
      <c r="E964" s="79">
        <v>5.7784569000000001E-2</v>
      </c>
      <c r="F964" s="79">
        <v>1.8329952E-2</v>
      </c>
      <c r="G964" s="79">
        <v>0.349577479479452</v>
      </c>
      <c r="H964" s="80">
        <v>1</v>
      </c>
      <c r="I964" s="79">
        <v>0.92525741204256984</v>
      </c>
      <c r="J964" s="79">
        <v>5.7337144187356803E-2</v>
      </c>
      <c r="K964" s="79">
        <v>0.175464979720104</v>
      </c>
      <c r="L964" s="79">
        <v>0.69688241292590103</v>
      </c>
      <c r="M964" s="80">
        <v>1</v>
      </c>
      <c r="N964" s="81">
        <v>1.2801726662748605</v>
      </c>
      <c r="O964" s="81">
        <v>5.7442361738373401E-2</v>
      </c>
      <c r="P964" s="81">
        <v>1.7089461853828299E-5</v>
      </c>
      <c r="Q964" s="81">
        <v>1.3304617848164499E-4</v>
      </c>
      <c r="R964" s="82">
        <v>2.1686527092508099E-2</v>
      </c>
      <c r="S964" s="79">
        <v>1.0062699642830633</v>
      </c>
      <c r="T964" s="79">
        <v>5.71243302394095E-2</v>
      </c>
      <c r="U964" s="79">
        <v>0.91287151471373695</v>
      </c>
      <c r="V964" s="79">
        <v>0.93724429787357</v>
      </c>
      <c r="W964" s="79">
        <v>1</v>
      </c>
    </row>
    <row r="965" spans="1:23" x14ac:dyDescent="0.2">
      <c r="A965" s="69"/>
      <c r="B965" s="84" t="s">
        <v>2681</v>
      </c>
      <c r="C965" s="78">
        <v>5509</v>
      </c>
      <c r="D965" s="79">
        <v>0.91187584412771694</v>
      </c>
      <c r="E965" s="79">
        <v>4.7006920000000001E-2</v>
      </c>
      <c r="F965" s="79">
        <v>4.9703426000000002E-2</v>
      </c>
      <c r="G965" s="79">
        <v>0.45705541734782601</v>
      </c>
      <c r="H965" s="80">
        <v>1</v>
      </c>
      <c r="I965" s="79">
        <v>0.94587012659552716</v>
      </c>
      <c r="J965" s="79">
        <v>4.6712829270642402E-2</v>
      </c>
      <c r="K965" s="79">
        <v>0.23352732600780199</v>
      </c>
      <c r="L965" s="79">
        <v>0.73717954403955399</v>
      </c>
      <c r="M965" s="80">
        <v>1</v>
      </c>
      <c r="N965" s="79">
        <v>1.1980569212934096</v>
      </c>
      <c r="O965" s="79">
        <v>4.6671317077936501E-2</v>
      </c>
      <c r="P965" s="79">
        <v>1.0804401837742E-4</v>
      </c>
      <c r="Q965" s="79">
        <v>6.28935134499752E-4</v>
      </c>
      <c r="R965" s="80">
        <v>0.13710785932094599</v>
      </c>
      <c r="S965" s="79">
        <v>1.0180369095608279</v>
      </c>
      <c r="T965" s="79">
        <v>4.6470228562570097E-2</v>
      </c>
      <c r="U965" s="79">
        <v>0.70047440499526903</v>
      </c>
      <c r="V965" s="79">
        <v>0.759745316187176</v>
      </c>
      <c r="W965" s="79">
        <v>1</v>
      </c>
    </row>
    <row r="966" spans="1:23" x14ac:dyDescent="0.2">
      <c r="A966" s="69"/>
      <c r="B966" s="84" t="s">
        <v>2682</v>
      </c>
      <c r="C966" s="78">
        <v>5509</v>
      </c>
      <c r="D966" s="79">
        <v>0.94141584390953681</v>
      </c>
      <c r="E966" s="79">
        <v>5.380911E-2</v>
      </c>
      <c r="F966" s="79">
        <v>0.26189010200000001</v>
      </c>
      <c r="G966" s="79">
        <v>0.81256366610758002</v>
      </c>
      <c r="H966" s="80">
        <v>1</v>
      </c>
      <c r="I966" s="79">
        <v>0.89854382251272369</v>
      </c>
      <c r="J966" s="79">
        <v>5.3364789535860199E-2</v>
      </c>
      <c r="K966" s="79">
        <v>4.4996316426749602E-2</v>
      </c>
      <c r="L966" s="79">
        <v>0.53217113930985405</v>
      </c>
      <c r="M966" s="80">
        <v>1</v>
      </c>
      <c r="N966" s="79">
        <v>1.1927088671123305</v>
      </c>
      <c r="O966" s="79">
        <v>5.3344844986233798E-2</v>
      </c>
      <c r="P966" s="79">
        <v>9.54707532290824E-4</v>
      </c>
      <c r="Q966" s="79">
        <v>3.4127432633156499E-3</v>
      </c>
      <c r="R966" s="80">
        <v>1</v>
      </c>
      <c r="S966" s="79">
        <v>1.0301256985553171</v>
      </c>
      <c r="T966" s="79">
        <v>5.3246592559827097E-2</v>
      </c>
      <c r="U966" s="79">
        <v>0.57723900805513495</v>
      </c>
      <c r="V966" s="79">
        <v>0.65054733678682597</v>
      </c>
      <c r="W966" s="79">
        <v>1</v>
      </c>
    </row>
    <row r="967" spans="1:23" x14ac:dyDescent="0.2">
      <c r="A967" s="69"/>
      <c r="B967" s="84" t="s">
        <v>2683</v>
      </c>
      <c r="C967" s="78">
        <v>5509</v>
      </c>
      <c r="D967" s="79">
        <v>0.91339439377921805</v>
      </c>
      <c r="E967" s="79">
        <v>4.3033790000000002E-2</v>
      </c>
      <c r="F967" s="79">
        <v>3.5288501E-2</v>
      </c>
      <c r="G967" s="79">
        <v>0.43476803659223301</v>
      </c>
      <c r="H967" s="80">
        <v>1</v>
      </c>
      <c r="I967" s="79">
        <v>0.9016004576715736</v>
      </c>
      <c r="J967" s="79">
        <v>4.2811009342950297E-2</v>
      </c>
      <c r="K967" s="79">
        <v>1.5539294067843301E-2</v>
      </c>
      <c r="L967" s="79">
        <v>0.41909202640396798</v>
      </c>
      <c r="M967" s="80">
        <v>1</v>
      </c>
      <c r="N967" s="81">
        <v>1.2020793372690051</v>
      </c>
      <c r="O967" s="81">
        <v>4.2786416534673501E-2</v>
      </c>
      <c r="P967" s="81">
        <v>1.6951933049273898E-5</v>
      </c>
      <c r="Q967" s="81">
        <v>1.3279014221931199E-4</v>
      </c>
      <c r="R967" s="82">
        <v>2.1512003039528601E-2</v>
      </c>
      <c r="S967" s="79">
        <v>0.97998290696101598</v>
      </c>
      <c r="T967" s="79">
        <v>4.2450685458702397E-2</v>
      </c>
      <c r="U967" s="79">
        <v>0.63384576710402196</v>
      </c>
      <c r="V967" s="79">
        <v>0.70065355266115303</v>
      </c>
      <c r="W967" s="79">
        <v>1</v>
      </c>
    </row>
    <row r="968" spans="1:23" x14ac:dyDescent="0.2">
      <c r="A968" s="69"/>
      <c r="B968" s="84" t="s">
        <v>2684</v>
      </c>
      <c r="C968" s="78">
        <v>5509</v>
      </c>
      <c r="D968" s="79">
        <v>0.95310445864897742</v>
      </c>
      <c r="E968" s="79">
        <v>4.0885525999999998E-2</v>
      </c>
      <c r="F968" s="79">
        <v>0.24008986500000001</v>
      </c>
      <c r="G968" s="79">
        <v>0.77257570165909095</v>
      </c>
      <c r="H968" s="80">
        <v>1</v>
      </c>
      <c r="I968" s="79">
        <v>1.0235455364349992</v>
      </c>
      <c r="J968" s="79">
        <v>4.0821716269565399E-2</v>
      </c>
      <c r="K968" s="79">
        <v>0.56860729031580004</v>
      </c>
      <c r="L968" s="79">
        <v>0.911324282187712</v>
      </c>
      <c r="M968" s="80">
        <v>1</v>
      </c>
      <c r="N968" s="81">
        <v>1.3020006151368475</v>
      </c>
      <c r="O968" s="81">
        <v>4.0711872486658002E-2</v>
      </c>
      <c r="P968" s="81">
        <v>9.0401820463048595E-11</v>
      </c>
      <c r="Q968" s="81">
        <v>2.86799775419022E-9</v>
      </c>
      <c r="R968" s="82">
        <v>1.14719910167609E-7</v>
      </c>
      <c r="S968" s="79">
        <v>1.1368187623293122</v>
      </c>
      <c r="T968" s="79">
        <v>4.0357243648570698E-2</v>
      </c>
      <c r="U968" s="79">
        <v>1.4856769433276001E-3</v>
      </c>
      <c r="V968" s="79">
        <v>6.2427948380222699E-3</v>
      </c>
      <c r="W968" s="79">
        <v>1</v>
      </c>
    </row>
    <row r="969" spans="1:23" x14ac:dyDescent="0.2">
      <c r="A969" s="69"/>
      <c r="B969" s="84" t="s">
        <v>2685</v>
      </c>
      <c r="C969" s="78">
        <v>5509</v>
      </c>
      <c r="D969" s="79">
        <v>0.91812760936453242</v>
      </c>
      <c r="E969" s="79">
        <v>3.5397502999999997E-2</v>
      </c>
      <c r="F969" s="79">
        <v>1.5816038000000001E-2</v>
      </c>
      <c r="G969" s="79">
        <v>0.349577479479452</v>
      </c>
      <c r="H969" s="80">
        <v>1</v>
      </c>
      <c r="I969" s="79">
        <v>0.99191203157707863</v>
      </c>
      <c r="J969" s="79">
        <v>3.51296747609776E-2</v>
      </c>
      <c r="K969" s="79">
        <v>0.817184359368755</v>
      </c>
      <c r="L969" s="79">
        <v>0.96286625073254395</v>
      </c>
      <c r="M969" s="80">
        <v>1</v>
      </c>
      <c r="N969" s="81">
        <v>1.3275251510636858</v>
      </c>
      <c r="O969" s="81">
        <v>3.5564603377001798E-2</v>
      </c>
      <c r="P969" s="81">
        <v>1.6356566150850801E-15</v>
      </c>
      <c r="Q969" s="81">
        <v>2.5945603056787101E-13</v>
      </c>
      <c r="R969" s="82">
        <v>2.0756482445429701E-12</v>
      </c>
      <c r="S969" s="81">
        <v>1.1554671196085069</v>
      </c>
      <c r="T969" s="81">
        <v>3.5072054705636201E-2</v>
      </c>
      <c r="U969" s="81">
        <v>3.78505486272422E-5</v>
      </c>
      <c r="V969" s="81">
        <v>4.0363316141151602E-4</v>
      </c>
      <c r="W969" s="81">
        <v>4.8032346207970401E-2</v>
      </c>
    </row>
    <row r="970" spans="1:23" x14ac:dyDescent="0.2">
      <c r="A970" s="69"/>
      <c r="B970" s="84" t="s">
        <v>2686</v>
      </c>
      <c r="C970" s="78">
        <v>5509</v>
      </c>
      <c r="D970" s="79">
        <v>0.94166411670242522</v>
      </c>
      <c r="E970" s="79">
        <v>3.6159281000000001E-2</v>
      </c>
      <c r="F970" s="79">
        <v>9.6457851999999997E-2</v>
      </c>
      <c r="G970" s="79">
        <v>0.61188685347029703</v>
      </c>
      <c r="H970" s="80">
        <v>1</v>
      </c>
      <c r="I970" s="79">
        <v>1.021687372418518</v>
      </c>
      <c r="J970" s="79">
        <v>3.6030800951921502E-2</v>
      </c>
      <c r="K970" s="79">
        <v>0.55152404014467804</v>
      </c>
      <c r="L970" s="79">
        <v>0.90695752784237205</v>
      </c>
      <c r="M970" s="80">
        <v>1</v>
      </c>
      <c r="N970" s="81">
        <v>1.3289505351540309</v>
      </c>
      <c r="O970" s="81">
        <v>3.63315395075023E-2</v>
      </c>
      <c r="P970" s="81">
        <v>4.9718393906476099E-15</v>
      </c>
      <c r="Q970" s="81">
        <v>5.7356947152107398E-13</v>
      </c>
      <c r="R970" s="82">
        <v>6.3092641867318199E-12</v>
      </c>
      <c r="S970" s="79">
        <v>1.1402217919264377</v>
      </c>
      <c r="T970" s="79">
        <v>3.5770657149943798E-2</v>
      </c>
      <c r="U970" s="79">
        <v>2.44027255664124E-4</v>
      </c>
      <c r="V970" s="79">
        <v>1.57193191592778E-3</v>
      </c>
      <c r="W970" s="79">
        <v>0.30967058743777298</v>
      </c>
    </row>
    <row r="971" spans="1:23" x14ac:dyDescent="0.2">
      <c r="A971" s="69"/>
      <c r="B971" s="84" t="s">
        <v>2687</v>
      </c>
      <c r="C971" s="78">
        <v>5509</v>
      </c>
      <c r="D971" s="79">
        <v>0.93637714122435423</v>
      </c>
      <c r="E971" s="79">
        <v>3.6127644E-2</v>
      </c>
      <c r="F971" s="79">
        <v>6.8823766999999994E-2</v>
      </c>
      <c r="G971" s="79">
        <v>0.53301916103048796</v>
      </c>
      <c r="H971" s="80">
        <v>1</v>
      </c>
      <c r="I971" s="79">
        <v>0.99050429900089221</v>
      </c>
      <c r="J971" s="79">
        <v>3.5930243134412301E-2</v>
      </c>
      <c r="K971" s="79">
        <v>0.79059015874738003</v>
      </c>
      <c r="L971" s="79">
        <v>0.95970310918962698</v>
      </c>
      <c r="M971" s="80">
        <v>1</v>
      </c>
      <c r="N971" s="81">
        <v>1.3326729129213617</v>
      </c>
      <c r="O971" s="81">
        <v>3.6254682892943903E-2</v>
      </c>
      <c r="P971" s="81">
        <v>2.3491418521558099E-15</v>
      </c>
      <c r="Q971" s="81">
        <v>3.3122900115396898E-13</v>
      </c>
      <c r="R971" s="82">
        <v>2.9810610103857199E-12</v>
      </c>
      <c r="S971" s="81">
        <v>1.1637387524343947</v>
      </c>
      <c r="T971" s="81">
        <v>3.5766396273706001E-2</v>
      </c>
      <c r="U971" s="81">
        <v>2.23843951467468E-5</v>
      </c>
      <c r="V971" s="81">
        <v>2.76624076030177E-4</v>
      </c>
      <c r="W971" s="81">
        <v>2.8405797441221702E-2</v>
      </c>
    </row>
    <row r="972" spans="1:23" x14ac:dyDescent="0.2">
      <c r="A972" s="69"/>
      <c r="B972" s="84" t="s">
        <v>2688</v>
      </c>
      <c r="C972" s="78">
        <v>5509</v>
      </c>
      <c r="D972" s="79">
        <v>0.96756892142540663</v>
      </c>
      <c r="E972" s="79">
        <v>3.6439067999999998E-2</v>
      </c>
      <c r="F972" s="79">
        <v>0.365592429</v>
      </c>
      <c r="G972" s="79">
        <v>0.880152082540541</v>
      </c>
      <c r="H972" s="80">
        <v>1</v>
      </c>
      <c r="I972" s="79">
        <v>0.96078682123071357</v>
      </c>
      <c r="J972" s="79">
        <v>3.6222924751267302E-2</v>
      </c>
      <c r="K972" s="79">
        <v>0.26944208562521899</v>
      </c>
      <c r="L972" s="79">
        <v>0.76151894578708901</v>
      </c>
      <c r="M972" s="80">
        <v>1</v>
      </c>
      <c r="N972" s="81">
        <v>1.2938534289251955</v>
      </c>
      <c r="O972" s="81">
        <v>3.6500102093027502E-2</v>
      </c>
      <c r="P972" s="81">
        <v>1.6867652587357399E-12</v>
      </c>
      <c r="Q972" s="81">
        <v>8.9187713055652203E-11</v>
      </c>
      <c r="R972" s="82">
        <v>2.1405051133356501E-9</v>
      </c>
      <c r="S972" s="79">
        <v>1.1117688976676676</v>
      </c>
      <c r="T972" s="79">
        <v>3.5984635011401103E-2</v>
      </c>
      <c r="U972" s="79">
        <v>3.2360506052705701E-3</v>
      </c>
      <c r="V972" s="79">
        <v>1.0995838578384E-2</v>
      </c>
      <c r="W972" s="79">
        <v>1</v>
      </c>
    </row>
    <row r="973" spans="1:23" x14ac:dyDescent="0.2">
      <c r="A973" s="69"/>
      <c r="B973" s="84" t="s">
        <v>2689</v>
      </c>
      <c r="C973" s="78">
        <v>5509</v>
      </c>
      <c r="D973" s="79">
        <v>0.9647684805077652</v>
      </c>
      <c r="E973" s="79">
        <v>3.8795557000000001E-2</v>
      </c>
      <c r="F973" s="79">
        <v>0.355217595</v>
      </c>
      <c r="G973" s="79">
        <v>0.87466935069364204</v>
      </c>
      <c r="H973" s="80">
        <v>1</v>
      </c>
      <c r="I973" s="79">
        <v>0.98210793620089509</v>
      </c>
      <c r="J973" s="79">
        <v>3.8592647233010403E-2</v>
      </c>
      <c r="K973" s="79">
        <v>0.63991980716391395</v>
      </c>
      <c r="L973" s="79">
        <v>0.91965825061269202</v>
      </c>
      <c r="M973" s="80">
        <v>1</v>
      </c>
      <c r="N973" s="81">
        <v>1.3563150135259654</v>
      </c>
      <c r="O973" s="81">
        <v>3.9007026810180201E-2</v>
      </c>
      <c r="P973" s="81">
        <v>5.5733925407821303E-15</v>
      </c>
      <c r="Q973" s="81">
        <v>5.8938626118771001E-13</v>
      </c>
      <c r="R973" s="82">
        <v>7.0726351342525197E-12</v>
      </c>
      <c r="S973" s="79">
        <v>1.1565299057266332</v>
      </c>
      <c r="T973" s="79">
        <v>3.8412774953441003E-2</v>
      </c>
      <c r="U973" s="79">
        <v>1.5319918384817499E-4</v>
      </c>
      <c r="V973" s="79">
        <v>1.10460093354167E-3</v>
      </c>
      <c r="W973" s="79">
        <v>0.19440976430333401</v>
      </c>
    </row>
    <row r="974" spans="1:23" x14ac:dyDescent="0.2">
      <c r="A974" s="69"/>
      <c r="B974" s="84" t="s">
        <v>2690</v>
      </c>
      <c r="C974" s="78">
        <v>5509</v>
      </c>
      <c r="D974" s="79">
        <v>0.94095888709949949</v>
      </c>
      <c r="E974" s="79">
        <v>3.5850779999999999E-2</v>
      </c>
      <c r="F974" s="79">
        <v>8.9606747E-2</v>
      </c>
      <c r="G974" s="79">
        <v>0.59336855393782395</v>
      </c>
      <c r="H974" s="80">
        <v>1</v>
      </c>
      <c r="I974" s="79">
        <v>0.96913660263851631</v>
      </c>
      <c r="J974" s="79">
        <v>3.55986115207369E-2</v>
      </c>
      <c r="K974" s="79">
        <v>0.37851052667887503</v>
      </c>
      <c r="L974" s="79">
        <v>0.82389341055830601</v>
      </c>
      <c r="M974" s="80">
        <v>1</v>
      </c>
      <c r="N974" s="81">
        <v>1.3060674148811455</v>
      </c>
      <c r="O974" s="81">
        <v>3.59033799993164E-2</v>
      </c>
      <c r="P974" s="81">
        <v>1.02841115163609E-13</v>
      </c>
      <c r="Q974" s="81">
        <v>6.8687039548747299E-12</v>
      </c>
      <c r="R974" s="82">
        <v>1.3050537514262E-10</v>
      </c>
      <c r="S974" s="79">
        <v>1.1334806067176859</v>
      </c>
      <c r="T974" s="79">
        <v>3.5437260478202899E-2</v>
      </c>
      <c r="U974" s="79">
        <v>4.0680227760696899E-4</v>
      </c>
      <c r="V974" s="79">
        <v>2.2609016525214202E-3</v>
      </c>
      <c r="W974" s="79">
        <v>0.51623209028324402</v>
      </c>
    </row>
    <row r="975" spans="1:23" x14ac:dyDescent="0.2">
      <c r="A975" s="69"/>
      <c r="B975" s="84" t="s">
        <v>2691</v>
      </c>
      <c r="C975" s="78">
        <v>5509</v>
      </c>
      <c r="D975" s="79">
        <v>0.89062666771924792</v>
      </c>
      <c r="E975" s="79">
        <v>3.7234578999999997E-2</v>
      </c>
      <c r="F975" s="79">
        <v>1.865708E-3</v>
      </c>
      <c r="G975" s="79">
        <v>0.12494161575</v>
      </c>
      <c r="H975" s="80">
        <v>1</v>
      </c>
      <c r="I975" s="79">
        <v>0.96319777638027881</v>
      </c>
      <c r="J975" s="79">
        <v>3.6964373179278698E-2</v>
      </c>
      <c r="K975" s="79">
        <v>0.31039382305254398</v>
      </c>
      <c r="L975" s="79">
        <v>0.78754770700353705</v>
      </c>
      <c r="M975" s="80">
        <v>1</v>
      </c>
      <c r="N975" s="81">
        <v>1.3201960532086812</v>
      </c>
      <c r="O975" s="81">
        <v>3.7308094692741801E-2</v>
      </c>
      <c r="P975" s="81">
        <v>9.6522417597269603E-14</v>
      </c>
      <c r="Q975" s="81">
        <v>6.8048304406075096E-12</v>
      </c>
      <c r="R975" s="82">
        <v>1.22486947930935E-10</v>
      </c>
      <c r="S975" s="79">
        <v>1.0984445380320531</v>
      </c>
      <c r="T975" s="79">
        <v>3.67147040034747E-2</v>
      </c>
      <c r="U975" s="79">
        <v>1.054501222771E-2</v>
      </c>
      <c r="V975" s="79">
        <v>2.6979073622911302E-2</v>
      </c>
      <c r="W975" s="79">
        <v>1</v>
      </c>
    </row>
    <row r="976" spans="1:23" x14ac:dyDescent="0.2">
      <c r="A976" s="69"/>
      <c r="B976" s="84" t="s">
        <v>2692</v>
      </c>
      <c r="C976" s="78">
        <v>5509</v>
      </c>
      <c r="D976" s="79">
        <v>0.8994141932245785</v>
      </c>
      <c r="E976" s="79">
        <v>4.3747270999999997E-2</v>
      </c>
      <c r="F976" s="79">
        <v>1.5381321E-2</v>
      </c>
      <c r="G976" s="79">
        <v>0.34855172051785699</v>
      </c>
      <c r="H976" s="80">
        <v>1</v>
      </c>
      <c r="I976" s="79">
        <v>0.99606500632406203</v>
      </c>
      <c r="J976" s="79">
        <v>4.3462840502008299E-2</v>
      </c>
      <c r="K976" s="79">
        <v>0.92771860252629801</v>
      </c>
      <c r="L976" s="79">
        <v>0.981200184300273</v>
      </c>
      <c r="M976" s="80">
        <v>1</v>
      </c>
      <c r="N976" s="81">
        <v>1.3362955344784944</v>
      </c>
      <c r="O976" s="81">
        <v>4.3773873578660097E-2</v>
      </c>
      <c r="P976" s="81">
        <v>3.5269492331156203E-11</v>
      </c>
      <c r="Q976" s="81">
        <v>1.20964826400641E-9</v>
      </c>
      <c r="R976" s="82">
        <v>4.4756985768237198E-8</v>
      </c>
      <c r="S976" s="79">
        <v>1.1402340602503775</v>
      </c>
      <c r="T976" s="79">
        <v>4.32146237096094E-2</v>
      </c>
      <c r="U976" s="79">
        <v>2.3911527681795101E-3</v>
      </c>
      <c r="V976" s="79">
        <v>8.8984541431665603E-3</v>
      </c>
      <c r="W976" s="79">
        <v>1</v>
      </c>
    </row>
    <row r="977" spans="1:23" x14ac:dyDescent="0.2">
      <c r="A977" s="69"/>
      <c r="B977" s="84" t="s">
        <v>2693</v>
      </c>
      <c r="C977" s="78">
        <v>5509</v>
      </c>
      <c r="D977" s="79">
        <v>0.87341800439262285</v>
      </c>
      <c r="E977" s="79">
        <v>4.2965966000000001E-2</v>
      </c>
      <c r="F977" s="79">
        <v>1.6329350000000001E-3</v>
      </c>
      <c r="G977" s="79">
        <v>0.12494161575</v>
      </c>
      <c r="H977" s="80">
        <v>1</v>
      </c>
      <c r="I977" s="79">
        <v>0.96066525279867798</v>
      </c>
      <c r="J977" s="79">
        <v>4.26434787654476E-2</v>
      </c>
      <c r="K977" s="79">
        <v>0.34668383731795599</v>
      </c>
      <c r="L977" s="79">
        <v>0.80071697353462201</v>
      </c>
      <c r="M977" s="80">
        <v>1</v>
      </c>
      <c r="N977" s="81">
        <v>1.3400450617668624</v>
      </c>
      <c r="O977" s="81">
        <v>4.2904030622127901E-2</v>
      </c>
      <c r="P977" s="81">
        <v>8.9607790441179198E-12</v>
      </c>
      <c r="Q977" s="81">
        <v>3.9211133127536701E-10</v>
      </c>
      <c r="R977" s="82">
        <v>1.13712286069856E-8</v>
      </c>
      <c r="S977" s="79">
        <v>1.1181203606162977</v>
      </c>
      <c r="T977" s="79">
        <v>4.2436960764947303E-2</v>
      </c>
      <c r="U977" s="79">
        <v>8.5149489663440305E-3</v>
      </c>
      <c r="V977" s="79">
        <v>2.33231600915529E-2</v>
      </c>
      <c r="W977" s="79">
        <v>1</v>
      </c>
    </row>
    <row r="978" spans="1:23" x14ac:dyDescent="0.2">
      <c r="A978" s="69"/>
      <c r="B978" s="84" t="s">
        <v>2694</v>
      </c>
      <c r="C978" s="78">
        <v>5509</v>
      </c>
      <c r="D978" s="79">
        <v>0.91991893771538347</v>
      </c>
      <c r="E978" s="79">
        <v>3.9428191000000001E-2</v>
      </c>
      <c r="F978" s="79">
        <v>3.4259325E-2</v>
      </c>
      <c r="G978" s="79">
        <v>0.43476803659223301</v>
      </c>
      <c r="H978" s="80">
        <v>1</v>
      </c>
      <c r="I978" s="79">
        <v>0.98847112766245027</v>
      </c>
      <c r="J978" s="79">
        <v>3.9171960148253603E-2</v>
      </c>
      <c r="K978" s="79">
        <v>0.76721166139555796</v>
      </c>
      <c r="L978" s="79">
        <v>0.95389133514851498</v>
      </c>
      <c r="M978" s="80">
        <v>1</v>
      </c>
      <c r="N978" s="81">
        <v>1.301372904881702</v>
      </c>
      <c r="O978" s="81">
        <v>3.94521656065452E-2</v>
      </c>
      <c r="P978" s="81">
        <v>2.4398086819124598E-11</v>
      </c>
      <c r="Q978" s="81">
        <v>9.3821733858997307E-10</v>
      </c>
      <c r="R978" s="82">
        <v>3.0961172173469102E-8</v>
      </c>
      <c r="S978" s="81">
        <v>1.1771320263068319</v>
      </c>
      <c r="T978" s="81">
        <v>3.9109816075507398E-2</v>
      </c>
      <c r="U978" s="81">
        <v>3.0483686942144501E-5</v>
      </c>
      <c r="V978" s="81">
        <v>3.4233450203169401E-4</v>
      </c>
      <c r="W978" s="81">
        <v>3.8683798729581401E-2</v>
      </c>
    </row>
    <row r="979" spans="1:23" x14ac:dyDescent="0.2">
      <c r="A979" s="69"/>
      <c r="B979" s="84" t="s">
        <v>2695</v>
      </c>
      <c r="C979" s="78">
        <v>5509</v>
      </c>
      <c r="D979" s="79">
        <v>0.93360818584982741</v>
      </c>
      <c r="E979" s="79">
        <v>4.4777099000000001E-2</v>
      </c>
      <c r="F979" s="79">
        <v>0.124972745</v>
      </c>
      <c r="G979" s="79">
        <v>0.65626131345967698</v>
      </c>
      <c r="H979" s="80">
        <v>1</v>
      </c>
      <c r="I979" s="79">
        <v>0.9816475645414372</v>
      </c>
      <c r="J979" s="79">
        <v>4.46000556659552E-2</v>
      </c>
      <c r="K979" s="79">
        <v>0.67791364398246801</v>
      </c>
      <c r="L979" s="79">
        <v>0.93057850825384603</v>
      </c>
      <c r="M979" s="80">
        <v>1</v>
      </c>
      <c r="N979" s="81">
        <v>1.360662574676657</v>
      </c>
      <c r="O979" s="81">
        <v>4.4872689239324901E-2</v>
      </c>
      <c r="P979" s="81">
        <v>6.7318797363710702E-12</v>
      </c>
      <c r="Q979" s="81">
        <v>3.0509840662338899E-10</v>
      </c>
      <c r="R979" s="82">
        <v>8.5427553854548898E-9</v>
      </c>
      <c r="S979" s="79">
        <v>1.1454537618993776</v>
      </c>
      <c r="T979" s="79">
        <v>4.4273408445650003E-2</v>
      </c>
      <c r="U979" s="79">
        <v>2.1598511803142899E-3</v>
      </c>
      <c r="V979" s="79">
        <v>8.1916781717452595E-3</v>
      </c>
      <c r="W979" s="79">
        <v>1</v>
      </c>
    </row>
    <row r="980" spans="1:23" x14ac:dyDescent="0.2">
      <c r="A980" s="69"/>
      <c r="B980" s="84" t="s">
        <v>2696</v>
      </c>
      <c r="C980" s="78">
        <v>5509</v>
      </c>
      <c r="D980" s="79">
        <v>0.88026798188399069</v>
      </c>
      <c r="E980" s="79">
        <v>4.1185828000000001E-2</v>
      </c>
      <c r="F980" s="79">
        <v>1.958684E-3</v>
      </c>
      <c r="G980" s="79">
        <v>0.12494161575</v>
      </c>
      <c r="H980" s="80">
        <v>1</v>
      </c>
      <c r="I980" s="79">
        <v>0.96115537326469869</v>
      </c>
      <c r="J980" s="79">
        <v>4.08489372913576E-2</v>
      </c>
      <c r="K980" s="79">
        <v>0.33209853591823602</v>
      </c>
      <c r="L980" s="79">
        <v>0.79366538468944703</v>
      </c>
      <c r="M980" s="80">
        <v>1</v>
      </c>
      <c r="N980" s="81">
        <v>1.3284715153764499</v>
      </c>
      <c r="O980" s="81">
        <v>4.1179274989904598E-2</v>
      </c>
      <c r="P980" s="81">
        <v>5.2970923675055899E-12</v>
      </c>
      <c r="Q980" s="81">
        <v>2.4896334127276298E-10</v>
      </c>
      <c r="R980" s="82">
        <v>6.7220102143645899E-9</v>
      </c>
      <c r="S980" s="79">
        <v>1.1783272031361884</v>
      </c>
      <c r="T980" s="79">
        <v>4.0827392153326897E-2</v>
      </c>
      <c r="U980" s="79">
        <v>5.8381799791541103E-5</v>
      </c>
      <c r="V980" s="79">
        <v>5.329964311904E-4</v>
      </c>
      <c r="W980" s="79">
        <v>7.4086503935465703E-2</v>
      </c>
    </row>
    <row r="981" spans="1:23" x14ac:dyDescent="0.2">
      <c r="A981" s="69"/>
      <c r="B981" s="84" t="s">
        <v>2697</v>
      </c>
      <c r="C981" s="78">
        <v>5509</v>
      </c>
      <c r="D981" s="79">
        <v>0.91629524076021107</v>
      </c>
      <c r="E981" s="79">
        <v>3.7126851000000002E-2</v>
      </c>
      <c r="F981" s="79">
        <v>1.8545652999999999E-2</v>
      </c>
      <c r="G981" s="79">
        <v>0.349577479479452</v>
      </c>
      <c r="H981" s="80">
        <v>1</v>
      </c>
      <c r="I981" s="79">
        <v>0.96230648421370057</v>
      </c>
      <c r="J981" s="79">
        <v>3.6905287766069599E-2</v>
      </c>
      <c r="K981" s="79">
        <v>0.29782670889096802</v>
      </c>
      <c r="L981" s="79">
        <v>0.78087209417900505</v>
      </c>
      <c r="M981" s="80">
        <v>1</v>
      </c>
      <c r="N981" s="81">
        <v>1.2963778356217002</v>
      </c>
      <c r="O981" s="81">
        <v>3.71355961983647E-2</v>
      </c>
      <c r="P981" s="81">
        <v>2.7508269766902101E-12</v>
      </c>
      <c r="Q981" s="81">
        <v>1.3535212381429499E-10</v>
      </c>
      <c r="R981" s="82">
        <v>3.4907994334198799E-9</v>
      </c>
      <c r="S981" s="81">
        <v>1.1698953118271198</v>
      </c>
      <c r="T981" s="81">
        <v>3.6831345456388401E-2</v>
      </c>
      <c r="U981" s="81">
        <v>2.0411086697462301E-5</v>
      </c>
      <c r="V981" s="81">
        <v>2.6163302039474399E-4</v>
      </c>
      <c r="W981" s="81">
        <v>2.5901669019079698E-2</v>
      </c>
    </row>
    <row r="982" spans="1:23" x14ac:dyDescent="0.2">
      <c r="A982" s="69"/>
      <c r="B982" s="84" t="s">
        <v>2698</v>
      </c>
      <c r="C982" s="78">
        <v>5509</v>
      </c>
      <c r="D982" s="79">
        <v>0.91670137689764108</v>
      </c>
      <c r="E982" s="79">
        <v>4.0177694E-2</v>
      </c>
      <c r="F982" s="79">
        <v>3.0409029000000001E-2</v>
      </c>
      <c r="G982" s="79">
        <v>0.41052189150000001</v>
      </c>
      <c r="H982" s="80">
        <v>1</v>
      </c>
      <c r="I982" s="79">
        <v>1.0011395058210197</v>
      </c>
      <c r="J982" s="79">
        <v>4.0072705311249998E-2</v>
      </c>
      <c r="K982" s="79">
        <v>0.977327356213608</v>
      </c>
      <c r="L982" s="79">
        <v>0.99297711371902997</v>
      </c>
      <c r="M982" s="80">
        <v>1</v>
      </c>
      <c r="N982" s="81">
        <v>1.3049104673646545</v>
      </c>
      <c r="O982" s="81">
        <v>4.0167807185911703E-2</v>
      </c>
      <c r="P982" s="81">
        <v>3.4592167716744502E-11</v>
      </c>
      <c r="Q982" s="81">
        <v>1.20964826400641E-9</v>
      </c>
      <c r="R982" s="82">
        <v>4.3897460832548803E-8</v>
      </c>
      <c r="S982" s="79">
        <v>1.1751741485207978</v>
      </c>
      <c r="T982" s="79">
        <v>3.9829583391135501E-2</v>
      </c>
      <c r="U982" s="79">
        <v>5.06353690728237E-5</v>
      </c>
      <c r="V982" s="79">
        <v>4.7597246928454299E-4</v>
      </c>
      <c r="W982" s="79">
        <v>6.4256283353413296E-2</v>
      </c>
    </row>
    <row r="983" spans="1:23" x14ac:dyDescent="0.2">
      <c r="A983" s="69"/>
      <c r="B983" s="84" t="s">
        <v>2699</v>
      </c>
      <c r="C983" s="78">
        <v>5509</v>
      </c>
      <c r="D983" s="79">
        <v>0.92611262079705337</v>
      </c>
      <c r="E983" s="79">
        <v>3.4196074999999999E-2</v>
      </c>
      <c r="F983" s="79">
        <v>2.4788335000000002E-2</v>
      </c>
      <c r="G983" s="79">
        <v>0.37436086021348303</v>
      </c>
      <c r="H983" s="80">
        <v>1</v>
      </c>
      <c r="I983" s="79">
        <v>0.96458587567676124</v>
      </c>
      <c r="J983" s="79">
        <v>3.3959250730373099E-2</v>
      </c>
      <c r="K983" s="79">
        <v>0.28834679154859699</v>
      </c>
      <c r="L983" s="79">
        <v>0.773338968029602</v>
      </c>
      <c r="M983" s="80">
        <v>1</v>
      </c>
      <c r="N983" s="81">
        <v>1.3276777175714491</v>
      </c>
      <c r="O983" s="81">
        <v>3.4421537210406999E-2</v>
      </c>
      <c r="P983" s="81">
        <v>1.8087041103697099E-16</v>
      </c>
      <c r="Q983" s="81">
        <v>4.5904910321183201E-14</v>
      </c>
      <c r="R983" s="82">
        <v>2.2952455160591599E-13</v>
      </c>
      <c r="S983" s="79">
        <v>1.108072163125648</v>
      </c>
      <c r="T983" s="79">
        <v>3.3746959242346199E-2</v>
      </c>
      <c r="U983" s="79">
        <v>2.3585852925978599E-3</v>
      </c>
      <c r="V983" s="79">
        <v>8.8030727538431896E-3</v>
      </c>
      <c r="W983" s="79">
        <v>1</v>
      </c>
    </row>
    <row r="984" spans="1:23" x14ac:dyDescent="0.2">
      <c r="A984" s="69"/>
      <c r="B984" s="84" t="s">
        <v>2700</v>
      </c>
      <c r="C984" s="78">
        <v>5509</v>
      </c>
      <c r="D984" s="79">
        <v>0.91631762429374375</v>
      </c>
      <c r="E984" s="79">
        <v>3.9270860999999997E-2</v>
      </c>
      <c r="F984" s="79">
        <v>2.6056362999999999E-2</v>
      </c>
      <c r="G984" s="79">
        <v>0.37436086021348303</v>
      </c>
      <c r="H984" s="80">
        <v>1</v>
      </c>
      <c r="I984" s="79">
        <v>0.95620098415226362</v>
      </c>
      <c r="J984" s="79">
        <v>3.90567227215049E-2</v>
      </c>
      <c r="K984" s="79">
        <v>0.25149706039457398</v>
      </c>
      <c r="L984" s="79">
        <v>0.75316534960692805</v>
      </c>
      <c r="M984" s="80">
        <v>1</v>
      </c>
      <c r="N984" s="81">
        <v>1.2134944651229504</v>
      </c>
      <c r="O984" s="81">
        <v>3.9094026054576E-2</v>
      </c>
      <c r="P984" s="81">
        <v>7.4323231667397898E-7</v>
      </c>
      <c r="Q984" s="81">
        <v>9.1569107753328104E-6</v>
      </c>
      <c r="R984" s="82">
        <v>9.4316180985927901E-4</v>
      </c>
      <c r="S984" s="79">
        <v>0.99922176495217874</v>
      </c>
      <c r="T984" s="79">
        <v>3.8743511570119203E-2</v>
      </c>
      <c r="U984" s="79">
        <v>0.983967853035842</v>
      </c>
      <c r="V984" s="79">
        <v>0.98707921383595498</v>
      </c>
      <c r="W984" s="79">
        <v>1</v>
      </c>
    </row>
    <row r="985" spans="1:23" x14ac:dyDescent="0.2">
      <c r="A985" s="69"/>
      <c r="B985" s="84" t="s">
        <v>2701</v>
      </c>
      <c r="C985" s="78">
        <v>5509</v>
      </c>
      <c r="D985" s="79">
        <v>0.97410984255603728</v>
      </c>
      <c r="E985" s="79">
        <v>3.2816552999999998E-2</v>
      </c>
      <c r="F985" s="79">
        <v>0.42409992699999999</v>
      </c>
      <c r="G985" s="79">
        <v>0.89158896436589397</v>
      </c>
      <c r="H985" s="80">
        <v>1</v>
      </c>
      <c r="I985" s="79">
        <v>1.0026027256637513</v>
      </c>
      <c r="J985" s="79">
        <v>3.26867528708027E-2</v>
      </c>
      <c r="K985" s="79">
        <v>0.936616740618612</v>
      </c>
      <c r="L985" s="79">
        <v>0.981200184300273</v>
      </c>
      <c r="M985" s="80">
        <v>1</v>
      </c>
      <c r="N985" s="79">
        <v>1.1123249370385104</v>
      </c>
      <c r="O985" s="79">
        <v>3.2553078210860099E-2</v>
      </c>
      <c r="P985" s="79">
        <v>1.0750314723554501E-3</v>
      </c>
      <c r="Q985" s="79">
        <v>3.7625582377452099E-3</v>
      </c>
      <c r="R985" s="80">
        <v>1</v>
      </c>
      <c r="S985" s="79">
        <v>1.0116118849740463</v>
      </c>
      <c r="T985" s="79">
        <v>3.2338686125198197E-2</v>
      </c>
      <c r="U985" s="79">
        <v>0.72109010453996902</v>
      </c>
      <c r="V985" s="79">
        <v>0.77613515068805805</v>
      </c>
      <c r="W985" s="79">
        <v>1</v>
      </c>
    </row>
    <row r="986" spans="1:23" x14ac:dyDescent="0.2">
      <c r="A986" s="69"/>
      <c r="B986" s="84" t="s">
        <v>2702</v>
      </c>
      <c r="C986" s="78">
        <v>5509</v>
      </c>
      <c r="D986" s="79">
        <v>0.93506187632070747</v>
      </c>
      <c r="E986" s="79">
        <v>4.6668222000000002E-2</v>
      </c>
      <c r="F986" s="79">
        <v>0.15022944799999999</v>
      </c>
      <c r="G986" s="79">
        <v>0.67644481499999998</v>
      </c>
      <c r="H986" s="80">
        <v>1</v>
      </c>
      <c r="I986" s="79">
        <v>0.94018177433173278</v>
      </c>
      <c r="J986" s="79">
        <v>4.6490623084953699E-2</v>
      </c>
      <c r="K986" s="79">
        <v>0.184587044284345</v>
      </c>
      <c r="L986" s="79">
        <v>0.70342630389439598</v>
      </c>
      <c r="M986" s="80">
        <v>1</v>
      </c>
      <c r="N986" s="79">
        <v>1.2089143901416504</v>
      </c>
      <c r="O986" s="79">
        <v>4.6272991788411801E-2</v>
      </c>
      <c r="P986" s="79">
        <v>4.1301542368383999E-5</v>
      </c>
      <c r="Q986" s="79">
        <v>2.7731035590200699E-4</v>
      </c>
      <c r="R986" s="80">
        <v>5.2411657265479299E-2</v>
      </c>
      <c r="S986" s="79">
        <v>1.0155052632743964</v>
      </c>
      <c r="T986" s="79">
        <v>4.6060621202337698E-2</v>
      </c>
      <c r="U986" s="79">
        <v>0.73834617940146596</v>
      </c>
      <c r="V986" s="79">
        <v>0.79001796092787602</v>
      </c>
      <c r="W986" s="79">
        <v>1</v>
      </c>
    </row>
    <row r="987" spans="1:23" x14ac:dyDescent="0.2">
      <c r="A987" s="69"/>
      <c r="B987" s="84" t="s">
        <v>2703</v>
      </c>
      <c r="C987" s="78">
        <v>5499</v>
      </c>
      <c r="D987" s="79">
        <v>0.93209896901876554</v>
      </c>
      <c r="E987" s="79">
        <v>4.7282957E-2</v>
      </c>
      <c r="F987" s="79">
        <v>0.13697838300000001</v>
      </c>
      <c r="G987" s="79">
        <v>0.66434080898863601</v>
      </c>
      <c r="H987" s="80">
        <v>1</v>
      </c>
      <c r="I987" s="79">
        <v>0.94067236478201832</v>
      </c>
      <c r="J987" s="79">
        <v>4.7059028954256801E-2</v>
      </c>
      <c r="K987" s="79">
        <v>0.193720147528924</v>
      </c>
      <c r="L987" s="79">
        <v>0.71347894824854996</v>
      </c>
      <c r="M987" s="80">
        <v>1</v>
      </c>
      <c r="N987" s="79">
        <v>1.2107602123200916</v>
      </c>
      <c r="O987" s="79">
        <v>4.6849666445208597E-2</v>
      </c>
      <c r="P987" s="79">
        <v>4.4616590365816699E-5</v>
      </c>
      <c r="Q987" s="79">
        <v>2.9488777694906999E-4</v>
      </c>
      <c r="R987" s="80">
        <v>5.66184531742214E-2</v>
      </c>
      <c r="S987" s="79">
        <v>1.0202657621901414</v>
      </c>
      <c r="T987" s="79">
        <v>4.6649522545585798E-2</v>
      </c>
      <c r="U987" s="79">
        <v>0.66713561009490596</v>
      </c>
      <c r="V987" s="79">
        <v>0.73361792825861005</v>
      </c>
      <c r="W987" s="79">
        <v>1</v>
      </c>
    </row>
    <row r="988" spans="1:23" x14ac:dyDescent="0.2">
      <c r="A988" s="69"/>
      <c r="B988" s="84" t="s">
        <v>2704</v>
      </c>
      <c r="C988" s="78">
        <v>5509</v>
      </c>
      <c r="D988" s="79">
        <v>0.91356949639228957</v>
      </c>
      <c r="E988" s="79">
        <v>3.7013226000000003E-2</v>
      </c>
      <c r="F988" s="79">
        <v>1.4595732E-2</v>
      </c>
      <c r="G988" s="79">
        <v>0.33676334378181799</v>
      </c>
      <c r="H988" s="80">
        <v>1</v>
      </c>
      <c r="I988" s="79">
        <v>0.98226936082254046</v>
      </c>
      <c r="J988" s="79">
        <v>3.6724116378182098E-2</v>
      </c>
      <c r="K988" s="79">
        <v>0.62616058807963804</v>
      </c>
      <c r="L988" s="79">
        <v>0.91965825061269202</v>
      </c>
      <c r="M988" s="80">
        <v>1</v>
      </c>
      <c r="N988" s="81">
        <v>1.3076588961546889</v>
      </c>
      <c r="O988" s="81">
        <v>3.6997193125808001E-2</v>
      </c>
      <c r="P988" s="81">
        <v>4.1604151535594802E-13</v>
      </c>
      <c r="Q988" s="81">
        <v>2.3998031044849899E-11</v>
      </c>
      <c r="R988" s="82">
        <v>5.2795668298669804E-10</v>
      </c>
      <c r="S988" s="81">
        <v>1.17347272284124</v>
      </c>
      <c r="T988" s="81">
        <v>3.6653969452616203E-2</v>
      </c>
      <c r="U988" s="81">
        <v>1.2755317769290199E-5</v>
      </c>
      <c r="V988" s="81">
        <v>1.83996987245228E-4</v>
      </c>
      <c r="W988" s="81">
        <v>1.6186498249229301E-2</v>
      </c>
    </row>
    <row r="989" spans="1:23" x14ac:dyDescent="0.2">
      <c r="A989" s="69"/>
      <c r="B989" s="84" t="s">
        <v>2705</v>
      </c>
      <c r="C989" s="78">
        <v>5499</v>
      </c>
      <c r="D989" s="79">
        <v>0.91264543993133951</v>
      </c>
      <c r="E989" s="79">
        <v>3.7047077999999997E-2</v>
      </c>
      <c r="F989" s="79">
        <v>1.3612020000000001E-2</v>
      </c>
      <c r="G989" s="79">
        <v>0.33218564192307698</v>
      </c>
      <c r="H989" s="80">
        <v>1</v>
      </c>
      <c r="I989" s="79">
        <v>0.98185308498061075</v>
      </c>
      <c r="J989" s="79">
        <v>3.6738329155355999E-2</v>
      </c>
      <c r="K989" s="79">
        <v>0.61814063228960003</v>
      </c>
      <c r="L989" s="79">
        <v>0.91965825061269202</v>
      </c>
      <c r="M989" s="80">
        <v>1</v>
      </c>
      <c r="N989" s="81">
        <v>1.3084528597637901</v>
      </c>
      <c r="O989" s="81">
        <v>3.7020333008744598E-2</v>
      </c>
      <c r="P989" s="81">
        <v>3.8112200346865198E-13</v>
      </c>
      <c r="Q989" s="81">
        <v>2.3030658209605702E-11</v>
      </c>
      <c r="R989" s="82">
        <v>4.8364382240171896E-10</v>
      </c>
      <c r="S989" s="81">
        <v>1.1733235444245866</v>
      </c>
      <c r="T989" s="81">
        <v>3.6671083278821098E-2</v>
      </c>
      <c r="U989" s="81">
        <v>1.3080297356076701E-5</v>
      </c>
      <c r="V989" s="81">
        <v>1.8650446454900399E-4</v>
      </c>
      <c r="W989" s="81">
        <v>1.6598897344861301E-2</v>
      </c>
    </row>
    <row r="990" spans="1:23" x14ac:dyDescent="0.2">
      <c r="A990" s="69"/>
      <c r="B990" s="84" t="s">
        <v>2706</v>
      </c>
      <c r="C990" s="78">
        <v>5509</v>
      </c>
      <c r="D990" s="79">
        <v>0.91146576822431735</v>
      </c>
      <c r="E990" s="79">
        <v>4.6677260999999998E-2</v>
      </c>
      <c r="F990" s="79">
        <v>4.7032844999999997E-2</v>
      </c>
      <c r="G990" s="79">
        <v>0.45521505020000003</v>
      </c>
      <c r="H990" s="80">
        <v>1</v>
      </c>
      <c r="I990" s="79">
        <v>0.97312415904640104</v>
      </c>
      <c r="J990" s="79">
        <v>4.6228502176692797E-2</v>
      </c>
      <c r="K990" s="79">
        <v>0.55564344386299902</v>
      </c>
      <c r="L990" s="79">
        <v>0.90966865230418403</v>
      </c>
      <c r="M990" s="80">
        <v>1</v>
      </c>
      <c r="N990" s="79">
        <v>1.1887231621026819</v>
      </c>
      <c r="O990" s="79">
        <v>4.61579903190035E-2</v>
      </c>
      <c r="P990" s="79">
        <v>1.8011246844204499E-4</v>
      </c>
      <c r="Q990" s="79">
        <v>9.3290907123655105E-4</v>
      </c>
      <c r="R990" s="80">
        <v>0.228562722452955</v>
      </c>
      <c r="S990" s="79">
        <v>1.0143895194534369</v>
      </c>
      <c r="T990" s="79">
        <v>4.6038094854412799E-2</v>
      </c>
      <c r="U990" s="79">
        <v>0.75631050038756098</v>
      </c>
      <c r="V990" s="79">
        <v>0.80383251917866105</v>
      </c>
      <c r="W990" s="79">
        <v>1</v>
      </c>
    </row>
    <row r="991" spans="1:23" x14ac:dyDescent="0.2">
      <c r="A991" s="69"/>
      <c r="B991" s="84" t="s">
        <v>2707</v>
      </c>
      <c r="C991" s="78">
        <v>5499</v>
      </c>
      <c r="D991" s="79">
        <v>0.91047305307184401</v>
      </c>
      <c r="E991" s="79">
        <v>4.6718346000000001E-2</v>
      </c>
      <c r="F991" s="79">
        <v>4.4687579999999998E-2</v>
      </c>
      <c r="G991" s="79">
        <v>0.450921001285714</v>
      </c>
      <c r="H991" s="80">
        <v>1</v>
      </c>
      <c r="I991" s="79">
        <v>0.97289601785083446</v>
      </c>
      <c r="J991" s="79">
        <v>4.6233803876989998E-2</v>
      </c>
      <c r="K991" s="79">
        <v>0.55229238013265602</v>
      </c>
      <c r="L991" s="79">
        <v>0.90695752784237205</v>
      </c>
      <c r="M991" s="80">
        <v>1</v>
      </c>
      <c r="N991" s="79">
        <v>1.1892137045241828</v>
      </c>
      <c r="O991" s="79">
        <v>4.6178149927206799E-2</v>
      </c>
      <c r="P991" s="79">
        <v>1.74946315487138E-4</v>
      </c>
      <c r="Q991" s="79">
        <v>9.1738377831891802E-4</v>
      </c>
      <c r="R991" s="80">
        <v>0.22200687435317801</v>
      </c>
      <c r="S991" s="79">
        <v>1.0143930988483414</v>
      </c>
      <c r="T991" s="79">
        <v>4.60522341223382E-2</v>
      </c>
      <c r="U991" s="79">
        <v>0.75632468707590295</v>
      </c>
      <c r="V991" s="79">
        <v>0.80383251917866105</v>
      </c>
      <c r="W991" s="79">
        <v>1</v>
      </c>
    </row>
    <row r="992" spans="1:23" x14ac:dyDescent="0.2">
      <c r="A992" s="69"/>
      <c r="B992" s="84" t="s">
        <v>2708</v>
      </c>
      <c r="C992" s="78">
        <v>5509</v>
      </c>
      <c r="D992" s="79">
        <v>0.92398347379836987</v>
      </c>
      <c r="E992" s="79">
        <v>3.5353780000000001E-2</v>
      </c>
      <c r="F992" s="79">
        <v>2.5333174999999999E-2</v>
      </c>
      <c r="G992" s="79">
        <v>0.37436086021348303</v>
      </c>
      <c r="H992" s="80">
        <v>1</v>
      </c>
      <c r="I992" s="79">
        <v>0.93779074461546397</v>
      </c>
      <c r="J992" s="79">
        <v>3.5074696464332998E-2</v>
      </c>
      <c r="K992" s="79">
        <v>6.7072153869851603E-2</v>
      </c>
      <c r="L992" s="79">
        <v>0.57459637698370203</v>
      </c>
      <c r="M992" s="80">
        <v>1</v>
      </c>
      <c r="N992" s="81">
        <v>1.2646760004854662</v>
      </c>
      <c r="O992" s="81">
        <v>3.52513058424547E-2</v>
      </c>
      <c r="P992" s="81">
        <v>2.7160258181662501E-11</v>
      </c>
      <c r="Q992" s="81">
        <v>9.8475336092941994E-10</v>
      </c>
      <c r="R992" s="82">
        <v>3.4466367632529702E-8</v>
      </c>
      <c r="S992" s="79">
        <v>1.0883727938727548</v>
      </c>
      <c r="T992" s="79">
        <v>3.48770525985128E-2</v>
      </c>
      <c r="U992" s="79">
        <v>1.5179645933143001E-2</v>
      </c>
      <c r="V992" s="79">
        <v>3.5475084142096602E-2</v>
      </c>
      <c r="W992" s="79">
        <v>1</v>
      </c>
    </row>
    <row r="993" spans="1:23" x14ac:dyDescent="0.2">
      <c r="A993" s="69"/>
      <c r="B993" s="84" t="s">
        <v>2709</v>
      </c>
      <c r="C993" s="78">
        <v>5499</v>
      </c>
      <c r="D993" s="79">
        <v>0.92297427679082833</v>
      </c>
      <c r="E993" s="79">
        <v>3.5372055999999999E-2</v>
      </c>
      <c r="F993" s="79">
        <v>2.3449936000000001E-2</v>
      </c>
      <c r="G993" s="79">
        <v>0.37436086021348303</v>
      </c>
      <c r="H993" s="80">
        <v>1</v>
      </c>
      <c r="I993" s="79">
        <v>0.93750533758671661</v>
      </c>
      <c r="J993" s="79">
        <v>3.50744195421656E-2</v>
      </c>
      <c r="K993" s="79">
        <v>6.5785418549268795E-2</v>
      </c>
      <c r="L993" s="79">
        <v>0.57459637698370203</v>
      </c>
      <c r="M993" s="80">
        <v>1</v>
      </c>
      <c r="N993" s="81">
        <v>1.2651239435764574</v>
      </c>
      <c r="O993" s="81">
        <v>3.52522271186421E-2</v>
      </c>
      <c r="P993" s="81">
        <v>2.5394398459156599E-11</v>
      </c>
      <c r="Q993" s="81">
        <v>9.4780857778440308E-10</v>
      </c>
      <c r="R993" s="82">
        <v>3.2225491644669702E-8</v>
      </c>
      <c r="S993" s="79">
        <v>1.0882707800044191</v>
      </c>
      <c r="T993" s="79">
        <v>3.4879364355242998E-2</v>
      </c>
      <c r="U993" s="79">
        <v>1.5299276540582499E-2</v>
      </c>
      <c r="V993" s="79">
        <v>3.5642141211291799E-2</v>
      </c>
      <c r="W993" s="79">
        <v>1</v>
      </c>
    </row>
    <row r="994" spans="1:23" x14ac:dyDescent="0.2">
      <c r="A994" s="69"/>
      <c r="B994" s="84" t="s">
        <v>2710</v>
      </c>
      <c r="C994" s="78">
        <v>5509</v>
      </c>
      <c r="D994" s="79">
        <v>0.84517536551765637</v>
      </c>
      <c r="E994" s="79">
        <v>5.8507286999999998E-2</v>
      </c>
      <c r="F994" s="79">
        <v>4.0396870000000001E-3</v>
      </c>
      <c r="G994" s="79">
        <v>0.176771131137931</v>
      </c>
      <c r="H994" s="80">
        <v>1</v>
      </c>
      <c r="I994" s="79">
        <v>0.8628391400609704</v>
      </c>
      <c r="J994" s="79">
        <v>5.8260463404074002E-2</v>
      </c>
      <c r="K994" s="79">
        <v>1.1335011682020901E-2</v>
      </c>
      <c r="L994" s="79">
        <v>0.35960324561211299</v>
      </c>
      <c r="M994" s="80">
        <v>1</v>
      </c>
      <c r="N994" s="79">
        <v>1.268232480890654</v>
      </c>
      <c r="O994" s="79">
        <v>5.8252921425216299E-2</v>
      </c>
      <c r="P994" s="79">
        <v>4.5194728030652597E-5</v>
      </c>
      <c r="Q994" s="79">
        <v>2.9716119104092299E-4</v>
      </c>
      <c r="R994" s="80">
        <v>5.7352109870898199E-2</v>
      </c>
      <c r="S994" s="79">
        <v>0.97711693383558518</v>
      </c>
      <c r="T994" s="79">
        <v>5.7866196429613499E-2</v>
      </c>
      <c r="U994" s="79">
        <v>0.68912509204627204</v>
      </c>
      <c r="V994" s="79">
        <v>0.751934429756422</v>
      </c>
      <c r="W994" s="79">
        <v>1</v>
      </c>
    </row>
    <row r="995" spans="1:23" x14ac:dyDescent="0.2">
      <c r="A995" s="69"/>
      <c r="B995" s="84" t="s">
        <v>2711</v>
      </c>
      <c r="C995" s="78">
        <v>5413</v>
      </c>
      <c r="D995" s="79">
        <v>0.84077345671561032</v>
      </c>
      <c r="E995" s="79">
        <v>5.8635046000000003E-2</v>
      </c>
      <c r="F995" s="79">
        <v>3.098038E-3</v>
      </c>
      <c r="G995" s="79">
        <v>0.16380875924999999</v>
      </c>
      <c r="H995" s="80">
        <v>1</v>
      </c>
      <c r="I995" s="79">
        <v>0.85988543920100413</v>
      </c>
      <c r="J995" s="79">
        <v>5.8407099722787501E-2</v>
      </c>
      <c r="K995" s="79">
        <v>9.7505975567519394E-3</v>
      </c>
      <c r="L995" s="79">
        <v>0.340967520375549</v>
      </c>
      <c r="M995" s="80">
        <v>1</v>
      </c>
      <c r="N995" s="79">
        <v>1.2645792405188643</v>
      </c>
      <c r="O995" s="79">
        <v>5.8242536793027697E-2</v>
      </c>
      <c r="P995" s="79">
        <v>5.5687179170405303E-5</v>
      </c>
      <c r="Q995" s="79">
        <v>3.6054607330226698E-4</v>
      </c>
      <c r="R995" s="80">
        <v>7.0667030367244296E-2</v>
      </c>
      <c r="S995" s="79">
        <v>0.9756845430653821</v>
      </c>
      <c r="T995" s="79">
        <v>5.8123928904968897E-2</v>
      </c>
      <c r="U995" s="79">
        <v>0.671924537442119</v>
      </c>
      <c r="V995" s="79">
        <v>0.738244361916926</v>
      </c>
      <c r="W995" s="79">
        <v>1</v>
      </c>
    </row>
    <row r="996" spans="1:23" x14ac:dyDescent="0.2">
      <c r="A996" s="69"/>
      <c r="B996" s="59" t="s">
        <v>2606</v>
      </c>
      <c r="C996" s="78">
        <v>5509</v>
      </c>
      <c r="D996" s="79">
        <v>0.89939474989871304</v>
      </c>
      <c r="E996" s="79">
        <v>5.6097675999999999E-2</v>
      </c>
      <c r="F996" s="79">
        <v>5.8737378999999999E-2</v>
      </c>
      <c r="G996" s="79">
        <v>0.49680984427152303</v>
      </c>
      <c r="H996" s="80">
        <v>1</v>
      </c>
      <c r="I996" s="79">
        <v>0.88896546645750429</v>
      </c>
      <c r="J996" s="79">
        <v>5.5685640107596697E-2</v>
      </c>
      <c r="K996" s="79">
        <v>3.4549874658135103E-2</v>
      </c>
      <c r="L996" s="79">
        <v>0.48715323267970501</v>
      </c>
      <c r="M996" s="79">
        <v>1</v>
      </c>
      <c r="N996" s="79">
        <v>1.2029374568999296</v>
      </c>
      <c r="O996" s="79">
        <v>5.5598380460891002E-2</v>
      </c>
      <c r="P996" s="79">
        <v>8.8980135672181502E-4</v>
      </c>
      <c r="Q996" s="79">
        <v>3.2698890284328401E-3</v>
      </c>
      <c r="R996" s="79">
        <v>1</v>
      </c>
      <c r="S996" s="79">
        <v>0.97261195889652552</v>
      </c>
      <c r="T996" s="79">
        <v>5.5219514966903999E-2</v>
      </c>
      <c r="U996" s="79">
        <v>0.61503214647332904</v>
      </c>
      <c r="V996" s="79">
        <v>0.68402786492081902</v>
      </c>
      <c r="W996" s="79">
        <v>1</v>
      </c>
    </row>
    <row r="997" spans="1:23" x14ac:dyDescent="0.2">
      <c r="A997" s="69"/>
      <c r="B997" s="59" t="s">
        <v>2607</v>
      </c>
      <c r="C997" s="78">
        <v>5509</v>
      </c>
      <c r="D997" s="79">
        <v>0.93380486085747294</v>
      </c>
      <c r="E997" s="79">
        <v>5.8895501000000003E-2</v>
      </c>
      <c r="F997" s="79">
        <v>0.24488239000000001</v>
      </c>
      <c r="G997" s="79">
        <v>0.78040350024750005</v>
      </c>
      <c r="H997" s="80">
        <v>1</v>
      </c>
      <c r="I997" s="79">
        <v>1.1995470595752866</v>
      </c>
      <c r="J997" s="79">
        <v>5.9292662688892703E-2</v>
      </c>
      <c r="K997" s="79">
        <v>2.1508169195431199E-3</v>
      </c>
      <c r="L997" s="79">
        <v>0.19370076628026101</v>
      </c>
      <c r="M997" s="79">
        <v>1</v>
      </c>
      <c r="N997" s="81">
        <v>1.4128810651687791</v>
      </c>
      <c r="O997" s="81">
        <v>5.9037212203985598E-2</v>
      </c>
      <c r="P997" s="81">
        <v>4.7856573705686803E-9</v>
      </c>
      <c r="Q997" s="81">
        <v>1.0119184835400701E-7</v>
      </c>
      <c r="R997" s="81">
        <v>6.0729992032516602E-6</v>
      </c>
      <c r="S997" s="79">
        <v>1.1943512665406661</v>
      </c>
      <c r="T997" s="79">
        <v>5.8144575055247699E-2</v>
      </c>
      <c r="U997" s="79">
        <v>2.2542877262887299E-3</v>
      </c>
      <c r="V997" s="79">
        <v>8.4386168869038294E-3</v>
      </c>
      <c r="W997" s="79">
        <v>1</v>
      </c>
    </row>
    <row r="998" spans="1:23" x14ac:dyDescent="0.2">
      <c r="A998" s="69"/>
      <c r="B998" s="84" t="s">
        <v>2712</v>
      </c>
      <c r="C998" s="78">
        <v>5509</v>
      </c>
      <c r="D998" s="79">
        <v>0.88628458049748149</v>
      </c>
      <c r="E998" s="79">
        <v>4.0586924000000003E-2</v>
      </c>
      <c r="F998" s="79">
        <v>2.9366969999999998E-3</v>
      </c>
      <c r="G998" s="79">
        <v>0.162029064913043</v>
      </c>
      <c r="H998" s="80">
        <v>1</v>
      </c>
      <c r="I998" s="79">
        <v>0.95992871178876793</v>
      </c>
      <c r="J998" s="79">
        <v>4.0252606593508003E-2</v>
      </c>
      <c r="K998" s="79">
        <v>0.30963402957411801</v>
      </c>
      <c r="L998" s="79">
        <v>0.78754770700353705</v>
      </c>
      <c r="M998" s="80">
        <v>1</v>
      </c>
      <c r="N998" s="81">
        <v>1.2196798076069169</v>
      </c>
      <c r="O998" s="81">
        <v>4.0313471848030802E-2</v>
      </c>
      <c r="P998" s="81">
        <v>8.38851850132382E-7</v>
      </c>
      <c r="Q998" s="81">
        <v>1.00424811114905E-5</v>
      </c>
      <c r="R998" s="82">
        <v>1.0645029978179901E-3</v>
      </c>
      <c r="S998" s="79">
        <v>1.1147116139827613</v>
      </c>
      <c r="T998" s="79">
        <v>4.0018939499985903E-2</v>
      </c>
      <c r="U998" s="79">
        <v>6.6554795008380001E-3</v>
      </c>
      <c r="V998" s="79">
        <v>1.91848340036927E-2</v>
      </c>
      <c r="W998" s="79">
        <v>1</v>
      </c>
    </row>
    <row r="999" spans="1:23" x14ac:dyDescent="0.2">
      <c r="A999" s="69"/>
      <c r="B999" s="84" t="s">
        <v>2713</v>
      </c>
      <c r="C999" s="78">
        <v>5499</v>
      </c>
      <c r="D999" s="79">
        <v>0.88550384463616105</v>
      </c>
      <c r="E999" s="79">
        <v>4.0599448000000003E-2</v>
      </c>
      <c r="F999" s="79">
        <v>2.7437540000000002E-3</v>
      </c>
      <c r="G999" s="79">
        <v>0.15826471936363601</v>
      </c>
      <c r="H999" s="80">
        <v>1</v>
      </c>
      <c r="I999" s="79">
        <v>0.95969027883621438</v>
      </c>
      <c r="J999" s="79">
        <v>4.0241607777849797E-2</v>
      </c>
      <c r="K999" s="79">
        <v>0.30657218739179398</v>
      </c>
      <c r="L999" s="79">
        <v>0.78754770700353705</v>
      </c>
      <c r="M999" s="80">
        <v>1</v>
      </c>
      <c r="N999" s="81">
        <v>1.2202955591383591</v>
      </c>
      <c r="O999" s="81">
        <v>4.0307429081718298E-2</v>
      </c>
      <c r="P999" s="81">
        <v>7.8377517483755196E-7</v>
      </c>
      <c r="Q999" s="81">
        <v>9.4908409406359698E-6</v>
      </c>
      <c r="R999" s="82">
        <v>9.9461069686885293E-4</v>
      </c>
      <c r="S999" s="79">
        <v>1.1145274598385764</v>
      </c>
      <c r="T999" s="79">
        <v>4.0012771499659698E-2</v>
      </c>
      <c r="U999" s="79">
        <v>6.7303989658200301E-3</v>
      </c>
      <c r="V999" s="79">
        <v>1.9279630446107501E-2</v>
      </c>
      <c r="W999" s="79">
        <v>1</v>
      </c>
    </row>
    <row r="1000" spans="1:23" x14ac:dyDescent="0.2">
      <c r="A1000" s="69"/>
      <c r="B1000" s="84" t="s">
        <v>2714</v>
      </c>
      <c r="C1000" s="78">
        <v>5509</v>
      </c>
      <c r="D1000" s="79">
        <v>0.93855650499025711</v>
      </c>
      <c r="E1000" s="79">
        <v>7.4991246999999997E-2</v>
      </c>
      <c r="F1000" s="79">
        <v>0.39777876899999998</v>
      </c>
      <c r="G1000" s="79">
        <v>0.88261195738869902</v>
      </c>
      <c r="H1000" s="80">
        <v>1</v>
      </c>
      <c r="I1000" s="79">
        <v>0.90934929632789729</v>
      </c>
      <c r="J1000" s="79">
        <v>7.4385097680441201E-2</v>
      </c>
      <c r="K1000" s="79">
        <v>0.20143037212575399</v>
      </c>
      <c r="L1000" s="79">
        <v>0.72004265416220203</v>
      </c>
      <c r="M1000" s="80">
        <v>1</v>
      </c>
      <c r="N1000" s="79">
        <v>1.247368506363056</v>
      </c>
      <c r="O1000" s="79">
        <v>7.4267430604329304E-2</v>
      </c>
      <c r="P1000" s="79">
        <v>2.9182639203577999E-3</v>
      </c>
      <c r="Q1000" s="79">
        <v>8.6727796602670895E-3</v>
      </c>
      <c r="R1000" s="80">
        <v>1</v>
      </c>
      <c r="S1000" s="79">
        <v>1.1665199541339464</v>
      </c>
      <c r="T1000" s="79">
        <v>7.4372616805488803E-2</v>
      </c>
      <c r="U1000" s="79">
        <v>3.8359764958294497E-2</v>
      </c>
      <c r="V1000" s="79">
        <v>7.5237313341693507E-2</v>
      </c>
      <c r="W1000" s="79">
        <v>1</v>
      </c>
    </row>
    <row r="1001" spans="1:23" x14ac:dyDescent="0.2">
      <c r="A1001" s="69"/>
      <c r="B1001" s="84" t="s">
        <v>2715</v>
      </c>
      <c r="C1001" s="78">
        <v>5509</v>
      </c>
      <c r="D1001" s="79">
        <v>0.94406090680255117</v>
      </c>
      <c r="E1001" s="79">
        <v>3.0595010999999998E-2</v>
      </c>
      <c r="F1001" s="79">
        <v>5.9903576E-2</v>
      </c>
      <c r="G1001" s="79">
        <v>0.50011603910526303</v>
      </c>
      <c r="H1001" s="80">
        <v>1</v>
      </c>
      <c r="I1001" s="79">
        <v>0.99918492950691185</v>
      </c>
      <c r="J1001" s="79">
        <v>3.0427055478752602E-2</v>
      </c>
      <c r="K1001" s="79">
        <v>0.97862036055860102</v>
      </c>
      <c r="L1001" s="79">
        <v>0.99340446144064498</v>
      </c>
      <c r="M1001" s="80">
        <v>1</v>
      </c>
      <c r="N1001" s="81">
        <v>1.2102446284109247</v>
      </c>
      <c r="O1001" s="81">
        <v>3.06069278504634E-2</v>
      </c>
      <c r="P1001" s="81">
        <v>4.5288108044632401E-10</v>
      </c>
      <c r="Q1001" s="81">
        <v>1.10520402131997E-8</v>
      </c>
      <c r="R1001" s="82">
        <v>5.7470609108638502E-7</v>
      </c>
      <c r="S1001" s="79">
        <v>1.0937991157328524</v>
      </c>
      <c r="T1001" s="79">
        <v>3.0251030072774202E-2</v>
      </c>
      <c r="U1001" s="79">
        <v>3.0389637395224502E-3</v>
      </c>
      <c r="V1001" s="79">
        <v>1.0536734932934401E-2</v>
      </c>
      <c r="W1001" s="79">
        <v>1</v>
      </c>
    </row>
    <row r="1002" spans="1:23" x14ac:dyDescent="0.2">
      <c r="A1002" s="69"/>
      <c r="B1002" s="84" t="s">
        <v>2716</v>
      </c>
      <c r="C1002" s="78">
        <v>5499</v>
      </c>
      <c r="D1002" s="79">
        <v>0.89305287708277459</v>
      </c>
      <c r="E1002" s="79">
        <v>3.8920357000000003E-2</v>
      </c>
      <c r="F1002" s="79">
        <v>3.658732E-3</v>
      </c>
      <c r="G1002" s="79">
        <v>0.1663627275</v>
      </c>
      <c r="H1002" s="80">
        <v>1</v>
      </c>
      <c r="I1002" s="79">
        <v>0.97837187283170624</v>
      </c>
      <c r="J1002" s="79">
        <v>3.8699708833083303E-2</v>
      </c>
      <c r="K1002" s="79">
        <v>0.57207187198514198</v>
      </c>
      <c r="L1002" s="79">
        <v>0.911324282187712</v>
      </c>
      <c r="M1002" s="80">
        <v>1</v>
      </c>
      <c r="N1002" s="81">
        <v>1.3000746221589663</v>
      </c>
      <c r="O1002" s="81">
        <v>3.8856873097019899E-2</v>
      </c>
      <c r="P1002" s="81">
        <v>1.44275127662018E-11</v>
      </c>
      <c r="Q1002" s="81">
        <v>5.7404646821409296E-10</v>
      </c>
      <c r="R1002" s="82">
        <v>1.8308513700310101E-8</v>
      </c>
      <c r="S1002" s="79">
        <v>1.1229146133335444</v>
      </c>
      <c r="T1002" s="79">
        <v>3.8407887238441997E-2</v>
      </c>
      <c r="U1002" s="79">
        <v>2.54172832104605E-3</v>
      </c>
      <c r="V1002" s="79">
        <v>9.3763175564169701E-3</v>
      </c>
      <c r="W1002" s="79">
        <v>1</v>
      </c>
    </row>
    <row r="1003" spans="1:23" x14ac:dyDescent="0.2">
      <c r="A1003" s="69"/>
      <c r="B1003" s="84" t="s">
        <v>2717</v>
      </c>
      <c r="C1003" s="78">
        <v>5509</v>
      </c>
      <c r="D1003" s="79">
        <v>1.0176532996166625</v>
      </c>
      <c r="E1003" s="79">
        <v>6.7614175999999998E-2</v>
      </c>
      <c r="F1003" s="79">
        <v>0.79578109699999999</v>
      </c>
      <c r="G1003" s="79">
        <v>0.98545101377932998</v>
      </c>
      <c r="H1003" s="80">
        <v>1</v>
      </c>
      <c r="I1003" s="79">
        <v>0.96884110708184812</v>
      </c>
      <c r="J1003" s="79">
        <v>6.6545322065677995E-2</v>
      </c>
      <c r="K1003" s="79">
        <v>0.634298325018125</v>
      </c>
      <c r="L1003" s="79">
        <v>0.91965825061269202</v>
      </c>
      <c r="M1003" s="80">
        <v>1</v>
      </c>
      <c r="N1003" s="79">
        <v>1.1363690021001216</v>
      </c>
      <c r="O1003" s="79">
        <v>6.6322663642085805E-2</v>
      </c>
      <c r="P1003" s="79">
        <v>5.3915172038340099E-2</v>
      </c>
      <c r="Q1003" s="79">
        <v>9.4762262211431594E-2</v>
      </c>
      <c r="R1003" s="80">
        <v>1</v>
      </c>
      <c r="S1003" s="79">
        <v>1.0511829874847403</v>
      </c>
      <c r="T1003" s="79">
        <v>6.6712655343673793E-2</v>
      </c>
      <c r="U1003" s="79">
        <v>0.454323476095714</v>
      </c>
      <c r="V1003" s="79">
        <v>0.54134881799573797</v>
      </c>
      <c r="W1003" s="79">
        <v>1</v>
      </c>
    </row>
    <row r="1004" spans="1:23" x14ac:dyDescent="0.2">
      <c r="A1004" s="69"/>
      <c r="B1004" s="84" t="s">
        <v>2718</v>
      </c>
      <c r="C1004" s="78">
        <v>5509</v>
      </c>
      <c r="D1004" s="79">
        <v>1.0312348070493269</v>
      </c>
      <c r="E1004" s="79">
        <v>7.7636532999999994E-2</v>
      </c>
      <c r="F1004" s="79">
        <v>0.69198284799999998</v>
      </c>
      <c r="G1004" s="79">
        <v>0.98545101377932998</v>
      </c>
      <c r="H1004" s="80">
        <v>1</v>
      </c>
      <c r="I1004" s="79">
        <v>0.96889688242243144</v>
      </c>
      <c r="J1004" s="79">
        <v>7.6432173228921305E-2</v>
      </c>
      <c r="K1004" s="79">
        <v>0.67931329832135101</v>
      </c>
      <c r="L1004" s="79">
        <v>0.93093798657645199</v>
      </c>
      <c r="M1004" s="80">
        <v>1</v>
      </c>
      <c r="N1004" s="79">
        <v>1.101562380989104</v>
      </c>
      <c r="O1004" s="79">
        <v>7.6297809602229802E-2</v>
      </c>
      <c r="P1004" s="79">
        <v>0.20487333635777599</v>
      </c>
      <c r="Q1004" s="79">
        <v>0.28106406901407299</v>
      </c>
      <c r="R1004" s="80">
        <v>1</v>
      </c>
      <c r="S1004" s="79">
        <v>1.121157350164069</v>
      </c>
      <c r="T1004" s="79">
        <v>7.6642532650317605E-2</v>
      </c>
      <c r="U1004" s="79">
        <v>0.13566206644463699</v>
      </c>
      <c r="V1004" s="79">
        <v>0.207666058284975</v>
      </c>
      <c r="W1004" s="79">
        <v>1</v>
      </c>
    </row>
    <row r="1005" spans="1:23" x14ac:dyDescent="0.2">
      <c r="A1005" s="69"/>
      <c r="B1005" s="84" t="s">
        <v>2719</v>
      </c>
      <c r="C1005" s="78">
        <v>5509</v>
      </c>
      <c r="D1005" s="79">
        <v>1.0163668156266494</v>
      </c>
      <c r="E1005" s="79">
        <v>5.2900671000000003E-2</v>
      </c>
      <c r="F1005" s="79">
        <v>0.75893233199999999</v>
      </c>
      <c r="G1005" s="79">
        <v>0.98545101377932998</v>
      </c>
      <c r="H1005" s="80">
        <v>1</v>
      </c>
      <c r="I1005" s="79">
        <v>0.98466273052118236</v>
      </c>
      <c r="J1005" s="79">
        <v>5.23499612502474E-2</v>
      </c>
      <c r="K1005" s="79">
        <v>0.76780617820016595</v>
      </c>
      <c r="L1005" s="79">
        <v>0.95389133514851498</v>
      </c>
      <c r="M1005" s="80">
        <v>1</v>
      </c>
      <c r="N1005" s="79">
        <v>1.1844290094788177</v>
      </c>
      <c r="O1005" s="79">
        <v>5.2200743701161401E-2</v>
      </c>
      <c r="P1005" s="79">
        <v>1.1848675703143999E-3</v>
      </c>
      <c r="Q1005" s="79">
        <v>4.0359436008394903E-3</v>
      </c>
      <c r="R1005" s="80">
        <v>1</v>
      </c>
      <c r="S1005" s="79">
        <v>1.0817015857761652</v>
      </c>
      <c r="T1005" s="79">
        <v>5.2261613927889999E-2</v>
      </c>
      <c r="U1005" s="79">
        <v>0.13290745634857301</v>
      </c>
      <c r="V1005" s="79">
        <v>0.204683934595072</v>
      </c>
      <c r="W1005" s="79">
        <v>1</v>
      </c>
    </row>
    <row r="1006" spans="1:23" x14ac:dyDescent="0.2">
      <c r="A1006" s="69"/>
      <c r="B1006" s="84" t="s">
        <v>2720</v>
      </c>
      <c r="C1006" s="78">
        <v>5509</v>
      </c>
      <c r="D1006" s="79">
        <v>0.95092361250635959</v>
      </c>
      <c r="E1006" s="79">
        <v>5.7918301999999998E-2</v>
      </c>
      <c r="F1006" s="79">
        <v>0.38493649000000002</v>
      </c>
      <c r="G1006" s="79">
        <v>0.880152082540541</v>
      </c>
      <c r="H1006" s="80">
        <v>1</v>
      </c>
      <c r="I1006" s="79">
        <v>0.99508856696804859</v>
      </c>
      <c r="J1006" s="79">
        <v>5.7569096757539101E-2</v>
      </c>
      <c r="K1006" s="79">
        <v>0.93184489448574404</v>
      </c>
      <c r="L1006" s="79">
        <v>0.981200184300273</v>
      </c>
      <c r="M1006" s="80">
        <v>1</v>
      </c>
      <c r="N1006" s="79">
        <v>1.1734306900961937</v>
      </c>
      <c r="O1006" s="79">
        <v>5.7127554040453103E-2</v>
      </c>
      <c r="P1006" s="79">
        <v>5.1173257678405002E-3</v>
      </c>
      <c r="Q1006" s="79">
        <v>1.35008033251343E-2</v>
      </c>
      <c r="R1006" s="80">
        <v>1</v>
      </c>
      <c r="S1006" s="79">
        <v>1.0896330258933162</v>
      </c>
      <c r="T1006" s="79">
        <v>5.7357377542421303E-2</v>
      </c>
      <c r="U1006" s="79">
        <v>0.134497756742577</v>
      </c>
      <c r="V1006" s="79">
        <v>0.20663154153308699</v>
      </c>
      <c r="W1006" s="79">
        <v>1</v>
      </c>
    </row>
    <row r="1007" spans="1:23" x14ac:dyDescent="0.2">
      <c r="A1007" s="69"/>
      <c r="B1007" s="84" t="s">
        <v>2721</v>
      </c>
      <c r="C1007" s="78">
        <v>5509</v>
      </c>
      <c r="D1007" s="79">
        <v>0.96588122192444781</v>
      </c>
      <c r="E1007" s="79">
        <v>4.7318381E-2</v>
      </c>
      <c r="F1007" s="79">
        <v>0.46317133700000002</v>
      </c>
      <c r="G1007" s="79">
        <v>0.91552091378972</v>
      </c>
      <c r="H1007" s="80">
        <v>1</v>
      </c>
      <c r="I1007" s="79">
        <v>1.0094616380059507</v>
      </c>
      <c r="J1007" s="79">
        <v>4.70570265746846E-2</v>
      </c>
      <c r="K1007" s="79">
        <v>0.84138498851353505</v>
      </c>
      <c r="L1007" s="79">
        <v>0.96921795839317304</v>
      </c>
      <c r="M1007" s="80">
        <v>1</v>
      </c>
      <c r="N1007" s="81">
        <v>1.2129972028551763</v>
      </c>
      <c r="O1007" s="81">
        <v>4.6846845958237099E-2</v>
      </c>
      <c r="P1007" s="81">
        <v>3.7588886548845098E-5</v>
      </c>
      <c r="Q1007" s="81">
        <v>2.57839443408024E-4</v>
      </c>
      <c r="R1007" s="82">
        <v>4.7700297030484402E-2</v>
      </c>
      <c r="S1007" s="79">
        <v>1.0997586564683124</v>
      </c>
      <c r="T1007" s="79">
        <v>4.6856903327526997E-2</v>
      </c>
      <c r="U1007" s="79">
        <v>4.2418970602205501E-2</v>
      </c>
      <c r="V1007" s="79">
        <v>8.2308369562995101E-2</v>
      </c>
      <c r="W1007" s="79">
        <v>1</v>
      </c>
    </row>
    <row r="1008" spans="1:23" x14ac:dyDescent="0.2">
      <c r="A1008" s="69"/>
      <c r="B1008" s="84" t="s">
        <v>2722</v>
      </c>
      <c r="C1008" s="78">
        <v>5509</v>
      </c>
      <c r="D1008" s="79">
        <v>0.99107565151869703</v>
      </c>
      <c r="E1008" s="79">
        <v>4.7048160999999998E-2</v>
      </c>
      <c r="F1008" s="79">
        <v>0.84888845199999996</v>
      </c>
      <c r="G1008" s="79">
        <v>0.98552821438803295</v>
      </c>
      <c r="H1008" s="80">
        <v>1</v>
      </c>
      <c r="I1008" s="79">
        <v>0.97597150387020126</v>
      </c>
      <c r="J1008" s="79">
        <v>4.6686735115200703E-2</v>
      </c>
      <c r="K1008" s="79">
        <v>0.60239510920764405</v>
      </c>
      <c r="L1008" s="79">
        <v>0.91965825061269202</v>
      </c>
      <c r="M1008" s="80">
        <v>1</v>
      </c>
      <c r="N1008" s="79">
        <v>1.1870660347985791</v>
      </c>
      <c r="O1008" s="79">
        <v>4.6499677290516697E-2</v>
      </c>
      <c r="P1008" s="79">
        <v>2.2613949249952501E-4</v>
      </c>
      <c r="Q1008" s="79">
        <v>1.1478840639275901E-3</v>
      </c>
      <c r="R1008" s="80">
        <v>0.286971015981897</v>
      </c>
      <c r="S1008" s="79">
        <v>1.0901200391461123</v>
      </c>
      <c r="T1008" s="79">
        <v>4.65682417904663E-2</v>
      </c>
      <c r="U1008" s="79">
        <v>6.3892005953679998E-2</v>
      </c>
      <c r="V1008" s="79">
        <v>0.113397140636671</v>
      </c>
      <c r="W1008" s="79">
        <v>1</v>
      </c>
    </row>
    <row r="1009" spans="1:23" x14ac:dyDescent="0.2">
      <c r="A1009" s="69"/>
      <c r="B1009" s="84" t="s">
        <v>2723</v>
      </c>
      <c r="C1009" s="78">
        <v>5509</v>
      </c>
      <c r="D1009" s="79">
        <v>0.97478498842085026</v>
      </c>
      <c r="E1009" s="79">
        <v>4.6503695999999997E-2</v>
      </c>
      <c r="F1009" s="79">
        <v>0.58288994599999999</v>
      </c>
      <c r="G1009" s="79">
        <v>0.95350818012595395</v>
      </c>
      <c r="H1009" s="80">
        <v>1</v>
      </c>
      <c r="I1009" s="79">
        <v>0.9753567293607065</v>
      </c>
      <c r="J1009" s="79">
        <v>4.61300721993654E-2</v>
      </c>
      <c r="K1009" s="79">
        <v>0.58857288614442804</v>
      </c>
      <c r="L1009" s="79">
        <v>0.91965825061269202</v>
      </c>
      <c r="M1009" s="80">
        <v>1</v>
      </c>
      <c r="N1009" s="79">
        <v>1.1899232332233827</v>
      </c>
      <c r="O1009" s="79">
        <v>4.5984654830166199E-2</v>
      </c>
      <c r="P1009" s="79">
        <v>1.5591587686891701E-4</v>
      </c>
      <c r="Q1009" s="79">
        <v>8.4194573509215195E-4</v>
      </c>
      <c r="R1009" s="80">
        <v>0.197857247746656</v>
      </c>
      <c r="S1009" s="79">
        <v>1.0552722204474869</v>
      </c>
      <c r="T1009" s="79">
        <v>4.5926495373476497E-2</v>
      </c>
      <c r="U1009" s="79">
        <v>0.241433957241971</v>
      </c>
      <c r="V1009" s="79">
        <v>0.32838123444808298</v>
      </c>
      <c r="W1009" s="79">
        <v>1</v>
      </c>
    </row>
    <row r="1010" spans="1:23" x14ac:dyDescent="0.2">
      <c r="A1010" s="69"/>
      <c r="B1010" s="84" t="s">
        <v>2724</v>
      </c>
      <c r="C1010" s="78">
        <v>5509</v>
      </c>
      <c r="D1010" s="79">
        <v>1.0141420985623208</v>
      </c>
      <c r="E1010" s="79">
        <v>3.4925488999999997E-2</v>
      </c>
      <c r="F1010" s="79">
        <v>0.68762111699999995</v>
      </c>
      <c r="G1010" s="79">
        <v>0.98545101377932998</v>
      </c>
      <c r="H1010" s="80">
        <v>1</v>
      </c>
      <c r="I1010" s="79">
        <v>1.0849708156936675</v>
      </c>
      <c r="J1010" s="79">
        <v>3.4829262154069701E-2</v>
      </c>
      <c r="K1010" s="79">
        <v>1.9205877427968199E-2</v>
      </c>
      <c r="L1010" s="79">
        <v>0.41909202640396798</v>
      </c>
      <c r="M1010" s="80">
        <v>1</v>
      </c>
      <c r="N1010" s="81">
        <v>1.1679623209704122</v>
      </c>
      <c r="O1010" s="81">
        <v>3.46683101713086E-2</v>
      </c>
      <c r="P1010" s="81">
        <v>7.5183616277041899E-6</v>
      </c>
      <c r="Q1010" s="81">
        <v>6.6718887451444898E-5</v>
      </c>
      <c r="R1010" s="82">
        <v>9.5408009055566196E-3</v>
      </c>
      <c r="S1010" s="81">
        <v>1.1676612298792628</v>
      </c>
      <c r="T1010" s="81">
        <v>3.4637097134428897E-2</v>
      </c>
      <c r="U1010" s="81">
        <v>7.6392835738374694E-6</v>
      </c>
      <c r="V1010" s="81">
        <v>1.25899361755841E-4</v>
      </c>
      <c r="W1010" s="81">
        <v>9.6942508551997493E-3</v>
      </c>
    </row>
    <row r="1011" spans="1:23" x14ac:dyDescent="0.2">
      <c r="A1011" s="69"/>
      <c r="B1011" s="84" t="s">
        <v>2725</v>
      </c>
      <c r="C1011" s="78">
        <v>5509</v>
      </c>
      <c r="D1011" s="79">
        <v>1.050776329074443</v>
      </c>
      <c r="E1011" s="79">
        <v>3.9471842E-2</v>
      </c>
      <c r="F1011" s="79">
        <v>0.209551507</v>
      </c>
      <c r="G1011" s="79">
        <v>0.74224234113157905</v>
      </c>
      <c r="H1011" s="80">
        <v>1</v>
      </c>
      <c r="I1011" s="79">
        <v>1.0709082654488249</v>
      </c>
      <c r="J1011" s="79">
        <v>3.9220692095056402E-2</v>
      </c>
      <c r="K1011" s="79">
        <v>8.0687833946979495E-2</v>
      </c>
      <c r="L1011" s="79">
        <v>0.59186625016599403</v>
      </c>
      <c r="M1011" s="80">
        <v>1</v>
      </c>
      <c r="N1011" s="79">
        <v>1.13734158464656</v>
      </c>
      <c r="O1011" s="79">
        <v>3.9011704074611298E-2</v>
      </c>
      <c r="P1011" s="79">
        <v>9.7083226544398497E-4</v>
      </c>
      <c r="Q1011" s="79">
        <v>3.4491155816149901E-3</v>
      </c>
      <c r="R1011" s="80">
        <v>1</v>
      </c>
      <c r="S1011" s="79">
        <v>1.1501286040946896</v>
      </c>
      <c r="T1011" s="79">
        <v>3.9008396313036701E-2</v>
      </c>
      <c r="U1011" s="79">
        <v>3.36130361868E-4</v>
      </c>
      <c r="V1011" s="79">
        <v>1.9622515008840499E-3</v>
      </c>
      <c r="W1011" s="79">
        <v>0.42654942921049199</v>
      </c>
    </row>
    <row r="1012" spans="1:23" x14ac:dyDescent="0.2">
      <c r="A1012" s="69"/>
      <c r="B1012" s="84" t="s">
        <v>2726</v>
      </c>
      <c r="C1012" s="78">
        <v>5509</v>
      </c>
      <c r="D1012" s="79">
        <v>1.0536617760153042</v>
      </c>
      <c r="E1012" s="79">
        <v>4.2789773000000003E-2</v>
      </c>
      <c r="F1012" s="79">
        <v>0.22186320400000001</v>
      </c>
      <c r="G1012" s="79">
        <v>0.74224234113157905</v>
      </c>
      <c r="H1012" s="80">
        <v>1</v>
      </c>
      <c r="I1012" s="79">
        <v>1.0018582324009266</v>
      </c>
      <c r="J1012" s="79">
        <v>4.2463553960177897E-2</v>
      </c>
      <c r="K1012" s="79">
        <v>0.96512756966049396</v>
      </c>
      <c r="L1012" s="79">
        <v>0.98858779149967102</v>
      </c>
      <c r="M1012" s="80">
        <v>1</v>
      </c>
      <c r="N1012" s="81">
        <v>1.2030692941683956</v>
      </c>
      <c r="O1012" s="81">
        <v>4.2398453082743703E-2</v>
      </c>
      <c r="P1012" s="81">
        <v>1.2979941240909201E-5</v>
      </c>
      <c r="Q1012" s="81">
        <v>1.08365430491538E-4</v>
      </c>
      <c r="R1012" s="82">
        <v>1.64715454347138E-2</v>
      </c>
      <c r="S1012" s="79">
        <v>1.1403184181466759</v>
      </c>
      <c r="T1012" s="79">
        <v>4.21896560650942E-2</v>
      </c>
      <c r="U1012" s="79">
        <v>1.85625747714943E-3</v>
      </c>
      <c r="V1012" s="79">
        <v>7.3564485558610601E-3</v>
      </c>
      <c r="W1012" s="79">
        <v>1</v>
      </c>
    </row>
    <row r="1013" spans="1:23" x14ac:dyDescent="0.2">
      <c r="A1013" s="69"/>
      <c r="B1013" s="84" t="s">
        <v>2727</v>
      </c>
      <c r="C1013" s="78">
        <v>5509</v>
      </c>
      <c r="D1013" s="79">
        <v>0.9698285341768651</v>
      </c>
      <c r="E1013" s="79">
        <v>3.5230627E-2</v>
      </c>
      <c r="F1013" s="79">
        <v>0.384527746</v>
      </c>
      <c r="G1013" s="79">
        <v>0.880152082540541</v>
      </c>
      <c r="H1013" s="80">
        <v>1</v>
      </c>
      <c r="I1013" s="79">
        <v>1.0077919091190173</v>
      </c>
      <c r="J1013" s="79">
        <v>3.5027871005195499E-2</v>
      </c>
      <c r="K1013" s="79">
        <v>0.82463566749488004</v>
      </c>
      <c r="L1013" s="79">
        <v>0.96359361146501199</v>
      </c>
      <c r="M1013" s="80">
        <v>1</v>
      </c>
      <c r="N1013" s="81">
        <v>1.1821181858186816</v>
      </c>
      <c r="O1013" s="81">
        <v>3.4987422350897003E-2</v>
      </c>
      <c r="P1013" s="81">
        <v>1.7360786042777699E-6</v>
      </c>
      <c r="Q1013" s="81">
        <v>1.8359031240237398E-5</v>
      </c>
      <c r="R1013" s="82">
        <v>2.2030837488284899E-3</v>
      </c>
      <c r="S1013" s="79">
        <v>1.0995999611716754</v>
      </c>
      <c r="T1013" s="79">
        <v>3.4804942984409899E-2</v>
      </c>
      <c r="U1013" s="79">
        <v>6.3727614149456501E-3</v>
      </c>
      <c r="V1013" s="79">
        <v>1.8590883300151798E-2</v>
      </c>
      <c r="W1013" s="79">
        <v>1</v>
      </c>
    </row>
    <row r="1014" spans="1:23" x14ac:dyDescent="0.2">
      <c r="A1014" s="69"/>
      <c r="B1014" s="84" t="s">
        <v>2728</v>
      </c>
      <c r="C1014" s="78">
        <v>5509</v>
      </c>
      <c r="D1014" s="79">
        <v>0.98571531524617872</v>
      </c>
      <c r="E1014" s="79">
        <v>3.4425707999999999E-2</v>
      </c>
      <c r="F1014" s="79">
        <v>0.67599496299999995</v>
      </c>
      <c r="G1014" s="79">
        <v>0.98545101377932998</v>
      </c>
      <c r="H1014" s="80">
        <v>1</v>
      </c>
      <c r="I1014" s="79">
        <v>1.0696710197213595</v>
      </c>
      <c r="J1014" s="79">
        <v>3.4304879048880799E-2</v>
      </c>
      <c r="K1014" s="79">
        <v>4.9610059566613102E-2</v>
      </c>
      <c r="L1014" s="79">
        <v>0.538078338376342</v>
      </c>
      <c r="M1014" s="80">
        <v>1</v>
      </c>
      <c r="N1014" s="81">
        <v>1.1865646403312342</v>
      </c>
      <c r="O1014" s="81">
        <v>3.4210360630852601E-2</v>
      </c>
      <c r="P1014" s="81">
        <v>5.7239364377218005E-7</v>
      </c>
      <c r="Q1014" s="81">
        <v>7.1917577618504599E-6</v>
      </c>
      <c r="R1014" s="82">
        <v>7.2636753394689701E-4</v>
      </c>
      <c r="S1014" s="81">
        <v>1.1556124291828362</v>
      </c>
      <c r="T1014" s="81">
        <v>3.4136537106628499E-2</v>
      </c>
      <c r="U1014" s="81">
        <v>2.2670531053694602E-5</v>
      </c>
      <c r="V1014" s="81">
        <v>2.76624076030177E-4</v>
      </c>
      <c r="W1014" s="81">
        <v>2.8768903907138502E-2</v>
      </c>
    </row>
    <row r="1015" spans="1:23" x14ac:dyDescent="0.2">
      <c r="A1015" s="69"/>
      <c r="B1015" s="84" t="s">
        <v>2729</v>
      </c>
      <c r="C1015" s="78">
        <v>5509</v>
      </c>
      <c r="D1015" s="79">
        <v>1.005112808022101</v>
      </c>
      <c r="E1015" s="79">
        <v>3.2440317000000003E-2</v>
      </c>
      <c r="F1015" s="79">
        <v>0.87508323499999996</v>
      </c>
      <c r="G1015" s="79">
        <v>0.98973317755347601</v>
      </c>
      <c r="H1015" s="80">
        <v>1</v>
      </c>
      <c r="I1015" s="79">
        <v>1.0316728008958058</v>
      </c>
      <c r="J1015" s="79">
        <v>3.2256540415258203E-2</v>
      </c>
      <c r="K1015" s="79">
        <v>0.33370695973080799</v>
      </c>
      <c r="L1015" s="79">
        <v>0.79366538468944703</v>
      </c>
      <c r="M1015" s="80">
        <v>1</v>
      </c>
      <c r="N1015" s="81">
        <v>1.1959400661901916</v>
      </c>
      <c r="O1015" s="81">
        <v>3.2318785922878901E-2</v>
      </c>
      <c r="P1015" s="81">
        <v>3.0859850059720698E-8</v>
      </c>
      <c r="Q1015" s="81">
        <v>5.5934030303497099E-7</v>
      </c>
      <c r="R1015" s="82">
        <v>3.9161149725785603E-5</v>
      </c>
      <c r="S1015" s="79">
        <v>1.1321883914255204</v>
      </c>
      <c r="T1015" s="79">
        <v>3.2109577663629797E-2</v>
      </c>
      <c r="U1015" s="79">
        <v>1.1039849497807199E-4</v>
      </c>
      <c r="V1015" s="79">
        <v>8.4906478864953604E-4</v>
      </c>
      <c r="W1015" s="79">
        <v>0.14009569012717299</v>
      </c>
    </row>
    <row r="1016" spans="1:23" x14ac:dyDescent="0.2">
      <c r="A1016" s="69"/>
      <c r="B1016" s="84" t="s">
        <v>2730</v>
      </c>
      <c r="C1016" s="78">
        <v>5509</v>
      </c>
      <c r="D1016" s="79">
        <v>1.0030213009574458</v>
      </c>
      <c r="E1016" s="79">
        <v>3.5403893999999998E-2</v>
      </c>
      <c r="F1016" s="79">
        <v>0.93209488399999996</v>
      </c>
      <c r="G1016" s="79">
        <v>0.991673151733656</v>
      </c>
      <c r="H1016" s="80">
        <v>1</v>
      </c>
      <c r="I1016" s="79">
        <v>0.99469828456588127</v>
      </c>
      <c r="J1016" s="79">
        <v>3.5171765790840699E-2</v>
      </c>
      <c r="K1016" s="79">
        <v>0.87986620533753201</v>
      </c>
      <c r="L1016" s="79">
        <v>0.97430210695752895</v>
      </c>
      <c r="M1016" s="80">
        <v>1</v>
      </c>
      <c r="N1016" s="81">
        <v>1.1979823678177874</v>
      </c>
      <c r="O1016" s="81">
        <v>3.51961200713133E-2</v>
      </c>
      <c r="P1016" s="81">
        <v>2.8614784685092303E-7</v>
      </c>
      <c r="Q1016" s="81">
        <v>3.9469741049328397E-6</v>
      </c>
      <c r="R1016" s="82">
        <v>3.6312161765382099E-4</v>
      </c>
      <c r="S1016" s="79">
        <v>1.1243443952362588</v>
      </c>
      <c r="T1016" s="79">
        <v>3.5061796196030101E-2</v>
      </c>
      <c r="U1016" s="79">
        <v>8.2975730405142095E-4</v>
      </c>
      <c r="V1016" s="79">
        <v>3.8452584527832001E-3</v>
      </c>
      <c r="W1016" s="79">
        <v>1</v>
      </c>
    </row>
    <row r="1017" spans="1:23" x14ac:dyDescent="0.2">
      <c r="A1017" s="69"/>
      <c r="B1017" s="84" t="s">
        <v>2731</v>
      </c>
      <c r="C1017" s="78">
        <v>5509</v>
      </c>
      <c r="D1017" s="79">
        <v>0.98905836692369764</v>
      </c>
      <c r="E1017" s="79">
        <v>5.7125856000000003E-2</v>
      </c>
      <c r="F1017" s="79">
        <v>0.84727919699999998</v>
      </c>
      <c r="G1017" s="79">
        <v>0.98552821438803295</v>
      </c>
      <c r="H1017" s="80">
        <v>1</v>
      </c>
      <c r="I1017" s="79">
        <v>0.94591869168288811</v>
      </c>
      <c r="J1017" s="79">
        <v>5.65091276702573E-2</v>
      </c>
      <c r="K1017" s="79">
        <v>0.32517049216364402</v>
      </c>
      <c r="L1017" s="79">
        <v>0.79366538468944703</v>
      </c>
      <c r="M1017" s="80">
        <v>1</v>
      </c>
      <c r="N1017" s="79">
        <v>1.2060064609254508</v>
      </c>
      <c r="O1017" s="79">
        <v>5.6309018326629399E-2</v>
      </c>
      <c r="P1017" s="79">
        <v>8.7929976475603904E-4</v>
      </c>
      <c r="Q1017" s="79">
        <v>3.24369593452155E-3</v>
      </c>
      <c r="R1017" s="80">
        <v>1</v>
      </c>
      <c r="S1017" s="79">
        <v>1.1019253742342945</v>
      </c>
      <c r="T1017" s="79">
        <v>5.6560881525479403E-2</v>
      </c>
      <c r="U1017" s="79">
        <v>8.6160368616390606E-2</v>
      </c>
      <c r="V1017" s="79">
        <v>0.145202533564674</v>
      </c>
      <c r="W1017" s="79">
        <v>1</v>
      </c>
    </row>
    <row r="1018" spans="1:23" x14ac:dyDescent="0.2">
      <c r="A1018" s="69"/>
      <c r="B1018" s="84" t="s">
        <v>2732</v>
      </c>
      <c r="C1018" s="78">
        <v>5509</v>
      </c>
      <c r="D1018" s="79">
        <v>1.0046556751347637</v>
      </c>
      <c r="E1018" s="79">
        <v>4.6953399999999999E-2</v>
      </c>
      <c r="F1018" s="79">
        <v>0.92119772300000002</v>
      </c>
      <c r="G1018" s="79">
        <v>0.991673151733656</v>
      </c>
      <c r="H1018" s="80">
        <v>1</v>
      </c>
      <c r="I1018" s="79">
        <v>1.0591690964836471</v>
      </c>
      <c r="J1018" s="79">
        <v>4.6805304180926301E-2</v>
      </c>
      <c r="K1018" s="79">
        <v>0.21938428808639199</v>
      </c>
      <c r="L1018" s="79">
        <v>0.73459417908661795</v>
      </c>
      <c r="M1018" s="80">
        <v>1</v>
      </c>
      <c r="N1018" s="79">
        <v>1.1772497869390175</v>
      </c>
      <c r="O1018" s="79">
        <v>4.6488016560113102E-2</v>
      </c>
      <c r="P1018" s="79">
        <v>4.4781347324992002E-4</v>
      </c>
      <c r="Q1018" s="79">
        <v>1.9663505105679902E-3</v>
      </c>
      <c r="R1018" s="80">
        <v>0.56827529755414896</v>
      </c>
      <c r="S1018" s="79">
        <v>1.1300020904551029</v>
      </c>
      <c r="T1018" s="79">
        <v>4.6420322887783298E-2</v>
      </c>
      <c r="U1018" s="79">
        <v>8.4662412959522308E-3</v>
      </c>
      <c r="V1018" s="79">
        <v>2.3254675767453201E-2</v>
      </c>
      <c r="W1018" s="79">
        <v>1</v>
      </c>
    </row>
    <row r="1019" spans="1:23" x14ac:dyDescent="0.2">
      <c r="A1019" s="69"/>
      <c r="B1019" s="84" t="s">
        <v>2733</v>
      </c>
      <c r="C1019" s="78">
        <v>5509</v>
      </c>
      <c r="D1019" s="79">
        <v>1.020496689230119</v>
      </c>
      <c r="E1019" s="79">
        <v>5.8049766000000003E-2</v>
      </c>
      <c r="F1019" s="79">
        <v>0.72670019100000005</v>
      </c>
      <c r="G1019" s="79">
        <v>0.98545101377932998</v>
      </c>
      <c r="H1019" s="80">
        <v>1</v>
      </c>
      <c r="I1019" s="79">
        <v>0.97104477181053284</v>
      </c>
      <c r="J1019" s="79">
        <v>5.75019385893022E-2</v>
      </c>
      <c r="K1019" s="79">
        <v>0.60936065062966305</v>
      </c>
      <c r="L1019" s="79">
        <v>0.91965825061269202</v>
      </c>
      <c r="M1019" s="80">
        <v>1</v>
      </c>
      <c r="N1019" s="79">
        <v>1.1897475939494071</v>
      </c>
      <c r="O1019" s="79">
        <v>5.7301266383319199E-2</v>
      </c>
      <c r="P1019" s="79">
        <v>2.4288669273334102E-3</v>
      </c>
      <c r="Q1019" s="79">
        <v>7.3737610784356403E-3</v>
      </c>
      <c r="R1019" s="80">
        <v>1</v>
      </c>
      <c r="S1019" s="79">
        <v>0.99459447697041603</v>
      </c>
      <c r="T1019" s="79">
        <v>5.7376469249478902E-2</v>
      </c>
      <c r="U1019" s="79">
        <v>0.92473815643972501</v>
      </c>
      <c r="V1019" s="79">
        <v>0.94408103018665401</v>
      </c>
      <c r="W1019" s="79">
        <v>1</v>
      </c>
    </row>
    <row r="1020" spans="1:23" x14ac:dyDescent="0.2">
      <c r="A1020" s="69"/>
      <c r="B1020" s="84" t="s">
        <v>2734</v>
      </c>
      <c r="C1020" s="78">
        <v>5509</v>
      </c>
      <c r="D1020" s="79">
        <v>1.0742852191406296</v>
      </c>
      <c r="E1020" s="79">
        <v>3.2159829000000001E-2</v>
      </c>
      <c r="F1020" s="79">
        <v>2.5873403E-2</v>
      </c>
      <c r="G1020" s="79">
        <v>0.37436086021348303</v>
      </c>
      <c r="H1020" s="80">
        <v>1</v>
      </c>
      <c r="I1020" s="79">
        <v>1.0444155598386882</v>
      </c>
      <c r="J1020" s="79">
        <v>3.1946913080865398E-2</v>
      </c>
      <c r="K1020" s="79">
        <v>0.17373431310905799</v>
      </c>
      <c r="L1020" s="79">
        <v>0.69548531020629201</v>
      </c>
      <c r="M1020" s="80">
        <v>1</v>
      </c>
      <c r="N1020" s="79">
        <v>1.0859769386244709</v>
      </c>
      <c r="O1020" s="79">
        <v>3.1740303337727399E-2</v>
      </c>
      <c r="P1020" s="79">
        <v>9.3607921537656701E-3</v>
      </c>
      <c r="Q1020" s="79">
        <v>2.2412915553072899E-2</v>
      </c>
      <c r="R1020" s="80">
        <v>1</v>
      </c>
      <c r="S1020" s="79">
        <v>1.116845721485475</v>
      </c>
      <c r="T1020" s="79">
        <v>3.1764272072037497E-2</v>
      </c>
      <c r="U1020" s="79">
        <v>5.0325965323717403E-4</v>
      </c>
      <c r="V1020" s="79">
        <v>2.6721192466860801E-3</v>
      </c>
      <c r="W1020" s="79">
        <v>0.638636499957974</v>
      </c>
    </row>
    <row r="1021" spans="1:23" x14ac:dyDescent="0.2">
      <c r="A1021" s="69"/>
      <c r="B1021" s="84" t="s">
        <v>2735</v>
      </c>
      <c r="C1021" s="78">
        <v>5509</v>
      </c>
      <c r="D1021" s="79">
        <v>0.99501016579135748</v>
      </c>
      <c r="E1021" s="79">
        <v>4.8219023999999999E-2</v>
      </c>
      <c r="F1021" s="79">
        <v>0.91737431000000003</v>
      </c>
      <c r="G1021" s="79">
        <v>0.991673151733656</v>
      </c>
      <c r="H1021" s="80">
        <v>1</v>
      </c>
      <c r="I1021" s="79">
        <v>0.97175040331770224</v>
      </c>
      <c r="J1021" s="79">
        <v>4.7796294970987502E-2</v>
      </c>
      <c r="K1021" s="79">
        <v>0.54880582166678804</v>
      </c>
      <c r="L1021" s="79">
        <v>0.90501293121999904</v>
      </c>
      <c r="M1021" s="80">
        <v>1</v>
      </c>
      <c r="N1021" s="79">
        <v>1.1709162324867128</v>
      </c>
      <c r="O1021" s="79">
        <v>4.7652097124486002E-2</v>
      </c>
      <c r="P1021" s="79">
        <v>9.2890357597873098E-4</v>
      </c>
      <c r="Q1021" s="79">
        <v>3.3583436977692601E-3</v>
      </c>
      <c r="R1021" s="80">
        <v>1</v>
      </c>
      <c r="S1021" s="79">
        <v>1.1167503342577523</v>
      </c>
      <c r="T1021" s="79">
        <v>4.7761486961412698E-2</v>
      </c>
      <c r="U1021" s="79">
        <v>2.0779503282732099E-2</v>
      </c>
      <c r="V1021" s="79">
        <v>4.5385868615812501E-2</v>
      </c>
      <c r="W1021" s="79">
        <v>1</v>
      </c>
    </row>
    <row r="1022" spans="1:23" x14ac:dyDescent="0.2">
      <c r="A1022" s="69"/>
      <c r="B1022" s="84" t="s">
        <v>2736</v>
      </c>
      <c r="C1022" s="78">
        <v>5509</v>
      </c>
      <c r="D1022" s="79">
        <v>0.99699299013788101</v>
      </c>
      <c r="E1022" s="79">
        <v>3.2148231999999999E-2</v>
      </c>
      <c r="F1022" s="79">
        <v>0.92536598000000003</v>
      </c>
      <c r="G1022" s="79">
        <v>0.991673151733656</v>
      </c>
      <c r="H1022" s="80">
        <v>1</v>
      </c>
      <c r="I1022" s="79">
        <v>1.0093453979966949</v>
      </c>
      <c r="J1022" s="79">
        <v>3.19674299023762E-2</v>
      </c>
      <c r="K1022" s="79">
        <v>0.77106381210480301</v>
      </c>
      <c r="L1022" s="79">
        <v>0.95389133514851498</v>
      </c>
      <c r="M1022" s="80">
        <v>1</v>
      </c>
      <c r="N1022" s="81">
        <v>1.1660920988257601</v>
      </c>
      <c r="O1022" s="81">
        <v>3.1895798036811598E-2</v>
      </c>
      <c r="P1022" s="81">
        <v>1.45366612508445E-6</v>
      </c>
      <c r="Q1022" s="81">
        <v>1.60408896759319E-5</v>
      </c>
      <c r="R1022" s="82">
        <v>1.84470231273217E-3</v>
      </c>
      <c r="S1022" s="79">
        <v>1.0934637045913598</v>
      </c>
      <c r="T1022" s="79">
        <v>3.1741171676268803E-2</v>
      </c>
      <c r="U1022" s="79">
        <v>4.8782157698824703E-3</v>
      </c>
      <c r="V1022" s="79">
        <v>1.50619362821919E-2</v>
      </c>
      <c r="W1022" s="79">
        <v>1</v>
      </c>
    </row>
    <row r="1023" spans="1:23" x14ac:dyDescent="0.2">
      <c r="A1023" s="69"/>
      <c r="B1023" s="84" t="s">
        <v>2737</v>
      </c>
      <c r="C1023" s="78">
        <v>5509</v>
      </c>
      <c r="D1023" s="79">
        <v>1.0036608586336024</v>
      </c>
      <c r="E1023" s="79">
        <v>6.4076183999999994E-2</v>
      </c>
      <c r="F1023" s="79">
        <v>0.95452241999999998</v>
      </c>
      <c r="G1023" s="79">
        <v>0.991673151733656</v>
      </c>
      <c r="H1023" s="80">
        <v>1</v>
      </c>
      <c r="I1023" s="79">
        <v>0.9784513921721042</v>
      </c>
      <c r="J1023" s="79">
        <v>6.35634151087381E-2</v>
      </c>
      <c r="K1023" s="79">
        <v>0.73181248134691601</v>
      </c>
      <c r="L1023" s="79">
        <v>0.94665651256802896</v>
      </c>
      <c r="M1023" s="80">
        <v>1</v>
      </c>
      <c r="N1023" s="79">
        <v>1.2293638352059315</v>
      </c>
      <c r="O1023" s="79">
        <v>6.3342697433802803E-2</v>
      </c>
      <c r="P1023" s="79">
        <v>1.11414478559251E-3</v>
      </c>
      <c r="Q1023" s="79">
        <v>3.8617982802911801E-3</v>
      </c>
      <c r="R1023" s="80">
        <v>1</v>
      </c>
      <c r="S1023" s="79">
        <v>1.0258195861778381</v>
      </c>
      <c r="T1023" s="79">
        <v>6.3622714463796595E-2</v>
      </c>
      <c r="U1023" s="79">
        <v>0.68866105994376303</v>
      </c>
      <c r="V1023" s="79">
        <v>0.751934429756422</v>
      </c>
      <c r="W1023" s="79">
        <v>1</v>
      </c>
    </row>
    <row r="1024" spans="1:23" x14ac:dyDescent="0.2">
      <c r="A1024" s="69"/>
      <c r="B1024" s="84" t="s">
        <v>2738</v>
      </c>
      <c r="C1024" s="78">
        <v>5509</v>
      </c>
      <c r="D1024" s="79">
        <v>0.9886726579577293</v>
      </c>
      <c r="E1024" s="79">
        <v>3.2983459999999999E-2</v>
      </c>
      <c r="F1024" s="79">
        <v>0.72980512500000005</v>
      </c>
      <c r="G1024" s="79">
        <v>0.98545101377932998</v>
      </c>
      <c r="H1024" s="80">
        <v>1</v>
      </c>
      <c r="I1024" s="79">
        <v>1.0481965017576071</v>
      </c>
      <c r="J1024" s="79">
        <v>3.28339223007727E-2</v>
      </c>
      <c r="K1024" s="79">
        <v>0.15168332166283099</v>
      </c>
      <c r="L1024" s="79">
        <v>0.66470888806839401</v>
      </c>
      <c r="M1024" s="80">
        <v>1</v>
      </c>
      <c r="N1024" s="81">
        <v>1.2099948457619676</v>
      </c>
      <c r="O1024" s="81">
        <v>3.2863682483484299E-2</v>
      </c>
      <c r="P1024" s="81">
        <v>6.6233844278572999E-9</v>
      </c>
      <c r="Q1024" s="81">
        <v>1.3556572320888601E-7</v>
      </c>
      <c r="R1024" s="82">
        <v>8.4050748389509103E-6</v>
      </c>
      <c r="S1024" s="79">
        <v>1.1175962696463659</v>
      </c>
      <c r="T1024" s="79">
        <v>3.2655680130822901E-2</v>
      </c>
      <c r="U1024" s="79">
        <v>6.6256112170711996E-4</v>
      </c>
      <c r="V1024" s="79">
        <v>3.3091145416112699E-3</v>
      </c>
      <c r="W1024" s="79">
        <v>0.840790063446335</v>
      </c>
    </row>
    <row r="1025" spans="1:23" x14ac:dyDescent="0.2">
      <c r="A1025" s="69"/>
      <c r="B1025" s="84" t="s">
        <v>2739</v>
      </c>
      <c r="C1025" s="78">
        <v>5509</v>
      </c>
      <c r="D1025" s="79">
        <v>1.0144375551010487</v>
      </c>
      <c r="E1025" s="79">
        <v>3.5623172000000002E-2</v>
      </c>
      <c r="F1025" s="79">
        <v>0.68739872599999996</v>
      </c>
      <c r="G1025" s="79">
        <v>0.98545101377932998</v>
      </c>
      <c r="H1025" s="80">
        <v>1</v>
      </c>
      <c r="I1025" s="79">
        <v>1.003425901343816</v>
      </c>
      <c r="J1025" s="79">
        <v>3.5394717901941403E-2</v>
      </c>
      <c r="K1025" s="79">
        <v>0.92302349109677295</v>
      </c>
      <c r="L1025" s="79">
        <v>0.981200184300273</v>
      </c>
      <c r="M1025" s="80">
        <v>1</v>
      </c>
      <c r="N1025" s="81">
        <v>1.2028154295194924</v>
      </c>
      <c r="O1025" s="81">
        <v>3.54256018857785E-2</v>
      </c>
      <c r="P1025" s="81">
        <v>1.8605607946207299E-7</v>
      </c>
      <c r="Q1025" s="81">
        <v>2.6528670206446101E-6</v>
      </c>
      <c r="R1025" s="82">
        <v>2.3610516483737101E-4</v>
      </c>
      <c r="S1025" s="79">
        <v>1.1304537633113485</v>
      </c>
      <c r="T1025" s="79">
        <v>3.5276546325593697E-2</v>
      </c>
      <c r="U1025" s="79">
        <v>5.0906863145729097E-4</v>
      </c>
      <c r="V1025" s="79">
        <v>2.6877494331327199E-3</v>
      </c>
      <c r="W1025" s="79">
        <v>0.64600809331930198</v>
      </c>
    </row>
    <row r="1026" spans="1:23" x14ac:dyDescent="0.2">
      <c r="A1026" s="69"/>
      <c r="B1026" s="84" t="s">
        <v>2740</v>
      </c>
      <c r="C1026" s="78">
        <v>5509</v>
      </c>
      <c r="D1026" s="79">
        <v>1.0567005088383177</v>
      </c>
      <c r="E1026" s="79">
        <v>8.2297394999999995E-2</v>
      </c>
      <c r="F1026" s="79">
        <v>0.50276429</v>
      </c>
      <c r="G1026" s="79">
        <v>0.92884339055395704</v>
      </c>
      <c r="H1026" s="80">
        <v>1</v>
      </c>
      <c r="I1026" s="79">
        <v>1.0608153701016367</v>
      </c>
      <c r="J1026" s="79">
        <v>8.2095471349860505E-2</v>
      </c>
      <c r="K1026" s="79">
        <v>0.472056973221117</v>
      </c>
      <c r="L1026" s="79">
        <v>0.87326336285163797</v>
      </c>
      <c r="M1026" s="80">
        <v>1</v>
      </c>
      <c r="N1026" s="79">
        <v>1.3391768115874936</v>
      </c>
      <c r="O1026" s="79">
        <v>8.1901750543480603E-2</v>
      </c>
      <c r="P1026" s="79">
        <v>3.6258171730183902E-4</v>
      </c>
      <c r="Q1026" s="79">
        <v>1.67925620166436E-3</v>
      </c>
      <c r="R1026" s="80">
        <v>0.46011619925603398</v>
      </c>
      <c r="S1026" s="79">
        <v>1.0744581536923339</v>
      </c>
      <c r="T1026" s="79">
        <v>8.0801910957717701E-2</v>
      </c>
      <c r="U1026" s="79">
        <v>0.37411221922914301</v>
      </c>
      <c r="V1026" s="79">
        <v>0.464417023580807</v>
      </c>
      <c r="W1026" s="79">
        <v>1</v>
      </c>
    </row>
    <row r="1027" spans="1:23" x14ac:dyDescent="0.2">
      <c r="A1027" s="69"/>
      <c r="B1027" s="84" t="s">
        <v>2741</v>
      </c>
      <c r="C1027" s="78">
        <v>5509</v>
      </c>
      <c r="D1027" s="79">
        <v>0.86536841277667964</v>
      </c>
      <c r="E1027" s="79">
        <v>7.1711456000000007E-2</v>
      </c>
      <c r="F1027" s="79">
        <v>4.3756751000000003E-2</v>
      </c>
      <c r="G1027" s="79">
        <v>0.450921001285714</v>
      </c>
      <c r="H1027" s="80">
        <v>1</v>
      </c>
      <c r="I1027" s="79">
        <v>1.00250038492535</v>
      </c>
      <c r="J1027" s="79">
        <v>7.1579322067425497E-2</v>
      </c>
      <c r="K1027" s="79">
        <v>0.972168996200795</v>
      </c>
      <c r="L1027" s="79">
        <v>0.99045212281500505</v>
      </c>
      <c r="M1027" s="80">
        <v>1</v>
      </c>
      <c r="N1027" s="79">
        <v>1.2224727812366429</v>
      </c>
      <c r="O1027" s="79">
        <v>7.1214021478899006E-2</v>
      </c>
      <c r="P1027" s="79">
        <v>4.7914196352487597E-3</v>
      </c>
      <c r="Q1027" s="79">
        <v>1.3002412586836799E-2</v>
      </c>
      <c r="R1027" s="80">
        <v>1</v>
      </c>
      <c r="S1027" s="79">
        <v>1.0473019257219069</v>
      </c>
      <c r="T1027" s="79">
        <v>7.0919612685427305E-2</v>
      </c>
      <c r="U1027" s="79">
        <v>0.51460426689026295</v>
      </c>
      <c r="V1027" s="79">
        <v>0.59966282340105004</v>
      </c>
      <c r="W1027" s="79">
        <v>1</v>
      </c>
    </row>
    <row r="1028" spans="1:23" x14ac:dyDescent="0.2">
      <c r="A1028" s="69"/>
      <c r="B1028" s="84" t="s">
        <v>2742</v>
      </c>
      <c r="C1028" s="78">
        <v>5509</v>
      </c>
      <c r="D1028" s="79">
        <v>0.91746203560197404</v>
      </c>
      <c r="E1028" s="79">
        <v>0.103629793</v>
      </c>
      <c r="F1028" s="79">
        <v>0.40582254000000001</v>
      </c>
      <c r="G1028" s="79">
        <v>0.88261195738869902</v>
      </c>
      <c r="H1028" s="80">
        <v>1</v>
      </c>
      <c r="I1028" s="79">
        <v>0.91049677801886486</v>
      </c>
      <c r="J1028" s="79">
        <v>0.10235914100874501</v>
      </c>
      <c r="K1028" s="79">
        <v>0.35964667902297898</v>
      </c>
      <c r="L1028" s="79">
        <v>0.81642974499659005</v>
      </c>
      <c r="M1028" s="80">
        <v>1</v>
      </c>
      <c r="N1028" s="79">
        <v>1.389731566858371</v>
      </c>
      <c r="O1028" s="79">
        <v>0.103146164780637</v>
      </c>
      <c r="P1028" s="79">
        <v>1.41918363910229E-3</v>
      </c>
      <c r="Q1028" s="79">
        <v>4.6899584323458502E-3</v>
      </c>
      <c r="R1028" s="80">
        <v>1</v>
      </c>
      <c r="S1028" s="79">
        <v>1.1555544539216274</v>
      </c>
      <c r="T1028" s="79">
        <v>0.102510664897852</v>
      </c>
      <c r="U1028" s="79">
        <v>0.15842381145981399</v>
      </c>
      <c r="V1028" s="79">
        <v>0.234039367569853</v>
      </c>
      <c r="W1028" s="79">
        <v>1</v>
      </c>
    </row>
    <row r="1029" spans="1:23" x14ac:dyDescent="0.2">
      <c r="A1029" s="69"/>
      <c r="B1029" s="84" t="s">
        <v>2743</v>
      </c>
      <c r="C1029" s="78">
        <v>5509</v>
      </c>
      <c r="D1029" s="79">
        <v>0.93593329600119579</v>
      </c>
      <c r="E1029" s="79">
        <v>6.7330818000000001E-2</v>
      </c>
      <c r="F1029" s="79">
        <v>0.32542564299999999</v>
      </c>
      <c r="G1029" s="79">
        <v>0.85579729232661295</v>
      </c>
      <c r="H1029" s="80">
        <v>1</v>
      </c>
      <c r="I1029" s="79">
        <v>0.95951233185185913</v>
      </c>
      <c r="J1029" s="79">
        <v>6.6928075406821594E-2</v>
      </c>
      <c r="K1029" s="79">
        <v>0.53688503395385601</v>
      </c>
      <c r="L1029" s="79">
        <v>0.90084380243459306</v>
      </c>
      <c r="M1029" s="80">
        <v>1</v>
      </c>
      <c r="N1029" s="79">
        <v>1.2074689209577574</v>
      </c>
      <c r="O1029" s="79">
        <v>6.7128458410116595E-2</v>
      </c>
      <c r="P1029" s="79">
        <v>4.9781881327335001E-3</v>
      </c>
      <c r="Q1029" s="79">
        <v>1.32754376243184E-2</v>
      </c>
      <c r="R1029" s="80">
        <v>1</v>
      </c>
      <c r="S1029" s="79">
        <v>1.0706946073723671</v>
      </c>
      <c r="T1029" s="79">
        <v>6.6650860071417295E-2</v>
      </c>
      <c r="U1029" s="79">
        <v>0.305430644378127</v>
      </c>
      <c r="V1029" s="79">
        <v>0.39874092528419702</v>
      </c>
      <c r="W1029" s="79">
        <v>1</v>
      </c>
    </row>
    <row r="1030" spans="1:23" x14ac:dyDescent="0.2">
      <c r="A1030" s="69"/>
      <c r="B1030" s="84" t="s">
        <v>2744</v>
      </c>
      <c r="C1030" s="78">
        <v>5509</v>
      </c>
      <c r="D1030" s="79">
        <v>0.96912168893486716</v>
      </c>
      <c r="E1030" s="79">
        <v>6.5048330000000001E-2</v>
      </c>
      <c r="F1030" s="79">
        <v>0.62967711299999996</v>
      </c>
      <c r="G1030" s="79">
        <v>0.97330723874177805</v>
      </c>
      <c r="H1030" s="80">
        <v>1</v>
      </c>
      <c r="I1030" s="79">
        <v>0.9891945886708795</v>
      </c>
      <c r="J1030" s="79">
        <v>6.4473114474386403E-2</v>
      </c>
      <c r="K1030" s="79">
        <v>0.86618391673135597</v>
      </c>
      <c r="L1030" s="79">
        <v>0.972117051448254</v>
      </c>
      <c r="M1030" s="80">
        <v>1</v>
      </c>
      <c r="N1030" s="79">
        <v>1.1585425766149164</v>
      </c>
      <c r="O1030" s="79">
        <v>6.4560903872497896E-2</v>
      </c>
      <c r="P1030" s="79">
        <v>2.2640822567396499E-2</v>
      </c>
      <c r="Q1030" s="79">
        <v>4.6043595894272697E-2</v>
      </c>
      <c r="R1030" s="80">
        <v>1</v>
      </c>
      <c r="S1030" s="79">
        <v>1.077101984538225</v>
      </c>
      <c r="T1030" s="79">
        <v>6.4200988128829503E-2</v>
      </c>
      <c r="U1030" s="79">
        <v>0.24731344983690701</v>
      </c>
      <c r="V1030" s="79">
        <v>0.33529996564426801</v>
      </c>
      <c r="W1030" s="79">
        <v>1</v>
      </c>
    </row>
    <row r="1031" spans="1:23" x14ac:dyDescent="0.2">
      <c r="A1031" s="69"/>
      <c r="B1031" s="84" t="s">
        <v>2745</v>
      </c>
      <c r="C1031" s="78">
        <v>5509</v>
      </c>
      <c r="D1031" s="79">
        <v>0.94114805955017722</v>
      </c>
      <c r="E1031" s="79">
        <v>9.130576E-2</v>
      </c>
      <c r="F1031" s="79">
        <v>0.50649556799999995</v>
      </c>
      <c r="G1031" s="79">
        <v>0.92884339055395704</v>
      </c>
      <c r="H1031" s="80">
        <v>1</v>
      </c>
      <c r="I1031" s="79">
        <v>1.0702015079547895</v>
      </c>
      <c r="J1031" s="79">
        <v>9.1293480375515504E-2</v>
      </c>
      <c r="K1031" s="79">
        <v>0.45737624324216303</v>
      </c>
      <c r="L1031" s="79">
        <v>0.87326336285163797</v>
      </c>
      <c r="M1031" s="80">
        <v>1</v>
      </c>
      <c r="N1031" s="79">
        <v>1.3428495030908667</v>
      </c>
      <c r="O1031" s="79">
        <v>9.0156914800740298E-2</v>
      </c>
      <c r="P1031" s="79">
        <v>1.07628734460324E-3</v>
      </c>
      <c r="Q1031" s="79">
        <v>3.7625582377452099E-3</v>
      </c>
      <c r="R1031" s="80">
        <v>1</v>
      </c>
      <c r="S1031" s="79">
        <v>1.2529147761250823</v>
      </c>
      <c r="T1031" s="79">
        <v>9.0947592541386998E-2</v>
      </c>
      <c r="U1031" s="79">
        <v>1.3169617851173401E-2</v>
      </c>
      <c r="V1031" s="79">
        <v>3.1832847720264901E-2</v>
      </c>
      <c r="W1031" s="79">
        <v>1</v>
      </c>
    </row>
    <row r="1032" spans="1:23" x14ac:dyDescent="0.2">
      <c r="A1032" s="69"/>
      <c r="B1032" s="84" t="s">
        <v>2746</v>
      </c>
      <c r="C1032" s="78">
        <v>5509</v>
      </c>
      <c r="D1032" s="79">
        <v>0.96219313734156253</v>
      </c>
      <c r="E1032" s="79">
        <v>7.0903295000000005E-2</v>
      </c>
      <c r="F1032" s="79">
        <v>0.58674538899999995</v>
      </c>
      <c r="G1032" s="79">
        <v>0.95350818012595395</v>
      </c>
      <c r="H1032" s="80">
        <v>1</v>
      </c>
      <c r="I1032" s="79">
        <v>1.1030379654029059</v>
      </c>
      <c r="J1032" s="79">
        <v>7.1111519150540994E-2</v>
      </c>
      <c r="K1032" s="79">
        <v>0.16787145090254799</v>
      </c>
      <c r="L1032" s="79">
        <v>0.69119364508706604</v>
      </c>
      <c r="M1032" s="80">
        <v>1</v>
      </c>
      <c r="N1032" s="79">
        <v>1.170713059688552</v>
      </c>
      <c r="O1032" s="79">
        <v>6.99694378929685E-2</v>
      </c>
      <c r="P1032" s="79">
        <v>2.4284507311948901E-2</v>
      </c>
      <c r="Q1032" s="79">
        <v>4.8454465061105602E-2</v>
      </c>
      <c r="R1032" s="80">
        <v>1</v>
      </c>
      <c r="S1032" s="79">
        <v>1.199702763491596</v>
      </c>
      <c r="T1032" s="79">
        <v>7.0566706226728906E-2</v>
      </c>
      <c r="U1032" s="79">
        <v>9.8752780150883294E-3</v>
      </c>
      <c r="V1032" s="79">
        <v>2.5909469748836199E-2</v>
      </c>
      <c r="W1032" s="79">
        <v>1</v>
      </c>
    </row>
    <row r="1033" spans="1:23" x14ac:dyDescent="0.2">
      <c r="A1033" s="69"/>
      <c r="B1033" s="84" t="s">
        <v>2747</v>
      </c>
      <c r="C1033" s="78">
        <v>5509</v>
      </c>
      <c r="D1033" s="79">
        <v>0.97035773549028326</v>
      </c>
      <c r="E1033" s="79">
        <v>4.1002878E-2</v>
      </c>
      <c r="F1033" s="79">
        <v>0.46303251099999998</v>
      </c>
      <c r="G1033" s="79">
        <v>0.91552091378972</v>
      </c>
      <c r="H1033" s="80">
        <v>1</v>
      </c>
      <c r="I1033" s="79">
        <v>0.97738425426138609</v>
      </c>
      <c r="J1033" s="79">
        <v>4.0839401093569698E-2</v>
      </c>
      <c r="K1033" s="79">
        <v>0.57539026196002496</v>
      </c>
      <c r="L1033" s="79">
        <v>0.911324282187712</v>
      </c>
      <c r="M1033" s="80">
        <v>1</v>
      </c>
      <c r="N1033" s="81">
        <v>1.1863104182688256</v>
      </c>
      <c r="O1033" s="81">
        <v>4.0756317839898103E-2</v>
      </c>
      <c r="P1033" s="81">
        <v>2.7658026517042799E-5</v>
      </c>
      <c r="Q1033" s="81">
        <v>1.99420657102996E-4</v>
      </c>
      <c r="R1033" s="82">
        <v>3.5098035650127299E-2</v>
      </c>
      <c r="S1033" s="79">
        <v>1.1380459426771774</v>
      </c>
      <c r="T1033" s="79">
        <v>4.06842144419505E-2</v>
      </c>
      <c r="U1033" s="79">
        <v>1.4806519354393099E-3</v>
      </c>
      <c r="V1033" s="79">
        <v>6.2423498540614096E-3</v>
      </c>
      <c r="W1033" s="79">
        <v>1</v>
      </c>
    </row>
    <row r="1034" spans="1:23" x14ac:dyDescent="0.2">
      <c r="A1034" s="69"/>
      <c r="B1034" s="84" t="s">
        <v>2748</v>
      </c>
      <c r="C1034" s="78">
        <v>5494</v>
      </c>
      <c r="D1034" s="79">
        <v>1.1108258458946605</v>
      </c>
      <c r="E1034" s="79">
        <v>6.9941263000000004E-2</v>
      </c>
      <c r="F1034" s="79">
        <v>0.13290532799999999</v>
      </c>
      <c r="G1034" s="79">
        <v>0.656481180244186</v>
      </c>
      <c r="H1034" s="80">
        <v>1</v>
      </c>
      <c r="I1034" s="79">
        <v>1.0138079275801477</v>
      </c>
      <c r="J1034" s="79">
        <v>6.9134954967718307E-2</v>
      </c>
      <c r="K1034" s="79">
        <v>0.84276502886015803</v>
      </c>
      <c r="L1034" s="79">
        <v>0.96960001960429798</v>
      </c>
      <c r="M1034" s="80">
        <v>1</v>
      </c>
      <c r="N1034" s="79">
        <v>1.1195448242034982</v>
      </c>
      <c r="O1034" s="79">
        <v>6.8648999201297606E-2</v>
      </c>
      <c r="P1034" s="79">
        <v>9.99860576028688E-2</v>
      </c>
      <c r="Q1034" s="79">
        <v>0.15722714634205801</v>
      </c>
      <c r="R1034" s="80">
        <v>1</v>
      </c>
      <c r="S1034" s="79">
        <v>1.053428660948007</v>
      </c>
      <c r="T1034" s="79">
        <v>6.8058066693212599E-2</v>
      </c>
      <c r="U1034" s="79">
        <v>0.44439566787289903</v>
      </c>
      <c r="V1034" s="79">
        <v>0.53289271945891004</v>
      </c>
      <c r="W1034" s="79">
        <v>1</v>
      </c>
    </row>
    <row r="1035" spans="1:23" x14ac:dyDescent="0.2">
      <c r="A1035" s="69"/>
      <c r="B1035" s="84" t="s">
        <v>2749</v>
      </c>
      <c r="C1035" s="78">
        <v>5494</v>
      </c>
      <c r="D1035" s="79">
        <v>1.0634598220925109</v>
      </c>
      <c r="E1035" s="79">
        <v>7.3286553000000004E-2</v>
      </c>
      <c r="F1035" s="79">
        <v>0.40116188800000002</v>
      </c>
      <c r="G1035" s="79">
        <v>0.88261195738869902</v>
      </c>
      <c r="H1035" s="80">
        <v>1</v>
      </c>
      <c r="I1035" s="79">
        <v>1.0958928642528829</v>
      </c>
      <c r="J1035" s="79">
        <v>7.3520270288814402E-2</v>
      </c>
      <c r="K1035" s="79">
        <v>0.212948337755687</v>
      </c>
      <c r="L1035" s="79">
        <v>0.73432456688034498</v>
      </c>
      <c r="M1035" s="80">
        <v>1</v>
      </c>
      <c r="N1035" s="79">
        <v>1.0292155442362525</v>
      </c>
      <c r="O1035" s="79">
        <v>7.2751477322366295E-2</v>
      </c>
      <c r="P1035" s="79">
        <v>0.69223361519478299</v>
      </c>
      <c r="Q1035" s="79">
        <v>0.75113885129286495</v>
      </c>
      <c r="R1035" s="80">
        <v>1</v>
      </c>
      <c r="S1035" s="79">
        <v>1.0984241897685534</v>
      </c>
      <c r="T1035" s="79">
        <v>7.2028540919327005E-2</v>
      </c>
      <c r="U1035" s="79">
        <v>0.19246383017441299</v>
      </c>
      <c r="V1035" s="79">
        <v>0.27443253789045402</v>
      </c>
      <c r="W1035" s="79">
        <v>1</v>
      </c>
    </row>
    <row r="1036" spans="1:23" x14ac:dyDescent="0.2">
      <c r="A1036" s="69"/>
      <c r="B1036" s="84" t="s">
        <v>2750</v>
      </c>
      <c r="C1036" s="78">
        <v>5494</v>
      </c>
      <c r="D1036" s="79">
        <v>0.99470478633261827</v>
      </c>
      <c r="E1036" s="79">
        <v>6.5171871000000006E-2</v>
      </c>
      <c r="F1036" s="79">
        <v>0.93507147300000004</v>
      </c>
      <c r="G1036" s="79">
        <v>0.991673151733656</v>
      </c>
      <c r="H1036" s="80">
        <v>1</v>
      </c>
      <c r="I1036" s="79">
        <v>0.96899567665503905</v>
      </c>
      <c r="J1036" s="79">
        <v>6.3909719437127296E-2</v>
      </c>
      <c r="K1036" s="79">
        <v>0.62214927763157801</v>
      </c>
      <c r="L1036" s="79">
        <v>0.91965825061269202</v>
      </c>
      <c r="M1036" s="80">
        <v>1</v>
      </c>
      <c r="N1036" s="79">
        <v>1.2353826093558862</v>
      </c>
      <c r="O1036" s="79">
        <v>6.3884764986152406E-2</v>
      </c>
      <c r="P1036" s="79">
        <v>9.3702940670461002E-4</v>
      </c>
      <c r="Q1036" s="79">
        <v>3.3780974917845198E-3</v>
      </c>
      <c r="R1036" s="80">
        <v>1</v>
      </c>
      <c r="S1036" s="79">
        <v>1.2466857169740961</v>
      </c>
      <c r="T1036" s="79">
        <v>6.4805070962345807E-2</v>
      </c>
      <c r="U1036" s="79">
        <v>6.6812525071354096E-4</v>
      </c>
      <c r="V1036" s="79">
        <v>3.3091145416112699E-3</v>
      </c>
      <c r="W1036" s="79">
        <v>0.84785094315548404</v>
      </c>
    </row>
    <row r="1037" spans="1:23" x14ac:dyDescent="0.2">
      <c r="A1037" s="69"/>
      <c r="B1037" s="84" t="s">
        <v>2751</v>
      </c>
      <c r="C1037" s="78">
        <v>5494</v>
      </c>
      <c r="D1037" s="79">
        <v>1.1082580130720852</v>
      </c>
      <c r="E1037" s="79">
        <v>5.1737080999999997E-2</v>
      </c>
      <c r="F1037" s="79">
        <v>4.6948436000000003E-2</v>
      </c>
      <c r="G1037" s="79">
        <v>0.45521505020000003</v>
      </c>
      <c r="H1037" s="80">
        <v>1</v>
      </c>
      <c r="I1037" s="79">
        <v>1.029249705718106</v>
      </c>
      <c r="J1037" s="79">
        <v>5.1139093429497497E-2</v>
      </c>
      <c r="K1037" s="79">
        <v>0.57291853655175995</v>
      </c>
      <c r="L1037" s="79">
        <v>0.911324282187712</v>
      </c>
      <c r="M1037" s="80">
        <v>1</v>
      </c>
      <c r="N1037" s="79">
        <v>1.1304917511630364</v>
      </c>
      <c r="O1037" s="79">
        <v>5.1101871698117897E-2</v>
      </c>
      <c r="P1037" s="79">
        <v>1.6387865177637299E-2</v>
      </c>
      <c r="Q1037" s="79">
        <v>3.5671013568476399E-2</v>
      </c>
      <c r="R1037" s="80">
        <v>1</v>
      </c>
      <c r="S1037" s="79">
        <v>1.1633591434313053</v>
      </c>
      <c r="T1037" s="79">
        <v>5.09404382836387E-2</v>
      </c>
      <c r="U1037" s="79">
        <v>2.9744727326097699E-3</v>
      </c>
      <c r="V1037" s="79">
        <v>1.03983633544953E-2</v>
      </c>
      <c r="W1037" s="79">
        <v>1</v>
      </c>
    </row>
    <row r="1038" spans="1:23" x14ac:dyDescent="0.2">
      <c r="A1038" s="69"/>
      <c r="B1038" s="84" t="s">
        <v>2752</v>
      </c>
      <c r="C1038" s="78">
        <v>5494</v>
      </c>
      <c r="D1038" s="79">
        <v>1.0045755218792793</v>
      </c>
      <c r="E1038" s="79">
        <v>7.8684379999999998E-2</v>
      </c>
      <c r="F1038" s="79">
        <v>0.953734533</v>
      </c>
      <c r="G1038" s="79">
        <v>0.991673151733656</v>
      </c>
      <c r="H1038" s="80">
        <v>1</v>
      </c>
      <c r="I1038" s="79">
        <v>0.84350244780829042</v>
      </c>
      <c r="J1038" s="79">
        <v>7.7766722295330104E-2</v>
      </c>
      <c r="K1038" s="79">
        <v>2.8633198184085398E-2</v>
      </c>
      <c r="L1038" s="79">
        <v>0.46602025326235702</v>
      </c>
      <c r="M1038" s="80">
        <v>1</v>
      </c>
      <c r="N1038" s="79">
        <v>1.1526897717759546</v>
      </c>
      <c r="O1038" s="79">
        <v>7.7667068750773005E-2</v>
      </c>
      <c r="P1038" s="79">
        <v>6.7312713334163998E-2</v>
      </c>
      <c r="Q1038" s="79">
        <v>0.113590203751402</v>
      </c>
      <c r="R1038" s="80">
        <v>1</v>
      </c>
      <c r="S1038" s="79">
        <v>1.0350646535326136</v>
      </c>
      <c r="T1038" s="79">
        <v>7.7468221500578499E-2</v>
      </c>
      <c r="U1038" s="79">
        <v>0.65640806672130403</v>
      </c>
      <c r="V1038" s="79">
        <v>0.72307451099768705</v>
      </c>
      <c r="W1038" s="79">
        <v>1</v>
      </c>
    </row>
    <row r="1039" spans="1:23" x14ac:dyDescent="0.2">
      <c r="A1039" s="69"/>
      <c r="B1039" s="84" t="s">
        <v>2753</v>
      </c>
      <c r="C1039" s="78">
        <v>5494</v>
      </c>
      <c r="D1039" s="79">
        <v>1.0175041225778829</v>
      </c>
      <c r="E1039" s="79">
        <v>4.3039547999999997E-2</v>
      </c>
      <c r="F1039" s="79">
        <v>0.68681573100000004</v>
      </c>
      <c r="G1039" s="79">
        <v>0.98545101377932998</v>
      </c>
      <c r="H1039" s="80">
        <v>1</v>
      </c>
      <c r="I1039" s="79">
        <v>0.93211569059449784</v>
      </c>
      <c r="J1039" s="79">
        <v>4.2832998814934999E-2</v>
      </c>
      <c r="K1039" s="79">
        <v>0.100751919543094</v>
      </c>
      <c r="L1039" s="79">
        <v>0.61793044758930804</v>
      </c>
      <c r="M1039" s="80">
        <v>1</v>
      </c>
      <c r="N1039" s="79">
        <v>1.0760004525403766</v>
      </c>
      <c r="O1039" s="79">
        <v>4.2768960591558998E-2</v>
      </c>
      <c r="P1039" s="79">
        <v>8.6765664269527407E-2</v>
      </c>
      <c r="Q1039" s="79">
        <v>0.138965365923791</v>
      </c>
      <c r="R1039" s="80">
        <v>1</v>
      </c>
      <c r="S1039" s="79">
        <v>1.0625422877618675</v>
      </c>
      <c r="T1039" s="79">
        <v>4.2456449663647297E-2</v>
      </c>
      <c r="U1039" s="79">
        <v>0.153043808555126</v>
      </c>
      <c r="V1039" s="79">
        <v>0.22821691310981801</v>
      </c>
      <c r="W1039" s="79">
        <v>1</v>
      </c>
    </row>
    <row r="1040" spans="1:23" x14ac:dyDescent="0.2">
      <c r="A1040" s="69"/>
      <c r="B1040" s="84" t="s">
        <v>2754</v>
      </c>
      <c r="C1040" s="78">
        <v>5494</v>
      </c>
      <c r="D1040" s="79">
        <v>1.072123183469651</v>
      </c>
      <c r="E1040" s="79">
        <v>3.2621472999999998E-2</v>
      </c>
      <c r="F1040" s="79">
        <v>3.2775736E-2</v>
      </c>
      <c r="G1040" s="79">
        <v>0.428377456561224</v>
      </c>
      <c r="H1040" s="80">
        <v>1</v>
      </c>
      <c r="I1040" s="79">
        <v>0.96134391437372813</v>
      </c>
      <c r="J1040" s="79">
        <v>3.2315122162159399E-2</v>
      </c>
      <c r="K1040" s="79">
        <v>0.22248113863108801</v>
      </c>
      <c r="L1040" s="79">
        <v>0.73459417908661795</v>
      </c>
      <c r="M1040" s="80">
        <v>1</v>
      </c>
      <c r="N1040" s="79">
        <v>1.1289372092726777</v>
      </c>
      <c r="O1040" s="79">
        <v>3.2292073124730203E-2</v>
      </c>
      <c r="P1040" s="79">
        <v>1.7291477323874301E-4</v>
      </c>
      <c r="Q1040" s="79">
        <v>9.1428686349985403E-4</v>
      </c>
      <c r="R1040" s="80">
        <v>0.219428847239965</v>
      </c>
      <c r="S1040" s="79">
        <v>1.1035733232540459</v>
      </c>
      <c r="T1040" s="79">
        <v>3.2133933124386498E-2</v>
      </c>
      <c r="U1040" s="79">
        <v>2.1624997537704198E-3</v>
      </c>
      <c r="V1040" s="79">
        <v>8.1916781717452595E-3</v>
      </c>
      <c r="W1040" s="79">
        <v>1</v>
      </c>
    </row>
    <row r="1041" spans="1:23" x14ac:dyDescent="0.2">
      <c r="A1041" s="69"/>
      <c r="B1041" s="84" t="s">
        <v>2755</v>
      </c>
      <c r="C1041" s="78">
        <v>5509</v>
      </c>
      <c r="D1041" s="79">
        <v>1.0559564015280598</v>
      </c>
      <c r="E1041" s="79">
        <v>3.4297794999999999E-2</v>
      </c>
      <c r="F1041" s="79">
        <v>0.112405063</v>
      </c>
      <c r="G1041" s="79">
        <v>0.63396455531999996</v>
      </c>
      <c r="H1041" s="80">
        <v>1</v>
      </c>
      <c r="I1041" s="79">
        <v>1.0450605349067645</v>
      </c>
      <c r="J1041" s="79">
        <v>3.4068312031507897E-2</v>
      </c>
      <c r="K1041" s="79">
        <v>0.19576260846660601</v>
      </c>
      <c r="L1041" s="79">
        <v>0.71347894824854996</v>
      </c>
      <c r="M1041" s="80">
        <v>1</v>
      </c>
      <c r="N1041" s="79">
        <v>1.1144479731566734</v>
      </c>
      <c r="O1041" s="79">
        <v>3.3931796670213697E-2</v>
      </c>
      <c r="P1041" s="79">
        <v>1.4058805913768899E-3</v>
      </c>
      <c r="Q1041" s="79">
        <v>4.6581265547187304E-3</v>
      </c>
      <c r="R1041" s="80">
        <v>1</v>
      </c>
      <c r="S1041" s="79">
        <v>1.0798453798576992</v>
      </c>
      <c r="T1041" s="79">
        <v>3.3905576912746503E-2</v>
      </c>
      <c r="U1041" s="79">
        <v>2.34733746076498E-2</v>
      </c>
      <c r="V1041" s="79">
        <v>4.9563581326302203E-2</v>
      </c>
      <c r="W1041" s="79">
        <v>1</v>
      </c>
    </row>
    <row r="1042" spans="1:23" x14ac:dyDescent="0.2">
      <c r="A1042" s="69"/>
      <c r="B1042" s="84" t="s">
        <v>2515</v>
      </c>
      <c r="C1042" s="78">
        <v>5531</v>
      </c>
      <c r="D1042" s="79">
        <v>1.0139118677928873</v>
      </c>
      <c r="E1042" s="79">
        <v>5.4670119000000003E-2</v>
      </c>
      <c r="F1042" s="79">
        <v>0.80048806900000002</v>
      </c>
      <c r="G1042" s="79">
        <v>0.98545101377932998</v>
      </c>
      <c r="H1042" s="80">
        <v>1</v>
      </c>
      <c r="I1042" s="79">
        <v>0.99149235119949097</v>
      </c>
      <c r="J1042" s="79">
        <v>5.4346373886968398E-2</v>
      </c>
      <c r="K1042" s="79">
        <v>0.87507569335430901</v>
      </c>
      <c r="L1042" s="79">
        <v>0.97259459064771603</v>
      </c>
      <c r="M1042" s="80">
        <v>1</v>
      </c>
      <c r="N1042" s="79">
        <v>1.1010713298204309</v>
      </c>
      <c r="O1042" s="79">
        <v>5.3942490231770501E-2</v>
      </c>
      <c r="P1042" s="79">
        <v>7.42724524552245E-2</v>
      </c>
      <c r="Q1042" s="79">
        <v>0.122723622611562</v>
      </c>
      <c r="R1042" s="80">
        <v>1</v>
      </c>
      <c r="S1042" s="79">
        <v>1.1203363179966521</v>
      </c>
      <c r="T1042" s="79">
        <v>5.4143800540250399E-2</v>
      </c>
      <c r="U1042" s="79">
        <v>3.5847704761114603E-2</v>
      </c>
      <c r="V1042" s="79">
        <v>7.1079277096647603E-2</v>
      </c>
      <c r="W1042" s="79">
        <v>1</v>
      </c>
    </row>
    <row r="1043" spans="1:23" x14ac:dyDescent="0.2">
      <c r="A1043" s="69"/>
      <c r="B1043" s="84" t="s">
        <v>2756</v>
      </c>
      <c r="C1043" s="78">
        <v>5509</v>
      </c>
      <c r="D1043" s="79">
        <v>1.0742852191406296</v>
      </c>
      <c r="E1043" s="79">
        <v>3.2159829000000001E-2</v>
      </c>
      <c r="F1043" s="79">
        <v>2.5873403E-2</v>
      </c>
      <c r="G1043" s="79">
        <v>0.37436086021348303</v>
      </c>
      <c r="H1043" s="80">
        <v>1</v>
      </c>
      <c r="I1043" s="79">
        <v>1.0444155598386882</v>
      </c>
      <c r="J1043" s="79">
        <v>3.1946913080865398E-2</v>
      </c>
      <c r="K1043" s="79">
        <v>0.17373431310905799</v>
      </c>
      <c r="L1043" s="79">
        <v>0.69548531020629201</v>
      </c>
      <c r="M1043" s="80">
        <v>1</v>
      </c>
      <c r="N1043" s="79">
        <v>1.0859769386244709</v>
      </c>
      <c r="O1043" s="79">
        <v>3.1740303337727399E-2</v>
      </c>
      <c r="P1043" s="79">
        <v>9.3607921537656701E-3</v>
      </c>
      <c r="Q1043" s="79">
        <v>2.2412915553072899E-2</v>
      </c>
      <c r="R1043" s="80">
        <v>1</v>
      </c>
      <c r="S1043" s="79">
        <v>1.116845721485475</v>
      </c>
      <c r="T1043" s="79">
        <v>3.1764272072037497E-2</v>
      </c>
      <c r="U1043" s="79">
        <v>5.0325965323717403E-4</v>
      </c>
      <c r="V1043" s="79">
        <v>2.6721192466860801E-3</v>
      </c>
      <c r="W1043" s="79">
        <v>0.638636499957974</v>
      </c>
    </row>
    <row r="1044" spans="1:23" x14ac:dyDescent="0.2">
      <c r="A1044" s="69"/>
      <c r="B1044" s="84" t="s">
        <v>2516</v>
      </c>
      <c r="C1044" s="78">
        <v>5531</v>
      </c>
      <c r="D1044" s="79">
        <v>1.0107084220986566</v>
      </c>
      <c r="E1044" s="79">
        <v>3.9076975999999999E-2</v>
      </c>
      <c r="F1044" s="79">
        <v>0.78517822900000001</v>
      </c>
      <c r="G1044" s="79">
        <v>0.98545101377932998</v>
      </c>
      <c r="H1044" s="80">
        <v>1</v>
      </c>
      <c r="I1044" s="79">
        <v>1.0528304287679497</v>
      </c>
      <c r="J1044" s="79">
        <v>3.8929565883422897E-2</v>
      </c>
      <c r="K1044" s="79">
        <v>0.18602023377356899</v>
      </c>
      <c r="L1044" s="79">
        <v>0.70676549897802099</v>
      </c>
      <c r="M1044" s="80">
        <v>1</v>
      </c>
      <c r="N1044" s="79">
        <v>1.1445055057082554</v>
      </c>
      <c r="O1044" s="79">
        <v>3.8556910443804299E-2</v>
      </c>
      <c r="P1044" s="79">
        <v>4.6419621506713001E-4</v>
      </c>
      <c r="Q1044" s="79">
        <v>2.0090536557355598E-3</v>
      </c>
      <c r="R1044" s="80">
        <v>0.58906499692018799</v>
      </c>
      <c r="S1044" s="79">
        <v>1.1388649245120743</v>
      </c>
      <c r="T1044" s="79">
        <v>3.8414494396600697E-2</v>
      </c>
      <c r="U1044" s="79">
        <v>7.1184852527779398E-4</v>
      </c>
      <c r="V1044" s="79">
        <v>3.46105662290238E-3</v>
      </c>
      <c r="W1044" s="79">
        <v>0.90333577857752101</v>
      </c>
    </row>
    <row r="1045" spans="1:23" x14ac:dyDescent="0.2">
      <c r="A1045" s="69"/>
      <c r="B1045" s="84" t="s">
        <v>2517</v>
      </c>
      <c r="C1045" s="78">
        <v>5531</v>
      </c>
      <c r="D1045" s="79">
        <v>0.9444211347476078</v>
      </c>
      <c r="E1045" s="79">
        <v>9.5479618000000002E-2</v>
      </c>
      <c r="F1045" s="79">
        <v>0.54923711600000003</v>
      </c>
      <c r="G1045" s="79">
        <v>0.94233160000673799</v>
      </c>
      <c r="H1045" s="80">
        <v>1</v>
      </c>
      <c r="I1045" s="79">
        <v>1.1171479939900346</v>
      </c>
      <c r="J1045" s="79">
        <v>9.6590403465375299E-2</v>
      </c>
      <c r="K1045" s="79">
        <v>0.251425220930654</v>
      </c>
      <c r="L1045" s="79">
        <v>0.75316534960692805</v>
      </c>
      <c r="M1045" s="80">
        <v>1</v>
      </c>
      <c r="N1045" s="79">
        <v>1.1957034006220562</v>
      </c>
      <c r="O1045" s="79">
        <v>9.5278974322953902E-2</v>
      </c>
      <c r="P1045" s="79">
        <v>6.0667853667174601E-2</v>
      </c>
      <c r="Q1045" s="79">
        <v>0.10389676964054601</v>
      </c>
      <c r="R1045" s="80">
        <v>1</v>
      </c>
      <c r="S1045" s="79">
        <v>1.2388632009001685</v>
      </c>
      <c r="T1045" s="79">
        <v>9.5229714754120801E-2</v>
      </c>
      <c r="U1045" s="79">
        <v>2.4497429805415701E-2</v>
      </c>
      <c r="V1045" s="79">
        <v>5.1383865162103401E-2</v>
      </c>
      <c r="W1045" s="79">
        <v>1</v>
      </c>
    </row>
    <row r="1046" spans="1:23" x14ac:dyDescent="0.2">
      <c r="A1046" s="69"/>
      <c r="B1046" s="84" t="s">
        <v>2518</v>
      </c>
      <c r="C1046" s="78">
        <v>5531</v>
      </c>
      <c r="D1046" s="79">
        <v>1.0055036678388518</v>
      </c>
      <c r="E1046" s="79">
        <v>5.6255409999999999E-2</v>
      </c>
      <c r="F1046" s="79">
        <v>0.92227745500000002</v>
      </c>
      <c r="G1046" s="79">
        <v>0.991673151733656</v>
      </c>
      <c r="H1046" s="80">
        <v>1</v>
      </c>
      <c r="I1046" s="79">
        <v>1.1090335800734177</v>
      </c>
      <c r="J1046" s="79">
        <v>5.6276747432142699E-2</v>
      </c>
      <c r="K1046" s="79">
        <v>6.59255130563694E-2</v>
      </c>
      <c r="L1046" s="79">
        <v>0.57459637698370203</v>
      </c>
      <c r="M1046" s="80">
        <v>1</v>
      </c>
      <c r="N1046" s="79">
        <v>1.1355075240105357</v>
      </c>
      <c r="O1046" s="79">
        <v>5.56335813065909E-2</v>
      </c>
      <c r="P1046" s="79">
        <v>2.23582144810444E-2</v>
      </c>
      <c r="Q1046" s="79">
        <v>4.5541852610666698E-2</v>
      </c>
      <c r="R1046" s="80">
        <v>1</v>
      </c>
      <c r="S1046" s="79">
        <v>1.1819650155989998</v>
      </c>
      <c r="T1046" s="79">
        <v>5.58992089266592E-2</v>
      </c>
      <c r="U1046" s="79">
        <v>2.7832971531151799E-3</v>
      </c>
      <c r="V1046" s="79">
        <v>1.00056773011421E-2</v>
      </c>
      <c r="W1046" s="79">
        <v>1</v>
      </c>
    </row>
    <row r="1047" spans="1:23" x14ac:dyDescent="0.2">
      <c r="A1047" s="69"/>
      <c r="B1047" s="84" t="s">
        <v>2757</v>
      </c>
      <c r="C1047" s="78">
        <v>5509</v>
      </c>
      <c r="D1047" s="79">
        <v>0.97854898605750584</v>
      </c>
      <c r="E1047" s="79">
        <v>5.9001808000000003E-2</v>
      </c>
      <c r="F1047" s="79">
        <v>0.71323008099999996</v>
      </c>
      <c r="G1047" s="79">
        <v>0.98545101377932998</v>
      </c>
      <c r="H1047" s="80">
        <v>1</v>
      </c>
      <c r="I1047" s="79">
        <v>1.0375293041910689</v>
      </c>
      <c r="J1047" s="79">
        <v>5.8915466832175599E-2</v>
      </c>
      <c r="K1047" s="79">
        <v>0.53174771295585099</v>
      </c>
      <c r="L1047" s="79">
        <v>0.89965480158269595</v>
      </c>
      <c r="M1047" s="80">
        <v>1</v>
      </c>
      <c r="N1047" s="79">
        <v>1.0311185291639025</v>
      </c>
      <c r="O1047" s="79">
        <v>5.8258784264084998E-2</v>
      </c>
      <c r="P1047" s="79">
        <v>0.59888769241750905</v>
      </c>
      <c r="Q1047" s="79">
        <v>0.67795582665282705</v>
      </c>
      <c r="R1047" s="80">
        <v>1</v>
      </c>
      <c r="S1047" s="79">
        <v>1.1117062375507021</v>
      </c>
      <c r="T1047" s="79">
        <v>5.8419561249953102E-2</v>
      </c>
      <c r="U1047" s="79">
        <v>6.9881149260995798E-2</v>
      </c>
      <c r="V1047" s="79">
        <v>0.121146418595907</v>
      </c>
      <c r="W1047" s="79">
        <v>1</v>
      </c>
    </row>
    <row r="1048" spans="1:23" x14ac:dyDescent="0.2">
      <c r="A1048" s="69"/>
      <c r="B1048" s="84" t="s">
        <v>2519</v>
      </c>
      <c r="C1048" s="78">
        <v>5531</v>
      </c>
      <c r="D1048" s="79">
        <v>1.0249852231013856</v>
      </c>
      <c r="E1048" s="79">
        <v>6.6657860999999999E-2</v>
      </c>
      <c r="F1048" s="79">
        <v>0.71121719900000002</v>
      </c>
      <c r="G1048" s="79">
        <v>0.98545101377932998</v>
      </c>
      <c r="H1048" s="80">
        <v>1</v>
      </c>
      <c r="I1048" s="79">
        <v>1.0352421905613898</v>
      </c>
      <c r="J1048" s="79">
        <v>6.6110631240172593E-2</v>
      </c>
      <c r="K1048" s="79">
        <v>0.60034767207373796</v>
      </c>
      <c r="L1048" s="79">
        <v>0.91965825061269202</v>
      </c>
      <c r="M1048" s="80">
        <v>1</v>
      </c>
      <c r="N1048" s="79">
        <v>1.2027263377326805</v>
      </c>
      <c r="O1048" s="79">
        <v>6.5533471219316297E-2</v>
      </c>
      <c r="P1048" s="79">
        <v>4.8513370664018301E-3</v>
      </c>
      <c r="Q1048" s="79">
        <v>1.30707998668024E-2</v>
      </c>
      <c r="R1048" s="80">
        <v>1</v>
      </c>
      <c r="S1048" s="79">
        <v>1.1883263971117441</v>
      </c>
      <c r="T1048" s="79">
        <v>6.5754285516978803E-2</v>
      </c>
      <c r="U1048" s="79">
        <v>8.6877855748614605E-3</v>
      </c>
      <c r="V1048" s="79">
        <v>2.3540356341118701E-2</v>
      </c>
      <c r="W1048" s="79">
        <v>1</v>
      </c>
    </row>
    <row r="1049" spans="1:23" x14ac:dyDescent="0.2">
      <c r="A1049" s="69"/>
      <c r="B1049" s="84" t="s">
        <v>2758</v>
      </c>
      <c r="C1049" s="78">
        <v>5509</v>
      </c>
      <c r="D1049" s="79">
        <v>1.0683461590676555</v>
      </c>
      <c r="E1049" s="79">
        <v>6.8502729999999998E-2</v>
      </c>
      <c r="F1049" s="79">
        <v>0.334496026</v>
      </c>
      <c r="G1049" s="79">
        <v>0.85579729232661295</v>
      </c>
      <c r="H1049" s="80">
        <v>1</v>
      </c>
      <c r="I1049" s="79">
        <v>1.0672691607100853</v>
      </c>
      <c r="J1049" s="79">
        <v>6.8491373773522199E-2</v>
      </c>
      <c r="K1049" s="79">
        <v>0.34184231836572798</v>
      </c>
      <c r="L1049" s="79">
        <v>0.80020788839305201</v>
      </c>
      <c r="M1049" s="80">
        <v>1</v>
      </c>
      <c r="N1049" s="79">
        <v>1.0920519340519219</v>
      </c>
      <c r="O1049" s="79">
        <v>6.7322457956668399E-2</v>
      </c>
      <c r="P1049" s="79">
        <v>0.190869984936551</v>
      </c>
      <c r="Q1049" s="79">
        <v>0.26558553825053</v>
      </c>
      <c r="R1049" s="80">
        <v>1</v>
      </c>
      <c r="S1049" s="79">
        <v>1.2784131348936953</v>
      </c>
      <c r="T1049" s="79">
        <v>6.8040351106355604E-2</v>
      </c>
      <c r="U1049" s="79">
        <v>3.0630280330597599E-4</v>
      </c>
      <c r="V1049" s="79">
        <v>1.8334823462041699E-3</v>
      </c>
      <c r="W1049" s="79">
        <v>0.38869825739528402</v>
      </c>
    </row>
    <row r="1050" spans="1:23" x14ac:dyDescent="0.2">
      <c r="A1050" s="69"/>
      <c r="B1050" s="84" t="s">
        <v>2520</v>
      </c>
      <c r="C1050" s="78">
        <v>5531</v>
      </c>
      <c r="D1050" s="79">
        <v>0.89750094023917604</v>
      </c>
      <c r="E1050" s="79">
        <v>6.1283192E-2</v>
      </c>
      <c r="F1050" s="79">
        <v>7.7628848E-2</v>
      </c>
      <c r="G1050" s="79">
        <v>0.56615521903448296</v>
      </c>
      <c r="H1050" s="80">
        <v>1</v>
      </c>
      <c r="I1050" s="79">
        <v>1.1058550447956061</v>
      </c>
      <c r="J1050" s="79">
        <v>6.1177303748986098E-2</v>
      </c>
      <c r="K1050" s="79">
        <v>0.100029937557904</v>
      </c>
      <c r="L1050" s="79">
        <v>0.61793044758930804</v>
      </c>
      <c r="M1050" s="80">
        <v>1</v>
      </c>
      <c r="N1050" s="79">
        <v>1.2589805582084808</v>
      </c>
      <c r="O1050" s="79">
        <v>6.0519822152602397E-2</v>
      </c>
      <c r="P1050" s="79">
        <v>1.4157349078762599E-4</v>
      </c>
      <c r="Q1050" s="79">
        <v>7.7942628677405302E-4</v>
      </c>
      <c r="R1050" s="80">
        <v>0.179656759809497</v>
      </c>
      <c r="S1050" s="79">
        <v>1.2474282629071567</v>
      </c>
      <c r="T1050" s="79">
        <v>6.0718636308958802E-2</v>
      </c>
      <c r="U1050" s="79">
        <v>2.71451070795221E-4</v>
      </c>
      <c r="V1050" s="79">
        <v>1.6969034918184001E-3</v>
      </c>
      <c r="W1050" s="79">
        <v>0.34447140883913502</v>
      </c>
    </row>
    <row r="1051" spans="1:23" x14ac:dyDescent="0.2">
      <c r="A1051" s="69"/>
      <c r="B1051" s="84" t="s">
        <v>2759</v>
      </c>
      <c r="C1051" s="78">
        <v>5509</v>
      </c>
      <c r="D1051" s="79">
        <v>0.98045459835717874</v>
      </c>
      <c r="E1051" s="79">
        <v>7.0526019999999995E-2</v>
      </c>
      <c r="F1051" s="79">
        <v>0.77956829999999999</v>
      </c>
      <c r="G1051" s="79">
        <v>0.98545101377932998</v>
      </c>
      <c r="H1051" s="80">
        <v>1</v>
      </c>
      <c r="I1051" s="79">
        <v>1.0260471561551292</v>
      </c>
      <c r="J1051" s="79">
        <v>7.0415667965599796E-2</v>
      </c>
      <c r="K1051" s="79">
        <v>0.71498432649377797</v>
      </c>
      <c r="L1051" s="79">
        <v>0.94020026790226197</v>
      </c>
      <c r="M1051" s="80">
        <v>1</v>
      </c>
      <c r="N1051" s="79">
        <v>1.0958733678586965</v>
      </c>
      <c r="O1051" s="79">
        <v>6.9824962119027195E-2</v>
      </c>
      <c r="P1051" s="79">
        <v>0.189803982925842</v>
      </c>
      <c r="Q1051" s="79">
        <v>0.26468269706911401</v>
      </c>
      <c r="R1051" s="80">
        <v>1</v>
      </c>
      <c r="S1051" s="81">
        <v>1.3990405576898508</v>
      </c>
      <c r="T1051" s="81">
        <v>7.0414162339210107E-2</v>
      </c>
      <c r="U1051" s="81">
        <v>1.85383647842664E-6</v>
      </c>
      <c r="V1051" s="81">
        <v>4.5882831105811199E-5</v>
      </c>
      <c r="W1051" s="81">
        <v>2.3525184911234098E-3</v>
      </c>
    </row>
    <row r="1052" spans="1:23" x14ac:dyDescent="0.2">
      <c r="A1052" s="69"/>
      <c r="B1052" s="84" t="s">
        <v>2521</v>
      </c>
      <c r="C1052" s="78">
        <v>5531</v>
      </c>
      <c r="D1052" s="79">
        <v>0.87389078420386856</v>
      </c>
      <c r="E1052" s="79">
        <v>6.3254034000000001E-2</v>
      </c>
      <c r="F1052" s="79">
        <v>3.3081947E-2</v>
      </c>
      <c r="G1052" s="79">
        <v>0.428377456561224</v>
      </c>
      <c r="H1052" s="80">
        <v>1</v>
      </c>
      <c r="I1052" s="79">
        <v>1.1296681699857918</v>
      </c>
      <c r="J1052" s="79">
        <v>6.3101192954567703E-2</v>
      </c>
      <c r="K1052" s="79">
        <v>5.3335197299311202E-2</v>
      </c>
      <c r="L1052" s="79">
        <v>0.55935839151095801</v>
      </c>
      <c r="M1052" s="80">
        <v>1</v>
      </c>
      <c r="N1052" s="79">
        <v>1.2175932449203482</v>
      </c>
      <c r="O1052" s="79">
        <v>6.2301069834691997E-2</v>
      </c>
      <c r="P1052" s="79">
        <v>1.57727601881278E-3</v>
      </c>
      <c r="Q1052" s="79">
        <v>5.1322135073677399E-3</v>
      </c>
      <c r="R1052" s="80">
        <v>1</v>
      </c>
      <c r="S1052" s="79">
        <v>1.2052492555246899</v>
      </c>
      <c r="T1052" s="79">
        <v>6.2556380172499398E-2</v>
      </c>
      <c r="U1052" s="79">
        <v>2.8423698666997302E-3</v>
      </c>
      <c r="V1052" s="79">
        <v>1.0127981421547401E-2</v>
      </c>
      <c r="W1052" s="79">
        <v>1</v>
      </c>
    </row>
    <row r="1053" spans="1:23" x14ac:dyDescent="0.2">
      <c r="A1053" s="69"/>
      <c r="B1053" s="84" t="s">
        <v>2760</v>
      </c>
      <c r="C1053" s="78">
        <v>5509</v>
      </c>
      <c r="D1053" s="79">
        <v>0.96263568146439737</v>
      </c>
      <c r="E1053" s="79">
        <v>6.7800988000000006E-2</v>
      </c>
      <c r="F1053" s="79">
        <v>0.57435621999999997</v>
      </c>
      <c r="G1053" s="79">
        <v>0.95151180571801597</v>
      </c>
      <c r="H1053" s="80">
        <v>1</v>
      </c>
      <c r="I1053" s="79">
        <v>0.93656955538157849</v>
      </c>
      <c r="J1053" s="79">
        <v>6.79164287274613E-2</v>
      </c>
      <c r="K1053" s="79">
        <v>0.334602821756386</v>
      </c>
      <c r="L1053" s="79">
        <v>0.79366538468944703</v>
      </c>
      <c r="M1053" s="80">
        <v>1</v>
      </c>
      <c r="N1053" s="79">
        <v>1.0901734519070834</v>
      </c>
      <c r="O1053" s="79">
        <v>6.6924075560437904E-2</v>
      </c>
      <c r="P1053" s="79">
        <v>0.19702598338567201</v>
      </c>
      <c r="Q1053" s="79">
        <v>0.27176736186567202</v>
      </c>
      <c r="R1053" s="80">
        <v>1</v>
      </c>
      <c r="S1053" s="79">
        <v>1.1388856308570943</v>
      </c>
      <c r="T1053" s="79">
        <v>6.6961582877660797E-2</v>
      </c>
      <c r="U1053" s="79">
        <v>5.2117445101202302E-2</v>
      </c>
      <c r="V1053" s="79">
        <v>9.6929040827245003E-2</v>
      </c>
      <c r="W1053" s="79">
        <v>1</v>
      </c>
    </row>
    <row r="1054" spans="1:23" x14ac:dyDescent="0.2">
      <c r="A1054" s="69"/>
      <c r="B1054" s="84" t="s">
        <v>2522</v>
      </c>
      <c r="C1054" s="78">
        <v>5531</v>
      </c>
      <c r="D1054" s="79">
        <v>0.91629595821966547</v>
      </c>
      <c r="E1054" s="79">
        <v>6.0773061000000003E-2</v>
      </c>
      <c r="F1054" s="79">
        <v>0.15032107</v>
      </c>
      <c r="G1054" s="79">
        <v>0.67644481499999998</v>
      </c>
      <c r="H1054" s="80">
        <v>1</v>
      </c>
      <c r="I1054" s="79">
        <v>1.1164952945189737</v>
      </c>
      <c r="J1054" s="79">
        <v>6.0741351262930302E-2</v>
      </c>
      <c r="K1054" s="79">
        <v>6.9652974803321097E-2</v>
      </c>
      <c r="L1054" s="79">
        <v>0.57459637698370203</v>
      </c>
      <c r="M1054" s="80">
        <v>1</v>
      </c>
      <c r="N1054" s="81">
        <v>1.3011414642722223</v>
      </c>
      <c r="O1054" s="81">
        <v>6.0102010431308299E-2</v>
      </c>
      <c r="P1054" s="81">
        <v>1.18723511241516E-5</v>
      </c>
      <c r="Q1054" s="81">
        <v>9.9774924348002502E-5</v>
      </c>
      <c r="R1054" s="82">
        <v>1.5066013576548401E-2</v>
      </c>
      <c r="S1054" s="79">
        <v>1.2819515987434629</v>
      </c>
      <c r="T1054" s="79">
        <v>6.06658743821386E-2</v>
      </c>
      <c r="U1054" s="79">
        <v>4.2346641760194097E-5</v>
      </c>
      <c r="V1054" s="79">
        <v>4.2649117772766899E-4</v>
      </c>
      <c r="W1054" s="79">
        <v>5.3737888393686303E-2</v>
      </c>
    </row>
    <row r="1055" spans="1:23" x14ac:dyDescent="0.2">
      <c r="A1055" s="69"/>
      <c r="B1055" s="84" t="s">
        <v>2761</v>
      </c>
      <c r="C1055" s="78">
        <v>5509</v>
      </c>
      <c r="D1055" s="79">
        <v>1.0386218882810367</v>
      </c>
      <c r="E1055" s="79">
        <v>6.5078606999999997E-2</v>
      </c>
      <c r="F1055" s="79">
        <v>0.56037027100000003</v>
      </c>
      <c r="G1055" s="79">
        <v>0.94612219734263003</v>
      </c>
      <c r="H1055" s="80">
        <v>1</v>
      </c>
      <c r="I1055" s="79">
        <v>1.042510759298549</v>
      </c>
      <c r="J1055" s="79">
        <v>6.4591540740341596E-2</v>
      </c>
      <c r="K1055" s="79">
        <v>0.51922368577412104</v>
      </c>
      <c r="L1055" s="79">
        <v>0.89861420621934396</v>
      </c>
      <c r="M1055" s="80">
        <v>1</v>
      </c>
      <c r="N1055" s="79">
        <v>1.0590868075016098</v>
      </c>
      <c r="O1055" s="79">
        <v>6.3936372465397101E-2</v>
      </c>
      <c r="P1055" s="79">
        <v>0.36925082630063599</v>
      </c>
      <c r="Q1055" s="79">
        <v>0.454049707922003</v>
      </c>
      <c r="R1055" s="80">
        <v>1</v>
      </c>
      <c r="S1055" s="79">
        <v>1.1344200337849515</v>
      </c>
      <c r="T1055" s="79">
        <v>6.4427775218840105E-2</v>
      </c>
      <c r="U1055" s="79">
        <v>5.0281115766638497E-2</v>
      </c>
      <c r="V1055" s="79">
        <v>9.3971628730286097E-2</v>
      </c>
      <c r="W1055" s="79">
        <v>1</v>
      </c>
    </row>
    <row r="1056" spans="1:23" x14ac:dyDescent="0.2">
      <c r="A1056" s="69"/>
      <c r="B1056" s="84" t="s">
        <v>2523</v>
      </c>
      <c r="C1056" s="78">
        <v>5531</v>
      </c>
      <c r="D1056" s="79">
        <v>0.94921455079749306</v>
      </c>
      <c r="E1056" s="79">
        <v>5.9963249000000003E-2</v>
      </c>
      <c r="F1056" s="79">
        <v>0.38473437900000002</v>
      </c>
      <c r="G1056" s="79">
        <v>0.880152082540541</v>
      </c>
      <c r="H1056" s="80">
        <v>1</v>
      </c>
      <c r="I1056" s="79">
        <v>0.98327630685862455</v>
      </c>
      <c r="J1056" s="79">
        <v>5.9543873711421301E-2</v>
      </c>
      <c r="K1056" s="79">
        <v>0.77699407473339199</v>
      </c>
      <c r="L1056" s="79">
        <v>0.95813246455571699</v>
      </c>
      <c r="M1056" s="80">
        <v>1</v>
      </c>
      <c r="N1056" s="79">
        <v>1.1610511394114083</v>
      </c>
      <c r="O1056" s="79">
        <v>5.9000271254024399E-2</v>
      </c>
      <c r="P1056" s="79">
        <v>1.13759488692313E-2</v>
      </c>
      <c r="Q1056" s="79">
        <v>2.66840649076793E-2</v>
      </c>
      <c r="R1056" s="80">
        <v>1</v>
      </c>
      <c r="S1056" s="79">
        <v>1.1706307314546176</v>
      </c>
      <c r="T1056" s="79">
        <v>5.9608602036613702E-2</v>
      </c>
      <c r="U1056" s="79">
        <v>8.2186619240834109E-3</v>
      </c>
      <c r="V1056" s="79">
        <v>2.2623605166294702E-2</v>
      </c>
      <c r="W1056" s="79">
        <v>1</v>
      </c>
    </row>
    <row r="1057" spans="1:23" x14ac:dyDescent="0.2">
      <c r="A1057" s="69"/>
      <c r="B1057" s="84" t="s">
        <v>2762</v>
      </c>
      <c r="C1057" s="78">
        <v>5509</v>
      </c>
      <c r="D1057" s="79">
        <v>0.94095772031120295</v>
      </c>
      <c r="E1057" s="79">
        <v>8.9244286000000006E-2</v>
      </c>
      <c r="F1057" s="79">
        <v>0.49529232299999998</v>
      </c>
      <c r="G1057" s="79">
        <v>0.92884339055395704</v>
      </c>
      <c r="H1057" s="80">
        <v>1</v>
      </c>
      <c r="I1057" s="79">
        <v>1.1109324527788271</v>
      </c>
      <c r="J1057" s="79">
        <v>8.9328157801191105E-2</v>
      </c>
      <c r="K1057" s="79">
        <v>0.23892542933737601</v>
      </c>
      <c r="L1057" s="79">
        <v>0.74312835742433903</v>
      </c>
      <c r="M1057" s="80">
        <v>1</v>
      </c>
      <c r="N1057" s="79">
        <v>1.1231592359607865</v>
      </c>
      <c r="O1057" s="79">
        <v>8.7817641602187996E-2</v>
      </c>
      <c r="P1057" s="79">
        <v>0.185976587727198</v>
      </c>
      <c r="Q1057" s="79">
        <v>0.26020318613651</v>
      </c>
      <c r="R1057" s="80">
        <v>1</v>
      </c>
      <c r="S1057" s="79">
        <v>1.2036767670726767</v>
      </c>
      <c r="T1057" s="79">
        <v>8.8591006070465397E-2</v>
      </c>
      <c r="U1057" s="79">
        <v>3.6389611001408098E-2</v>
      </c>
      <c r="V1057" s="79">
        <v>7.1928997446708498E-2</v>
      </c>
      <c r="W1057" s="79">
        <v>1</v>
      </c>
    </row>
    <row r="1058" spans="1:23" x14ac:dyDescent="0.2">
      <c r="A1058" s="69"/>
      <c r="B1058" s="84" t="s">
        <v>2524</v>
      </c>
      <c r="C1058" s="78">
        <v>5531</v>
      </c>
      <c r="D1058" s="79">
        <v>0.94355256873065196</v>
      </c>
      <c r="E1058" s="79">
        <v>5.3123465000000002E-2</v>
      </c>
      <c r="F1058" s="79">
        <v>0.27406952400000001</v>
      </c>
      <c r="G1058" s="79">
        <v>0.82415693354502395</v>
      </c>
      <c r="H1058" s="80">
        <v>1</v>
      </c>
      <c r="I1058" s="79">
        <v>1.0468405909533969</v>
      </c>
      <c r="J1058" s="79">
        <v>5.3087775168939998E-2</v>
      </c>
      <c r="K1058" s="79">
        <v>0.38853200103809399</v>
      </c>
      <c r="L1058" s="79">
        <v>0.83144537827544895</v>
      </c>
      <c r="M1058" s="80">
        <v>1</v>
      </c>
      <c r="N1058" s="79">
        <v>1.16453614776061</v>
      </c>
      <c r="O1058" s="79">
        <v>5.2514190867321099E-2</v>
      </c>
      <c r="P1058" s="79">
        <v>3.7244469392079798E-3</v>
      </c>
      <c r="Q1058" s="79">
        <v>1.05263322179397E-2</v>
      </c>
      <c r="R1058" s="80">
        <v>1</v>
      </c>
      <c r="S1058" s="79">
        <v>1.1457339286463319</v>
      </c>
      <c r="T1058" s="79">
        <v>5.2781337562035201E-2</v>
      </c>
      <c r="U1058" s="79">
        <v>9.9509590370668397E-3</v>
      </c>
      <c r="V1058" s="79">
        <v>2.5909469748836199E-2</v>
      </c>
      <c r="W1058" s="79">
        <v>1</v>
      </c>
    </row>
    <row r="1059" spans="1:23" x14ac:dyDescent="0.2">
      <c r="A1059" s="69"/>
      <c r="B1059" s="84" t="s">
        <v>2763</v>
      </c>
      <c r="C1059" s="78">
        <v>5509</v>
      </c>
      <c r="D1059" s="79">
        <v>0.85964230042132228</v>
      </c>
      <c r="E1059" s="79">
        <v>9.5170156000000006E-2</v>
      </c>
      <c r="F1059" s="79">
        <v>0.11202830499999999</v>
      </c>
      <c r="G1059" s="79">
        <v>0.63396455531999996</v>
      </c>
      <c r="H1059" s="80">
        <v>1</v>
      </c>
      <c r="I1059" s="79">
        <v>0.8903115749621433</v>
      </c>
      <c r="J1059" s="79">
        <v>9.4515675476614505E-2</v>
      </c>
      <c r="K1059" s="79">
        <v>0.21897650439418001</v>
      </c>
      <c r="L1059" s="79">
        <v>0.73459417908661795</v>
      </c>
      <c r="M1059" s="80">
        <v>1</v>
      </c>
      <c r="N1059" s="79">
        <v>1.2530557228538037</v>
      </c>
      <c r="O1059" s="79">
        <v>9.3834849180391797E-2</v>
      </c>
      <c r="P1059" s="79">
        <v>1.6213857075604899E-2</v>
      </c>
      <c r="Q1059" s="79">
        <v>3.5413742906958E-2</v>
      </c>
      <c r="R1059" s="80">
        <v>1</v>
      </c>
      <c r="S1059" s="79">
        <v>1.008008069774335</v>
      </c>
      <c r="T1059" s="79">
        <v>9.35367105109665E-2</v>
      </c>
      <c r="U1059" s="79">
        <v>0.93204419106879799</v>
      </c>
      <c r="V1059" s="79">
        <v>0.94879720445328497</v>
      </c>
      <c r="W1059" s="79">
        <v>1</v>
      </c>
    </row>
    <row r="1060" spans="1:23" x14ac:dyDescent="0.2">
      <c r="A1060" s="69"/>
      <c r="B1060" s="84" t="s">
        <v>2525</v>
      </c>
      <c r="C1060" s="78">
        <v>5531</v>
      </c>
      <c r="D1060" s="79">
        <v>1.0416113228033324</v>
      </c>
      <c r="E1060" s="79">
        <v>9.7458561999999999E-2</v>
      </c>
      <c r="F1060" s="79">
        <v>0.67571318700000005</v>
      </c>
      <c r="G1060" s="79">
        <v>0.98545101377932998</v>
      </c>
      <c r="H1060" s="80">
        <v>1</v>
      </c>
      <c r="I1060" s="79">
        <v>0.88532605222006389</v>
      </c>
      <c r="J1060" s="79">
        <v>9.6236813562796494E-2</v>
      </c>
      <c r="K1060" s="79">
        <v>0.20564899374359899</v>
      </c>
      <c r="L1060" s="79">
        <v>0.72311176315330705</v>
      </c>
      <c r="M1060" s="80">
        <v>1</v>
      </c>
      <c r="N1060" s="79">
        <v>1.2930467426667192</v>
      </c>
      <c r="O1060" s="79">
        <v>9.5776136903843803E-2</v>
      </c>
      <c r="P1060" s="79">
        <v>7.2887861639393302E-3</v>
      </c>
      <c r="Q1060" s="79">
        <v>1.8243529865954702E-2</v>
      </c>
      <c r="R1060" s="80">
        <v>1</v>
      </c>
      <c r="S1060" s="79">
        <v>1.431758141013729</v>
      </c>
      <c r="T1060" s="79">
        <v>9.7291529039647107E-2</v>
      </c>
      <c r="U1060" s="79">
        <v>2.2518535370774599E-4</v>
      </c>
      <c r="V1060" s="79">
        <v>1.47782640238899E-3</v>
      </c>
      <c r="W1060" s="79">
        <v>0.28576021385513001</v>
      </c>
    </row>
    <row r="1061" spans="1:23" x14ac:dyDescent="0.2">
      <c r="A1061" s="69"/>
      <c r="B1061" s="84" t="s">
        <v>2764</v>
      </c>
      <c r="C1061" s="78">
        <v>5509</v>
      </c>
      <c r="D1061" s="79">
        <v>0.99910751050587443</v>
      </c>
      <c r="E1061" s="79">
        <v>5.2249651000000001E-2</v>
      </c>
      <c r="F1061" s="79">
        <v>0.986365716</v>
      </c>
      <c r="G1061" s="79">
        <v>0.99355472541428602</v>
      </c>
      <c r="H1061" s="80">
        <v>1</v>
      </c>
      <c r="I1061" s="79">
        <v>0.90503747261686018</v>
      </c>
      <c r="J1061" s="79">
        <v>5.1914028472761303E-2</v>
      </c>
      <c r="K1061" s="79">
        <v>5.4605352475264199E-2</v>
      </c>
      <c r="L1061" s="79">
        <v>0.56336741700089599</v>
      </c>
      <c r="M1061" s="80">
        <v>1</v>
      </c>
      <c r="N1061" s="79">
        <v>1.1588929919475981</v>
      </c>
      <c r="O1061" s="79">
        <v>5.1744916602572098E-2</v>
      </c>
      <c r="P1061" s="79">
        <v>4.3739900701526098E-3</v>
      </c>
      <c r="Q1061" s="79">
        <v>1.2066507389181899E-2</v>
      </c>
      <c r="R1061" s="80">
        <v>1</v>
      </c>
      <c r="S1061" s="79">
        <v>1.0997268857574685</v>
      </c>
      <c r="T1061" s="79">
        <v>5.16685348814711E-2</v>
      </c>
      <c r="U1061" s="79">
        <v>6.57916568153607E-2</v>
      </c>
      <c r="V1061" s="79">
        <v>0.11595779513707299</v>
      </c>
      <c r="W1061" s="79">
        <v>1</v>
      </c>
    </row>
    <row r="1062" spans="1:23" x14ac:dyDescent="0.2">
      <c r="A1062" s="69"/>
      <c r="B1062" s="84" t="s">
        <v>2526</v>
      </c>
      <c r="C1062" s="78">
        <v>5531</v>
      </c>
      <c r="D1062" s="79">
        <v>0.95815246251346686</v>
      </c>
      <c r="E1062" s="79">
        <v>5.2328811000000003E-2</v>
      </c>
      <c r="F1062" s="79">
        <v>0.41397508</v>
      </c>
      <c r="G1062" s="79">
        <v>0.88889065401015199</v>
      </c>
      <c r="H1062" s="80">
        <v>1</v>
      </c>
      <c r="I1062" s="79">
        <v>0.99087002420816439</v>
      </c>
      <c r="J1062" s="79">
        <v>5.1882041223396597E-2</v>
      </c>
      <c r="K1062" s="79">
        <v>0.85967813786149305</v>
      </c>
      <c r="L1062" s="79">
        <v>0.96964513668720897</v>
      </c>
      <c r="M1062" s="80">
        <v>1</v>
      </c>
      <c r="N1062" s="79">
        <v>1.2132567195485646</v>
      </c>
      <c r="O1062" s="79">
        <v>5.1631427193630203E-2</v>
      </c>
      <c r="P1062" s="79">
        <v>1.8111107716493901E-4</v>
      </c>
      <c r="Q1062" s="79">
        <v>9.3426811757035605E-4</v>
      </c>
      <c r="R1062" s="80">
        <v>0.22982995692230801</v>
      </c>
      <c r="S1062" s="79">
        <v>1.2305767648023438</v>
      </c>
      <c r="T1062" s="79">
        <v>5.17779395576995E-2</v>
      </c>
      <c r="U1062" s="79">
        <v>6.1450794633643896E-5</v>
      </c>
      <c r="V1062" s="79">
        <v>5.5305715170279499E-4</v>
      </c>
      <c r="W1062" s="79">
        <v>7.7981058390094102E-2</v>
      </c>
    </row>
    <row r="1063" spans="1:23" x14ac:dyDescent="0.2">
      <c r="A1063" s="69"/>
      <c r="B1063" s="84" t="s">
        <v>2765</v>
      </c>
      <c r="C1063" s="78">
        <v>5509</v>
      </c>
      <c r="D1063" s="79">
        <v>1.0473851910593228</v>
      </c>
      <c r="E1063" s="79">
        <v>4.4593138999999997E-2</v>
      </c>
      <c r="F1063" s="79">
        <v>0.29917520199999997</v>
      </c>
      <c r="G1063" s="79">
        <v>0.84338459475166305</v>
      </c>
      <c r="H1063" s="80">
        <v>1</v>
      </c>
      <c r="I1063" s="79">
        <v>1.0742974999507393</v>
      </c>
      <c r="J1063" s="79">
        <v>4.4422718144464302E-2</v>
      </c>
      <c r="K1063" s="79">
        <v>0.106680381109294</v>
      </c>
      <c r="L1063" s="79">
        <v>0.62424045135977002</v>
      </c>
      <c r="M1063" s="80">
        <v>1</v>
      </c>
      <c r="N1063" s="81">
        <v>1.224357551212484</v>
      </c>
      <c r="O1063" s="81">
        <v>4.4149485380041299E-2</v>
      </c>
      <c r="P1063" s="81">
        <v>4.5443608075126301E-6</v>
      </c>
      <c r="Q1063" s="81">
        <v>4.2402896064217101E-5</v>
      </c>
      <c r="R1063" s="82">
        <v>5.7667938647335297E-3</v>
      </c>
      <c r="S1063" s="79">
        <v>1.1352576743616429</v>
      </c>
      <c r="T1063" s="79">
        <v>4.4059410390453101E-2</v>
      </c>
      <c r="U1063" s="79">
        <v>3.9857648199351104E-3</v>
      </c>
      <c r="V1063" s="79">
        <v>1.29028968278001E-2</v>
      </c>
      <c r="W1063" s="79">
        <v>1</v>
      </c>
    </row>
    <row r="1064" spans="1:23" x14ac:dyDescent="0.2">
      <c r="A1064" s="69"/>
      <c r="B1064" s="84" t="s">
        <v>2527</v>
      </c>
      <c r="C1064" s="78">
        <v>5531</v>
      </c>
      <c r="D1064" s="79">
        <v>0.88361295052190825</v>
      </c>
      <c r="E1064" s="79">
        <v>5.6046391000000001E-2</v>
      </c>
      <c r="F1064" s="79">
        <v>2.7262038999999998E-2</v>
      </c>
      <c r="G1064" s="79">
        <v>0.38058439549450601</v>
      </c>
      <c r="H1064" s="80">
        <v>1</v>
      </c>
      <c r="I1064" s="79">
        <v>1.0580336135919721</v>
      </c>
      <c r="J1064" s="79">
        <v>5.5734905107302897E-2</v>
      </c>
      <c r="K1064" s="79">
        <v>0.31146617051803899</v>
      </c>
      <c r="L1064" s="79">
        <v>0.78754770700353705</v>
      </c>
      <c r="M1064" s="80">
        <v>1</v>
      </c>
      <c r="N1064" s="79">
        <v>1.164239120047589</v>
      </c>
      <c r="O1064" s="79">
        <v>5.5407914725001402E-2</v>
      </c>
      <c r="P1064" s="79">
        <v>6.0600702403724701E-3</v>
      </c>
      <c r="Q1064" s="79">
        <v>1.57264399489421E-2</v>
      </c>
      <c r="R1064" s="80">
        <v>1</v>
      </c>
      <c r="S1064" s="79">
        <v>1.1779516304943864</v>
      </c>
      <c r="T1064" s="79">
        <v>5.5517524870272603E-2</v>
      </c>
      <c r="U1064" s="79">
        <v>3.1776790261814399E-3</v>
      </c>
      <c r="V1064" s="79">
        <v>1.0839985710280199E-2</v>
      </c>
      <c r="W1064" s="79">
        <v>1</v>
      </c>
    </row>
    <row r="1065" spans="1:23" x14ac:dyDescent="0.2">
      <c r="A1065" s="69"/>
      <c r="B1065" s="84" t="s">
        <v>2766</v>
      </c>
      <c r="C1065" s="78">
        <v>5509</v>
      </c>
      <c r="D1065" s="79">
        <v>1.012525841356221</v>
      </c>
      <c r="E1065" s="79">
        <v>6.3850186000000003E-2</v>
      </c>
      <c r="F1065" s="79">
        <v>0.84542659899999995</v>
      </c>
      <c r="G1065" s="79">
        <v>0.98552821438803295</v>
      </c>
      <c r="H1065" s="80">
        <v>1</v>
      </c>
      <c r="I1065" s="79">
        <v>1.0176874305042001</v>
      </c>
      <c r="J1065" s="79">
        <v>6.3341790879754403E-2</v>
      </c>
      <c r="K1065" s="79">
        <v>0.78193585678947297</v>
      </c>
      <c r="L1065" s="79">
        <v>0.95813246455571699</v>
      </c>
      <c r="M1065" s="80">
        <v>1</v>
      </c>
      <c r="N1065" s="79">
        <v>1.1771106963898312</v>
      </c>
      <c r="O1065" s="79">
        <v>6.3063272218491701E-2</v>
      </c>
      <c r="P1065" s="79">
        <v>9.7180711880787193E-3</v>
      </c>
      <c r="Q1065" s="79">
        <v>2.3137396505951001E-2</v>
      </c>
      <c r="R1065" s="80">
        <v>1</v>
      </c>
      <c r="S1065" s="79">
        <v>1.2357163108274407</v>
      </c>
      <c r="T1065" s="79">
        <v>6.3389516184433697E-2</v>
      </c>
      <c r="U1065" s="79">
        <v>8.4112962292169201E-4</v>
      </c>
      <c r="V1065" s="79">
        <v>3.8673677227812602E-3</v>
      </c>
      <c r="W1065" s="79">
        <v>1</v>
      </c>
    </row>
    <row r="1066" spans="1:23" x14ac:dyDescent="0.2">
      <c r="A1066" s="69"/>
      <c r="B1066" s="84" t="s">
        <v>2767</v>
      </c>
      <c r="C1066" s="78">
        <v>5509</v>
      </c>
      <c r="D1066" s="79">
        <v>1.0598434950034088</v>
      </c>
      <c r="E1066" s="79">
        <v>9.9574965000000001E-2</v>
      </c>
      <c r="F1066" s="79">
        <v>0.55942659900000002</v>
      </c>
      <c r="G1066" s="79">
        <v>0.94612219734263003</v>
      </c>
      <c r="H1066" s="80">
        <v>1</v>
      </c>
      <c r="I1066" s="79">
        <v>1.0044008186280633</v>
      </c>
      <c r="J1066" s="79">
        <v>9.9423551794425996E-2</v>
      </c>
      <c r="K1066" s="79">
        <v>0.964771901236531</v>
      </c>
      <c r="L1066" s="79">
        <v>0.98858779149967102</v>
      </c>
      <c r="M1066" s="80">
        <v>1</v>
      </c>
      <c r="N1066" s="79">
        <v>1.2644645837466355</v>
      </c>
      <c r="O1066" s="79">
        <v>9.8631170545720404E-2</v>
      </c>
      <c r="P1066" s="79">
        <v>1.7357181844009601E-2</v>
      </c>
      <c r="Q1066" s="79">
        <v>3.7216612766494399E-2</v>
      </c>
      <c r="R1066" s="80">
        <v>1</v>
      </c>
      <c r="S1066" s="79">
        <v>1.3379868706943332</v>
      </c>
      <c r="T1066" s="79">
        <v>9.8466782478578804E-2</v>
      </c>
      <c r="U1066" s="79">
        <v>3.1064941493105301E-3</v>
      </c>
      <c r="V1066" s="79">
        <v>1.06544353391218E-2</v>
      </c>
      <c r="W1066" s="79">
        <v>1</v>
      </c>
    </row>
    <row r="1067" spans="1:23" x14ac:dyDescent="0.2">
      <c r="A1067" s="69"/>
      <c r="B1067" s="84" t="s">
        <v>2528</v>
      </c>
      <c r="C1067" s="78">
        <v>5531</v>
      </c>
      <c r="D1067" s="79">
        <v>0.96864131846405466</v>
      </c>
      <c r="E1067" s="79">
        <v>8.3285398999999996E-2</v>
      </c>
      <c r="F1067" s="79">
        <v>0.70205289400000004</v>
      </c>
      <c r="G1067" s="79">
        <v>0.98545101377932998</v>
      </c>
      <c r="H1067" s="80">
        <v>1</v>
      </c>
      <c r="I1067" s="79">
        <v>1.0064746359348691</v>
      </c>
      <c r="J1067" s="79">
        <v>8.2837400702213404E-2</v>
      </c>
      <c r="K1067" s="79">
        <v>0.93790057017827499</v>
      </c>
      <c r="L1067" s="79">
        <v>0.981200184300273</v>
      </c>
      <c r="M1067" s="80">
        <v>1</v>
      </c>
      <c r="N1067" s="79">
        <v>1.2751735003255018</v>
      </c>
      <c r="O1067" s="79">
        <v>8.1961279197545006E-2</v>
      </c>
      <c r="P1067" s="79">
        <v>3.0187894636382199E-3</v>
      </c>
      <c r="Q1067" s="79">
        <v>8.9089391380393103E-3</v>
      </c>
      <c r="R1067" s="80">
        <v>1</v>
      </c>
      <c r="S1067" s="79">
        <v>1.2127424362640364</v>
      </c>
      <c r="T1067" s="79">
        <v>8.2534241665184901E-2</v>
      </c>
      <c r="U1067" s="79">
        <v>1.9438082548611998E-2</v>
      </c>
      <c r="V1067" s="79">
        <v>4.2899003050762802E-2</v>
      </c>
      <c r="W1067" s="79">
        <v>1</v>
      </c>
    </row>
    <row r="1068" spans="1:23" x14ac:dyDescent="0.2">
      <c r="A1068" s="69"/>
      <c r="B1068" s="84" t="s">
        <v>2768</v>
      </c>
      <c r="C1068" s="78">
        <v>5509</v>
      </c>
      <c r="D1068" s="79">
        <v>0.97584738463272691</v>
      </c>
      <c r="E1068" s="79">
        <v>7.3748557000000006E-2</v>
      </c>
      <c r="F1068" s="79">
        <v>0.74025223900000003</v>
      </c>
      <c r="G1068" s="79">
        <v>0.98545101377932998</v>
      </c>
      <c r="H1068" s="80">
        <v>1</v>
      </c>
      <c r="I1068" s="79">
        <v>0.95640615623515346</v>
      </c>
      <c r="J1068" s="79">
        <v>7.3312631955848598E-2</v>
      </c>
      <c r="K1068" s="79">
        <v>0.54320080602788701</v>
      </c>
      <c r="L1068" s="79">
        <v>0.90343620294808502</v>
      </c>
      <c r="M1068" s="80">
        <v>1</v>
      </c>
      <c r="N1068" s="79">
        <v>1.2264094461494346</v>
      </c>
      <c r="O1068" s="79">
        <v>7.3009671545286203E-2</v>
      </c>
      <c r="P1068" s="79">
        <v>5.1836600673610799E-3</v>
      </c>
      <c r="Q1068" s="79">
        <v>1.36474369823262E-2</v>
      </c>
      <c r="R1068" s="80">
        <v>1</v>
      </c>
      <c r="S1068" s="79">
        <v>1.1233420288083764</v>
      </c>
      <c r="T1068" s="79">
        <v>7.2973538847034697E-2</v>
      </c>
      <c r="U1068" s="79">
        <v>0.110971718425266</v>
      </c>
      <c r="V1068" s="79">
        <v>0.17825710212868701</v>
      </c>
      <c r="W1068" s="79">
        <v>1</v>
      </c>
    </row>
    <row r="1069" spans="1:23" x14ac:dyDescent="0.2">
      <c r="A1069" s="69"/>
      <c r="B1069" s="84" t="s">
        <v>2529</v>
      </c>
      <c r="C1069" s="78">
        <v>5531</v>
      </c>
      <c r="D1069" s="79">
        <v>1.1088248058482288</v>
      </c>
      <c r="E1069" s="79">
        <v>0.10132661599999999</v>
      </c>
      <c r="F1069" s="79">
        <v>0.30797391499999999</v>
      </c>
      <c r="G1069" s="79">
        <v>0.85008618545806502</v>
      </c>
      <c r="H1069" s="80">
        <v>1</v>
      </c>
      <c r="I1069" s="79">
        <v>0.87236838349186463</v>
      </c>
      <c r="J1069" s="79">
        <v>9.9999563737385999E-2</v>
      </c>
      <c r="K1069" s="79">
        <v>0.17211454198936099</v>
      </c>
      <c r="L1069" s="79">
        <v>0.69548531020629201</v>
      </c>
      <c r="M1069" s="80">
        <v>1</v>
      </c>
      <c r="N1069" s="79">
        <v>1.3976987610102189</v>
      </c>
      <c r="O1069" s="79">
        <v>9.9307523566054198E-2</v>
      </c>
      <c r="P1069" s="79">
        <v>7.4727723555766796E-4</v>
      </c>
      <c r="Q1069" s="79">
        <v>2.88235505143672E-3</v>
      </c>
      <c r="R1069" s="80">
        <v>0.94829481192268095</v>
      </c>
      <c r="S1069" s="79">
        <v>1.3414379454096017</v>
      </c>
      <c r="T1069" s="79">
        <v>0.10100515287811999</v>
      </c>
      <c r="U1069" s="79">
        <v>3.6352789577552302E-3</v>
      </c>
      <c r="V1069" s="79">
        <v>1.2013460930706699E-2</v>
      </c>
      <c r="W1069" s="79">
        <v>1</v>
      </c>
    </row>
    <row r="1070" spans="1:23" x14ac:dyDescent="0.2">
      <c r="A1070" s="69"/>
      <c r="B1070" s="84" t="s">
        <v>2769</v>
      </c>
      <c r="C1070" s="78">
        <v>5509</v>
      </c>
      <c r="D1070" s="79">
        <v>1.0518069922075677</v>
      </c>
      <c r="E1070" s="79">
        <v>3.7347994000000002E-2</v>
      </c>
      <c r="F1070" s="79">
        <v>0.176245657</v>
      </c>
      <c r="G1070" s="79">
        <v>0.70777132510442997</v>
      </c>
      <c r="H1070" s="80">
        <v>1</v>
      </c>
      <c r="I1070" s="79">
        <v>1.0607542621847235</v>
      </c>
      <c r="J1070" s="79">
        <v>3.7189819730248402E-2</v>
      </c>
      <c r="K1070" s="79">
        <v>0.112756578176382</v>
      </c>
      <c r="L1070" s="79">
        <v>0.62424045135977002</v>
      </c>
      <c r="M1070" s="80">
        <v>1</v>
      </c>
      <c r="N1070" s="79">
        <v>1.1502801843996695</v>
      </c>
      <c r="O1070" s="79">
        <v>3.6977563690771001E-2</v>
      </c>
      <c r="P1070" s="79">
        <v>1.5295027647988001E-4</v>
      </c>
      <c r="Q1070" s="79">
        <v>8.3661164160762002E-4</v>
      </c>
      <c r="R1070" s="80">
        <v>0.19409390085296799</v>
      </c>
      <c r="S1070" s="81">
        <v>1.1658010128100598</v>
      </c>
      <c r="T1070" s="81">
        <v>3.7008261830948103E-2</v>
      </c>
      <c r="U1070" s="81">
        <v>3.3944644424842697E-5</v>
      </c>
      <c r="V1070" s="81">
        <v>3.7457177195761201E-4</v>
      </c>
      <c r="W1070" s="81">
        <v>4.3075753775125403E-2</v>
      </c>
    </row>
    <row r="1071" spans="1:23" x14ac:dyDescent="0.2">
      <c r="A1071" s="69"/>
      <c r="B1071" s="84" t="s">
        <v>2530</v>
      </c>
      <c r="C1071" s="78">
        <v>5531</v>
      </c>
      <c r="D1071" s="79">
        <v>0.97126809581897056</v>
      </c>
      <c r="E1071" s="79">
        <v>5.0549932999999998E-2</v>
      </c>
      <c r="F1071" s="79">
        <v>0.56413411899999999</v>
      </c>
      <c r="G1071" s="79">
        <v>0.94626149621136102</v>
      </c>
      <c r="H1071" s="80">
        <v>1</v>
      </c>
      <c r="I1071" s="79">
        <v>1.0357230722405941</v>
      </c>
      <c r="J1071" s="79">
        <v>5.0211531136885902E-2</v>
      </c>
      <c r="K1071" s="79">
        <v>0.484527847453875</v>
      </c>
      <c r="L1071" s="79">
        <v>0.88089661664608498</v>
      </c>
      <c r="M1071" s="80">
        <v>1</v>
      </c>
      <c r="N1071" s="81">
        <v>1.2379552994078153</v>
      </c>
      <c r="O1071" s="81">
        <v>5.0009507863911902E-2</v>
      </c>
      <c r="P1071" s="81">
        <v>1.9687152739140701E-5</v>
      </c>
      <c r="Q1071" s="81">
        <v>1.5049998087933499E-4</v>
      </c>
      <c r="R1071" s="82">
        <v>2.4982996825969599E-2</v>
      </c>
      <c r="S1071" s="79">
        <v>1.1448367201268681</v>
      </c>
      <c r="T1071" s="79">
        <v>4.9881204544091597E-2</v>
      </c>
      <c r="U1071" s="79">
        <v>6.6942537860259404E-3</v>
      </c>
      <c r="V1071" s="79">
        <v>1.9219475236350501E-2</v>
      </c>
      <c r="W1071" s="79">
        <v>1</v>
      </c>
    </row>
    <row r="1072" spans="1:23" x14ac:dyDescent="0.2">
      <c r="A1072" s="69"/>
      <c r="B1072" s="84" t="s">
        <v>2770</v>
      </c>
      <c r="C1072" s="78">
        <v>5509</v>
      </c>
      <c r="D1072" s="79">
        <v>0.93468861242634604</v>
      </c>
      <c r="E1072" s="79">
        <v>9.5039283000000002E-2</v>
      </c>
      <c r="F1072" s="79">
        <v>0.47728697599999997</v>
      </c>
      <c r="G1072" s="79">
        <v>0.92469797334961801</v>
      </c>
      <c r="H1072" s="80">
        <v>1</v>
      </c>
      <c r="I1072" s="79">
        <v>0.93078276082226896</v>
      </c>
      <c r="J1072" s="79">
        <v>9.4280869411630497E-2</v>
      </c>
      <c r="K1072" s="79">
        <v>0.44677347344109902</v>
      </c>
      <c r="L1072" s="79">
        <v>0.86998925201122601</v>
      </c>
      <c r="M1072" s="80">
        <v>1</v>
      </c>
      <c r="N1072" s="79">
        <v>1.1802020407618863</v>
      </c>
      <c r="O1072" s="79">
        <v>9.4082214261595104E-2</v>
      </c>
      <c r="P1072" s="79">
        <v>7.8226052732255497E-2</v>
      </c>
      <c r="Q1072" s="79">
        <v>0.128254342270326</v>
      </c>
      <c r="R1072" s="80">
        <v>1</v>
      </c>
      <c r="S1072" s="79">
        <v>0.93632145025661373</v>
      </c>
      <c r="T1072" s="79">
        <v>9.3724198228553504E-2</v>
      </c>
      <c r="U1072" s="79">
        <v>0.48266555931983302</v>
      </c>
      <c r="V1072" s="79">
        <v>0.56913759074043702</v>
      </c>
      <c r="W1072" s="79">
        <v>1</v>
      </c>
    </row>
    <row r="1073" spans="1:23" x14ac:dyDescent="0.2">
      <c r="A1073" s="69"/>
      <c r="B1073" s="84" t="s">
        <v>2531</v>
      </c>
      <c r="C1073" s="78">
        <v>5531</v>
      </c>
      <c r="D1073" s="79">
        <v>1.0338831810542957</v>
      </c>
      <c r="E1073" s="79">
        <v>9.5985275999999994E-2</v>
      </c>
      <c r="F1073" s="79">
        <v>0.72847468999999998</v>
      </c>
      <c r="G1073" s="79">
        <v>0.98545101377932998</v>
      </c>
      <c r="H1073" s="80">
        <v>1</v>
      </c>
      <c r="I1073" s="79">
        <v>0.96379569261023745</v>
      </c>
      <c r="J1073" s="79">
        <v>9.6290317281105306E-2</v>
      </c>
      <c r="K1073" s="79">
        <v>0.70174477122574197</v>
      </c>
      <c r="L1073" s="79">
        <v>0.93767655271291706</v>
      </c>
      <c r="M1073" s="80">
        <v>1</v>
      </c>
      <c r="N1073" s="79">
        <v>1.1318464477583126</v>
      </c>
      <c r="O1073" s="79">
        <v>9.5278686174349897E-2</v>
      </c>
      <c r="P1073" s="79">
        <v>0.19364402515375501</v>
      </c>
      <c r="Q1073" s="79">
        <v>0.26826885144117402</v>
      </c>
      <c r="R1073" s="80">
        <v>1</v>
      </c>
      <c r="S1073" s="79">
        <v>1.2089791694634022</v>
      </c>
      <c r="T1073" s="79">
        <v>9.5840643599136605E-2</v>
      </c>
      <c r="U1073" s="79">
        <v>4.76896164794035E-2</v>
      </c>
      <c r="V1073" s="79">
        <v>8.9656478981278598E-2</v>
      </c>
      <c r="W1073" s="79">
        <v>1</v>
      </c>
    </row>
    <row r="1074" spans="1:23" x14ac:dyDescent="0.2">
      <c r="A1074" s="69"/>
      <c r="B1074" s="84" t="s">
        <v>2771</v>
      </c>
      <c r="C1074" s="78">
        <v>5509</v>
      </c>
      <c r="D1074" s="79">
        <v>1.0282857434874602</v>
      </c>
      <c r="E1074" s="79">
        <v>3.9711468999999999E-2</v>
      </c>
      <c r="F1074" s="79">
        <v>0.48243362400000001</v>
      </c>
      <c r="G1074" s="79">
        <v>0.9261849755764</v>
      </c>
      <c r="H1074" s="80">
        <v>1</v>
      </c>
      <c r="I1074" s="79">
        <v>1.0349869514585517</v>
      </c>
      <c r="J1074" s="79">
        <v>3.9440327616309501E-2</v>
      </c>
      <c r="K1074" s="79">
        <v>0.38325189902881601</v>
      </c>
      <c r="L1074" s="79">
        <v>0.82571589111641397</v>
      </c>
      <c r="M1074" s="80">
        <v>1</v>
      </c>
      <c r="N1074" s="79">
        <v>1.0976484013598868</v>
      </c>
      <c r="O1074" s="79">
        <v>3.9221518319924799E-2</v>
      </c>
      <c r="P1074" s="79">
        <v>1.7525970082613501E-2</v>
      </c>
      <c r="Q1074" s="79">
        <v>3.7378917705607598E-2</v>
      </c>
      <c r="R1074" s="80">
        <v>1</v>
      </c>
      <c r="S1074" s="79">
        <v>1.1240645377089138</v>
      </c>
      <c r="T1074" s="79">
        <v>3.9219479421383999E-2</v>
      </c>
      <c r="U1074" s="79">
        <v>2.8640348103571001E-3</v>
      </c>
      <c r="V1074" s="79">
        <v>1.0127981421547401E-2</v>
      </c>
      <c r="W1074" s="79">
        <v>1</v>
      </c>
    </row>
    <row r="1075" spans="1:23" x14ac:dyDescent="0.2">
      <c r="A1075" s="69"/>
      <c r="B1075" s="84" t="s">
        <v>2532</v>
      </c>
      <c r="C1075" s="78">
        <v>5531</v>
      </c>
      <c r="D1075" s="79">
        <v>0.92483388257748467</v>
      </c>
      <c r="E1075" s="79">
        <v>5.3065902999999998E-2</v>
      </c>
      <c r="F1075" s="79">
        <v>0.14087775899999999</v>
      </c>
      <c r="G1075" s="79">
        <v>0.67132862332584298</v>
      </c>
      <c r="H1075" s="80">
        <v>1</v>
      </c>
      <c r="I1075" s="79">
        <v>1.0387408487855112</v>
      </c>
      <c r="J1075" s="79">
        <v>5.2796336899538998E-2</v>
      </c>
      <c r="K1075" s="79">
        <v>0.47157287170201601</v>
      </c>
      <c r="L1075" s="79">
        <v>0.87326336285163797</v>
      </c>
      <c r="M1075" s="80">
        <v>1</v>
      </c>
      <c r="N1075" s="79">
        <v>1.2186157349808613</v>
      </c>
      <c r="O1075" s="79">
        <v>5.2470343308359799E-2</v>
      </c>
      <c r="P1075" s="79">
        <v>1.6446881504749E-4</v>
      </c>
      <c r="Q1075" s="79">
        <v>8.7693666510615497E-4</v>
      </c>
      <c r="R1075" s="80">
        <v>0.208710926295265</v>
      </c>
      <c r="S1075" s="79">
        <v>1.1420302367976214</v>
      </c>
      <c r="T1075" s="79">
        <v>5.2524509890224502E-2</v>
      </c>
      <c r="U1075" s="79">
        <v>1.1455503361736801E-2</v>
      </c>
      <c r="V1075" s="79">
        <v>2.8786205477314902E-2</v>
      </c>
      <c r="W1075" s="79">
        <v>1</v>
      </c>
    </row>
    <row r="1076" spans="1:23" x14ac:dyDescent="0.2">
      <c r="A1076" s="69"/>
      <c r="B1076" s="84" t="s">
        <v>2772</v>
      </c>
      <c r="C1076" s="78">
        <v>5509</v>
      </c>
      <c r="D1076" s="79">
        <v>0.95040764730438476</v>
      </c>
      <c r="E1076" s="79">
        <v>8.3898307000000005E-2</v>
      </c>
      <c r="F1076" s="79">
        <v>0.544341356</v>
      </c>
      <c r="G1076" s="79">
        <v>0.94233160000673799</v>
      </c>
      <c r="H1076" s="80">
        <v>1</v>
      </c>
      <c r="I1076" s="79">
        <v>0.9174830560309446</v>
      </c>
      <c r="J1076" s="79">
        <v>8.3383407759807807E-2</v>
      </c>
      <c r="K1076" s="79">
        <v>0.30168188032037302</v>
      </c>
      <c r="L1076" s="79">
        <v>0.78333824309351496</v>
      </c>
      <c r="M1076" s="80">
        <v>1</v>
      </c>
      <c r="N1076" s="79">
        <v>1.1680891483875098</v>
      </c>
      <c r="O1076" s="79">
        <v>8.3052536308580199E-2</v>
      </c>
      <c r="P1076" s="79">
        <v>6.1381953494038501E-2</v>
      </c>
      <c r="Q1076" s="79">
        <v>0.104978030975653</v>
      </c>
      <c r="R1076" s="80">
        <v>1</v>
      </c>
      <c r="S1076" s="79">
        <v>1.0163020713979876</v>
      </c>
      <c r="T1076" s="79">
        <v>8.2856088880678302E-2</v>
      </c>
      <c r="U1076" s="79">
        <v>0.84526367656085699</v>
      </c>
      <c r="V1076" s="79">
        <v>0.87849271544285601</v>
      </c>
      <c r="W1076" s="79">
        <v>1</v>
      </c>
    </row>
    <row r="1077" spans="1:23" x14ac:dyDescent="0.2">
      <c r="A1077" s="69"/>
      <c r="B1077" s="84" t="s">
        <v>2533</v>
      </c>
      <c r="C1077" s="78">
        <v>5531</v>
      </c>
      <c r="D1077" s="79">
        <v>0.96596228207782819</v>
      </c>
      <c r="E1077" s="79">
        <v>7.9115589E-2</v>
      </c>
      <c r="F1077" s="79">
        <v>0.66158912999999997</v>
      </c>
      <c r="G1077" s="79">
        <v>0.98545101377932998</v>
      </c>
      <c r="H1077" s="80">
        <v>1</v>
      </c>
      <c r="I1077" s="79">
        <v>0.92085802238953218</v>
      </c>
      <c r="J1077" s="79">
        <v>7.9724436839640395E-2</v>
      </c>
      <c r="K1077" s="79">
        <v>0.30105206646885302</v>
      </c>
      <c r="L1077" s="79">
        <v>0.78333824309351496</v>
      </c>
      <c r="M1077" s="80">
        <v>1</v>
      </c>
      <c r="N1077" s="79">
        <v>1.1883700978688534</v>
      </c>
      <c r="O1077" s="79">
        <v>7.8665841979578599E-2</v>
      </c>
      <c r="P1077" s="79">
        <v>2.82446909648045E-2</v>
      </c>
      <c r="Q1077" s="79">
        <v>5.4721393640208997E-2</v>
      </c>
      <c r="R1077" s="80">
        <v>1</v>
      </c>
      <c r="S1077" s="79">
        <v>1.1536516529106551</v>
      </c>
      <c r="T1077" s="79">
        <v>7.9034024435457498E-2</v>
      </c>
      <c r="U1077" s="79">
        <v>7.0530234216831897E-2</v>
      </c>
      <c r="V1077" s="79">
        <v>0.12193851120049</v>
      </c>
      <c r="W1077" s="79">
        <v>1</v>
      </c>
    </row>
    <row r="1078" spans="1:23" x14ac:dyDescent="0.2">
      <c r="A1078" s="69"/>
      <c r="B1078" s="84" t="s">
        <v>2773</v>
      </c>
      <c r="C1078" s="78">
        <v>5509</v>
      </c>
      <c r="D1078" s="79">
        <v>1.0417553053124555</v>
      </c>
      <c r="E1078" s="79">
        <v>3.8017322999999999E-2</v>
      </c>
      <c r="F1078" s="79">
        <v>0.28192202700000002</v>
      </c>
      <c r="G1078" s="79">
        <v>0.82719597069976902</v>
      </c>
      <c r="H1078" s="80">
        <v>1</v>
      </c>
      <c r="I1078" s="79">
        <v>1.0411650971267516</v>
      </c>
      <c r="J1078" s="79">
        <v>3.7794122926329103E-2</v>
      </c>
      <c r="K1078" s="79">
        <v>0.28580408744013103</v>
      </c>
      <c r="L1078" s="79">
        <v>0.77003266870812404</v>
      </c>
      <c r="M1078" s="80">
        <v>1</v>
      </c>
      <c r="N1078" s="79">
        <v>1.0969928449340298</v>
      </c>
      <c r="O1078" s="79">
        <v>3.7569924204507298E-2</v>
      </c>
      <c r="P1078" s="79">
        <v>1.3739238081706601E-2</v>
      </c>
      <c r="Q1078" s="79">
        <v>3.0804051458808601E-2</v>
      </c>
      <c r="R1078" s="80">
        <v>1</v>
      </c>
      <c r="S1078" s="79">
        <v>1.1422382358895953</v>
      </c>
      <c r="T1078" s="79">
        <v>3.7576472235400102E-2</v>
      </c>
      <c r="U1078" s="79">
        <v>4.0138002644715101E-4</v>
      </c>
      <c r="V1078" s="79">
        <v>2.2537666086789102E-3</v>
      </c>
      <c r="W1078" s="79">
        <v>0.50935125356143496</v>
      </c>
    </row>
    <row r="1079" spans="1:23" x14ac:dyDescent="0.2">
      <c r="A1079" s="69"/>
      <c r="B1079" s="84" t="s">
        <v>2534</v>
      </c>
      <c r="C1079" s="78">
        <v>5531</v>
      </c>
      <c r="D1079" s="79">
        <v>0.93093326338246574</v>
      </c>
      <c r="E1079" s="79">
        <v>4.733097E-2</v>
      </c>
      <c r="F1079" s="79">
        <v>0.13051634100000001</v>
      </c>
      <c r="G1079" s="79">
        <v>0.656481180244186</v>
      </c>
      <c r="H1079" s="80">
        <v>1</v>
      </c>
      <c r="I1079" s="79">
        <v>1.0280007881585942</v>
      </c>
      <c r="J1079" s="79">
        <v>4.7041365377920703E-2</v>
      </c>
      <c r="K1079" s="79">
        <v>0.55716584112567302</v>
      </c>
      <c r="L1079" s="79">
        <v>0.90966865230418403</v>
      </c>
      <c r="M1079" s="80">
        <v>1</v>
      </c>
      <c r="N1079" s="79">
        <v>1.2026940615117607</v>
      </c>
      <c r="O1079" s="79">
        <v>4.6916454752400298E-2</v>
      </c>
      <c r="P1079" s="79">
        <v>8.3582642767722606E-5</v>
      </c>
      <c r="Q1079" s="79">
        <v>5.0268423541345998E-4</v>
      </c>
      <c r="R1079" s="80">
        <v>0.10606637367224001</v>
      </c>
      <c r="S1079" s="79">
        <v>1.1736132158363064</v>
      </c>
      <c r="T1079" s="79">
        <v>4.6996467910911499E-2</v>
      </c>
      <c r="U1079" s="79">
        <v>6.5833662229728904E-4</v>
      </c>
      <c r="V1079" s="79">
        <v>3.3091145416112699E-3</v>
      </c>
      <c r="W1079" s="79">
        <v>0.83542917369526004</v>
      </c>
    </row>
    <row r="1080" spans="1:23" x14ac:dyDescent="0.2">
      <c r="A1080" s="69"/>
      <c r="B1080" s="84" t="s">
        <v>2774</v>
      </c>
      <c r="C1080" s="78">
        <v>5509</v>
      </c>
      <c r="D1080" s="79">
        <v>1.1112471442623271</v>
      </c>
      <c r="E1080" s="79">
        <v>9.8043419000000007E-2</v>
      </c>
      <c r="F1080" s="79">
        <v>0.28198099999999998</v>
      </c>
      <c r="G1080" s="79">
        <v>0.82719597069976902</v>
      </c>
      <c r="H1080" s="80">
        <v>1</v>
      </c>
      <c r="I1080" s="79">
        <v>1.0240208760150247</v>
      </c>
      <c r="J1080" s="79">
        <v>9.7234598388726806E-2</v>
      </c>
      <c r="K1080" s="79">
        <v>0.80713785952956096</v>
      </c>
      <c r="L1080" s="79">
        <v>0.96211732726388599</v>
      </c>
      <c r="M1080" s="80">
        <v>1</v>
      </c>
      <c r="N1080" s="79">
        <v>0.86931314876971533</v>
      </c>
      <c r="O1080" s="79">
        <v>9.6434558069825205E-2</v>
      </c>
      <c r="P1080" s="79">
        <v>0.146418338257084</v>
      </c>
      <c r="Q1080" s="79">
        <v>0.21430780997490201</v>
      </c>
      <c r="R1080" s="80">
        <v>1</v>
      </c>
      <c r="S1080" s="79">
        <v>1.1341826817958278</v>
      </c>
      <c r="T1080" s="79">
        <v>9.6818658781976305E-2</v>
      </c>
      <c r="U1080" s="79">
        <v>0.19343099478151601</v>
      </c>
      <c r="V1080" s="79">
        <v>0.27549262893124998</v>
      </c>
      <c r="W1080" s="79">
        <v>1</v>
      </c>
    </row>
    <row r="1081" spans="1:23" x14ac:dyDescent="0.2">
      <c r="A1081" s="69"/>
      <c r="B1081" s="84" t="s">
        <v>2535</v>
      </c>
      <c r="C1081" s="78">
        <v>5531</v>
      </c>
      <c r="D1081" s="79">
        <v>0.94721110205645198</v>
      </c>
      <c r="E1081" s="79">
        <v>8.6145851999999995E-2</v>
      </c>
      <c r="F1081" s="79">
        <v>0.52898773099999996</v>
      </c>
      <c r="G1081" s="79">
        <v>0.93839135459751</v>
      </c>
      <c r="H1081" s="80">
        <v>1</v>
      </c>
      <c r="I1081" s="79">
        <v>0.95968787915944698</v>
      </c>
      <c r="J1081" s="79">
        <v>8.5805851096239005E-2</v>
      </c>
      <c r="K1081" s="79">
        <v>0.63155588317135802</v>
      </c>
      <c r="L1081" s="79">
        <v>0.91965825061269202</v>
      </c>
      <c r="M1081" s="80">
        <v>1</v>
      </c>
      <c r="N1081" s="79">
        <v>1.1553279243321768</v>
      </c>
      <c r="O1081" s="79">
        <v>8.50541449184328E-2</v>
      </c>
      <c r="P1081" s="79">
        <v>8.9591489311879505E-2</v>
      </c>
      <c r="Q1081" s="79">
        <v>0.14247067661250001</v>
      </c>
      <c r="R1081" s="80">
        <v>1</v>
      </c>
      <c r="S1081" s="79">
        <v>1.0282759259743901</v>
      </c>
      <c r="T1081" s="79">
        <v>8.5598576981693306E-2</v>
      </c>
      <c r="U1081" s="79">
        <v>0.74461523447994105</v>
      </c>
      <c r="V1081" s="79">
        <v>0.79605453458723296</v>
      </c>
      <c r="W1081" s="79">
        <v>1</v>
      </c>
    </row>
    <row r="1082" spans="1:23" x14ac:dyDescent="0.2">
      <c r="A1082" s="69"/>
      <c r="B1082" s="84" t="s">
        <v>2775</v>
      </c>
      <c r="C1082" s="78">
        <v>5509</v>
      </c>
      <c r="D1082" s="79">
        <v>1.0257304367336417</v>
      </c>
      <c r="E1082" s="79">
        <v>6.2570559999999997E-2</v>
      </c>
      <c r="F1082" s="79">
        <v>0.68472694700000003</v>
      </c>
      <c r="G1082" s="79">
        <v>0.98545101377932998</v>
      </c>
      <c r="H1082" s="80">
        <v>1</v>
      </c>
      <c r="I1082" s="79">
        <v>1.0387844694156358</v>
      </c>
      <c r="J1082" s="79">
        <v>6.2166941281923703E-2</v>
      </c>
      <c r="K1082" s="79">
        <v>0.54048367168594502</v>
      </c>
      <c r="L1082" s="79">
        <v>0.90246549917034802</v>
      </c>
      <c r="M1082" s="80">
        <v>1</v>
      </c>
      <c r="N1082" s="79">
        <v>1.0090456009186157</v>
      </c>
      <c r="O1082" s="79">
        <v>6.1673496658472403E-2</v>
      </c>
      <c r="P1082" s="79">
        <v>0.883913657065172</v>
      </c>
      <c r="Q1082" s="79">
        <v>0.90703223335507099</v>
      </c>
      <c r="R1082" s="80">
        <v>1</v>
      </c>
      <c r="S1082" s="79">
        <v>1.021428646645532</v>
      </c>
      <c r="T1082" s="79">
        <v>6.17611724520849E-2</v>
      </c>
      <c r="U1082" s="79">
        <v>0.73137679049746096</v>
      </c>
      <c r="V1082" s="79">
        <v>0.78388272562607897</v>
      </c>
      <c r="W1082" s="79">
        <v>1</v>
      </c>
    </row>
    <row r="1083" spans="1:23" x14ac:dyDescent="0.2">
      <c r="A1083" s="69"/>
      <c r="B1083" s="84" t="s">
        <v>2536</v>
      </c>
      <c r="C1083" s="78">
        <v>5531</v>
      </c>
      <c r="D1083" s="79">
        <v>0.86736642063023794</v>
      </c>
      <c r="E1083" s="79">
        <v>5.2050432000000001E-2</v>
      </c>
      <c r="F1083" s="79">
        <v>6.2614309999999996E-3</v>
      </c>
      <c r="G1083" s="79">
        <v>0.24078048299999999</v>
      </c>
      <c r="H1083" s="80">
        <v>1</v>
      </c>
      <c r="I1083" s="79">
        <v>0.93981970928759595</v>
      </c>
      <c r="J1083" s="79">
        <v>5.1692174336971201E-2</v>
      </c>
      <c r="K1083" s="79">
        <v>0.229864388592497</v>
      </c>
      <c r="L1083" s="79">
        <v>0.73709318666527301</v>
      </c>
      <c r="M1083" s="80">
        <v>1</v>
      </c>
      <c r="N1083" s="79">
        <v>1.1697771822714753</v>
      </c>
      <c r="O1083" s="79">
        <v>5.1230861841965999E-2</v>
      </c>
      <c r="P1083" s="79">
        <v>2.2066209189230898E-3</v>
      </c>
      <c r="Q1083" s="79">
        <v>6.7801499905893502E-3</v>
      </c>
      <c r="R1083" s="80">
        <v>1</v>
      </c>
      <c r="S1083" s="79">
        <v>1.0552941165168963</v>
      </c>
      <c r="T1083" s="79">
        <v>5.1229490871908603E-2</v>
      </c>
      <c r="U1083" s="79">
        <v>0.29346199792347299</v>
      </c>
      <c r="V1083" s="79">
        <v>0.38671160474027799</v>
      </c>
      <c r="W1083" s="79">
        <v>1</v>
      </c>
    </row>
    <row r="1084" spans="1:23" x14ac:dyDescent="0.2">
      <c r="A1084" s="69"/>
      <c r="B1084" s="84" t="s">
        <v>2776</v>
      </c>
      <c r="C1084" s="78">
        <v>5509</v>
      </c>
      <c r="D1084" s="79">
        <v>1.0198742812261854</v>
      </c>
      <c r="E1084" s="79">
        <v>8.7920311000000001E-2</v>
      </c>
      <c r="F1084" s="79">
        <v>0.82288814200000004</v>
      </c>
      <c r="G1084" s="79">
        <v>0.98545101377932998</v>
      </c>
      <c r="H1084" s="80">
        <v>1</v>
      </c>
      <c r="I1084" s="79">
        <v>0.99865631016138512</v>
      </c>
      <c r="J1084" s="79">
        <v>8.7027904896224598E-2</v>
      </c>
      <c r="K1084" s="79">
        <v>0.98767306147752598</v>
      </c>
      <c r="L1084" s="79">
        <v>0.99523523065353503</v>
      </c>
      <c r="M1084" s="80">
        <v>1</v>
      </c>
      <c r="N1084" s="79">
        <v>1.0900629300392719</v>
      </c>
      <c r="O1084" s="79">
        <v>8.6419980624785397E-2</v>
      </c>
      <c r="P1084" s="79">
        <v>0.31834508064995898</v>
      </c>
      <c r="Q1084" s="79">
        <v>0.40181438111017298</v>
      </c>
      <c r="R1084" s="80">
        <v>1</v>
      </c>
      <c r="S1084" s="79">
        <v>1.2079136599812164</v>
      </c>
      <c r="T1084" s="79">
        <v>8.7231563105789001E-2</v>
      </c>
      <c r="U1084" s="79">
        <v>3.03540867941368E-2</v>
      </c>
      <c r="V1084" s="79">
        <v>6.1239008174498601E-2</v>
      </c>
      <c r="W1084" s="79">
        <v>1</v>
      </c>
    </row>
    <row r="1085" spans="1:23" x14ac:dyDescent="0.2">
      <c r="A1085" s="69"/>
      <c r="B1085" s="84" t="s">
        <v>2537</v>
      </c>
      <c r="C1085" s="78">
        <v>5531</v>
      </c>
      <c r="D1085" s="79">
        <v>0.90541855906155544</v>
      </c>
      <c r="E1085" s="79">
        <v>6.6028370000000003E-2</v>
      </c>
      <c r="F1085" s="79">
        <v>0.132381522</v>
      </c>
      <c r="G1085" s="79">
        <v>0.656481180244186</v>
      </c>
      <c r="H1085" s="80">
        <v>1</v>
      </c>
      <c r="I1085" s="79">
        <v>1.0064407650368641</v>
      </c>
      <c r="J1085" s="79">
        <v>6.5973213233466804E-2</v>
      </c>
      <c r="K1085" s="79">
        <v>0.92247710252394599</v>
      </c>
      <c r="L1085" s="79">
        <v>0.981200184300273</v>
      </c>
      <c r="M1085" s="80">
        <v>1</v>
      </c>
      <c r="N1085" s="79">
        <v>1.1440989709762452</v>
      </c>
      <c r="O1085" s="79">
        <v>6.5351886206301099E-2</v>
      </c>
      <c r="P1085" s="79">
        <v>3.94094889254481E-2</v>
      </c>
      <c r="Q1085" s="79">
        <v>7.2374300211857701E-2</v>
      </c>
      <c r="R1085" s="80">
        <v>1</v>
      </c>
      <c r="S1085" s="79">
        <v>1.123713660065933</v>
      </c>
      <c r="T1085" s="79">
        <v>6.5515937569723903E-2</v>
      </c>
      <c r="U1085" s="79">
        <v>7.5024519038172505E-2</v>
      </c>
      <c r="V1085" s="79">
        <v>0.12865691170194701</v>
      </c>
      <c r="W1085" s="79">
        <v>1</v>
      </c>
    </row>
    <row r="1086" spans="1:23" x14ac:dyDescent="0.2">
      <c r="A1086" s="69"/>
      <c r="B1086" s="84" t="s">
        <v>2777</v>
      </c>
      <c r="C1086" s="78">
        <v>5509</v>
      </c>
      <c r="D1086" s="79">
        <v>1.020496689230119</v>
      </c>
      <c r="E1086" s="79">
        <v>5.8049766000000003E-2</v>
      </c>
      <c r="F1086" s="79">
        <v>0.72670019100000005</v>
      </c>
      <c r="G1086" s="79">
        <v>0.98545101377932998</v>
      </c>
      <c r="H1086" s="80">
        <v>1</v>
      </c>
      <c r="I1086" s="79">
        <v>0.97104477181053284</v>
      </c>
      <c r="J1086" s="79">
        <v>5.75019385893022E-2</v>
      </c>
      <c r="K1086" s="79">
        <v>0.60936065062966305</v>
      </c>
      <c r="L1086" s="79">
        <v>0.91965825061269202</v>
      </c>
      <c r="M1086" s="80">
        <v>1</v>
      </c>
      <c r="N1086" s="79">
        <v>1.1897475939494071</v>
      </c>
      <c r="O1086" s="79">
        <v>5.7301266383319199E-2</v>
      </c>
      <c r="P1086" s="79">
        <v>2.4288669273334102E-3</v>
      </c>
      <c r="Q1086" s="79">
        <v>7.3737610784356403E-3</v>
      </c>
      <c r="R1086" s="80">
        <v>1</v>
      </c>
      <c r="S1086" s="79">
        <v>0.99459447697041603</v>
      </c>
      <c r="T1086" s="79">
        <v>5.7376469249478902E-2</v>
      </c>
      <c r="U1086" s="79">
        <v>0.92473815643972501</v>
      </c>
      <c r="V1086" s="79">
        <v>0.94408103018665401</v>
      </c>
      <c r="W1086" s="79">
        <v>1</v>
      </c>
    </row>
    <row r="1087" spans="1:23" x14ac:dyDescent="0.2">
      <c r="A1087" s="69"/>
      <c r="B1087" s="84" t="s">
        <v>2538</v>
      </c>
      <c r="C1087" s="78">
        <v>5531</v>
      </c>
      <c r="D1087" s="79">
        <v>1.0791570401570838</v>
      </c>
      <c r="E1087" s="79">
        <v>0.103107933</v>
      </c>
      <c r="F1087" s="79">
        <v>0.46000443899999999</v>
      </c>
      <c r="G1087" s="79">
        <v>0.91539365442253495</v>
      </c>
      <c r="H1087" s="80">
        <v>1</v>
      </c>
      <c r="I1087" s="79">
        <v>0.85812503795535666</v>
      </c>
      <c r="J1087" s="79">
        <v>0.102311166845568</v>
      </c>
      <c r="K1087" s="79">
        <v>0.13478627305456101</v>
      </c>
      <c r="L1087" s="79">
        <v>0.65283885689403798</v>
      </c>
      <c r="M1087" s="80">
        <v>1</v>
      </c>
      <c r="N1087" s="79">
        <v>1.1320367064392083</v>
      </c>
      <c r="O1087" s="79">
        <v>0.101419631562051</v>
      </c>
      <c r="P1087" s="79">
        <v>0.221396007648096</v>
      </c>
      <c r="Q1087" s="79">
        <v>0.29888461032493002</v>
      </c>
      <c r="R1087" s="80">
        <v>1</v>
      </c>
      <c r="S1087" s="79">
        <v>1.2220809112292035</v>
      </c>
      <c r="T1087" s="79">
        <v>0.103340646212683</v>
      </c>
      <c r="U1087" s="79">
        <v>5.2292470175378997E-2</v>
      </c>
      <c r="V1087" s="79">
        <v>9.6982695522897497E-2</v>
      </c>
      <c r="W1087" s="79">
        <v>1</v>
      </c>
    </row>
    <row r="1088" spans="1:23" x14ac:dyDescent="0.2">
      <c r="A1088" s="69"/>
      <c r="B1088" s="84" t="s">
        <v>2778</v>
      </c>
      <c r="C1088" s="78">
        <v>5509</v>
      </c>
      <c r="D1088" s="79">
        <v>1.0545283475167762</v>
      </c>
      <c r="E1088" s="79">
        <v>7.9990507000000002E-2</v>
      </c>
      <c r="F1088" s="79">
        <v>0.5068511</v>
      </c>
      <c r="G1088" s="79">
        <v>0.92884339055395704</v>
      </c>
      <c r="H1088" s="80">
        <v>1</v>
      </c>
      <c r="I1088" s="79">
        <v>0.95352016103627513</v>
      </c>
      <c r="J1088" s="79">
        <v>7.9001449216060296E-2</v>
      </c>
      <c r="K1088" s="79">
        <v>0.54687221989416201</v>
      </c>
      <c r="L1088" s="79">
        <v>0.90479901831250598</v>
      </c>
      <c r="M1088" s="80">
        <v>1</v>
      </c>
      <c r="N1088" s="79">
        <v>1.1540268696008396</v>
      </c>
      <c r="O1088" s="79">
        <v>7.8436425085411501E-2</v>
      </c>
      <c r="P1088" s="79">
        <v>6.7787796416161505E-2</v>
      </c>
      <c r="Q1088" s="79">
        <v>0.114088479644707</v>
      </c>
      <c r="R1088" s="80">
        <v>1</v>
      </c>
      <c r="S1088" s="79">
        <v>1.025322412646231</v>
      </c>
      <c r="T1088" s="79">
        <v>7.8127320811284498E-2</v>
      </c>
      <c r="U1088" s="79">
        <v>0.74890652981185202</v>
      </c>
      <c r="V1088" s="79">
        <v>0.79929553097665296</v>
      </c>
      <c r="W1088" s="79">
        <v>1</v>
      </c>
    </row>
    <row r="1089" spans="1:23" x14ac:dyDescent="0.2">
      <c r="A1089" s="69"/>
      <c r="B1089" s="84" t="s">
        <v>2779</v>
      </c>
      <c r="C1089" s="78">
        <v>5509</v>
      </c>
      <c r="D1089" s="79">
        <v>0.94268558488861054</v>
      </c>
      <c r="E1089" s="79">
        <v>3.4727861999999998E-2</v>
      </c>
      <c r="F1089" s="79">
        <v>8.9211619000000006E-2</v>
      </c>
      <c r="G1089" s="79">
        <v>0.59336855393782395</v>
      </c>
      <c r="H1089" s="80">
        <v>1</v>
      </c>
      <c r="I1089" s="79">
        <v>1.0028311896731406</v>
      </c>
      <c r="J1089" s="79">
        <v>3.44522074565781E-2</v>
      </c>
      <c r="K1089" s="79">
        <v>0.93459804883662201</v>
      </c>
      <c r="L1089" s="79">
        <v>0.981200184300273</v>
      </c>
      <c r="M1089" s="80">
        <v>1</v>
      </c>
      <c r="N1089" s="79">
        <v>1.1365309992868102</v>
      </c>
      <c r="O1089" s="79">
        <v>3.4441244282032803E-2</v>
      </c>
      <c r="P1089" s="79">
        <v>2.0247188231409201E-4</v>
      </c>
      <c r="Q1089" s="79">
        <v>1.0360355590991199E-3</v>
      </c>
      <c r="R1089" s="80">
        <v>0.25693681865658302</v>
      </c>
      <c r="S1089" s="79">
        <v>1.1432664177223837</v>
      </c>
      <c r="T1089" s="79">
        <v>3.4311945295960003E-2</v>
      </c>
      <c r="U1089" s="79">
        <v>9.5352529295557502E-5</v>
      </c>
      <c r="V1089" s="79">
        <v>7.7071566672651302E-4</v>
      </c>
      <c r="W1089" s="79">
        <v>0.121002359676062</v>
      </c>
    </row>
    <row r="1090" spans="1:23" x14ac:dyDescent="0.2">
      <c r="A1090" s="69"/>
      <c r="B1090" s="84" t="s">
        <v>2780</v>
      </c>
      <c r="C1090" s="78">
        <v>5509</v>
      </c>
      <c r="D1090" s="79">
        <v>0.99706575134726672</v>
      </c>
      <c r="E1090" s="79">
        <v>5.5334037000000003E-2</v>
      </c>
      <c r="F1090" s="79">
        <v>0.95764755400000001</v>
      </c>
      <c r="G1090" s="79">
        <v>0.991673151733656</v>
      </c>
      <c r="H1090" s="80">
        <v>1</v>
      </c>
      <c r="I1090" s="79">
        <v>1.0389965006859108</v>
      </c>
      <c r="J1090" s="79">
        <v>5.45993618193681E-2</v>
      </c>
      <c r="K1090" s="79">
        <v>0.483518022123963</v>
      </c>
      <c r="L1090" s="79">
        <v>0.88053247249035305</v>
      </c>
      <c r="M1090" s="80">
        <v>1</v>
      </c>
      <c r="N1090" s="79">
        <v>1.2046955758034008</v>
      </c>
      <c r="O1090" s="79">
        <v>5.4329482191239599E-2</v>
      </c>
      <c r="P1090" s="79">
        <v>6.0864615056835402E-4</v>
      </c>
      <c r="Q1090" s="79">
        <v>2.45197449228965E-3</v>
      </c>
      <c r="R1090" s="80">
        <v>0.77237196507124095</v>
      </c>
      <c r="S1090" s="79">
        <v>1.0493257105793092</v>
      </c>
      <c r="T1090" s="79">
        <v>5.4244701345126198E-2</v>
      </c>
      <c r="U1090" s="79">
        <v>0.37475416244818499</v>
      </c>
      <c r="V1090" s="79">
        <v>0.464417023580807</v>
      </c>
      <c r="W1090" s="79">
        <v>1</v>
      </c>
    </row>
    <row r="1091" spans="1:23" x14ac:dyDescent="0.2">
      <c r="A1091" s="69"/>
      <c r="B1091" s="84" t="s">
        <v>2781</v>
      </c>
      <c r="C1091" s="78">
        <v>5509</v>
      </c>
      <c r="D1091" s="79">
        <v>0.9830432518062836</v>
      </c>
      <c r="E1091" s="79">
        <v>7.4006273999999997E-2</v>
      </c>
      <c r="F1091" s="79">
        <v>0.81724436099999997</v>
      </c>
      <c r="G1091" s="79">
        <v>0.98545101377932998</v>
      </c>
      <c r="H1091" s="80">
        <v>1</v>
      </c>
      <c r="I1091" s="79">
        <v>1.1634617431397785</v>
      </c>
      <c r="J1091" s="79">
        <v>7.3251008435315304E-2</v>
      </c>
      <c r="K1091" s="79">
        <v>3.8747035028946497E-2</v>
      </c>
      <c r="L1091" s="79">
        <v>0.50307562413000395</v>
      </c>
      <c r="M1091" s="80">
        <v>1</v>
      </c>
      <c r="N1091" s="79">
        <v>1.2609500458714362</v>
      </c>
      <c r="O1091" s="79">
        <v>7.2597697987470997E-2</v>
      </c>
      <c r="P1091" s="79">
        <v>1.403938401543E-3</v>
      </c>
      <c r="Q1091" s="79">
        <v>4.6581265547187304E-3</v>
      </c>
      <c r="R1091" s="80">
        <v>1</v>
      </c>
      <c r="S1091" s="79">
        <v>1.2271512847324886</v>
      </c>
      <c r="T1091" s="79">
        <v>7.2690911055778296E-2</v>
      </c>
      <c r="U1091" s="79">
        <v>4.8630145511700902E-3</v>
      </c>
      <c r="V1091" s="79">
        <v>1.50516230864265E-2</v>
      </c>
      <c r="W1091" s="79">
        <v>1</v>
      </c>
    </row>
    <row r="1092" spans="1:23" x14ac:dyDescent="0.2">
      <c r="A1092" s="69"/>
      <c r="B1092" s="84" t="s">
        <v>2782</v>
      </c>
      <c r="C1092" s="78">
        <v>5509</v>
      </c>
      <c r="D1092" s="79">
        <v>1.0558228145985842</v>
      </c>
      <c r="E1092" s="79">
        <v>5.0869315999999998E-2</v>
      </c>
      <c r="F1092" s="79">
        <v>0.28559187899999999</v>
      </c>
      <c r="G1092" s="79">
        <v>0.82932744725629304</v>
      </c>
      <c r="H1092" s="80">
        <v>1</v>
      </c>
      <c r="I1092" s="79">
        <v>1.0374199086716622</v>
      </c>
      <c r="J1092" s="79">
        <v>5.0004656720636302E-2</v>
      </c>
      <c r="K1092" s="79">
        <v>0.46254229168470201</v>
      </c>
      <c r="L1092" s="79">
        <v>0.87326336285163797</v>
      </c>
      <c r="M1092" s="80">
        <v>1</v>
      </c>
      <c r="N1092" s="79">
        <v>1.2215329480740706</v>
      </c>
      <c r="O1092" s="79">
        <v>4.99286927918247E-2</v>
      </c>
      <c r="P1092" s="79">
        <v>6.1274673119317402E-5</v>
      </c>
      <c r="Q1092" s="79">
        <v>3.9470842735235399E-4</v>
      </c>
      <c r="R1092" s="80">
        <v>7.7757560188413802E-2</v>
      </c>
      <c r="S1092" s="79">
        <v>1.1561260976893355</v>
      </c>
      <c r="T1092" s="79">
        <v>5.0052625192682103E-2</v>
      </c>
      <c r="U1092" s="79">
        <v>3.7501654526203099E-3</v>
      </c>
      <c r="V1092" s="79">
        <v>1.23289118118528E-2</v>
      </c>
      <c r="W1092" s="79">
        <v>1</v>
      </c>
    </row>
    <row r="1093" spans="1:23" x14ac:dyDescent="0.2">
      <c r="A1093" s="69"/>
      <c r="B1093" s="84" t="s">
        <v>2783</v>
      </c>
      <c r="C1093" s="78">
        <v>5509</v>
      </c>
      <c r="D1093" s="79">
        <v>0.96553287304776281</v>
      </c>
      <c r="E1093" s="79">
        <v>6.7181036E-2</v>
      </c>
      <c r="F1093" s="79">
        <v>0.60160163200000005</v>
      </c>
      <c r="G1093" s="79">
        <v>0.95727586527067698</v>
      </c>
      <c r="H1093" s="80">
        <v>1</v>
      </c>
      <c r="I1093" s="79">
        <v>1.060127209183507</v>
      </c>
      <c r="J1093" s="79">
        <v>6.6005438869663202E-2</v>
      </c>
      <c r="K1093" s="79">
        <v>0.376368333033265</v>
      </c>
      <c r="L1093" s="79">
        <v>0.82335395559380298</v>
      </c>
      <c r="M1093" s="80">
        <v>1</v>
      </c>
      <c r="N1093" s="79">
        <v>1.1634258381310114</v>
      </c>
      <c r="O1093" s="79">
        <v>6.5805541581631904E-2</v>
      </c>
      <c r="P1093" s="79">
        <v>2.1434263332951599E-2</v>
      </c>
      <c r="Q1093" s="79">
        <v>4.3730032426873899E-2</v>
      </c>
      <c r="R1093" s="80">
        <v>1</v>
      </c>
      <c r="S1093" s="79">
        <v>1.1636643519473486</v>
      </c>
      <c r="T1093" s="79">
        <v>6.6256133195909006E-2</v>
      </c>
      <c r="U1093" s="79">
        <v>2.2155178562446198E-2</v>
      </c>
      <c r="V1093" s="79">
        <v>4.7491421614432802E-2</v>
      </c>
      <c r="W1093" s="79">
        <v>1</v>
      </c>
    </row>
    <row r="1094" spans="1:23" x14ac:dyDescent="0.2">
      <c r="A1094" s="69"/>
      <c r="B1094" s="84" t="s">
        <v>2784</v>
      </c>
      <c r="C1094" s="78">
        <v>5509</v>
      </c>
      <c r="D1094" s="79">
        <v>1.0172365969043677</v>
      </c>
      <c r="E1094" s="79">
        <v>9.4305153000000003E-2</v>
      </c>
      <c r="F1094" s="79">
        <v>0.85619695900000004</v>
      </c>
      <c r="G1094" s="79">
        <v>0.98552821438803295</v>
      </c>
      <c r="H1094" s="80">
        <v>1</v>
      </c>
      <c r="I1094" s="79">
        <v>1.3033162025045748</v>
      </c>
      <c r="J1094" s="79">
        <v>9.4598685281310907E-2</v>
      </c>
      <c r="K1094" s="79">
        <v>5.1043024314629598E-3</v>
      </c>
      <c r="L1094" s="79">
        <v>0.238166276214551</v>
      </c>
      <c r="M1094" s="80">
        <v>1</v>
      </c>
      <c r="N1094" s="79">
        <v>1.3594776943765721</v>
      </c>
      <c r="O1094" s="79">
        <v>9.2727877880060802E-2</v>
      </c>
      <c r="P1094" s="79">
        <v>9.2682099287279404E-4</v>
      </c>
      <c r="Q1094" s="79">
        <v>3.3583436977692601E-3</v>
      </c>
      <c r="R1094" s="80">
        <v>1</v>
      </c>
      <c r="S1094" s="79">
        <v>1.2858789318628094</v>
      </c>
      <c r="T1094" s="79">
        <v>9.3358289785111098E-2</v>
      </c>
      <c r="U1094" s="79">
        <v>7.0747222209780296E-3</v>
      </c>
      <c r="V1094" s="79">
        <v>1.9950716663158001E-2</v>
      </c>
      <c r="W1094" s="79">
        <v>1</v>
      </c>
    </row>
    <row r="1095" spans="1:23" x14ac:dyDescent="0.2">
      <c r="A1095" s="69"/>
      <c r="B1095" s="84" t="s">
        <v>2785</v>
      </c>
      <c r="C1095" s="78">
        <v>5509</v>
      </c>
      <c r="D1095" s="79">
        <v>0.89848196257658663</v>
      </c>
      <c r="E1095" s="79">
        <v>8.0033663000000005E-2</v>
      </c>
      <c r="F1095" s="79">
        <v>0.181044712</v>
      </c>
      <c r="G1095" s="79">
        <v>0.71363186454968897</v>
      </c>
      <c r="H1095" s="80">
        <v>1</v>
      </c>
      <c r="I1095" s="79">
        <v>1.1441026254261875</v>
      </c>
      <c r="J1095" s="79">
        <v>7.9763111905659906E-2</v>
      </c>
      <c r="K1095" s="79">
        <v>9.1458255759159501E-2</v>
      </c>
      <c r="L1095" s="79">
        <v>0.59811020064394504</v>
      </c>
      <c r="M1095" s="80">
        <v>1</v>
      </c>
      <c r="N1095" s="79">
        <v>1.3259101052480862</v>
      </c>
      <c r="O1095" s="79">
        <v>7.8731272910937997E-2</v>
      </c>
      <c r="P1095" s="79">
        <v>3.3958891733829998E-4</v>
      </c>
      <c r="Q1095" s="79">
        <v>1.5901783620011201E-3</v>
      </c>
      <c r="R1095" s="80">
        <v>0.43093833610230298</v>
      </c>
      <c r="S1095" s="79">
        <v>1.2464098356763804</v>
      </c>
      <c r="T1095" s="79">
        <v>7.9260738351016005E-2</v>
      </c>
      <c r="U1095" s="79">
        <v>5.4522934464450801E-3</v>
      </c>
      <c r="V1095" s="79">
        <v>1.6592231135584699E-2</v>
      </c>
      <c r="W1095" s="79">
        <v>1</v>
      </c>
    </row>
    <row r="1096" spans="1:23" x14ac:dyDescent="0.2">
      <c r="A1096" s="69"/>
      <c r="B1096" s="84" t="s">
        <v>2786</v>
      </c>
      <c r="C1096" s="78">
        <v>5509</v>
      </c>
      <c r="D1096" s="79">
        <v>0.8860742537894245</v>
      </c>
      <c r="E1096" s="79">
        <v>8.7032198000000005E-2</v>
      </c>
      <c r="F1096" s="79">
        <v>0.16459947599999999</v>
      </c>
      <c r="G1096" s="79">
        <v>0.69394264134219297</v>
      </c>
      <c r="H1096" s="80">
        <v>1</v>
      </c>
      <c r="I1096" s="79">
        <v>1.2911191993657347</v>
      </c>
      <c r="J1096" s="79">
        <v>8.81912038489258E-2</v>
      </c>
      <c r="K1096" s="79">
        <v>3.7648402107901902E-3</v>
      </c>
      <c r="L1096" s="79">
        <v>0.22835595749533699</v>
      </c>
      <c r="M1096" s="80">
        <v>1</v>
      </c>
      <c r="N1096" s="79">
        <v>1.271362346147014</v>
      </c>
      <c r="O1096" s="79">
        <v>8.5750822600395293E-2</v>
      </c>
      <c r="P1096" s="79">
        <v>5.1127099739925602E-3</v>
      </c>
      <c r="Q1096" s="79">
        <v>1.35008033251343E-2</v>
      </c>
      <c r="R1096" s="80">
        <v>1</v>
      </c>
      <c r="S1096" s="79">
        <v>1.3249392089896308</v>
      </c>
      <c r="T1096" s="79">
        <v>8.6644796181985895E-2</v>
      </c>
      <c r="U1096" s="79">
        <v>1.16482214880843E-3</v>
      </c>
      <c r="V1096" s="79">
        <v>5.0621894069790997E-3</v>
      </c>
      <c r="W1096" s="79">
        <v>1</v>
      </c>
    </row>
    <row r="1097" spans="1:23" x14ac:dyDescent="0.2">
      <c r="A1097" s="69"/>
      <c r="B1097" s="84" t="s">
        <v>2787</v>
      </c>
      <c r="C1097" s="78">
        <v>5509</v>
      </c>
      <c r="D1097" s="79">
        <v>0.92466106946865834</v>
      </c>
      <c r="E1097" s="79">
        <v>9.4951371000000007E-2</v>
      </c>
      <c r="F1097" s="79">
        <v>0.40941261699999998</v>
      </c>
      <c r="G1097" s="79">
        <v>0.88449686095408198</v>
      </c>
      <c r="H1097" s="80">
        <v>1</v>
      </c>
      <c r="I1097" s="79">
        <v>1.3189857537407237</v>
      </c>
      <c r="J1097" s="79">
        <v>9.5910000252361294E-2</v>
      </c>
      <c r="K1097" s="79">
        <v>3.89309423943491E-3</v>
      </c>
      <c r="L1097" s="79">
        <v>0.22835595749533699</v>
      </c>
      <c r="M1097" s="80">
        <v>1</v>
      </c>
      <c r="N1097" s="81">
        <v>1.4711360417475541</v>
      </c>
      <c r="O1097" s="81">
        <v>9.3305822386384504E-2</v>
      </c>
      <c r="P1097" s="81">
        <v>3.5140436687939701E-5</v>
      </c>
      <c r="Q1097" s="81">
        <v>2.4235442476628E-4</v>
      </c>
      <c r="R1097" s="82">
        <v>4.4593214156995499E-2</v>
      </c>
      <c r="S1097" s="79">
        <v>1.428272988489909</v>
      </c>
      <c r="T1097" s="79">
        <v>9.4241304831663306E-2</v>
      </c>
      <c r="U1097" s="79">
        <v>1.5527249112442601E-4</v>
      </c>
      <c r="V1097" s="79">
        <v>1.1132248092480001E-3</v>
      </c>
      <c r="W1097" s="79">
        <v>0.19704079123689699</v>
      </c>
    </row>
    <row r="1098" spans="1:23" x14ac:dyDescent="0.2">
      <c r="A1098" s="69"/>
      <c r="B1098" s="84" t="s">
        <v>2788</v>
      </c>
      <c r="C1098" s="78">
        <v>5509</v>
      </c>
      <c r="D1098" s="79">
        <v>1.0238011752807448</v>
      </c>
      <c r="E1098" s="79">
        <v>6.2729419999999994E-2</v>
      </c>
      <c r="F1098" s="79">
        <v>0.70767456299999998</v>
      </c>
      <c r="G1098" s="79">
        <v>0.98545101377932998</v>
      </c>
      <c r="H1098" s="80">
        <v>1</v>
      </c>
      <c r="I1098" s="79">
        <v>1.1177588880030027</v>
      </c>
      <c r="J1098" s="79">
        <v>6.2042902446451401E-2</v>
      </c>
      <c r="K1098" s="79">
        <v>7.2759878316081703E-2</v>
      </c>
      <c r="L1098" s="79">
        <v>0.57459637698370203</v>
      </c>
      <c r="M1098" s="80">
        <v>1</v>
      </c>
      <c r="N1098" s="81">
        <v>1.3682899872522034</v>
      </c>
      <c r="O1098" s="81">
        <v>6.1779073596776202E-2</v>
      </c>
      <c r="P1098" s="81">
        <v>3.86409671894765E-7</v>
      </c>
      <c r="Q1098" s="81">
        <v>5.1078528503589299E-6</v>
      </c>
      <c r="R1098" s="82">
        <v>4.90353873634457E-4</v>
      </c>
      <c r="S1098" s="79">
        <v>1.1782591462770835</v>
      </c>
      <c r="T1098" s="79">
        <v>6.1705346735603697E-2</v>
      </c>
      <c r="U1098" s="79">
        <v>7.8510548761740098E-3</v>
      </c>
      <c r="V1098" s="79">
        <v>2.1705857598833998E-2</v>
      </c>
      <c r="W1098" s="79">
        <v>1</v>
      </c>
    </row>
    <row r="1099" spans="1:23" x14ac:dyDescent="0.2">
      <c r="A1099" s="69"/>
      <c r="B1099" s="84" t="s">
        <v>2789</v>
      </c>
      <c r="C1099" s="78">
        <v>5509</v>
      </c>
      <c r="D1099" s="79">
        <v>0.90681387355558629</v>
      </c>
      <c r="E1099" s="79">
        <v>7.0327904999999996E-2</v>
      </c>
      <c r="F1099" s="79">
        <v>0.16426016199999999</v>
      </c>
      <c r="G1099" s="79">
        <v>0.69394264134219297</v>
      </c>
      <c r="H1099" s="80">
        <v>1</v>
      </c>
      <c r="I1099" s="79">
        <v>1.0253854861329148</v>
      </c>
      <c r="J1099" s="79">
        <v>6.9293615991668001E-2</v>
      </c>
      <c r="K1099" s="79">
        <v>0.71752095220280998</v>
      </c>
      <c r="L1099" s="79">
        <v>0.94020026790226197</v>
      </c>
      <c r="M1099" s="80">
        <v>1</v>
      </c>
      <c r="N1099" s="79">
        <v>1.2952130642813231</v>
      </c>
      <c r="O1099" s="79">
        <v>6.8917697593936705E-2</v>
      </c>
      <c r="P1099" s="79">
        <v>1.74456954838036E-4</v>
      </c>
      <c r="Q1099" s="79">
        <v>9.1738377831891802E-4</v>
      </c>
      <c r="R1099" s="80">
        <v>0.22138587568946799</v>
      </c>
      <c r="S1099" s="79">
        <v>1.224564176973632</v>
      </c>
      <c r="T1099" s="79">
        <v>6.9416167762395398E-2</v>
      </c>
      <c r="U1099" s="79">
        <v>3.5181867862160202E-3</v>
      </c>
      <c r="V1099" s="79">
        <v>1.1779891904243099E-2</v>
      </c>
      <c r="W1099" s="79">
        <v>1</v>
      </c>
    </row>
    <row r="1100" spans="1:23" x14ac:dyDescent="0.2">
      <c r="A1100" s="69"/>
      <c r="B1100" s="84" t="s">
        <v>2790</v>
      </c>
      <c r="C1100" s="78">
        <v>5509</v>
      </c>
      <c r="D1100" s="79">
        <v>0.98298490205672218</v>
      </c>
      <c r="E1100" s="79">
        <v>7.2659135E-2</v>
      </c>
      <c r="F1100" s="79">
        <v>0.81328356199999996</v>
      </c>
      <c r="G1100" s="79">
        <v>0.98545101377932998</v>
      </c>
      <c r="H1100" s="80">
        <v>1</v>
      </c>
      <c r="I1100" s="79">
        <v>1.2270177595905618</v>
      </c>
      <c r="J1100" s="79">
        <v>7.2801025895343596E-2</v>
      </c>
      <c r="K1100" s="79">
        <v>4.9508193887587296E-3</v>
      </c>
      <c r="L1100" s="79">
        <v>0.238166276214551</v>
      </c>
      <c r="M1100" s="80">
        <v>1</v>
      </c>
      <c r="N1100" s="79">
        <v>1.2764749401984239</v>
      </c>
      <c r="O1100" s="79">
        <v>7.1376344476164796E-2</v>
      </c>
      <c r="P1100" s="79">
        <v>6.2636528522342998E-4</v>
      </c>
      <c r="Q1100" s="79">
        <v>2.5074370566199799E-3</v>
      </c>
      <c r="R1100" s="80">
        <v>0.79485754694853294</v>
      </c>
      <c r="S1100" s="79">
        <v>1.1954163828333149</v>
      </c>
      <c r="T1100" s="79">
        <v>7.1747592850786995E-2</v>
      </c>
      <c r="U1100" s="79">
        <v>1.28531457396015E-2</v>
      </c>
      <c r="V1100" s="79">
        <v>3.1186695876776901E-2</v>
      </c>
      <c r="W1100" s="79">
        <v>1</v>
      </c>
    </row>
    <row r="1101" spans="1:23" x14ac:dyDescent="0.2">
      <c r="A1101" s="69"/>
      <c r="B1101" s="84" t="s">
        <v>2791</v>
      </c>
      <c r="C1101" s="78">
        <v>5509</v>
      </c>
      <c r="D1101" s="79">
        <v>0.99762093946098607</v>
      </c>
      <c r="E1101" s="79">
        <v>7.6015598000000004E-2</v>
      </c>
      <c r="F1101" s="79">
        <v>0.97500294600000004</v>
      </c>
      <c r="G1101" s="79">
        <v>0.992299742561502</v>
      </c>
      <c r="H1101" s="80">
        <v>1</v>
      </c>
      <c r="I1101" s="79">
        <v>1.1401694704808014</v>
      </c>
      <c r="J1101" s="79">
        <v>7.56920956763103E-2</v>
      </c>
      <c r="K1101" s="79">
        <v>8.3089780007964603E-2</v>
      </c>
      <c r="L1101" s="79">
        <v>0.59811020064394504</v>
      </c>
      <c r="M1101" s="80">
        <v>1</v>
      </c>
      <c r="N1101" s="81">
        <v>1.4304443447101052</v>
      </c>
      <c r="O1101" s="81">
        <v>7.4928397562084498E-2</v>
      </c>
      <c r="P1101" s="81">
        <v>1.77314932559346E-6</v>
      </c>
      <c r="Q1101" s="81">
        <v>1.8596086728744601E-5</v>
      </c>
      <c r="R1101" s="82">
        <v>2.2501264941781002E-3</v>
      </c>
      <c r="S1101" s="79">
        <v>1.3397056805660399</v>
      </c>
      <c r="T1101" s="79">
        <v>7.5736617538583101E-2</v>
      </c>
      <c r="U1101" s="79">
        <v>1.12735660179231E-4</v>
      </c>
      <c r="V1101" s="79">
        <v>8.6059911805150898E-4</v>
      </c>
      <c r="W1101" s="79">
        <v>0.14306155276744401</v>
      </c>
    </row>
    <row r="1102" spans="1:23" x14ac:dyDescent="0.2">
      <c r="A1102" s="69"/>
      <c r="B1102" s="84" t="s">
        <v>2792</v>
      </c>
      <c r="C1102" s="78">
        <v>5509</v>
      </c>
      <c r="D1102" s="79">
        <v>0.98819186869940967</v>
      </c>
      <c r="E1102" s="79">
        <v>7.0838819999999997E-2</v>
      </c>
      <c r="F1102" s="79">
        <v>0.86683338499999996</v>
      </c>
      <c r="G1102" s="79">
        <v>0.98755445668576602</v>
      </c>
      <c r="H1102" s="80">
        <v>1</v>
      </c>
      <c r="I1102" s="79">
        <v>1.0815426058836917</v>
      </c>
      <c r="J1102" s="79">
        <v>6.9829490903413394E-2</v>
      </c>
      <c r="K1102" s="79">
        <v>0.261620958406589</v>
      </c>
      <c r="L1102" s="79">
        <v>0.75316534960692805</v>
      </c>
      <c r="M1102" s="80">
        <v>1</v>
      </c>
      <c r="N1102" s="79">
        <v>1.2343717431839485</v>
      </c>
      <c r="O1102" s="79">
        <v>6.9437490928784304E-2</v>
      </c>
      <c r="P1102" s="79">
        <v>2.4261882232904201E-3</v>
      </c>
      <c r="Q1102" s="79">
        <v>7.3737610784356403E-3</v>
      </c>
      <c r="R1102" s="80">
        <v>1</v>
      </c>
      <c r="S1102" s="79">
        <v>1.182788115923908</v>
      </c>
      <c r="T1102" s="79">
        <v>6.9968053789064205E-2</v>
      </c>
      <c r="U1102" s="79">
        <v>1.6426379955279399E-2</v>
      </c>
      <c r="V1102" s="79">
        <v>3.7626491269403498E-2</v>
      </c>
      <c r="W1102" s="79">
        <v>1</v>
      </c>
    </row>
    <row r="1103" spans="1:23" x14ac:dyDescent="0.2">
      <c r="A1103" s="69"/>
      <c r="B1103" s="84" t="s">
        <v>2793</v>
      </c>
      <c r="C1103" s="78">
        <v>5509</v>
      </c>
      <c r="D1103" s="79">
        <v>0.86914813516643952</v>
      </c>
      <c r="E1103" s="79">
        <v>8.2217809000000003E-2</v>
      </c>
      <c r="F1103" s="79">
        <v>8.8057640000000006E-2</v>
      </c>
      <c r="G1103" s="79">
        <v>0.59336855393782395</v>
      </c>
      <c r="H1103" s="80">
        <v>1</v>
      </c>
      <c r="I1103" s="79">
        <v>0.97215685056924084</v>
      </c>
      <c r="J1103" s="79">
        <v>8.0753470433366698E-2</v>
      </c>
      <c r="K1103" s="79">
        <v>0.72657658682354398</v>
      </c>
      <c r="L1103" s="79">
        <v>0.94469845151544796</v>
      </c>
      <c r="M1103" s="80">
        <v>1</v>
      </c>
      <c r="N1103" s="79">
        <v>1.2993690933920572</v>
      </c>
      <c r="O1103" s="79">
        <v>8.0513535225762406E-2</v>
      </c>
      <c r="P1103" s="79">
        <v>1.1435180501318601E-3</v>
      </c>
      <c r="Q1103" s="79">
        <v>3.9325864650876204E-3</v>
      </c>
      <c r="R1103" s="80">
        <v>1</v>
      </c>
      <c r="S1103" s="79">
        <v>1.1078662550259215</v>
      </c>
      <c r="T1103" s="79">
        <v>8.0889252702490005E-2</v>
      </c>
      <c r="U1103" s="79">
        <v>0.20537998428992901</v>
      </c>
      <c r="V1103" s="79">
        <v>0.29120357549041298</v>
      </c>
      <c r="W1103" s="79">
        <v>1</v>
      </c>
    </row>
    <row r="1104" spans="1:23" x14ac:dyDescent="0.2">
      <c r="A1104" s="69"/>
      <c r="B1104" s="84" t="s">
        <v>2794</v>
      </c>
      <c r="C1104" s="78">
        <v>5509</v>
      </c>
      <c r="D1104" s="79">
        <v>1.0079770847421043</v>
      </c>
      <c r="E1104" s="79">
        <v>6.3124072000000003E-2</v>
      </c>
      <c r="F1104" s="79">
        <v>0.89983472099999995</v>
      </c>
      <c r="G1104" s="79">
        <v>0.991673151733656</v>
      </c>
      <c r="H1104" s="80">
        <v>1</v>
      </c>
      <c r="I1104" s="79">
        <v>1.1271985430709621</v>
      </c>
      <c r="J1104" s="79">
        <v>6.2747305237163403E-2</v>
      </c>
      <c r="K1104" s="79">
        <v>5.6363351291280499E-2</v>
      </c>
      <c r="L1104" s="79">
        <v>0.56477779537004102</v>
      </c>
      <c r="M1104" s="80">
        <v>1</v>
      </c>
      <c r="N1104" s="81">
        <v>1.315452318875014</v>
      </c>
      <c r="O1104" s="81">
        <v>6.1825140296952498E-2</v>
      </c>
      <c r="P1104" s="81">
        <v>9.2168577646017495E-6</v>
      </c>
      <c r="Q1104" s="81">
        <v>7.9565935396459997E-5</v>
      </c>
      <c r="R1104" s="82">
        <v>1.16961925032796E-2</v>
      </c>
      <c r="S1104" s="79">
        <v>1.1776273018511827</v>
      </c>
      <c r="T1104" s="79">
        <v>6.22388715444065E-2</v>
      </c>
      <c r="U1104" s="79">
        <v>8.6140774800047698E-3</v>
      </c>
      <c r="V1104" s="79">
        <v>2.3407418248663901E-2</v>
      </c>
      <c r="W1104" s="79">
        <v>1</v>
      </c>
    </row>
    <row r="1105" spans="1:23" x14ac:dyDescent="0.2">
      <c r="A1105" s="69"/>
      <c r="B1105" s="84" t="s">
        <v>2795</v>
      </c>
      <c r="C1105" s="78">
        <v>5509</v>
      </c>
      <c r="D1105" s="79">
        <v>0.94180531475502871</v>
      </c>
      <c r="E1105" s="79">
        <v>5.3538542000000001E-2</v>
      </c>
      <c r="F1105" s="79">
        <v>0.262765254</v>
      </c>
      <c r="G1105" s="79">
        <v>0.81329050567317096</v>
      </c>
      <c r="H1105" s="80">
        <v>1</v>
      </c>
      <c r="I1105" s="79">
        <v>1.0712120876311753</v>
      </c>
      <c r="J1105" s="79">
        <v>5.2841240455036499E-2</v>
      </c>
      <c r="K1105" s="79">
        <v>0.192971351698452</v>
      </c>
      <c r="L1105" s="79">
        <v>0.71347894824854996</v>
      </c>
      <c r="M1105" s="80">
        <v>1</v>
      </c>
      <c r="N1105" s="79">
        <v>1.1784419966942097</v>
      </c>
      <c r="O1105" s="79">
        <v>5.2658068253249701E-2</v>
      </c>
      <c r="P1105" s="79">
        <v>1.8201984048823699E-3</v>
      </c>
      <c r="Q1105" s="79">
        <v>5.8035974266224298E-3</v>
      </c>
      <c r="R1105" s="80">
        <v>1</v>
      </c>
      <c r="S1105" s="79">
        <v>1.1470194376696292</v>
      </c>
      <c r="T1105" s="79">
        <v>5.2701163886345201E-2</v>
      </c>
      <c r="U1105" s="79">
        <v>9.2485349529276596E-3</v>
      </c>
      <c r="V1105" s="79">
        <v>2.4812665655951801E-2</v>
      </c>
      <c r="W1105" s="79">
        <v>1</v>
      </c>
    </row>
    <row r="1106" spans="1:23" x14ac:dyDescent="0.2">
      <c r="A1106" s="69"/>
      <c r="B1106" s="84" t="s">
        <v>2796</v>
      </c>
      <c r="C1106" s="78">
        <v>5509</v>
      </c>
      <c r="D1106" s="79">
        <v>0.96419607379582883</v>
      </c>
      <c r="E1106" s="79">
        <v>5.1578682000000001E-2</v>
      </c>
      <c r="F1106" s="79">
        <v>0.47963297900000001</v>
      </c>
      <c r="G1106" s="79">
        <v>0.92480395001517501</v>
      </c>
      <c r="H1106" s="80">
        <v>1</v>
      </c>
      <c r="I1106" s="79">
        <v>1.0781824673204408</v>
      </c>
      <c r="J1106" s="79">
        <v>5.0881608567782399E-2</v>
      </c>
      <c r="K1106" s="79">
        <v>0.139020468213815</v>
      </c>
      <c r="L1106" s="79">
        <v>0.65586150762509099</v>
      </c>
      <c r="M1106" s="80">
        <v>1</v>
      </c>
      <c r="N1106" s="79">
        <v>1.2285012160552546</v>
      </c>
      <c r="O1106" s="79">
        <v>5.0689702275551203E-2</v>
      </c>
      <c r="P1106" s="79">
        <v>4.9094647392078301E-5</v>
      </c>
      <c r="Q1106" s="79">
        <v>3.2113972959044997E-4</v>
      </c>
      <c r="R1106" s="80">
        <v>6.23011075405474E-2</v>
      </c>
      <c r="S1106" s="79">
        <v>1.1469818090223742</v>
      </c>
      <c r="T1106" s="79">
        <v>5.0715589109122099E-2</v>
      </c>
      <c r="U1106" s="79">
        <v>6.8514251157826304E-3</v>
      </c>
      <c r="V1106" s="79">
        <v>1.9494301506565399E-2</v>
      </c>
      <c r="W1106" s="79">
        <v>1</v>
      </c>
    </row>
    <row r="1107" spans="1:23" x14ac:dyDescent="0.2">
      <c r="A1107" s="69"/>
      <c r="B1107" s="84" t="s">
        <v>2797</v>
      </c>
      <c r="C1107" s="78">
        <v>5509</v>
      </c>
      <c r="D1107" s="79">
        <v>1.025876853790896</v>
      </c>
      <c r="E1107" s="79">
        <v>9.4339629999999994E-2</v>
      </c>
      <c r="F1107" s="79">
        <v>0.78654043600000001</v>
      </c>
      <c r="G1107" s="79">
        <v>0.98545101377932998</v>
      </c>
      <c r="H1107" s="80">
        <v>1</v>
      </c>
      <c r="I1107" s="79">
        <v>1.1693039447349305</v>
      </c>
      <c r="J1107" s="79">
        <v>9.2610666299163202E-2</v>
      </c>
      <c r="K1107" s="79">
        <v>9.1241703007984204E-2</v>
      </c>
      <c r="L1107" s="79">
        <v>0.59811020064394504</v>
      </c>
      <c r="M1107" s="80">
        <v>1</v>
      </c>
      <c r="N1107" s="79">
        <v>1.2476532504559232</v>
      </c>
      <c r="O1107" s="79">
        <v>9.2104253953955995E-2</v>
      </c>
      <c r="P1107" s="79">
        <v>1.6291210314052701E-2</v>
      </c>
      <c r="Q1107" s="79">
        <v>3.5521556509506703E-2</v>
      </c>
      <c r="R1107" s="80">
        <v>1</v>
      </c>
      <c r="S1107" s="79">
        <v>0.95103299695544585</v>
      </c>
      <c r="T1107" s="79">
        <v>9.1678049475885301E-2</v>
      </c>
      <c r="U1107" s="79">
        <v>0.58393947081819897</v>
      </c>
      <c r="V1107" s="79">
        <v>0.65575551695464795</v>
      </c>
      <c r="W1107" s="79">
        <v>1</v>
      </c>
    </row>
    <row r="1108" spans="1:23" x14ac:dyDescent="0.2">
      <c r="A1108" s="69"/>
      <c r="B1108" s="84" t="s">
        <v>2798</v>
      </c>
      <c r="C1108" s="78">
        <v>5509</v>
      </c>
      <c r="D1108" s="79">
        <v>0.91608445204698896</v>
      </c>
      <c r="E1108" s="79">
        <v>5.1830962000000001E-2</v>
      </c>
      <c r="F1108" s="79">
        <v>9.0834723000000006E-2</v>
      </c>
      <c r="G1108" s="79">
        <v>0.59417146127319598</v>
      </c>
      <c r="H1108" s="80">
        <v>1</v>
      </c>
      <c r="I1108" s="79">
        <v>1.0096095555531401</v>
      </c>
      <c r="J1108" s="79">
        <v>5.15910370950542E-2</v>
      </c>
      <c r="K1108" s="79">
        <v>0.85293508366023796</v>
      </c>
      <c r="L1108" s="79">
        <v>0.96964513668720897</v>
      </c>
      <c r="M1108" s="80">
        <v>1</v>
      </c>
      <c r="N1108" s="79">
        <v>1.1404398558836817</v>
      </c>
      <c r="O1108" s="79">
        <v>5.1872213420590903E-2</v>
      </c>
      <c r="P1108" s="79">
        <v>1.12955995484112E-2</v>
      </c>
      <c r="Q1108" s="79">
        <v>2.65446589387663E-2</v>
      </c>
      <c r="R1108" s="80">
        <v>1</v>
      </c>
      <c r="S1108" s="79">
        <v>0.98481424499926418</v>
      </c>
      <c r="T1108" s="79">
        <v>5.1314965278486897E-2</v>
      </c>
      <c r="U1108" s="79">
        <v>0.76554878608308896</v>
      </c>
      <c r="V1108" s="79">
        <v>0.81159683336628197</v>
      </c>
      <c r="W1108" s="79">
        <v>1</v>
      </c>
    </row>
    <row r="1109" spans="1:23" x14ac:dyDescent="0.2">
      <c r="A1109" s="69"/>
      <c r="B1109" s="84" t="s">
        <v>2799</v>
      </c>
      <c r="C1109" s="78">
        <v>5509</v>
      </c>
      <c r="D1109" s="79">
        <v>0.96979343574751209</v>
      </c>
      <c r="E1109" s="79">
        <v>6.0491192999999999E-2</v>
      </c>
      <c r="F1109" s="79">
        <v>0.61211829900000003</v>
      </c>
      <c r="G1109" s="79">
        <v>0.96049373783807201</v>
      </c>
      <c r="H1109" s="80">
        <v>1</v>
      </c>
      <c r="I1109" s="79">
        <v>1.1162521391158751</v>
      </c>
      <c r="J1109" s="79">
        <v>5.9776155710981702E-2</v>
      </c>
      <c r="K1109" s="79">
        <v>6.5796135532117994E-2</v>
      </c>
      <c r="L1109" s="79">
        <v>0.57459637698370203</v>
      </c>
      <c r="M1109" s="80">
        <v>1</v>
      </c>
      <c r="N1109" s="79">
        <v>1.2438698519294737</v>
      </c>
      <c r="O1109" s="79">
        <v>5.9588055344259101E-2</v>
      </c>
      <c r="P1109" s="79">
        <v>2.4999310712442901E-4</v>
      </c>
      <c r="Q1109" s="79">
        <v>1.25391799581384E-3</v>
      </c>
      <c r="R1109" s="80">
        <v>0.3172412529409</v>
      </c>
      <c r="S1109" s="79">
        <v>1.165393315257482</v>
      </c>
      <c r="T1109" s="79">
        <v>5.94833542954274E-2</v>
      </c>
      <c r="U1109" s="79">
        <v>1.00782187208089E-2</v>
      </c>
      <c r="V1109" s="79">
        <v>2.61005297075643E-2</v>
      </c>
      <c r="W1109" s="79">
        <v>1</v>
      </c>
    </row>
    <row r="1110" spans="1:23" x14ac:dyDescent="0.2">
      <c r="A1110" s="69"/>
      <c r="B1110" s="84" t="s">
        <v>2800</v>
      </c>
      <c r="C1110" s="78">
        <v>5509</v>
      </c>
      <c r="D1110" s="79">
        <v>1.0835116596124357</v>
      </c>
      <c r="E1110" s="79">
        <v>8.9703615E-2</v>
      </c>
      <c r="F1110" s="79">
        <v>0.37124870199999999</v>
      </c>
      <c r="G1110" s="79">
        <v>0.880152082540541</v>
      </c>
      <c r="H1110" s="80">
        <v>1</v>
      </c>
      <c r="I1110" s="79">
        <v>1.0323191057053631</v>
      </c>
      <c r="J1110" s="79">
        <v>8.8306211316775698E-2</v>
      </c>
      <c r="K1110" s="79">
        <v>0.71869814288546996</v>
      </c>
      <c r="L1110" s="79">
        <v>0.94023499311511505</v>
      </c>
      <c r="M1110" s="80">
        <v>1</v>
      </c>
      <c r="N1110" s="79">
        <v>1.3653521487635849</v>
      </c>
      <c r="O1110" s="79">
        <v>8.7645786410447596E-2</v>
      </c>
      <c r="P1110" s="79">
        <v>3.8075048838326798E-4</v>
      </c>
      <c r="Q1110" s="79">
        <v>1.73091473890011E-3</v>
      </c>
      <c r="R1110" s="80">
        <v>0.48317236975836703</v>
      </c>
      <c r="S1110" s="79">
        <v>1.1774394813002211</v>
      </c>
      <c r="T1110" s="79">
        <v>8.84434492362587E-2</v>
      </c>
      <c r="U1110" s="79">
        <v>6.4768283977163096E-2</v>
      </c>
      <c r="V1110" s="79">
        <v>0.114631732729456</v>
      </c>
      <c r="W1110" s="79">
        <v>1</v>
      </c>
    </row>
    <row r="1111" spans="1:23" x14ac:dyDescent="0.2">
      <c r="A1111" s="69"/>
      <c r="B1111" s="84" t="s">
        <v>2801</v>
      </c>
      <c r="C1111" s="78">
        <v>5504</v>
      </c>
      <c r="D1111" s="79">
        <v>1.1660473009990029</v>
      </c>
      <c r="E1111" s="79">
        <v>8.7951926E-2</v>
      </c>
      <c r="F1111" s="79">
        <v>8.0701182999999996E-2</v>
      </c>
      <c r="G1111" s="79">
        <v>0.57858644761016997</v>
      </c>
      <c r="H1111" s="80">
        <v>1</v>
      </c>
      <c r="I1111" s="79">
        <v>1.1715286822505502</v>
      </c>
      <c r="J1111" s="79">
        <v>8.7694666895063902E-2</v>
      </c>
      <c r="K1111" s="79">
        <v>7.1037951799409804E-2</v>
      </c>
      <c r="L1111" s="79">
        <v>0.57459637698370203</v>
      </c>
      <c r="M1111" s="80">
        <v>1</v>
      </c>
      <c r="N1111" s="79">
        <v>1.0880268744119213</v>
      </c>
      <c r="O1111" s="79">
        <v>8.6331926264278006E-2</v>
      </c>
      <c r="P1111" s="79">
        <v>0.32845701571869301</v>
      </c>
      <c r="Q1111" s="79">
        <v>0.41227690697034802</v>
      </c>
      <c r="R1111" s="80">
        <v>1</v>
      </c>
      <c r="S1111" s="79">
        <v>1.15357836672678</v>
      </c>
      <c r="T1111" s="79">
        <v>8.6573105854731103E-2</v>
      </c>
      <c r="U1111" s="79">
        <v>9.8888350773563394E-2</v>
      </c>
      <c r="V1111" s="79">
        <v>0.161921699524712</v>
      </c>
      <c r="W1111" s="79">
        <v>1</v>
      </c>
    </row>
    <row r="1112" spans="1:23" x14ac:dyDescent="0.2">
      <c r="A1112" s="69"/>
      <c r="B1112" s="84" t="s">
        <v>2539</v>
      </c>
      <c r="C1112" s="78">
        <v>5531</v>
      </c>
      <c r="D1112" s="79">
        <v>0.9458652121053559</v>
      </c>
      <c r="E1112" s="79">
        <v>5.6903957999999998E-2</v>
      </c>
      <c r="F1112" s="79">
        <v>0.328047113</v>
      </c>
      <c r="G1112" s="79">
        <v>0.85579729232661295</v>
      </c>
      <c r="H1112" s="80">
        <v>1</v>
      </c>
      <c r="I1112" s="79">
        <v>0.88614212279823268</v>
      </c>
      <c r="J1112" s="79">
        <v>5.6439490316984899E-2</v>
      </c>
      <c r="K1112" s="79">
        <v>3.2215525923335903E-2</v>
      </c>
      <c r="L1112" s="79">
        <v>0.475366306938526</v>
      </c>
      <c r="M1112" s="80">
        <v>1</v>
      </c>
      <c r="N1112" s="79">
        <v>1.1114770177991369</v>
      </c>
      <c r="O1112" s="79">
        <v>5.6327236645091698E-2</v>
      </c>
      <c r="P1112" s="79">
        <v>6.06068286901034E-2</v>
      </c>
      <c r="Q1112" s="79">
        <v>0.10389676964054601</v>
      </c>
      <c r="R1112" s="80">
        <v>1</v>
      </c>
      <c r="S1112" s="79">
        <v>1.114205723839329</v>
      </c>
      <c r="T1112" s="79">
        <v>5.63947795003348E-2</v>
      </c>
      <c r="U1112" s="79">
        <v>5.5163625448843498E-2</v>
      </c>
      <c r="V1112" s="79">
        <v>0.101159885396795</v>
      </c>
      <c r="W1112" s="79">
        <v>1</v>
      </c>
    </row>
    <row r="1113" spans="1:23" x14ac:dyDescent="0.2">
      <c r="A1113" s="69"/>
      <c r="B1113" s="84" t="s">
        <v>2802</v>
      </c>
      <c r="C1113" s="78">
        <v>5504</v>
      </c>
      <c r="D1113" s="79">
        <v>1.0414789778274405</v>
      </c>
      <c r="E1113" s="79">
        <v>4.6988556000000001E-2</v>
      </c>
      <c r="F1113" s="79">
        <v>0.387077385</v>
      </c>
      <c r="G1113" s="79">
        <v>0.88028889169354796</v>
      </c>
      <c r="H1113" s="80">
        <v>1</v>
      </c>
      <c r="I1113" s="79">
        <v>1.0738573208012629</v>
      </c>
      <c r="J1113" s="79">
        <v>4.6598030873967702E-2</v>
      </c>
      <c r="K1113" s="79">
        <v>0.12621790196893701</v>
      </c>
      <c r="L1113" s="79">
        <v>0.64438349441390497</v>
      </c>
      <c r="M1113" s="80">
        <v>1</v>
      </c>
      <c r="N1113" s="79">
        <v>1.0907140865500053</v>
      </c>
      <c r="O1113" s="79">
        <v>4.6182951895683999E-2</v>
      </c>
      <c r="P1113" s="79">
        <v>6.0082534051867503E-2</v>
      </c>
      <c r="Q1113" s="79">
        <v>0.10345283000246901</v>
      </c>
      <c r="R1113" s="80">
        <v>1</v>
      </c>
      <c r="S1113" s="79">
        <v>1.1863443553605808</v>
      </c>
      <c r="T1113" s="79">
        <v>4.6301811979275E-2</v>
      </c>
      <c r="U1113" s="79">
        <v>2.2381803048171601E-4</v>
      </c>
      <c r="V1113" s="79">
        <v>1.47782640238899E-3</v>
      </c>
      <c r="W1113" s="79">
        <v>0.284025080681298</v>
      </c>
    </row>
    <row r="1114" spans="1:23" x14ac:dyDescent="0.2">
      <c r="A1114" s="69"/>
      <c r="B1114" s="84" t="s">
        <v>2540</v>
      </c>
      <c r="C1114" s="78">
        <v>5531</v>
      </c>
      <c r="D1114" s="79">
        <v>0.95900823122697687</v>
      </c>
      <c r="E1114" s="79">
        <v>4.3250849000000001E-2</v>
      </c>
      <c r="F1114" s="79">
        <v>0.33317372499999998</v>
      </c>
      <c r="G1114" s="79">
        <v>0.85579729232661295</v>
      </c>
      <c r="H1114" s="80">
        <v>1</v>
      </c>
      <c r="I1114" s="79">
        <v>0.93865876197243747</v>
      </c>
      <c r="J1114" s="79">
        <v>4.2856307474125097E-2</v>
      </c>
      <c r="K1114" s="79">
        <v>0.13964745876990101</v>
      </c>
      <c r="L1114" s="79">
        <v>0.65586150762509099</v>
      </c>
      <c r="M1114" s="80">
        <v>1</v>
      </c>
      <c r="N1114" s="79">
        <v>1.0233374000527864</v>
      </c>
      <c r="O1114" s="79">
        <v>4.2553287198033599E-2</v>
      </c>
      <c r="P1114" s="79">
        <v>0.58773165136621697</v>
      </c>
      <c r="Q1114" s="79">
        <v>0.66651605503461098</v>
      </c>
      <c r="R1114" s="80">
        <v>1</v>
      </c>
      <c r="S1114" s="79">
        <v>1.072734056226716</v>
      </c>
      <c r="T1114" s="79">
        <v>4.2619433856153098E-2</v>
      </c>
      <c r="U1114" s="79">
        <v>9.9479099386961603E-2</v>
      </c>
      <c r="V1114" s="79">
        <v>0.16246972602581</v>
      </c>
      <c r="W1114" s="79">
        <v>1</v>
      </c>
    </row>
    <row r="1115" spans="1:23" x14ac:dyDescent="0.2">
      <c r="A1115" s="69"/>
      <c r="B1115" s="84" t="s">
        <v>2803</v>
      </c>
      <c r="C1115" s="78">
        <v>5504</v>
      </c>
      <c r="D1115" s="79">
        <v>1.1660473009990029</v>
      </c>
      <c r="E1115" s="79">
        <v>8.7951926E-2</v>
      </c>
      <c r="F1115" s="79">
        <v>8.0701182999999996E-2</v>
      </c>
      <c r="G1115" s="79">
        <v>0.57858644761016997</v>
      </c>
      <c r="H1115" s="80">
        <v>1</v>
      </c>
      <c r="I1115" s="79">
        <v>1.1715286822505502</v>
      </c>
      <c r="J1115" s="79">
        <v>8.7694666895063902E-2</v>
      </c>
      <c r="K1115" s="79">
        <v>7.1037951799409804E-2</v>
      </c>
      <c r="L1115" s="79">
        <v>0.57459637698370203</v>
      </c>
      <c r="M1115" s="80">
        <v>1</v>
      </c>
      <c r="N1115" s="79">
        <v>1.0880268744119213</v>
      </c>
      <c r="O1115" s="79">
        <v>8.6331926264278006E-2</v>
      </c>
      <c r="P1115" s="79">
        <v>0.32845701571869301</v>
      </c>
      <c r="Q1115" s="79">
        <v>0.41227690697034802</v>
      </c>
      <c r="R1115" s="80">
        <v>1</v>
      </c>
      <c r="S1115" s="79">
        <v>1.15357836672678</v>
      </c>
      <c r="T1115" s="79">
        <v>8.6573105854731103E-2</v>
      </c>
      <c r="U1115" s="79">
        <v>9.8888350773563394E-2</v>
      </c>
      <c r="V1115" s="79">
        <v>0.161921699524712</v>
      </c>
      <c r="W1115" s="79">
        <v>1</v>
      </c>
    </row>
    <row r="1116" spans="1:23" x14ac:dyDescent="0.2">
      <c r="A1116" s="69"/>
      <c r="B1116" s="84" t="s">
        <v>2541</v>
      </c>
      <c r="C1116" s="78">
        <v>5531</v>
      </c>
      <c r="D1116" s="79">
        <v>0.9458652121053559</v>
      </c>
      <c r="E1116" s="79">
        <v>5.6903957999999998E-2</v>
      </c>
      <c r="F1116" s="79">
        <v>0.328047113</v>
      </c>
      <c r="G1116" s="79">
        <v>0.85579729232661295</v>
      </c>
      <c r="H1116" s="80">
        <v>1</v>
      </c>
      <c r="I1116" s="79">
        <v>0.88614212279823268</v>
      </c>
      <c r="J1116" s="79">
        <v>5.6439490316984899E-2</v>
      </c>
      <c r="K1116" s="79">
        <v>3.2215525923335903E-2</v>
      </c>
      <c r="L1116" s="79">
        <v>0.475366306938526</v>
      </c>
      <c r="M1116" s="80">
        <v>1</v>
      </c>
      <c r="N1116" s="79">
        <v>1.1114770177991369</v>
      </c>
      <c r="O1116" s="79">
        <v>5.6327236645091698E-2</v>
      </c>
      <c r="P1116" s="79">
        <v>6.06068286901034E-2</v>
      </c>
      <c r="Q1116" s="79">
        <v>0.10389676964054601</v>
      </c>
      <c r="R1116" s="80">
        <v>1</v>
      </c>
      <c r="S1116" s="79">
        <v>1.114205723839329</v>
      </c>
      <c r="T1116" s="79">
        <v>5.63947795003348E-2</v>
      </c>
      <c r="U1116" s="79">
        <v>5.5163625448843498E-2</v>
      </c>
      <c r="V1116" s="79">
        <v>0.101159885396795</v>
      </c>
      <c r="W1116" s="79">
        <v>1</v>
      </c>
    </row>
    <row r="1117" spans="1:23" x14ac:dyDescent="0.2">
      <c r="A1117" s="69"/>
      <c r="B1117" s="84" t="s">
        <v>2804</v>
      </c>
      <c r="C1117" s="78">
        <v>5504</v>
      </c>
      <c r="D1117" s="79">
        <v>1.0414789778274405</v>
      </c>
      <c r="E1117" s="79">
        <v>4.6988556000000001E-2</v>
      </c>
      <c r="F1117" s="79">
        <v>0.387077385</v>
      </c>
      <c r="G1117" s="79">
        <v>0.88028889169354796</v>
      </c>
      <c r="H1117" s="80">
        <v>1</v>
      </c>
      <c r="I1117" s="79">
        <v>1.0738573208012629</v>
      </c>
      <c r="J1117" s="79">
        <v>4.6598030873967702E-2</v>
      </c>
      <c r="K1117" s="79">
        <v>0.12621790196893701</v>
      </c>
      <c r="L1117" s="79">
        <v>0.64438349441390497</v>
      </c>
      <c r="M1117" s="80">
        <v>1</v>
      </c>
      <c r="N1117" s="79">
        <v>1.0907140865500053</v>
      </c>
      <c r="O1117" s="79">
        <v>4.6182951895683999E-2</v>
      </c>
      <c r="P1117" s="79">
        <v>6.0082534051867503E-2</v>
      </c>
      <c r="Q1117" s="79">
        <v>0.10345283000246901</v>
      </c>
      <c r="R1117" s="80">
        <v>1</v>
      </c>
      <c r="S1117" s="79">
        <v>1.1863443553605808</v>
      </c>
      <c r="T1117" s="79">
        <v>4.6301811979275E-2</v>
      </c>
      <c r="U1117" s="79">
        <v>2.2381803048171601E-4</v>
      </c>
      <c r="V1117" s="79">
        <v>1.47782640238899E-3</v>
      </c>
      <c r="W1117" s="79">
        <v>0.284025080681298</v>
      </c>
    </row>
    <row r="1118" spans="1:23" x14ac:dyDescent="0.2">
      <c r="A1118" s="69"/>
      <c r="B1118" s="84" t="s">
        <v>2542</v>
      </c>
      <c r="C1118" s="78">
        <v>5531</v>
      </c>
      <c r="D1118" s="79">
        <v>0.95900823122697687</v>
      </c>
      <c r="E1118" s="79">
        <v>4.3250849000000001E-2</v>
      </c>
      <c r="F1118" s="79">
        <v>0.33317372499999998</v>
      </c>
      <c r="G1118" s="79">
        <v>0.85579729232661295</v>
      </c>
      <c r="H1118" s="80">
        <v>1</v>
      </c>
      <c r="I1118" s="79">
        <v>0.93865876197243747</v>
      </c>
      <c r="J1118" s="79">
        <v>4.2856307474125097E-2</v>
      </c>
      <c r="K1118" s="79">
        <v>0.13964745876990101</v>
      </c>
      <c r="L1118" s="79">
        <v>0.65586150762509099</v>
      </c>
      <c r="M1118" s="80">
        <v>1</v>
      </c>
      <c r="N1118" s="79">
        <v>1.0233374000527864</v>
      </c>
      <c r="O1118" s="79">
        <v>4.2553287198033599E-2</v>
      </c>
      <c r="P1118" s="79">
        <v>0.58773165136621697</v>
      </c>
      <c r="Q1118" s="79">
        <v>0.66651605503461098</v>
      </c>
      <c r="R1118" s="80">
        <v>1</v>
      </c>
      <c r="S1118" s="79">
        <v>1.072734056226716</v>
      </c>
      <c r="T1118" s="79">
        <v>4.2619433856153098E-2</v>
      </c>
      <c r="U1118" s="79">
        <v>9.9479099386961603E-2</v>
      </c>
      <c r="V1118" s="79">
        <v>0.16246972602581</v>
      </c>
      <c r="W1118" s="79">
        <v>1</v>
      </c>
    </row>
    <row r="1119" spans="1:23" x14ac:dyDescent="0.2">
      <c r="A1119" s="69"/>
      <c r="B1119" s="84" t="s">
        <v>2543</v>
      </c>
      <c r="C1119" s="78">
        <v>5531</v>
      </c>
      <c r="D1119" s="79">
        <v>1.0528603286540315</v>
      </c>
      <c r="E1119" s="79">
        <v>8.5898981999999999E-2</v>
      </c>
      <c r="F1119" s="79">
        <v>0.54872975199999996</v>
      </c>
      <c r="G1119" s="79">
        <v>0.94233160000673799</v>
      </c>
      <c r="H1119" s="80">
        <v>1</v>
      </c>
      <c r="I1119" s="79">
        <v>1.1243850292001629</v>
      </c>
      <c r="J1119" s="79">
        <v>8.7043546764820401E-2</v>
      </c>
      <c r="K1119" s="79">
        <v>0.17802246160805499</v>
      </c>
      <c r="L1119" s="79">
        <v>0.69688241292590103</v>
      </c>
      <c r="M1119" s="80">
        <v>1</v>
      </c>
      <c r="N1119" s="79">
        <v>1.1594515783698267</v>
      </c>
      <c r="O1119" s="79">
        <v>8.5071676205235702E-2</v>
      </c>
      <c r="P1119" s="79">
        <v>8.2019316462282096E-2</v>
      </c>
      <c r="Q1119" s="79">
        <v>0.132420499479181</v>
      </c>
      <c r="R1119" s="80">
        <v>1</v>
      </c>
      <c r="S1119" s="79">
        <v>1.1837565740347078</v>
      </c>
      <c r="T1119" s="79">
        <v>8.5135223753730296E-2</v>
      </c>
      <c r="U1119" s="79">
        <v>4.7538554583962701E-2</v>
      </c>
      <c r="V1119" s="79">
        <v>8.9656478981278598E-2</v>
      </c>
      <c r="W1119" s="79">
        <v>1</v>
      </c>
    </row>
    <row r="1120" spans="1:23" x14ac:dyDescent="0.2">
      <c r="A1120" s="69"/>
      <c r="B1120" s="84" t="s">
        <v>2805</v>
      </c>
      <c r="C1120" s="78">
        <v>5509</v>
      </c>
      <c r="D1120" s="79">
        <v>1.1011580018188052</v>
      </c>
      <c r="E1120" s="79">
        <v>7.2939450000000003E-2</v>
      </c>
      <c r="F1120" s="79">
        <v>0.18645866</v>
      </c>
      <c r="G1120" s="79">
        <v>0.71779241653915704</v>
      </c>
      <c r="H1120" s="80">
        <v>1</v>
      </c>
      <c r="I1120" s="79">
        <v>0.9786071290139482</v>
      </c>
      <c r="J1120" s="79">
        <v>7.1929575162656703E-2</v>
      </c>
      <c r="K1120" s="79">
        <v>0.763687883534374</v>
      </c>
      <c r="L1120" s="79">
        <v>0.95389133514851498</v>
      </c>
      <c r="M1120" s="80">
        <v>1</v>
      </c>
      <c r="N1120" s="81">
        <v>1.3485507656405684</v>
      </c>
      <c r="O1120" s="81">
        <v>7.1721512247800795E-2</v>
      </c>
      <c r="P1120" s="81">
        <v>3.05499072710918E-5</v>
      </c>
      <c r="Q1120" s="81">
        <v>2.1427422106378699E-4</v>
      </c>
      <c r="R1120" s="82">
        <v>3.87678323270155E-2</v>
      </c>
      <c r="S1120" s="79">
        <v>1.2043142843479462</v>
      </c>
      <c r="T1120" s="79">
        <v>7.2139649964889405E-2</v>
      </c>
      <c r="U1120" s="79">
        <v>9.9636101161797094E-3</v>
      </c>
      <c r="V1120" s="79">
        <v>2.5909469748836199E-2</v>
      </c>
      <c r="W1120" s="79">
        <v>1</v>
      </c>
    </row>
    <row r="1121" spans="1:23" x14ac:dyDescent="0.2">
      <c r="A1121" s="69"/>
      <c r="B1121" s="84" t="s">
        <v>2544</v>
      </c>
      <c r="C1121" s="78">
        <v>5531</v>
      </c>
      <c r="D1121" s="79">
        <v>1.0141030315187525</v>
      </c>
      <c r="E1121" s="79">
        <v>6.6233543000000006E-2</v>
      </c>
      <c r="F1121" s="79">
        <v>0.83254289699999995</v>
      </c>
      <c r="G1121" s="79">
        <v>0.98545101377932998</v>
      </c>
      <c r="H1121" s="80">
        <v>1</v>
      </c>
      <c r="I1121" s="79">
        <v>1.0777962294473609</v>
      </c>
      <c r="J1121" s="79">
        <v>6.6538776235390507E-2</v>
      </c>
      <c r="K1121" s="79">
        <v>0.260192453675889</v>
      </c>
      <c r="L1121" s="79">
        <v>0.75316534960692805</v>
      </c>
      <c r="M1121" s="80">
        <v>1</v>
      </c>
      <c r="N1121" s="79">
        <v>1.2558653790574856</v>
      </c>
      <c r="O1121" s="79">
        <v>6.6001272409127301E-2</v>
      </c>
      <c r="P1121" s="79">
        <v>5.5680754993867401E-4</v>
      </c>
      <c r="Q1121" s="79">
        <v>2.32430520023743E-3</v>
      </c>
      <c r="R1121" s="80">
        <v>0.70658878087217702</v>
      </c>
      <c r="S1121" s="79">
        <v>1.2359988831055297</v>
      </c>
      <c r="T1121" s="79">
        <v>6.6212160579999998E-2</v>
      </c>
      <c r="U1121" s="79">
        <v>1.3742368778933999E-3</v>
      </c>
      <c r="V1121" s="79">
        <v>5.8717393873627096E-3</v>
      </c>
      <c r="W1121" s="79">
        <v>1</v>
      </c>
    </row>
    <row r="1122" spans="1:23" x14ac:dyDescent="0.2">
      <c r="A1122" s="69"/>
      <c r="B1122" s="84" t="s">
        <v>2806</v>
      </c>
      <c r="C1122" s="78">
        <v>5509</v>
      </c>
      <c r="D1122" s="79">
        <v>1.094738073092834</v>
      </c>
      <c r="E1122" s="79">
        <v>5.5738556000000002E-2</v>
      </c>
      <c r="F1122" s="79">
        <v>0.104392204</v>
      </c>
      <c r="G1122" s="79">
        <v>0.61409274316589901</v>
      </c>
      <c r="H1122" s="80">
        <v>1</v>
      </c>
      <c r="I1122" s="79">
        <v>1.0701848279954194</v>
      </c>
      <c r="J1122" s="79">
        <v>5.5392981672250298E-2</v>
      </c>
      <c r="K1122" s="79">
        <v>0.22074553593423599</v>
      </c>
      <c r="L1122" s="79">
        <v>0.73459417908661795</v>
      </c>
      <c r="M1122" s="80">
        <v>1</v>
      </c>
      <c r="N1122" s="81">
        <v>1.2683392958263233</v>
      </c>
      <c r="O1122" s="81">
        <v>5.5072120335420201E-2</v>
      </c>
      <c r="P1122" s="81">
        <v>1.5865834065292399E-5</v>
      </c>
      <c r="Q1122" s="81">
        <v>1.2742875587883599E-4</v>
      </c>
      <c r="R1122" s="82">
        <v>2.0133743428856099E-2</v>
      </c>
      <c r="S1122" s="81">
        <v>1.3719161083957898</v>
      </c>
      <c r="T1122" s="81">
        <v>5.5660233511184001E-2</v>
      </c>
      <c r="U1122" s="81">
        <v>1.3387297015924199E-8</v>
      </c>
      <c r="V1122" s="81">
        <v>8.0897523396227702E-7</v>
      </c>
      <c r="W1122" s="81">
        <v>1.69884799132078E-5</v>
      </c>
    </row>
    <row r="1123" spans="1:23" x14ac:dyDescent="0.2">
      <c r="A1123" s="69"/>
      <c r="B1123" s="84" t="s">
        <v>2545</v>
      </c>
      <c r="C1123" s="78">
        <v>5531</v>
      </c>
      <c r="D1123" s="79">
        <v>1.0027082346596918</v>
      </c>
      <c r="E1123" s="79">
        <v>5.7800277999999997E-2</v>
      </c>
      <c r="F1123" s="79">
        <v>0.96267923099999997</v>
      </c>
      <c r="G1123" s="79">
        <v>0.991673151733656</v>
      </c>
      <c r="H1123" s="80">
        <v>1</v>
      </c>
      <c r="I1123" s="79">
        <v>1.1190576911233991</v>
      </c>
      <c r="J1123" s="79">
        <v>5.7560316962565798E-2</v>
      </c>
      <c r="K1123" s="79">
        <v>5.0672203952427802E-2</v>
      </c>
      <c r="L1123" s="79">
        <v>0.54036156987925099</v>
      </c>
      <c r="M1123" s="80">
        <v>1</v>
      </c>
      <c r="N1123" s="79">
        <v>1.2311016999246693</v>
      </c>
      <c r="O1123" s="79">
        <v>5.7138514798710301E-2</v>
      </c>
      <c r="P1123" s="79">
        <v>2.7402623939744601E-4</v>
      </c>
      <c r="Q1123" s="79">
        <v>1.3426227714106499E-3</v>
      </c>
      <c r="R1123" s="80">
        <v>0.347739297795359</v>
      </c>
      <c r="S1123" s="79">
        <v>1.2150453601729112</v>
      </c>
      <c r="T1123" s="79">
        <v>5.7263359971487203E-2</v>
      </c>
      <c r="U1123" s="79">
        <v>6.7016740519629302E-4</v>
      </c>
      <c r="V1123" s="79">
        <v>3.3091145416112699E-3</v>
      </c>
      <c r="W1123" s="79">
        <v>0.85044243719409596</v>
      </c>
    </row>
    <row r="1124" spans="1:23" x14ac:dyDescent="0.2">
      <c r="A1124" s="69"/>
      <c r="B1124" s="84" t="s">
        <v>2807</v>
      </c>
      <c r="C1124" s="78">
        <v>5509</v>
      </c>
      <c r="D1124" s="79">
        <v>1.1248209101428268</v>
      </c>
      <c r="E1124" s="79">
        <v>7.9324515999999998E-2</v>
      </c>
      <c r="F1124" s="79">
        <v>0.138122731</v>
      </c>
      <c r="G1124" s="79">
        <v>0.66434080898863601</v>
      </c>
      <c r="H1124" s="80">
        <v>1</v>
      </c>
      <c r="I1124" s="79">
        <v>1.0821386232751753</v>
      </c>
      <c r="J1124" s="79">
        <v>7.8103932037458801E-2</v>
      </c>
      <c r="K1124" s="79">
        <v>0.31216220863296301</v>
      </c>
      <c r="L1124" s="79">
        <v>0.78754770700353705</v>
      </c>
      <c r="M1124" s="80">
        <v>1</v>
      </c>
      <c r="N1124" s="79">
        <v>1.3058151703869783</v>
      </c>
      <c r="O1124" s="79">
        <v>7.7775642356658306E-2</v>
      </c>
      <c r="P1124" s="79">
        <v>6.0195178239077899E-4</v>
      </c>
      <c r="Q1124" s="79">
        <v>2.4327287001716501E-3</v>
      </c>
      <c r="R1124" s="80">
        <v>0.763876811853899</v>
      </c>
      <c r="S1124" s="79">
        <v>1.2787860374952953</v>
      </c>
      <c r="T1124" s="79">
        <v>7.8159802767451395E-2</v>
      </c>
      <c r="U1124" s="79">
        <v>1.6537177543229601E-3</v>
      </c>
      <c r="V1124" s="79">
        <v>6.6872562815376404E-3</v>
      </c>
      <c r="W1124" s="79">
        <v>1</v>
      </c>
    </row>
    <row r="1125" spans="1:23" x14ac:dyDescent="0.2">
      <c r="A1125" s="69"/>
      <c r="B1125" s="84" t="s">
        <v>2546</v>
      </c>
      <c r="C1125" s="78">
        <v>5531</v>
      </c>
      <c r="D1125" s="79">
        <v>1.0085725910012624</v>
      </c>
      <c r="E1125" s="79">
        <v>7.5128397999999999E-2</v>
      </c>
      <c r="F1125" s="79">
        <v>0.90953938700000003</v>
      </c>
      <c r="G1125" s="79">
        <v>0.991673151733656</v>
      </c>
      <c r="H1125" s="80">
        <v>1</v>
      </c>
      <c r="I1125" s="79">
        <v>1.1452666646354785</v>
      </c>
      <c r="J1125" s="79">
        <v>7.5393445337960205E-2</v>
      </c>
      <c r="K1125" s="79">
        <v>7.2008827208173906E-2</v>
      </c>
      <c r="L1125" s="79">
        <v>0.57459637698370203</v>
      </c>
      <c r="M1125" s="80">
        <v>1</v>
      </c>
      <c r="N1125" s="79">
        <v>1.3575056773076544</v>
      </c>
      <c r="O1125" s="79">
        <v>7.4683104739278694E-2</v>
      </c>
      <c r="P1125" s="79">
        <v>4.2654149331019903E-5</v>
      </c>
      <c r="Q1125" s="79">
        <v>2.8339327487468199E-4</v>
      </c>
      <c r="R1125" s="80">
        <v>5.4128115501064299E-2</v>
      </c>
      <c r="S1125" s="79">
        <v>1.2001586562756086</v>
      </c>
      <c r="T1125" s="79">
        <v>7.5099298273977697E-2</v>
      </c>
      <c r="U1125" s="79">
        <v>1.5119655775505799E-2</v>
      </c>
      <c r="V1125" s="79">
        <v>3.5400079666267299E-2</v>
      </c>
      <c r="W1125" s="79">
        <v>1</v>
      </c>
    </row>
    <row r="1126" spans="1:23" x14ac:dyDescent="0.2">
      <c r="A1126" s="69"/>
      <c r="B1126" s="84" t="s">
        <v>2547</v>
      </c>
      <c r="C1126" s="78">
        <v>5531</v>
      </c>
      <c r="D1126" s="79">
        <v>1.0528603286540315</v>
      </c>
      <c r="E1126" s="79">
        <v>8.5898981999999999E-2</v>
      </c>
      <c r="F1126" s="79">
        <v>0.54872975199999996</v>
      </c>
      <c r="G1126" s="79">
        <v>0.94233160000673799</v>
      </c>
      <c r="H1126" s="80">
        <v>1</v>
      </c>
      <c r="I1126" s="79">
        <v>1.1243850292001629</v>
      </c>
      <c r="J1126" s="79">
        <v>8.7043546764820401E-2</v>
      </c>
      <c r="K1126" s="79">
        <v>0.17802246160805499</v>
      </c>
      <c r="L1126" s="79">
        <v>0.69688241292590103</v>
      </c>
      <c r="M1126" s="80">
        <v>1</v>
      </c>
      <c r="N1126" s="79">
        <v>1.1594515783698267</v>
      </c>
      <c r="O1126" s="79">
        <v>8.5071676205235702E-2</v>
      </c>
      <c r="P1126" s="79">
        <v>8.2019316462282096E-2</v>
      </c>
      <c r="Q1126" s="79">
        <v>0.132420499479181</v>
      </c>
      <c r="R1126" s="80">
        <v>1</v>
      </c>
      <c r="S1126" s="79">
        <v>1.1837565740347078</v>
      </c>
      <c r="T1126" s="79">
        <v>8.5135223753730296E-2</v>
      </c>
      <c r="U1126" s="79">
        <v>4.7538554583962701E-2</v>
      </c>
      <c r="V1126" s="79">
        <v>8.9656478981278598E-2</v>
      </c>
      <c r="W1126" s="79">
        <v>1</v>
      </c>
    </row>
    <row r="1127" spans="1:23" x14ac:dyDescent="0.2">
      <c r="A1127" s="69"/>
      <c r="B1127" s="84" t="s">
        <v>2808</v>
      </c>
      <c r="C1127" s="78">
        <v>5509</v>
      </c>
      <c r="D1127" s="79">
        <v>1.1011580018188052</v>
      </c>
      <c r="E1127" s="79">
        <v>7.2939450000000003E-2</v>
      </c>
      <c r="F1127" s="79">
        <v>0.18645866</v>
      </c>
      <c r="G1127" s="79">
        <v>0.71779241653915704</v>
      </c>
      <c r="H1127" s="80">
        <v>1</v>
      </c>
      <c r="I1127" s="79">
        <v>0.9786071290139482</v>
      </c>
      <c r="J1127" s="79">
        <v>7.1929575162656703E-2</v>
      </c>
      <c r="K1127" s="79">
        <v>0.763687883534374</v>
      </c>
      <c r="L1127" s="79">
        <v>0.95389133514851498</v>
      </c>
      <c r="M1127" s="80">
        <v>1</v>
      </c>
      <c r="N1127" s="81">
        <v>1.3485507656405684</v>
      </c>
      <c r="O1127" s="81">
        <v>7.1721512247800795E-2</v>
      </c>
      <c r="P1127" s="81">
        <v>3.05499072710918E-5</v>
      </c>
      <c r="Q1127" s="81">
        <v>2.1427422106378699E-4</v>
      </c>
      <c r="R1127" s="82">
        <v>3.87678323270155E-2</v>
      </c>
      <c r="S1127" s="79">
        <v>1.2043142843479462</v>
      </c>
      <c r="T1127" s="79">
        <v>7.2139649964889405E-2</v>
      </c>
      <c r="U1127" s="79">
        <v>9.9636101161797094E-3</v>
      </c>
      <c r="V1127" s="79">
        <v>2.5909469748836199E-2</v>
      </c>
      <c r="W1127" s="79">
        <v>1</v>
      </c>
    </row>
    <row r="1128" spans="1:23" x14ac:dyDescent="0.2">
      <c r="A1128" s="69"/>
      <c r="B1128" s="84" t="s">
        <v>2548</v>
      </c>
      <c r="C1128" s="78">
        <v>5531</v>
      </c>
      <c r="D1128" s="79">
        <v>1.0141030315187525</v>
      </c>
      <c r="E1128" s="79">
        <v>6.6233543000000006E-2</v>
      </c>
      <c r="F1128" s="79">
        <v>0.83254289699999995</v>
      </c>
      <c r="G1128" s="79">
        <v>0.98545101377932998</v>
      </c>
      <c r="H1128" s="80">
        <v>1</v>
      </c>
      <c r="I1128" s="79">
        <v>1.0777962294473609</v>
      </c>
      <c r="J1128" s="79">
        <v>6.6538776235390507E-2</v>
      </c>
      <c r="K1128" s="79">
        <v>0.260192453675889</v>
      </c>
      <c r="L1128" s="79">
        <v>0.75316534960692805</v>
      </c>
      <c r="M1128" s="80">
        <v>1</v>
      </c>
      <c r="N1128" s="79">
        <v>1.2558653790574856</v>
      </c>
      <c r="O1128" s="79">
        <v>6.6001272409127301E-2</v>
      </c>
      <c r="P1128" s="79">
        <v>5.5680754993867401E-4</v>
      </c>
      <c r="Q1128" s="79">
        <v>2.32430520023743E-3</v>
      </c>
      <c r="R1128" s="80">
        <v>0.70658878087217702</v>
      </c>
      <c r="S1128" s="79">
        <v>1.2359988831055297</v>
      </c>
      <c r="T1128" s="79">
        <v>6.6212160579999998E-2</v>
      </c>
      <c r="U1128" s="79">
        <v>1.3742368778933999E-3</v>
      </c>
      <c r="V1128" s="79">
        <v>5.8717393873627096E-3</v>
      </c>
      <c r="W1128" s="79">
        <v>1</v>
      </c>
    </row>
    <row r="1129" spans="1:23" x14ac:dyDescent="0.2">
      <c r="A1129" s="69"/>
      <c r="B1129" s="84" t="s">
        <v>2809</v>
      </c>
      <c r="C1129" s="78">
        <v>5509</v>
      </c>
      <c r="D1129" s="79">
        <v>1.094738073092834</v>
      </c>
      <c r="E1129" s="79">
        <v>5.5738556000000002E-2</v>
      </c>
      <c r="F1129" s="79">
        <v>0.104392204</v>
      </c>
      <c r="G1129" s="79">
        <v>0.61409274316589901</v>
      </c>
      <c r="H1129" s="80">
        <v>1</v>
      </c>
      <c r="I1129" s="79">
        <v>1.0701848279954194</v>
      </c>
      <c r="J1129" s="79">
        <v>5.5392981672250298E-2</v>
      </c>
      <c r="K1129" s="79">
        <v>0.22074553593423599</v>
      </c>
      <c r="L1129" s="79">
        <v>0.73459417908661795</v>
      </c>
      <c r="M1129" s="80">
        <v>1</v>
      </c>
      <c r="N1129" s="81">
        <v>1.2683392958263233</v>
      </c>
      <c r="O1129" s="81">
        <v>5.5072120335420201E-2</v>
      </c>
      <c r="P1129" s="81">
        <v>1.5865834065292399E-5</v>
      </c>
      <c r="Q1129" s="81">
        <v>1.2742875587883599E-4</v>
      </c>
      <c r="R1129" s="82">
        <v>2.0133743428856099E-2</v>
      </c>
      <c r="S1129" s="81">
        <v>1.3719161083957898</v>
      </c>
      <c r="T1129" s="81">
        <v>5.5660233511184001E-2</v>
      </c>
      <c r="U1129" s="81">
        <v>1.3387297015924199E-8</v>
      </c>
      <c r="V1129" s="81">
        <v>8.0897523396227702E-7</v>
      </c>
      <c r="W1129" s="81">
        <v>1.69884799132078E-5</v>
      </c>
    </row>
    <row r="1130" spans="1:23" x14ac:dyDescent="0.2">
      <c r="A1130" s="69"/>
      <c r="B1130" s="84" t="s">
        <v>2549</v>
      </c>
      <c r="C1130" s="78">
        <v>5531</v>
      </c>
      <c r="D1130" s="79">
        <v>1.0027082346596918</v>
      </c>
      <c r="E1130" s="79">
        <v>5.7800277999999997E-2</v>
      </c>
      <c r="F1130" s="79">
        <v>0.96267923099999997</v>
      </c>
      <c r="G1130" s="79">
        <v>0.991673151733656</v>
      </c>
      <c r="H1130" s="80">
        <v>1</v>
      </c>
      <c r="I1130" s="79">
        <v>1.1190576911233991</v>
      </c>
      <c r="J1130" s="79">
        <v>5.7560316962565798E-2</v>
      </c>
      <c r="K1130" s="79">
        <v>5.0672203952427802E-2</v>
      </c>
      <c r="L1130" s="79">
        <v>0.54036156987925099</v>
      </c>
      <c r="M1130" s="80">
        <v>1</v>
      </c>
      <c r="N1130" s="79">
        <v>1.2311016999246693</v>
      </c>
      <c r="O1130" s="79">
        <v>5.7138514798710301E-2</v>
      </c>
      <c r="P1130" s="79">
        <v>2.7402623939744601E-4</v>
      </c>
      <c r="Q1130" s="79">
        <v>1.3426227714106499E-3</v>
      </c>
      <c r="R1130" s="80">
        <v>0.347739297795359</v>
      </c>
      <c r="S1130" s="79">
        <v>1.2150453601729112</v>
      </c>
      <c r="T1130" s="79">
        <v>5.7263359971487203E-2</v>
      </c>
      <c r="U1130" s="79">
        <v>6.7016740519629302E-4</v>
      </c>
      <c r="V1130" s="79">
        <v>3.3091145416112699E-3</v>
      </c>
      <c r="W1130" s="79">
        <v>0.85044243719409596</v>
      </c>
    </row>
    <row r="1131" spans="1:23" x14ac:dyDescent="0.2">
      <c r="A1131" s="69"/>
      <c r="B1131" s="84" t="s">
        <v>2810</v>
      </c>
      <c r="C1131" s="78">
        <v>5509</v>
      </c>
      <c r="D1131" s="79">
        <v>1.1248209101428268</v>
      </c>
      <c r="E1131" s="79">
        <v>7.9324515999999998E-2</v>
      </c>
      <c r="F1131" s="79">
        <v>0.138122731</v>
      </c>
      <c r="G1131" s="79">
        <v>0.66434080898863601</v>
      </c>
      <c r="H1131" s="80">
        <v>1</v>
      </c>
      <c r="I1131" s="79">
        <v>1.0821386232751753</v>
      </c>
      <c r="J1131" s="79">
        <v>7.8103932037458801E-2</v>
      </c>
      <c r="K1131" s="79">
        <v>0.31216220863296301</v>
      </c>
      <c r="L1131" s="79">
        <v>0.78754770700353705</v>
      </c>
      <c r="M1131" s="80">
        <v>1</v>
      </c>
      <c r="N1131" s="79">
        <v>1.3058151703869783</v>
      </c>
      <c r="O1131" s="79">
        <v>7.7775642356658306E-2</v>
      </c>
      <c r="P1131" s="79">
        <v>6.0195178239077899E-4</v>
      </c>
      <c r="Q1131" s="79">
        <v>2.4327287001716501E-3</v>
      </c>
      <c r="R1131" s="80">
        <v>0.763876811853899</v>
      </c>
      <c r="S1131" s="79">
        <v>1.2787860374952953</v>
      </c>
      <c r="T1131" s="79">
        <v>7.8159802767451395E-2</v>
      </c>
      <c r="U1131" s="79">
        <v>1.6537177543229601E-3</v>
      </c>
      <c r="V1131" s="79">
        <v>6.6872562815376404E-3</v>
      </c>
      <c r="W1131" s="79">
        <v>1</v>
      </c>
    </row>
    <row r="1132" spans="1:23" x14ac:dyDescent="0.2">
      <c r="A1132" s="69"/>
      <c r="B1132" s="84" t="s">
        <v>2550</v>
      </c>
      <c r="C1132" s="78">
        <v>5531</v>
      </c>
      <c r="D1132" s="79">
        <v>1.0085725910012624</v>
      </c>
      <c r="E1132" s="79">
        <v>7.5128397999999999E-2</v>
      </c>
      <c r="F1132" s="79">
        <v>0.90953938700000003</v>
      </c>
      <c r="G1132" s="79">
        <v>0.991673151733656</v>
      </c>
      <c r="H1132" s="80">
        <v>1</v>
      </c>
      <c r="I1132" s="79">
        <v>1.1452666646354785</v>
      </c>
      <c r="J1132" s="79">
        <v>7.5393445337960205E-2</v>
      </c>
      <c r="K1132" s="79">
        <v>7.2008827208173906E-2</v>
      </c>
      <c r="L1132" s="79">
        <v>0.57459637698370203</v>
      </c>
      <c r="M1132" s="80">
        <v>1</v>
      </c>
      <c r="N1132" s="79">
        <v>1.3575056773076544</v>
      </c>
      <c r="O1132" s="79">
        <v>7.4683104739278694E-2</v>
      </c>
      <c r="P1132" s="79">
        <v>4.2654149331019903E-5</v>
      </c>
      <c r="Q1132" s="79">
        <v>2.8339327487468199E-4</v>
      </c>
      <c r="R1132" s="80">
        <v>5.4128115501064299E-2</v>
      </c>
      <c r="S1132" s="79">
        <v>1.2001586562756086</v>
      </c>
      <c r="T1132" s="79">
        <v>7.5099298273977697E-2</v>
      </c>
      <c r="U1132" s="79">
        <v>1.5119655775505799E-2</v>
      </c>
      <c r="V1132" s="79">
        <v>3.5400079666267299E-2</v>
      </c>
      <c r="W1132" s="79">
        <v>1</v>
      </c>
    </row>
    <row r="1133" spans="1:23" x14ac:dyDescent="0.2">
      <c r="A1133" s="69"/>
      <c r="B1133" s="84" t="s">
        <v>2811</v>
      </c>
      <c r="C1133" s="78">
        <v>3241</v>
      </c>
      <c r="D1133" s="79">
        <v>1.0250514423607122</v>
      </c>
      <c r="E1133" s="79">
        <v>7.3218457000000001E-2</v>
      </c>
      <c r="F1133" s="79">
        <v>0.73541505799999995</v>
      </c>
      <c r="G1133" s="79">
        <v>0.98545101377932998</v>
      </c>
      <c r="H1133" s="80">
        <v>1</v>
      </c>
      <c r="I1133" s="79">
        <v>0.92359961652802824</v>
      </c>
      <c r="J1133" s="79">
        <v>7.3800447537111805E-2</v>
      </c>
      <c r="K1133" s="79">
        <v>0.281519405172177</v>
      </c>
      <c r="L1133" s="79">
        <v>0.76694710984058201</v>
      </c>
      <c r="M1133" s="80">
        <v>1</v>
      </c>
      <c r="N1133" s="79">
        <v>1.2049407474283711</v>
      </c>
      <c r="O1133" s="79">
        <v>7.3837349505933098E-2</v>
      </c>
      <c r="P1133" s="79">
        <v>1.15738040908667E-2</v>
      </c>
      <c r="Q1133" s="79">
        <v>2.6899555661739599E-2</v>
      </c>
      <c r="R1133" s="80">
        <v>1</v>
      </c>
      <c r="S1133" s="79">
        <v>0.97271649446836539</v>
      </c>
      <c r="T1133" s="79">
        <v>7.3649449668745703E-2</v>
      </c>
      <c r="U1133" s="79">
        <v>0.70721551689453299</v>
      </c>
      <c r="V1133" s="79">
        <v>0.76509504768897096</v>
      </c>
      <c r="W1133" s="79">
        <v>1</v>
      </c>
    </row>
    <row r="1134" spans="1:23" x14ac:dyDescent="0.2">
      <c r="A1134" s="69"/>
      <c r="B1134" s="84" t="s">
        <v>2812</v>
      </c>
      <c r="C1134" s="78">
        <v>3241</v>
      </c>
      <c r="D1134" s="79">
        <v>1.0306393450273212</v>
      </c>
      <c r="E1134" s="79">
        <v>7.0997299999999999E-2</v>
      </c>
      <c r="F1134" s="79">
        <v>0.67078040100000003</v>
      </c>
      <c r="G1134" s="79">
        <v>0.98545101377932998</v>
      </c>
      <c r="H1134" s="80">
        <v>1</v>
      </c>
      <c r="I1134" s="79">
        <v>0.93940457402235789</v>
      </c>
      <c r="J1134" s="79">
        <v>7.1561986927379306E-2</v>
      </c>
      <c r="K1134" s="79">
        <v>0.38239334147178</v>
      </c>
      <c r="L1134" s="79">
        <v>0.82571589111641397</v>
      </c>
      <c r="M1134" s="80">
        <v>1</v>
      </c>
      <c r="N1134" s="79">
        <v>1.2010909149648374</v>
      </c>
      <c r="O1134" s="79">
        <v>7.1594822031530503E-2</v>
      </c>
      <c r="P1134" s="79">
        <v>1.0489325313395E-2</v>
      </c>
      <c r="Q1134" s="79">
        <v>2.48338690721982E-2</v>
      </c>
      <c r="R1134" s="80">
        <v>1</v>
      </c>
      <c r="S1134" s="79">
        <v>0.97765205137379918</v>
      </c>
      <c r="T1134" s="79">
        <v>7.1370966903524499E-2</v>
      </c>
      <c r="U1134" s="79">
        <v>0.75148972060269803</v>
      </c>
      <c r="V1134" s="79">
        <v>0.80137853398724701</v>
      </c>
      <c r="W1134" s="79">
        <v>1</v>
      </c>
    </row>
    <row r="1135" spans="1:23" x14ac:dyDescent="0.2">
      <c r="A1135" s="69"/>
      <c r="B1135" s="84" t="s">
        <v>2813</v>
      </c>
      <c r="C1135" s="78">
        <v>3241</v>
      </c>
      <c r="D1135" s="79">
        <v>0.9273159470783866</v>
      </c>
      <c r="E1135" s="79">
        <v>0.100391992</v>
      </c>
      <c r="F1135" s="79">
        <v>0.45225376099999998</v>
      </c>
      <c r="G1135" s="79">
        <v>0.91096829001428603</v>
      </c>
      <c r="H1135" s="80">
        <v>1</v>
      </c>
      <c r="I1135" s="79">
        <v>0.96671370609828255</v>
      </c>
      <c r="J1135" s="79">
        <v>0.100413707215217</v>
      </c>
      <c r="K1135" s="79">
        <v>0.73601576320290296</v>
      </c>
      <c r="L1135" s="79">
        <v>0.95015666684077704</v>
      </c>
      <c r="M1135" s="80">
        <v>1</v>
      </c>
      <c r="N1135" s="79">
        <v>1.1501403287707854</v>
      </c>
      <c r="O1135" s="79">
        <v>0.100444872212457</v>
      </c>
      <c r="P1135" s="79">
        <v>0.163727436437624</v>
      </c>
      <c r="Q1135" s="79">
        <v>0.23503406882278799</v>
      </c>
      <c r="R1135" s="80">
        <v>1</v>
      </c>
      <c r="S1135" s="79">
        <v>1.1402727251996578</v>
      </c>
      <c r="T1135" s="79">
        <v>0.10154860536965001</v>
      </c>
      <c r="U1135" s="79">
        <v>0.196129883479955</v>
      </c>
      <c r="V1135" s="79">
        <v>0.279023343201864</v>
      </c>
      <c r="W1135" s="79">
        <v>1</v>
      </c>
    </row>
    <row r="1136" spans="1:23" x14ac:dyDescent="0.2">
      <c r="A1136" s="69"/>
      <c r="B1136" s="84" t="s">
        <v>2814</v>
      </c>
      <c r="C1136" s="78">
        <v>5509</v>
      </c>
      <c r="D1136" s="79">
        <v>1.019202476826401</v>
      </c>
      <c r="E1136" s="79">
        <v>8.1706045000000005E-2</v>
      </c>
      <c r="F1136" s="79">
        <v>0.81592366599999999</v>
      </c>
      <c r="G1136" s="79">
        <v>0.98545101377932998</v>
      </c>
      <c r="H1136" s="80">
        <v>1</v>
      </c>
      <c r="I1136" s="79">
        <v>1.1282837745114709</v>
      </c>
      <c r="J1136" s="79">
        <v>8.1203817189871796E-2</v>
      </c>
      <c r="K1136" s="79">
        <v>0.137185262596213</v>
      </c>
      <c r="L1136" s="79">
        <v>0.65586150762509099</v>
      </c>
      <c r="M1136" s="80">
        <v>1</v>
      </c>
      <c r="N1136" s="79">
        <v>1.182842534972004</v>
      </c>
      <c r="O1136" s="79">
        <v>8.0309708512037004E-2</v>
      </c>
      <c r="P1136" s="79">
        <v>3.6536024246093798E-2</v>
      </c>
      <c r="Q1136" s="79">
        <v>6.8182668776901503E-2</v>
      </c>
      <c r="R1136" s="80">
        <v>1</v>
      </c>
      <c r="S1136" s="79">
        <v>1.1340573690510982</v>
      </c>
      <c r="T1136" s="79">
        <v>8.05811056424421E-2</v>
      </c>
      <c r="U1136" s="79">
        <v>0.118480749355662</v>
      </c>
      <c r="V1136" s="79">
        <v>0.186604673645482</v>
      </c>
      <c r="W1136" s="79">
        <v>1</v>
      </c>
    </row>
    <row r="1137" spans="1:23" x14ac:dyDescent="0.2">
      <c r="A1137" s="69"/>
      <c r="B1137" s="84" t="s">
        <v>2815</v>
      </c>
      <c r="C1137" s="78">
        <v>5509</v>
      </c>
      <c r="D1137" s="79">
        <v>0.88970213504360207</v>
      </c>
      <c r="E1137" s="79">
        <v>9.5239811999999993E-2</v>
      </c>
      <c r="F1137" s="79">
        <v>0.21978588499999999</v>
      </c>
      <c r="G1137" s="79">
        <v>0.74224234113157905</v>
      </c>
      <c r="H1137" s="80">
        <v>1</v>
      </c>
      <c r="I1137" s="79">
        <v>0.98403398376321005</v>
      </c>
      <c r="J1137" s="79">
        <v>9.4603962536777705E-2</v>
      </c>
      <c r="K1137" s="79">
        <v>0.86490894795267803</v>
      </c>
      <c r="L1137" s="79">
        <v>0.972117051448254</v>
      </c>
      <c r="M1137" s="80">
        <v>1</v>
      </c>
      <c r="N1137" s="79">
        <v>1.344007970478764</v>
      </c>
      <c r="O1137" s="79">
        <v>9.4039847096016399E-2</v>
      </c>
      <c r="P1137" s="79">
        <v>1.66686368904339E-3</v>
      </c>
      <c r="Q1137" s="79">
        <v>5.3823155760714001E-3</v>
      </c>
      <c r="R1137" s="80">
        <v>1</v>
      </c>
      <c r="S1137" s="79">
        <v>1.1080922799637127</v>
      </c>
      <c r="T1137" s="79">
        <v>9.4423943698981494E-2</v>
      </c>
      <c r="U1137" s="79">
        <v>0.27703192702107099</v>
      </c>
      <c r="V1137" s="79">
        <v>0.36850473311293402</v>
      </c>
      <c r="W1137" s="79">
        <v>1</v>
      </c>
    </row>
    <row r="1138" spans="1:23" x14ac:dyDescent="0.2">
      <c r="A1138" s="69"/>
      <c r="B1138" s="84" t="s">
        <v>2816</v>
      </c>
      <c r="C1138" s="78">
        <v>5509</v>
      </c>
      <c r="D1138" s="79">
        <v>0.99422321814340908</v>
      </c>
      <c r="E1138" s="79">
        <v>0.101659552</v>
      </c>
      <c r="F1138" s="79">
        <v>0.95455352000000004</v>
      </c>
      <c r="G1138" s="79">
        <v>0.991673151733656</v>
      </c>
      <c r="H1138" s="80">
        <v>1</v>
      </c>
      <c r="I1138" s="79">
        <v>1.304426292814407</v>
      </c>
      <c r="J1138" s="79">
        <v>0.10245601716562799</v>
      </c>
      <c r="K1138" s="79">
        <v>9.4886920926487307E-3</v>
      </c>
      <c r="L1138" s="79">
        <v>0.340967520375549</v>
      </c>
      <c r="M1138" s="80">
        <v>1</v>
      </c>
      <c r="N1138" s="79">
        <v>1.1425292771366038</v>
      </c>
      <c r="O1138" s="79">
        <v>9.9526068158178604E-2</v>
      </c>
      <c r="P1138" s="79">
        <v>0.180639164383218</v>
      </c>
      <c r="Q1138" s="79">
        <v>0.25470122178033699</v>
      </c>
      <c r="R1138" s="80">
        <v>1</v>
      </c>
      <c r="S1138" s="79">
        <v>1.1575757291134956</v>
      </c>
      <c r="T1138" s="79">
        <v>0.100263605586216</v>
      </c>
      <c r="U1138" s="79">
        <v>0.14444620234915001</v>
      </c>
      <c r="V1138" s="79">
        <v>0.217698611378945</v>
      </c>
      <c r="W1138" s="79">
        <v>1</v>
      </c>
    </row>
    <row r="1139" spans="1:23" x14ac:dyDescent="0.2">
      <c r="A1139" s="69"/>
      <c r="B1139" s="84" t="s">
        <v>2817</v>
      </c>
      <c r="C1139" s="78">
        <v>5509</v>
      </c>
      <c r="D1139" s="79">
        <v>0.91130531879979648</v>
      </c>
      <c r="E1139" s="79">
        <v>9.3884092000000002E-2</v>
      </c>
      <c r="F1139" s="79">
        <v>0.32252805800000001</v>
      </c>
      <c r="G1139" s="79">
        <v>0.85446368601670197</v>
      </c>
      <c r="H1139" s="80">
        <v>1</v>
      </c>
      <c r="I1139" s="79">
        <v>0.99386821257665259</v>
      </c>
      <c r="J1139" s="79">
        <v>9.2679511434316103E-2</v>
      </c>
      <c r="K1139" s="79">
        <v>0.94708733555040003</v>
      </c>
      <c r="L1139" s="79">
        <v>0.98512608919135902</v>
      </c>
      <c r="M1139" s="80">
        <v>1</v>
      </c>
      <c r="N1139" s="79">
        <v>1.2251602415326941</v>
      </c>
      <c r="O1139" s="79">
        <v>9.2381618927440207E-2</v>
      </c>
      <c r="P1139" s="79">
        <v>2.79361134200856E-2</v>
      </c>
      <c r="Q1139" s="79">
        <v>5.4206311819707399E-2</v>
      </c>
      <c r="R1139" s="80">
        <v>1</v>
      </c>
      <c r="S1139" s="79">
        <v>1.087607550249684</v>
      </c>
      <c r="T1139" s="79">
        <v>9.2670668793687599E-2</v>
      </c>
      <c r="U1139" s="79">
        <v>0.36481734970171098</v>
      </c>
      <c r="V1139" s="79">
        <v>0.45701205999158101</v>
      </c>
      <c r="W1139" s="79">
        <v>1</v>
      </c>
    </row>
    <row r="1140" spans="1:23" x14ac:dyDescent="0.2">
      <c r="A1140" s="69"/>
      <c r="B1140" s="84" t="s">
        <v>2818</v>
      </c>
      <c r="C1140" s="78">
        <v>5509</v>
      </c>
      <c r="D1140" s="79">
        <v>0.85322665812568832</v>
      </c>
      <c r="E1140" s="79">
        <v>9.7919011E-2</v>
      </c>
      <c r="F1140" s="79">
        <v>0.10501034300000001</v>
      </c>
      <c r="G1140" s="79">
        <v>0.61409274316589901</v>
      </c>
      <c r="H1140" s="80">
        <v>1</v>
      </c>
      <c r="I1140" s="79">
        <v>0.98256891394936086</v>
      </c>
      <c r="J1140" s="79">
        <v>9.7635863820106597E-2</v>
      </c>
      <c r="K1140" s="79">
        <v>0.85706942158695898</v>
      </c>
      <c r="L1140" s="79">
        <v>0.96964513668720897</v>
      </c>
      <c r="M1140" s="80">
        <v>1</v>
      </c>
      <c r="N1140" s="79">
        <v>1.2745968713806997</v>
      </c>
      <c r="O1140" s="79">
        <v>9.6829551470887398E-2</v>
      </c>
      <c r="P1140" s="79">
        <v>1.22194477605665E-2</v>
      </c>
      <c r="Q1140" s="79">
        <v>2.7990034671767E-2</v>
      </c>
      <c r="R1140" s="80">
        <v>1</v>
      </c>
      <c r="S1140" s="79">
        <v>1.091056005644661</v>
      </c>
      <c r="T1140" s="79">
        <v>9.7102560874423594E-2</v>
      </c>
      <c r="U1140" s="79">
        <v>0.36947144597170301</v>
      </c>
      <c r="V1140" s="79">
        <v>0.46056902253250598</v>
      </c>
      <c r="W1140" s="79">
        <v>1</v>
      </c>
    </row>
    <row r="1141" spans="1:23" x14ac:dyDescent="0.2">
      <c r="A1141" s="69"/>
      <c r="B1141" s="84" t="s">
        <v>2819</v>
      </c>
      <c r="C1141" s="78">
        <v>5509</v>
      </c>
      <c r="D1141" s="79">
        <v>1.0351146525574346</v>
      </c>
      <c r="E1141" s="79">
        <v>9.0835131999999999E-2</v>
      </c>
      <c r="F1141" s="79">
        <v>0.703987535</v>
      </c>
      <c r="G1141" s="79">
        <v>0.98545101377932998</v>
      </c>
      <c r="H1141" s="80">
        <v>1</v>
      </c>
      <c r="I1141" s="79">
        <v>1.0788171870283108</v>
      </c>
      <c r="J1141" s="79">
        <v>9.0824479535516395E-2</v>
      </c>
      <c r="K1141" s="79">
        <v>0.40355156907152301</v>
      </c>
      <c r="L1141" s="79">
        <v>0.83581181467964405</v>
      </c>
      <c r="M1141" s="80">
        <v>1</v>
      </c>
      <c r="N1141" s="79">
        <v>1.1090891482517553</v>
      </c>
      <c r="O1141" s="79">
        <v>8.95430743905129E-2</v>
      </c>
      <c r="P1141" s="79">
        <v>0.247556484797534</v>
      </c>
      <c r="Q1141" s="79">
        <v>0.32723872834174</v>
      </c>
      <c r="R1141" s="80">
        <v>1</v>
      </c>
      <c r="S1141" s="79">
        <v>1.1413827688212641</v>
      </c>
      <c r="T1141" s="79">
        <v>9.0096213576183901E-2</v>
      </c>
      <c r="U1141" s="79">
        <v>0.14216682040645101</v>
      </c>
      <c r="V1141" s="79">
        <v>0.215286032333874</v>
      </c>
      <c r="W1141" s="79">
        <v>1</v>
      </c>
    </row>
    <row r="1142" spans="1:23" x14ac:dyDescent="0.2">
      <c r="A1142" s="69"/>
      <c r="B1142" s="84" t="s">
        <v>2820</v>
      </c>
      <c r="C1142" s="78">
        <v>5509</v>
      </c>
      <c r="D1142" s="79">
        <v>1.021916688135206</v>
      </c>
      <c r="E1142" s="79">
        <v>7.5875859000000004E-2</v>
      </c>
      <c r="F1142" s="79">
        <v>0.77508531999999997</v>
      </c>
      <c r="G1142" s="79">
        <v>0.98545101377932998</v>
      </c>
      <c r="H1142" s="80">
        <v>1</v>
      </c>
      <c r="I1142" s="79">
        <v>1.1091552620408551</v>
      </c>
      <c r="J1142" s="79">
        <v>7.5220441215629902E-2</v>
      </c>
      <c r="K1142" s="79">
        <v>0.16842943046192499</v>
      </c>
      <c r="L1142" s="79">
        <v>0.69119364508706604</v>
      </c>
      <c r="M1142" s="80">
        <v>1</v>
      </c>
      <c r="N1142" s="79">
        <v>1.1730348163517887</v>
      </c>
      <c r="O1142" s="79">
        <v>7.4458713961209497E-2</v>
      </c>
      <c r="P1142" s="79">
        <v>3.2081593070873902E-2</v>
      </c>
      <c r="Q1142" s="79">
        <v>6.0854322282419999E-2</v>
      </c>
      <c r="R1142" s="80">
        <v>1</v>
      </c>
      <c r="S1142" s="79">
        <v>1.2535272956365278</v>
      </c>
      <c r="T1142" s="79">
        <v>7.5212947362779198E-2</v>
      </c>
      <c r="U1142" s="79">
        <v>2.6620252358023002E-3</v>
      </c>
      <c r="V1142" s="79">
        <v>9.7916232586467197E-3</v>
      </c>
      <c r="W1142" s="79">
        <v>1</v>
      </c>
    </row>
    <row r="1143" spans="1:23" x14ac:dyDescent="0.2">
      <c r="A1143" s="69"/>
      <c r="B1143" s="84" t="s">
        <v>2821</v>
      </c>
      <c r="C1143" s="78">
        <v>5509</v>
      </c>
      <c r="D1143" s="79">
        <v>1.0925174910785538</v>
      </c>
      <c r="E1143" s="79">
        <v>0.102157185</v>
      </c>
      <c r="F1143" s="79">
        <v>0.38640140299999998</v>
      </c>
      <c r="G1143" s="79">
        <v>0.88028889169354796</v>
      </c>
      <c r="H1143" s="80">
        <v>1</v>
      </c>
      <c r="I1143" s="79">
        <v>1.139763300500471</v>
      </c>
      <c r="J1143" s="79">
        <v>0.101039055366395</v>
      </c>
      <c r="K1143" s="79">
        <v>0.19540548551678999</v>
      </c>
      <c r="L1143" s="79">
        <v>0.71347894824854996</v>
      </c>
      <c r="M1143" s="80">
        <v>1</v>
      </c>
      <c r="N1143" s="79">
        <v>1.202386519328648</v>
      </c>
      <c r="O1143" s="79">
        <v>9.9980285529902693E-2</v>
      </c>
      <c r="P1143" s="79">
        <v>6.5263787075712801E-2</v>
      </c>
      <c r="Q1143" s="79">
        <v>0.110573759411321</v>
      </c>
      <c r="R1143" s="80">
        <v>1</v>
      </c>
      <c r="S1143" s="79">
        <v>1.3522967792348795</v>
      </c>
      <c r="T1143" s="79">
        <v>0.10077963827090899</v>
      </c>
      <c r="U1143" s="79">
        <v>2.7471773032318402E-3</v>
      </c>
      <c r="V1143" s="79">
        <v>9.9716363359299703E-3</v>
      </c>
      <c r="W1143" s="79">
        <v>1</v>
      </c>
    </row>
    <row r="1144" spans="1:23" x14ac:dyDescent="0.2">
      <c r="A1144" s="69"/>
      <c r="B1144" s="84" t="s">
        <v>2822</v>
      </c>
      <c r="C1144" s="78">
        <v>5509</v>
      </c>
      <c r="D1144" s="79">
        <v>1.1005537519508568</v>
      </c>
      <c r="E1144" s="79">
        <v>3.6492383000000003E-2</v>
      </c>
      <c r="F1144" s="79">
        <v>8.6502920000000004E-3</v>
      </c>
      <c r="G1144" s="79">
        <v>0.27443051369999999</v>
      </c>
      <c r="H1144" s="80">
        <v>1</v>
      </c>
      <c r="I1144" s="79">
        <v>0.97846142745676579</v>
      </c>
      <c r="J1144" s="79">
        <v>3.6131239962431297E-2</v>
      </c>
      <c r="K1144" s="79">
        <v>0.54675220898684396</v>
      </c>
      <c r="L1144" s="79">
        <v>0.90479901831250598</v>
      </c>
      <c r="M1144" s="80">
        <v>1</v>
      </c>
      <c r="N1144" s="79">
        <v>1.0381403904787982</v>
      </c>
      <c r="O1144" s="79">
        <v>3.5929913475646898E-2</v>
      </c>
      <c r="P1144" s="79">
        <v>0.29751418847877398</v>
      </c>
      <c r="Q1144" s="79">
        <v>0.37982445189091002</v>
      </c>
      <c r="R1144" s="80">
        <v>1</v>
      </c>
      <c r="S1144" s="81">
        <v>1.1595881820699958</v>
      </c>
      <c r="T1144" s="81">
        <v>3.59955120498123E-2</v>
      </c>
      <c r="U1144" s="81">
        <v>3.8982762630313203E-5</v>
      </c>
      <c r="V1144" s="81">
        <v>4.0877622737852E-4</v>
      </c>
      <c r="W1144" s="81">
        <v>4.9469125777867502E-2</v>
      </c>
    </row>
    <row r="1145" spans="1:23" x14ac:dyDescent="0.2">
      <c r="A1145" s="69"/>
      <c r="B1145" s="84" t="s">
        <v>2823</v>
      </c>
      <c r="C1145" s="78">
        <v>5509</v>
      </c>
      <c r="D1145" s="79">
        <v>0.98928285820408479</v>
      </c>
      <c r="E1145" s="79">
        <v>3.7698634000000002E-2</v>
      </c>
      <c r="F1145" s="79">
        <v>0.77501680100000003</v>
      </c>
      <c r="G1145" s="79">
        <v>0.98545101377932998</v>
      </c>
      <c r="H1145" s="80">
        <v>1</v>
      </c>
      <c r="I1145" s="79">
        <v>0.91441831222454217</v>
      </c>
      <c r="J1145" s="79">
        <v>3.7462331260060003E-2</v>
      </c>
      <c r="K1145" s="79">
        <v>1.6931616185114799E-2</v>
      </c>
      <c r="L1145" s="79">
        <v>0.41909202640396798</v>
      </c>
      <c r="M1145" s="80">
        <v>1</v>
      </c>
      <c r="N1145" s="79">
        <v>1.014727485229965</v>
      </c>
      <c r="O1145" s="79">
        <v>3.7218176357714398E-2</v>
      </c>
      <c r="P1145" s="79">
        <v>0.69445153973999996</v>
      </c>
      <c r="Q1145" s="79">
        <v>0.751286448363223</v>
      </c>
      <c r="R1145" s="80">
        <v>1</v>
      </c>
      <c r="S1145" s="79">
        <v>1.0039808245695661</v>
      </c>
      <c r="T1145" s="79">
        <v>3.6989576826963202E-2</v>
      </c>
      <c r="U1145" s="79">
        <v>0.91446647514997104</v>
      </c>
      <c r="V1145" s="79">
        <v>0.93736507024661797</v>
      </c>
      <c r="W1145" s="79">
        <v>1</v>
      </c>
    </row>
    <row r="1146" spans="1:23" x14ac:dyDescent="0.2">
      <c r="A1146" s="69"/>
      <c r="B1146" s="84" t="s">
        <v>2824</v>
      </c>
      <c r="C1146" s="78">
        <v>5509</v>
      </c>
      <c r="D1146" s="79">
        <v>1.0041367046393914</v>
      </c>
      <c r="E1146" s="79">
        <v>8.0200454000000004E-2</v>
      </c>
      <c r="F1146" s="79">
        <v>0.95894847599999999</v>
      </c>
      <c r="G1146" s="79">
        <v>0.991673151733656</v>
      </c>
      <c r="H1146" s="80">
        <v>1</v>
      </c>
      <c r="I1146" s="79">
        <v>1.1448278290911906</v>
      </c>
      <c r="J1146" s="79">
        <v>7.9783064147316798E-2</v>
      </c>
      <c r="K1146" s="79">
        <v>9.0023207955545706E-2</v>
      </c>
      <c r="L1146" s="79">
        <v>0.59811020064394504</v>
      </c>
      <c r="M1146" s="80">
        <v>1</v>
      </c>
      <c r="N1146" s="79">
        <v>1.1923131610347548</v>
      </c>
      <c r="O1146" s="79">
        <v>7.9093398591140202E-2</v>
      </c>
      <c r="P1146" s="79">
        <v>2.6155646148951099E-2</v>
      </c>
      <c r="Q1146" s="79">
        <v>5.1300641364789699E-2</v>
      </c>
      <c r="R1146" s="80">
        <v>1</v>
      </c>
      <c r="S1146" s="79">
        <v>1.338719380248371</v>
      </c>
      <c r="T1146" s="79">
        <v>7.9405329937819E-2</v>
      </c>
      <c r="U1146" s="79">
        <v>2.3903852303726301E-4</v>
      </c>
      <c r="V1146" s="79">
        <v>1.5476524782361599E-3</v>
      </c>
      <c r="W1146" s="79">
        <v>0.303339885734287</v>
      </c>
    </row>
    <row r="1147" spans="1:23" x14ac:dyDescent="0.2">
      <c r="A1147" s="69"/>
      <c r="B1147" s="84" t="s">
        <v>2825</v>
      </c>
      <c r="C1147" s="78">
        <v>5509</v>
      </c>
      <c r="D1147" s="79">
        <v>1.0083710015237479</v>
      </c>
      <c r="E1147" s="79">
        <v>6.2247574E-2</v>
      </c>
      <c r="F1147" s="79">
        <v>0.89346629099999997</v>
      </c>
      <c r="G1147" s="79">
        <v>0.991673151733656</v>
      </c>
      <c r="H1147" s="80">
        <v>1</v>
      </c>
      <c r="I1147" s="79">
        <v>1.1051307267180335</v>
      </c>
      <c r="J1147" s="79">
        <v>6.1905505176354299E-2</v>
      </c>
      <c r="K1147" s="79">
        <v>0.10635883202360499</v>
      </c>
      <c r="L1147" s="79">
        <v>0.62424045135977002</v>
      </c>
      <c r="M1147" s="80">
        <v>1</v>
      </c>
      <c r="N1147" s="79">
        <v>1.1460849534988324</v>
      </c>
      <c r="O1147" s="79">
        <v>6.11844330710326E-2</v>
      </c>
      <c r="P1147" s="79">
        <v>2.5844756172382001E-2</v>
      </c>
      <c r="Q1147" s="79">
        <v>5.1006213970066501E-2</v>
      </c>
      <c r="R1147" s="80">
        <v>1</v>
      </c>
      <c r="S1147" s="81">
        <v>1.346959887800933</v>
      </c>
      <c r="T1147" s="81">
        <v>6.1750272178991497E-2</v>
      </c>
      <c r="U1147" s="81">
        <v>1.4108735038296E-6</v>
      </c>
      <c r="V1147" s="81">
        <v>3.8478770741407301E-5</v>
      </c>
      <c r="W1147" s="81">
        <v>1.7903984763597599E-3</v>
      </c>
    </row>
    <row r="1148" spans="1:23" x14ac:dyDescent="0.2">
      <c r="A1148" s="69"/>
      <c r="B1148" s="84" t="s">
        <v>2826</v>
      </c>
      <c r="C1148" s="78">
        <v>5509</v>
      </c>
      <c r="D1148" s="79">
        <v>1.1442174859670196</v>
      </c>
      <c r="E1148" s="79">
        <v>5.3716013E-2</v>
      </c>
      <c r="F1148" s="79">
        <v>1.2140883E-2</v>
      </c>
      <c r="G1148" s="79">
        <v>0.30813561053999999</v>
      </c>
      <c r="H1148" s="80">
        <v>1</v>
      </c>
      <c r="I1148" s="79">
        <v>0.98587599128367343</v>
      </c>
      <c r="J1148" s="79">
        <v>5.29774872723211E-2</v>
      </c>
      <c r="K1148" s="79">
        <v>0.788310894605046</v>
      </c>
      <c r="L1148" s="79">
        <v>0.95970310918962698</v>
      </c>
      <c r="M1148" s="80">
        <v>1</v>
      </c>
      <c r="N1148" s="79">
        <v>1.1194420683577579</v>
      </c>
      <c r="O1148" s="79">
        <v>5.2859052652575601E-2</v>
      </c>
      <c r="P1148" s="79">
        <v>3.2797604213919598E-2</v>
      </c>
      <c r="Q1148" s="79">
        <v>6.1934761528964301E-2</v>
      </c>
      <c r="R1148" s="80">
        <v>1</v>
      </c>
      <c r="S1148" s="79">
        <v>1.1686251707776805</v>
      </c>
      <c r="T1148" s="79">
        <v>5.29318989643063E-2</v>
      </c>
      <c r="U1148" s="79">
        <v>3.24069631860962E-3</v>
      </c>
      <c r="V1148" s="79">
        <v>1.0995838578384E-2</v>
      </c>
      <c r="W1148" s="79">
        <v>1</v>
      </c>
    </row>
    <row r="1149" spans="1:23" x14ac:dyDescent="0.2">
      <c r="A1149" s="69"/>
      <c r="B1149" s="84" t="s">
        <v>2827</v>
      </c>
      <c r="C1149" s="78">
        <v>5509</v>
      </c>
      <c r="D1149" s="79">
        <v>1.0875147085579531</v>
      </c>
      <c r="E1149" s="79">
        <v>4.4995312000000003E-2</v>
      </c>
      <c r="F1149" s="79">
        <v>6.2247624000000001E-2</v>
      </c>
      <c r="G1149" s="79">
        <v>0.50823687530769202</v>
      </c>
      <c r="H1149" s="80">
        <v>1</v>
      </c>
      <c r="I1149" s="79">
        <v>1.0307314857851559</v>
      </c>
      <c r="J1149" s="79">
        <v>4.4758055978323497E-2</v>
      </c>
      <c r="K1149" s="79">
        <v>0.49886639915493503</v>
      </c>
      <c r="L1149" s="79">
        <v>0.88650784260657001</v>
      </c>
      <c r="M1149" s="80">
        <v>1</v>
      </c>
      <c r="N1149" s="79">
        <v>1.10834041953382</v>
      </c>
      <c r="O1149" s="79">
        <v>4.4427534224888099E-2</v>
      </c>
      <c r="P1149" s="79">
        <v>2.0595647035854099E-2</v>
      </c>
      <c r="Q1149" s="79">
        <v>4.2291061631875203E-2</v>
      </c>
      <c r="R1149" s="80">
        <v>1</v>
      </c>
      <c r="S1149" s="79">
        <v>1.1970640701266717</v>
      </c>
      <c r="T1149" s="79">
        <v>4.4487232452243501E-2</v>
      </c>
      <c r="U1149" s="79">
        <v>5.2720678627931299E-5</v>
      </c>
      <c r="V1149" s="79">
        <v>4.8833971663390398E-4</v>
      </c>
      <c r="W1149" s="79">
        <v>6.6902541178844796E-2</v>
      </c>
    </row>
    <row r="1150" spans="1:23" x14ac:dyDescent="0.2">
      <c r="A1150" s="69"/>
      <c r="B1150" s="84" t="s">
        <v>2828</v>
      </c>
      <c r="C1150" s="78">
        <v>5509</v>
      </c>
      <c r="D1150" s="79">
        <v>0.97767413477095977</v>
      </c>
      <c r="E1150" s="79">
        <v>6.8915429E-2</v>
      </c>
      <c r="F1150" s="79">
        <v>0.743190358</v>
      </c>
      <c r="G1150" s="79">
        <v>0.98545101377932998</v>
      </c>
      <c r="H1150" s="80">
        <v>1</v>
      </c>
      <c r="I1150" s="79">
        <v>1.0399498114374248</v>
      </c>
      <c r="J1150" s="79">
        <v>6.85473310472966E-2</v>
      </c>
      <c r="K1150" s="79">
        <v>0.56768395282488004</v>
      </c>
      <c r="L1150" s="79">
        <v>0.911324282187712</v>
      </c>
      <c r="M1150" s="80">
        <v>1</v>
      </c>
      <c r="N1150" s="79">
        <v>1.1795158451693577</v>
      </c>
      <c r="O1150" s="79">
        <v>6.7954921030178E-2</v>
      </c>
      <c r="P1150" s="79">
        <v>1.51150174174353E-2</v>
      </c>
      <c r="Q1150" s="79">
        <v>3.32425599700613E-2</v>
      </c>
      <c r="R1150" s="80">
        <v>1</v>
      </c>
      <c r="S1150" s="81">
        <v>1.3240874928762671</v>
      </c>
      <c r="T1150" s="81">
        <v>6.8180824017758906E-2</v>
      </c>
      <c r="U1150" s="81">
        <v>3.8327278762855702E-5</v>
      </c>
      <c r="V1150" s="81">
        <v>4.0531097291719899E-4</v>
      </c>
      <c r="W1150" s="81">
        <v>4.86373167500639E-2</v>
      </c>
    </row>
    <row r="1151" spans="1:23" x14ac:dyDescent="0.2">
      <c r="A1151" s="69"/>
      <c r="B1151" s="84" t="s">
        <v>2829</v>
      </c>
      <c r="C1151" s="78">
        <v>5509</v>
      </c>
      <c r="D1151" s="79">
        <v>1.0307542873054441</v>
      </c>
      <c r="E1151" s="79">
        <v>6.1698237000000003E-2</v>
      </c>
      <c r="F1151" s="79">
        <v>0.62346063699999998</v>
      </c>
      <c r="G1151" s="79">
        <v>0.97058889595588205</v>
      </c>
      <c r="H1151" s="80">
        <v>1</v>
      </c>
      <c r="I1151" s="79">
        <v>1.0048554038550459</v>
      </c>
      <c r="J1151" s="79">
        <v>6.1005384433326898E-2</v>
      </c>
      <c r="K1151" s="79">
        <v>0.93671672580996101</v>
      </c>
      <c r="L1151" s="79">
        <v>0.981200184300273</v>
      </c>
      <c r="M1151" s="80">
        <v>1</v>
      </c>
      <c r="N1151" s="79">
        <v>0.96876090543010263</v>
      </c>
      <c r="O1151" s="79">
        <v>6.06165468128433E-2</v>
      </c>
      <c r="P1151" s="79">
        <v>0.60057265100681601</v>
      </c>
      <c r="Q1151" s="79">
        <v>0.67925730314407295</v>
      </c>
      <c r="R1151" s="80">
        <v>1</v>
      </c>
      <c r="S1151" s="79">
        <v>1.248007444568016</v>
      </c>
      <c r="T1151" s="79">
        <v>6.0765105021740401E-2</v>
      </c>
      <c r="U1151" s="79">
        <v>2.6637678208757702E-4</v>
      </c>
      <c r="V1151" s="79">
        <v>1.6734264181640401E-3</v>
      </c>
      <c r="W1151" s="79">
        <v>0.33803213646913499</v>
      </c>
    </row>
    <row r="1152" spans="1:23" x14ac:dyDescent="0.2">
      <c r="A1152" s="69"/>
      <c r="B1152" s="84" t="s">
        <v>2830</v>
      </c>
      <c r="C1152" s="78">
        <v>5509</v>
      </c>
      <c r="D1152" s="79">
        <v>0.99491393405692596</v>
      </c>
      <c r="E1152" s="79">
        <v>4.4727596000000001E-2</v>
      </c>
      <c r="F1152" s="79">
        <v>0.90923605699999999</v>
      </c>
      <c r="G1152" s="79">
        <v>0.991673151733656</v>
      </c>
      <c r="H1152" s="80">
        <v>1</v>
      </c>
      <c r="I1152" s="79">
        <v>1.0044913339004873</v>
      </c>
      <c r="J1152" s="79">
        <v>4.4405732931503801E-2</v>
      </c>
      <c r="K1152" s="79">
        <v>0.91961662310263104</v>
      </c>
      <c r="L1152" s="79">
        <v>0.981200184300273</v>
      </c>
      <c r="M1152" s="80">
        <v>1</v>
      </c>
      <c r="N1152" s="79">
        <v>1.0693471033174813</v>
      </c>
      <c r="O1152" s="79">
        <v>4.4122336240570097E-2</v>
      </c>
      <c r="P1152" s="79">
        <v>0.12861167316932801</v>
      </c>
      <c r="Q1152" s="79">
        <v>0.19208290484064999</v>
      </c>
      <c r="R1152" s="80">
        <v>1</v>
      </c>
      <c r="S1152" s="79">
        <v>1.1118335153894696</v>
      </c>
      <c r="T1152" s="79">
        <v>4.3946685442258701E-2</v>
      </c>
      <c r="U1152" s="79">
        <v>1.58543307175678E-2</v>
      </c>
      <c r="V1152" s="79">
        <v>3.6646895593066602E-2</v>
      </c>
      <c r="W1152" s="79">
        <v>1</v>
      </c>
    </row>
    <row r="1153" spans="1:23" x14ac:dyDescent="0.2">
      <c r="A1153" s="69"/>
      <c r="B1153" s="84" t="s">
        <v>2831</v>
      </c>
      <c r="C1153" s="78">
        <v>5509</v>
      </c>
      <c r="D1153" s="79">
        <v>1.0577212596114816</v>
      </c>
      <c r="E1153" s="79">
        <v>3.4382581000000002E-2</v>
      </c>
      <c r="F1153" s="79">
        <v>0.102652124</v>
      </c>
      <c r="G1153" s="79">
        <v>0.61409274316589901</v>
      </c>
      <c r="H1153" s="80">
        <v>1</v>
      </c>
      <c r="I1153" s="79">
        <v>0.96809407128163749</v>
      </c>
      <c r="J1153" s="79">
        <v>3.4120307865414E-2</v>
      </c>
      <c r="K1153" s="79">
        <v>0.34193770451141903</v>
      </c>
      <c r="L1153" s="79">
        <v>0.80020788839305201</v>
      </c>
      <c r="M1153" s="80">
        <v>1</v>
      </c>
      <c r="N1153" s="79">
        <v>1.0509498485694841</v>
      </c>
      <c r="O1153" s="79">
        <v>3.3936997619600701E-2</v>
      </c>
      <c r="P1153" s="79">
        <v>0.14310855832168401</v>
      </c>
      <c r="Q1153" s="79">
        <v>0.21043425319839701</v>
      </c>
      <c r="R1153" s="80">
        <v>1</v>
      </c>
      <c r="S1153" s="79">
        <v>1.1140829400737049</v>
      </c>
      <c r="T1153" s="79">
        <v>3.3836774860507797E-2</v>
      </c>
      <c r="U1153" s="79">
        <v>1.4093602703406599E-3</v>
      </c>
      <c r="V1153" s="79">
        <v>5.9815323848237401E-3</v>
      </c>
      <c r="W1153" s="79">
        <v>1</v>
      </c>
    </row>
    <row r="1154" spans="1:23" x14ac:dyDescent="0.2">
      <c r="A1154" s="69"/>
      <c r="B1154" s="84" t="s">
        <v>2832</v>
      </c>
      <c r="C1154" s="78">
        <v>5509</v>
      </c>
      <c r="D1154" s="79">
        <v>1.0764782249695464</v>
      </c>
      <c r="E1154" s="79">
        <v>3.6488133999999998E-2</v>
      </c>
      <c r="F1154" s="79">
        <v>4.3415293000000001E-2</v>
      </c>
      <c r="G1154" s="79">
        <v>0.450921001285714</v>
      </c>
      <c r="H1154" s="80">
        <v>1</v>
      </c>
      <c r="I1154" s="79">
        <v>0.97708299298284085</v>
      </c>
      <c r="J1154" s="79">
        <v>3.6156918940365997E-2</v>
      </c>
      <c r="K1154" s="79">
        <v>0.52139513268500504</v>
      </c>
      <c r="L1154" s="79">
        <v>0.89898155350172704</v>
      </c>
      <c r="M1154" s="80">
        <v>1</v>
      </c>
      <c r="N1154" s="79">
        <v>1.0567569955311724</v>
      </c>
      <c r="O1154" s="79">
        <v>3.6010257469353803E-2</v>
      </c>
      <c r="P1154" s="79">
        <v>0.12526863242274799</v>
      </c>
      <c r="Q1154" s="79">
        <v>0.18790294863412199</v>
      </c>
      <c r="R1154" s="80">
        <v>1</v>
      </c>
      <c r="S1154" s="79">
        <v>1.1069224575915877</v>
      </c>
      <c r="T1154" s="79">
        <v>3.5862607517743401E-2</v>
      </c>
      <c r="U1154" s="79">
        <v>4.6174416725320204E-3</v>
      </c>
      <c r="V1154" s="79">
        <v>1.4432348478924001E-2</v>
      </c>
      <c r="W1154" s="79">
        <v>1</v>
      </c>
    </row>
    <row r="1155" spans="1:23" x14ac:dyDescent="0.2">
      <c r="A1155" s="69"/>
      <c r="B1155" s="84" t="s">
        <v>2833</v>
      </c>
      <c r="C1155" s="78">
        <v>5509</v>
      </c>
      <c r="D1155" s="79">
        <v>1.0518946071717281</v>
      </c>
      <c r="E1155" s="79">
        <v>3.5061728E-2</v>
      </c>
      <c r="F1155" s="79">
        <v>0.14902969499999999</v>
      </c>
      <c r="G1155" s="79">
        <v>0.67644481499999998</v>
      </c>
      <c r="H1155" s="80">
        <v>1</v>
      </c>
      <c r="I1155" s="79">
        <v>0.94886588465413113</v>
      </c>
      <c r="J1155" s="79">
        <v>3.4778661255417398E-2</v>
      </c>
      <c r="K1155" s="79">
        <v>0.13124872624396899</v>
      </c>
      <c r="L1155" s="79">
        <v>0.65283885689403798</v>
      </c>
      <c r="M1155" s="80">
        <v>1</v>
      </c>
      <c r="N1155" s="79">
        <v>1.0561392464467665</v>
      </c>
      <c r="O1155" s="79">
        <v>3.4624086046477799E-2</v>
      </c>
      <c r="P1155" s="79">
        <v>0.114676916329946</v>
      </c>
      <c r="Q1155" s="79">
        <v>0.175120345153672</v>
      </c>
      <c r="R1155" s="80">
        <v>1</v>
      </c>
      <c r="S1155" s="79">
        <v>1.0854001835283014</v>
      </c>
      <c r="T1155" s="79">
        <v>3.4451987109724698E-2</v>
      </c>
      <c r="U1155" s="79">
        <v>1.7376805150711001E-2</v>
      </c>
      <c r="V1155" s="79">
        <v>3.9447523678447699E-2</v>
      </c>
      <c r="W1155" s="79">
        <v>1</v>
      </c>
    </row>
    <row r="1156" spans="1:23" x14ac:dyDescent="0.2">
      <c r="A1156" s="69"/>
      <c r="B1156" s="84" t="s">
        <v>2834</v>
      </c>
      <c r="C1156" s="78">
        <v>5509</v>
      </c>
      <c r="D1156" s="79">
        <v>1.0902095767425657</v>
      </c>
      <c r="E1156" s="79">
        <v>4.7627406999999997E-2</v>
      </c>
      <c r="F1156" s="79">
        <v>6.9762352E-2</v>
      </c>
      <c r="G1156" s="79">
        <v>0.5365359072</v>
      </c>
      <c r="H1156" s="80">
        <v>1</v>
      </c>
      <c r="I1156" s="79">
        <v>1.0315176047659624</v>
      </c>
      <c r="J1156" s="79">
        <v>4.7200987168290597E-2</v>
      </c>
      <c r="K1156" s="79">
        <v>0.51090752383776705</v>
      </c>
      <c r="L1156" s="79">
        <v>0.89454937074195695</v>
      </c>
      <c r="M1156" s="80">
        <v>1</v>
      </c>
      <c r="N1156" s="79">
        <v>1.0774213532902233</v>
      </c>
      <c r="O1156" s="79">
        <v>4.6789046617435402E-2</v>
      </c>
      <c r="P1156" s="79">
        <v>0.110989611084406</v>
      </c>
      <c r="Q1156" s="79">
        <v>0.17072220177710501</v>
      </c>
      <c r="R1156" s="80">
        <v>1</v>
      </c>
      <c r="S1156" s="81">
        <v>1.2279369095154191</v>
      </c>
      <c r="T1156" s="81">
        <v>4.7001711475653997E-2</v>
      </c>
      <c r="U1156" s="81">
        <v>1.2499958565702E-5</v>
      </c>
      <c r="V1156" s="81">
        <v>1.83996987245228E-4</v>
      </c>
      <c r="W1156" s="81">
        <v>1.5862447419875799E-2</v>
      </c>
    </row>
    <row r="1157" spans="1:23" x14ac:dyDescent="0.2">
      <c r="A1157" s="69"/>
      <c r="B1157" s="84" t="s">
        <v>2835</v>
      </c>
      <c r="C1157" s="78">
        <v>5509</v>
      </c>
      <c r="D1157" s="79">
        <v>1.0126285683261413</v>
      </c>
      <c r="E1157" s="79">
        <v>5.9741692999999998E-2</v>
      </c>
      <c r="F1157" s="79">
        <v>0.83361884900000005</v>
      </c>
      <c r="G1157" s="79">
        <v>0.98545101377932998</v>
      </c>
      <c r="H1157" s="80">
        <v>1</v>
      </c>
      <c r="I1157" s="79">
        <v>0.90636673970536175</v>
      </c>
      <c r="J1157" s="79">
        <v>5.9177165672847198E-2</v>
      </c>
      <c r="K1157" s="79">
        <v>9.6652397438516599E-2</v>
      </c>
      <c r="L1157" s="79">
        <v>0.60990514139077301</v>
      </c>
      <c r="M1157" s="80">
        <v>1</v>
      </c>
      <c r="N1157" s="79">
        <v>1.0479534580231116</v>
      </c>
      <c r="O1157" s="79">
        <v>5.8877947655113297E-2</v>
      </c>
      <c r="P1157" s="79">
        <v>0.42630525796646801</v>
      </c>
      <c r="Q1157" s="79">
        <v>0.51132454854390197</v>
      </c>
      <c r="R1157" s="80">
        <v>1</v>
      </c>
      <c r="S1157" s="79">
        <v>0.92330344235458661</v>
      </c>
      <c r="T1157" s="79">
        <v>5.8526085838899601E-2</v>
      </c>
      <c r="U1157" s="79">
        <v>0.17274100048295299</v>
      </c>
      <c r="V1157" s="79">
        <v>0.25225354385830501</v>
      </c>
      <c r="W1157" s="79">
        <v>1</v>
      </c>
    </row>
    <row r="1158" spans="1:23" x14ac:dyDescent="0.2">
      <c r="A1158" s="69"/>
      <c r="B1158" s="84" t="s">
        <v>2836</v>
      </c>
      <c r="C1158" s="78">
        <v>5509</v>
      </c>
      <c r="D1158" s="79">
        <v>1.0083836082568136</v>
      </c>
      <c r="E1158" s="79">
        <v>4.5208591999999999E-2</v>
      </c>
      <c r="F1158" s="79">
        <v>0.85348804499999997</v>
      </c>
      <c r="G1158" s="79">
        <v>0.98552821438803295</v>
      </c>
      <c r="H1158" s="80">
        <v>1</v>
      </c>
      <c r="I1158" s="79">
        <v>0.90058274444681918</v>
      </c>
      <c r="J1158" s="79">
        <v>4.4659590795229798E-2</v>
      </c>
      <c r="K1158" s="79">
        <v>1.9042521691869398E-2</v>
      </c>
      <c r="L1158" s="79">
        <v>0.41909202640396798</v>
      </c>
      <c r="M1158" s="80">
        <v>1</v>
      </c>
      <c r="N1158" s="79">
        <v>1.0276028736938292</v>
      </c>
      <c r="O1158" s="79">
        <v>4.4553502707326498E-2</v>
      </c>
      <c r="P1158" s="79">
        <v>0.54110162454015698</v>
      </c>
      <c r="Q1158" s="79">
        <v>0.61861077616347704</v>
      </c>
      <c r="R1158" s="80">
        <v>1</v>
      </c>
      <c r="S1158" s="79">
        <v>1.0578554692133046</v>
      </c>
      <c r="T1158" s="79">
        <v>4.4588310981018398E-2</v>
      </c>
      <c r="U1158" s="79">
        <v>0.207164598052579</v>
      </c>
      <c r="V1158" s="79">
        <v>0.29275264468677398</v>
      </c>
      <c r="W1158" s="79">
        <v>1</v>
      </c>
    </row>
    <row r="1159" spans="1:23" x14ac:dyDescent="0.2">
      <c r="A1159" s="69"/>
      <c r="B1159" s="84" t="s">
        <v>2551</v>
      </c>
      <c r="C1159" s="78">
        <v>5531</v>
      </c>
      <c r="D1159" s="79">
        <v>0.93097287543556317</v>
      </c>
      <c r="E1159" s="79">
        <v>7.1887382999999999E-2</v>
      </c>
      <c r="F1159" s="79">
        <v>0.31975526500000001</v>
      </c>
      <c r="G1159" s="79">
        <v>0.85245678841386596</v>
      </c>
      <c r="H1159" s="80">
        <v>1</v>
      </c>
      <c r="I1159" s="79">
        <v>1.0870315865445555</v>
      </c>
      <c r="J1159" s="79">
        <v>7.1870962223071405E-2</v>
      </c>
      <c r="K1159" s="79">
        <v>0.24559392544467801</v>
      </c>
      <c r="L1159" s="79">
        <v>0.75037318131730402</v>
      </c>
      <c r="M1159" s="80">
        <v>1</v>
      </c>
      <c r="N1159" s="79">
        <v>1.1577321739777251</v>
      </c>
      <c r="O1159" s="79">
        <v>7.0924314399863797E-2</v>
      </c>
      <c r="P1159" s="79">
        <v>3.8917184231844197E-2</v>
      </c>
      <c r="Q1159" s="79">
        <v>7.1677658621495305E-2</v>
      </c>
      <c r="R1159" s="80">
        <v>1</v>
      </c>
      <c r="S1159" s="79">
        <v>1.2309170871880188</v>
      </c>
      <c r="T1159" s="79">
        <v>7.1236338349772999E-2</v>
      </c>
      <c r="U1159" s="79">
        <v>3.5400327048561498E-3</v>
      </c>
      <c r="V1159" s="79">
        <v>1.1801235448673101E-2</v>
      </c>
      <c r="W1159" s="79">
        <v>1</v>
      </c>
    </row>
    <row r="1160" spans="1:23" x14ac:dyDescent="0.2">
      <c r="A1160" s="69"/>
      <c r="B1160" s="84" t="s">
        <v>2837</v>
      </c>
      <c r="C1160" s="78">
        <v>5509</v>
      </c>
      <c r="D1160" s="79">
        <v>1.0357565490934613</v>
      </c>
      <c r="E1160" s="79">
        <v>5.3024249000000002E-2</v>
      </c>
      <c r="F1160" s="79">
        <v>0.50760781899999996</v>
      </c>
      <c r="G1160" s="79">
        <v>0.92884339055395704</v>
      </c>
      <c r="H1160" s="80">
        <v>1</v>
      </c>
      <c r="I1160" s="79">
        <v>0.94073184585607061</v>
      </c>
      <c r="J1160" s="79">
        <v>5.2272908378881801E-2</v>
      </c>
      <c r="K1160" s="79">
        <v>0.24247981139204899</v>
      </c>
      <c r="L1160" s="79">
        <v>0.74867854174333404</v>
      </c>
      <c r="M1160" s="80">
        <v>1</v>
      </c>
      <c r="N1160" s="79">
        <v>1.0932273689202956</v>
      </c>
      <c r="O1160" s="79">
        <v>5.2195733701589697E-2</v>
      </c>
      <c r="P1160" s="79">
        <v>8.7693601652268499E-2</v>
      </c>
      <c r="Q1160" s="79">
        <v>0.13980299057378001</v>
      </c>
      <c r="R1160" s="80">
        <v>1</v>
      </c>
      <c r="S1160" s="79">
        <v>1.0631812113665742</v>
      </c>
      <c r="T1160" s="79">
        <v>5.2285768011849698E-2</v>
      </c>
      <c r="U1160" s="79">
        <v>0.24129968653703701</v>
      </c>
      <c r="V1160" s="79">
        <v>0.32838123444808298</v>
      </c>
      <c r="W1160" s="79">
        <v>1</v>
      </c>
    </row>
    <row r="1161" spans="1:23" x14ac:dyDescent="0.2">
      <c r="A1161" s="69"/>
      <c r="B1161" s="84" t="s">
        <v>2552</v>
      </c>
      <c r="C1161" s="78">
        <v>5531</v>
      </c>
      <c r="D1161" s="79">
        <v>0.96179395139210067</v>
      </c>
      <c r="E1161" s="79">
        <v>9.6857292999999997E-2</v>
      </c>
      <c r="F1161" s="79">
        <v>0.68754417000000001</v>
      </c>
      <c r="G1161" s="79">
        <v>0.98545101377932998</v>
      </c>
      <c r="H1161" s="80">
        <v>1</v>
      </c>
      <c r="I1161" s="79">
        <v>0.99871552084200677</v>
      </c>
      <c r="J1161" s="79">
        <v>9.60750049988712E-2</v>
      </c>
      <c r="K1161" s="79">
        <v>0.98932610752474304</v>
      </c>
      <c r="L1161" s="79">
        <v>0.99523523065353503</v>
      </c>
      <c r="M1161" s="80">
        <v>1</v>
      </c>
      <c r="N1161" s="79">
        <v>1.2547408425617865</v>
      </c>
      <c r="O1161" s="79">
        <v>9.58328410464514E-2</v>
      </c>
      <c r="P1161" s="79">
        <v>1.7886107868030798E-2</v>
      </c>
      <c r="Q1161" s="79">
        <v>3.7892271927430901E-2</v>
      </c>
      <c r="R1161" s="80">
        <v>1</v>
      </c>
      <c r="S1161" s="79">
        <v>1.3438728308385428</v>
      </c>
      <c r="T1161" s="79">
        <v>9.6515720523469101E-2</v>
      </c>
      <c r="U1161" s="79">
        <v>2.1967721293647798E-3</v>
      </c>
      <c r="V1161" s="79">
        <v>8.2721181963320602E-3</v>
      </c>
      <c r="W1161" s="79">
        <v>1</v>
      </c>
    </row>
    <row r="1162" spans="1:23" x14ac:dyDescent="0.2">
      <c r="A1162" s="69"/>
      <c r="B1162" s="84" t="s">
        <v>2838</v>
      </c>
      <c r="C1162" s="78">
        <v>5509</v>
      </c>
      <c r="D1162" s="79">
        <v>1.0134151817986465</v>
      </c>
      <c r="E1162" s="79">
        <v>5.2898898999999999E-2</v>
      </c>
      <c r="F1162" s="79">
        <v>0.80110722599999995</v>
      </c>
      <c r="G1162" s="79">
        <v>0.98545101377932998</v>
      </c>
      <c r="H1162" s="80">
        <v>1</v>
      </c>
      <c r="I1162" s="79">
        <v>0.94694452659149309</v>
      </c>
      <c r="J1162" s="79">
        <v>5.2335434238285197E-2</v>
      </c>
      <c r="K1162" s="79">
        <v>0.297577873267108</v>
      </c>
      <c r="L1162" s="79">
        <v>0.78087209417900505</v>
      </c>
      <c r="M1162" s="80">
        <v>1</v>
      </c>
      <c r="N1162" s="79">
        <v>1.0462742418223145</v>
      </c>
      <c r="O1162" s="79">
        <v>5.2067759192084097E-2</v>
      </c>
      <c r="P1162" s="79">
        <v>0.38496658213361401</v>
      </c>
      <c r="Q1162" s="79">
        <v>0.46928202951734499</v>
      </c>
      <c r="R1162" s="80">
        <v>1</v>
      </c>
      <c r="S1162" s="79">
        <v>1.0862047945242117</v>
      </c>
      <c r="T1162" s="79">
        <v>5.21461872952457E-2</v>
      </c>
      <c r="U1162" s="79">
        <v>0.112800540019092</v>
      </c>
      <c r="V1162" s="79">
        <v>0.18050931309486501</v>
      </c>
      <c r="W1162" s="79">
        <v>1</v>
      </c>
    </row>
    <row r="1163" spans="1:23" x14ac:dyDescent="0.2">
      <c r="A1163" s="69"/>
      <c r="B1163" s="84" t="s">
        <v>2553</v>
      </c>
      <c r="C1163" s="78">
        <v>5531</v>
      </c>
      <c r="D1163" s="79">
        <v>0.93783719888108141</v>
      </c>
      <c r="E1163" s="79">
        <v>9.4761029999999996E-2</v>
      </c>
      <c r="F1163" s="79">
        <v>0.49823396599999997</v>
      </c>
      <c r="G1163" s="79">
        <v>0.92884339055395704</v>
      </c>
      <c r="H1163" s="80">
        <v>1</v>
      </c>
      <c r="I1163" s="79">
        <v>1.1093309662040776</v>
      </c>
      <c r="J1163" s="79">
        <v>9.4527943104766296E-2</v>
      </c>
      <c r="K1163" s="79">
        <v>0.27236426541259601</v>
      </c>
      <c r="L1163" s="79">
        <v>0.76298069052667605</v>
      </c>
      <c r="M1163" s="80">
        <v>1</v>
      </c>
      <c r="N1163" s="79">
        <v>1.1107683496337442</v>
      </c>
      <c r="O1163" s="79">
        <v>9.3489229757108799E-2</v>
      </c>
      <c r="P1163" s="79">
        <v>0.26114878108849299</v>
      </c>
      <c r="Q1163" s="79">
        <v>0.34059383679475602</v>
      </c>
      <c r="R1163" s="80">
        <v>1</v>
      </c>
      <c r="S1163" s="79">
        <v>1.3256549201859003</v>
      </c>
      <c r="T1163" s="79">
        <v>9.4298771368265893E-2</v>
      </c>
      <c r="U1163" s="79">
        <v>2.7943018257713201E-3</v>
      </c>
      <c r="V1163" s="79">
        <v>1.0016861629671799E-2</v>
      </c>
      <c r="W1163" s="79">
        <v>1</v>
      </c>
    </row>
    <row r="1164" spans="1:23" x14ac:dyDescent="0.2">
      <c r="A1164" s="69"/>
      <c r="B1164" s="84" t="s">
        <v>2839</v>
      </c>
      <c r="C1164" s="78">
        <v>5509</v>
      </c>
      <c r="D1164" s="79">
        <v>1.0059438851974907</v>
      </c>
      <c r="E1164" s="79">
        <v>4.4841855999999999E-2</v>
      </c>
      <c r="F1164" s="79">
        <v>0.89485790399999998</v>
      </c>
      <c r="G1164" s="79">
        <v>0.991673151733656</v>
      </c>
      <c r="H1164" s="80">
        <v>1</v>
      </c>
      <c r="I1164" s="79">
        <v>0.90208285932418641</v>
      </c>
      <c r="J1164" s="79">
        <v>4.4308569518240699E-2</v>
      </c>
      <c r="K1164" s="79">
        <v>2.0034004794859301E-2</v>
      </c>
      <c r="L1164" s="79">
        <v>0.41909202640396798</v>
      </c>
      <c r="M1164" s="80">
        <v>1</v>
      </c>
      <c r="N1164" s="79">
        <v>1.0353995657202515</v>
      </c>
      <c r="O1164" s="79">
        <v>4.4182374224880402E-2</v>
      </c>
      <c r="P1164" s="79">
        <v>0.43107152779084501</v>
      </c>
      <c r="Q1164" s="79">
        <v>0.51557942390818301</v>
      </c>
      <c r="R1164" s="80">
        <v>1</v>
      </c>
      <c r="S1164" s="79">
        <v>1.0568272201820512</v>
      </c>
      <c r="T1164" s="79">
        <v>4.4223353433334001E-2</v>
      </c>
      <c r="U1164" s="79">
        <v>0.211365312692012</v>
      </c>
      <c r="V1164" s="79">
        <v>0.29670639580327801</v>
      </c>
      <c r="W1164" s="79">
        <v>1</v>
      </c>
    </row>
    <row r="1165" spans="1:23" x14ac:dyDescent="0.2">
      <c r="A1165" s="69"/>
      <c r="B1165" s="84" t="s">
        <v>2554</v>
      </c>
      <c r="C1165" s="78">
        <v>5531</v>
      </c>
      <c r="D1165" s="79">
        <v>0.95950206631846491</v>
      </c>
      <c r="E1165" s="79">
        <v>7.0476042000000003E-2</v>
      </c>
      <c r="F1165" s="79">
        <v>0.55747654000000002</v>
      </c>
      <c r="G1165" s="79">
        <v>0.94577236532085596</v>
      </c>
      <c r="H1165" s="80">
        <v>1</v>
      </c>
      <c r="I1165" s="79">
        <v>1.1148368127603925</v>
      </c>
      <c r="J1165" s="79">
        <v>7.0549661068145003E-2</v>
      </c>
      <c r="K1165" s="79">
        <v>0.12334780165069199</v>
      </c>
      <c r="L1165" s="79">
        <v>0.64414963084250298</v>
      </c>
      <c r="M1165" s="80">
        <v>1</v>
      </c>
      <c r="N1165" s="79">
        <v>1.1808508697665827</v>
      </c>
      <c r="O1165" s="79">
        <v>6.9482195185290696E-2</v>
      </c>
      <c r="P1165" s="79">
        <v>1.67346169903296E-2</v>
      </c>
      <c r="Q1165" s="79">
        <v>3.6301246086714999E-2</v>
      </c>
      <c r="R1165" s="80">
        <v>1</v>
      </c>
      <c r="S1165" s="79">
        <v>1.2571238298285534</v>
      </c>
      <c r="T1165" s="79">
        <v>6.9939332640669996E-2</v>
      </c>
      <c r="U1165" s="79">
        <v>1.0687093509424801E-3</v>
      </c>
      <c r="V1165" s="79">
        <v>4.6927064579446601E-3</v>
      </c>
      <c r="W1165" s="79">
        <v>1</v>
      </c>
    </row>
    <row r="1166" spans="1:23" x14ac:dyDescent="0.2">
      <c r="A1166" s="69"/>
      <c r="B1166" s="84" t="s">
        <v>2840</v>
      </c>
      <c r="C1166" s="78">
        <v>5509</v>
      </c>
      <c r="D1166" s="79">
        <v>1.0443590824180984</v>
      </c>
      <c r="E1166" s="79">
        <v>5.2614928999999998E-2</v>
      </c>
      <c r="F1166" s="79">
        <v>0.40941407699999999</v>
      </c>
      <c r="G1166" s="79">
        <v>0.88449686095408198</v>
      </c>
      <c r="H1166" s="80">
        <v>1</v>
      </c>
      <c r="I1166" s="79">
        <v>0.95380079123636707</v>
      </c>
      <c r="J1166" s="79">
        <v>5.1985181671627897E-2</v>
      </c>
      <c r="K1166" s="79">
        <v>0.362884109525973</v>
      </c>
      <c r="L1166" s="79">
        <v>0.81642974499659005</v>
      </c>
      <c r="M1166" s="80">
        <v>1</v>
      </c>
      <c r="N1166" s="79">
        <v>1.1487349506677422</v>
      </c>
      <c r="O1166" s="79">
        <v>5.1892149396303003E-2</v>
      </c>
      <c r="P1166" s="79">
        <v>7.5376962698150496E-3</v>
      </c>
      <c r="Q1166" s="79">
        <v>1.8719473385633401E-2</v>
      </c>
      <c r="R1166" s="80">
        <v>1</v>
      </c>
      <c r="S1166" s="79">
        <v>1.1256400825273511</v>
      </c>
      <c r="T1166" s="79">
        <v>5.2023188750287802E-2</v>
      </c>
      <c r="U1166" s="79">
        <v>2.29069887554775E-2</v>
      </c>
      <c r="V1166" s="79">
        <v>4.8691739917421997E-2</v>
      </c>
      <c r="W1166" s="79">
        <v>1</v>
      </c>
    </row>
    <row r="1167" spans="1:23" x14ac:dyDescent="0.2">
      <c r="A1167" s="69"/>
      <c r="B1167" s="84" t="s">
        <v>2555</v>
      </c>
      <c r="C1167" s="78">
        <v>5531</v>
      </c>
      <c r="D1167" s="79">
        <v>0.93016866877979376</v>
      </c>
      <c r="E1167" s="79">
        <v>8.8074272999999995E-2</v>
      </c>
      <c r="F1167" s="79">
        <v>0.41112670299999998</v>
      </c>
      <c r="G1167" s="79">
        <v>0.88577213260950705</v>
      </c>
      <c r="H1167" s="80">
        <v>1</v>
      </c>
      <c r="I1167" s="79">
        <v>1.0931177871211428</v>
      </c>
      <c r="J1167" s="79">
        <v>8.7566614458057801E-2</v>
      </c>
      <c r="K1167" s="79">
        <v>0.30926904168365199</v>
      </c>
      <c r="L1167" s="79">
        <v>0.78754770700353705</v>
      </c>
      <c r="M1167" s="80">
        <v>1</v>
      </c>
      <c r="N1167" s="79">
        <v>1.1707527548905026</v>
      </c>
      <c r="O1167" s="79">
        <v>8.6909275682914594E-2</v>
      </c>
      <c r="P1167" s="79">
        <v>6.9689247932445506E-2</v>
      </c>
      <c r="Q1167" s="79">
        <v>0.116516015317883</v>
      </c>
      <c r="R1167" s="80">
        <v>1</v>
      </c>
      <c r="S1167" s="79">
        <v>1.3716075588021588</v>
      </c>
      <c r="T1167" s="79">
        <v>8.8140711841214206E-2</v>
      </c>
      <c r="U1167" s="79">
        <v>3.37092850427677E-4</v>
      </c>
      <c r="V1167" s="79">
        <v>1.9622515008840499E-3</v>
      </c>
      <c r="W1167" s="79">
        <v>0.42777082719272203</v>
      </c>
    </row>
    <row r="1168" spans="1:23" x14ac:dyDescent="0.2">
      <c r="A1168" s="69"/>
      <c r="B1168" s="84" t="s">
        <v>2841</v>
      </c>
      <c r="C1168" s="78">
        <v>5509</v>
      </c>
      <c r="D1168" s="79">
        <v>1.0241646154780206</v>
      </c>
      <c r="E1168" s="79">
        <v>4.6586379999999997E-2</v>
      </c>
      <c r="F1168" s="79">
        <v>0.60827482399999999</v>
      </c>
      <c r="G1168" s="79">
        <v>0.96049373783807201</v>
      </c>
      <c r="H1168" s="80">
        <v>1</v>
      </c>
      <c r="I1168" s="79">
        <v>0.91772272105703201</v>
      </c>
      <c r="J1168" s="79">
        <v>4.6037049219510302E-2</v>
      </c>
      <c r="K1168" s="79">
        <v>6.2178712822240002E-2</v>
      </c>
      <c r="L1168" s="79">
        <v>0.57459637698370203</v>
      </c>
      <c r="M1168" s="80">
        <v>1</v>
      </c>
      <c r="N1168" s="79">
        <v>1.0466978126652493</v>
      </c>
      <c r="O1168" s="79">
        <v>4.5901014661154503E-2</v>
      </c>
      <c r="P1168" s="79">
        <v>0.32006740680507001</v>
      </c>
      <c r="Q1168" s="79">
        <v>0.40334214422605202</v>
      </c>
      <c r="R1168" s="80">
        <v>1</v>
      </c>
      <c r="S1168" s="79">
        <v>1.0737446966465587</v>
      </c>
      <c r="T1168" s="79">
        <v>4.5940012799721201E-2</v>
      </c>
      <c r="U1168" s="79">
        <v>0.121427903502795</v>
      </c>
      <c r="V1168" s="79">
        <v>0.19070793260525601</v>
      </c>
      <c r="W1168" s="79">
        <v>1</v>
      </c>
    </row>
    <row r="1169" spans="1:23" x14ac:dyDescent="0.2">
      <c r="A1169" s="69"/>
      <c r="B1169" s="84" t="s">
        <v>2556</v>
      </c>
      <c r="C1169" s="78">
        <v>5531</v>
      </c>
      <c r="D1169" s="79">
        <v>0.94980475078526783</v>
      </c>
      <c r="E1169" s="79">
        <v>7.7786256999999998E-2</v>
      </c>
      <c r="F1169" s="79">
        <v>0.50793547900000002</v>
      </c>
      <c r="G1169" s="79">
        <v>0.92884339055395704</v>
      </c>
      <c r="H1169" s="80">
        <v>1</v>
      </c>
      <c r="I1169" s="79">
        <v>1.1078023342449783</v>
      </c>
      <c r="J1169" s="79">
        <v>7.7704727296634302E-2</v>
      </c>
      <c r="K1169" s="79">
        <v>0.187661616680735</v>
      </c>
      <c r="L1169" s="79">
        <v>0.71087340766523199</v>
      </c>
      <c r="M1169" s="80">
        <v>1</v>
      </c>
      <c r="N1169" s="79">
        <v>1.2672336441504155</v>
      </c>
      <c r="O1169" s="79">
        <v>7.6819906506485597E-2</v>
      </c>
      <c r="P1169" s="79">
        <v>2.0492049405068098E-3</v>
      </c>
      <c r="Q1169" s="79">
        <v>6.40502726478606E-3</v>
      </c>
      <c r="R1169" s="80">
        <v>1</v>
      </c>
      <c r="S1169" s="79">
        <v>1.2697735340446945</v>
      </c>
      <c r="T1169" s="79">
        <v>7.7312930412715503E-2</v>
      </c>
      <c r="U1169" s="79">
        <v>2.0066604913755899E-3</v>
      </c>
      <c r="V1169" s="79">
        <v>7.7165217077443098E-3</v>
      </c>
      <c r="W1169" s="79">
        <v>1</v>
      </c>
    </row>
    <row r="1170" spans="1:23" x14ac:dyDescent="0.2">
      <c r="A1170" s="69"/>
      <c r="B1170" s="84" t="s">
        <v>2842</v>
      </c>
      <c r="C1170" s="78">
        <v>5509</v>
      </c>
      <c r="D1170" s="79">
        <v>1.0087711732774172</v>
      </c>
      <c r="E1170" s="79">
        <v>5.2373520999999999E-2</v>
      </c>
      <c r="F1170" s="79">
        <v>0.86757209199999996</v>
      </c>
      <c r="G1170" s="79">
        <v>0.98755445668576602</v>
      </c>
      <c r="H1170" s="80">
        <v>1</v>
      </c>
      <c r="I1170" s="79">
        <v>0.95549276117365689</v>
      </c>
      <c r="J1170" s="79">
        <v>5.1782549969031103E-2</v>
      </c>
      <c r="K1170" s="79">
        <v>0.379283701409453</v>
      </c>
      <c r="L1170" s="79">
        <v>0.82416270049417095</v>
      </c>
      <c r="M1170" s="80">
        <v>1</v>
      </c>
      <c r="N1170" s="79">
        <v>1.0263483194299816</v>
      </c>
      <c r="O1170" s="79">
        <v>5.1584628156727499E-2</v>
      </c>
      <c r="P1170" s="79">
        <v>0.61414519218894204</v>
      </c>
      <c r="Q1170" s="79">
        <v>0.69275577678912703</v>
      </c>
      <c r="R1170" s="80">
        <v>1</v>
      </c>
      <c r="S1170" s="79">
        <v>1.0356212147303823</v>
      </c>
      <c r="T1170" s="79">
        <v>5.1584151955838403E-2</v>
      </c>
      <c r="U1170" s="79">
        <v>0.497434977911063</v>
      </c>
      <c r="V1170" s="79">
        <v>0.58288918827949798</v>
      </c>
      <c r="W1170" s="79">
        <v>1</v>
      </c>
    </row>
    <row r="1171" spans="1:23" x14ac:dyDescent="0.2">
      <c r="A1171" s="69"/>
      <c r="B1171" s="84" t="s">
        <v>2843</v>
      </c>
      <c r="C1171" s="78">
        <v>5509</v>
      </c>
      <c r="D1171" s="79">
        <v>1.0585864812966834</v>
      </c>
      <c r="E1171" s="79">
        <v>6.5501761000000006E-2</v>
      </c>
      <c r="F1171" s="79">
        <v>0.38473458199999999</v>
      </c>
      <c r="G1171" s="79">
        <v>0.880152082540541</v>
      </c>
      <c r="H1171" s="80">
        <v>1</v>
      </c>
      <c r="I1171" s="79">
        <v>1.0026968266383136</v>
      </c>
      <c r="J1171" s="79">
        <v>6.4657262754736503E-2</v>
      </c>
      <c r="K1171" s="79">
        <v>0.96677497970929205</v>
      </c>
      <c r="L1171" s="79">
        <v>0.98858779149967102</v>
      </c>
      <c r="M1171" s="80">
        <v>1</v>
      </c>
      <c r="N1171" s="79">
        <v>1.0795230333145789</v>
      </c>
      <c r="O1171" s="79">
        <v>6.4320073272328193E-2</v>
      </c>
      <c r="P1171" s="79">
        <v>0.23417828388820799</v>
      </c>
      <c r="Q1171" s="79">
        <v>0.31281414790309298</v>
      </c>
      <c r="R1171" s="80">
        <v>1</v>
      </c>
      <c r="S1171" s="79">
        <v>1.0820737567222758</v>
      </c>
      <c r="T1171" s="79">
        <v>6.4543737894758493E-2</v>
      </c>
      <c r="U1171" s="79">
        <v>0.22166721764748101</v>
      </c>
      <c r="V1171" s="79">
        <v>0.30742699365535903</v>
      </c>
      <c r="W1171" s="79">
        <v>1</v>
      </c>
    </row>
    <row r="1172" spans="1:23" x14ac:dyDescent="0.2">
      <c r="A1172" s="69"/>
      <c r="B1172" s="84" t="s">
        <v>2844</v>
      </c>
      <c r="C1172" s="78">
        <v>5494</v>
      </c>
      <c r="D1172" s="79">
        <v>1.0196988187923968</v>
      </c>
      <c r="E1172" s="79">
        <v>2.9382944000000001E-2</v>
      </c>
      <c r="F1172" s="79">
        <v>0.50675495100000001</v>
      </c>
      <c r="G1172" s="79">
        <v>0.92884339055395704</v>
      </c>
      <c r="H1172" s="80">
        <v>1</v>
      </c>
      <c r="I1172" s="79">
        <v>1.0168080783582629</v>
      </c>
      <c r="J1172" s="79">
        <v>2.9171242416826899E-2</v>
      </c>
      <c r="K1172" s="79">
        <v>0.56772997345860399</v>
      </c>
      <c r="L1172" s="79">
        <v>0.911324282187712</v>
      </c>
      <c r="M1172" s="80">
        <v>1</v>
      </c>
      <c r="N1172" s="79">
        <v>1.0338321217827637</v>
      </c>
      <c r="O1172" s="79">
        <v>2.8996604450696E-2</v>
      </c>
      <c r="P1172" s="79">
        <v>0.25119210969255601</v>
      </c>
      <c r="Q1172" s="79">
        <v>0.331354248648496</v>
      </c>
      <c r="R1172" s="80">
        <v>1</v>
      </c>
      <c r="S1172" s="79">
        <v>1.0944840671053679</v>
      </c>
      <c r="T1172" s="79">
        <v>2.9032245007543901E-2</v>
      </c>
      <c r="U1172" s="79">
        <v>1.8724451406959199E-3</v>
      </c>
      <c r="V1172" s="79">
        <v>7.3564485558610601E-3</v>
      </c>
      <c r="W1172" s="79">
        <v>1</v>
      </c>
    </row>
    <row r="1173" spans="1:23" x14ac:dyDescent="0.2">
      <c r="A1173" s="69"/>
      <c r="B1173" s="84" t="s">
        <v>2845</v>
      </c>
      <c r="C1173" s="78">
        <v>5494</v>
      </c>
      <c r="D1173" s="79">
        <v>1.0082175845058903</v>
      </c>
      <c r="E1173" s="79">
        <v>3.0109849000000001E-2</v>
      </c>
      <c r="F1173" s="79">
        <v>0.78577204</v>
      </c>
      <c r="G1173" s="79">
        <v>0.98545101377932998</v>
      </c>
      <c r="H1173" s="80">
        <v>1</v>
      </c>
      <c r="I1173" s="79">
        <v>0.98571066522961437</v>
      </c>
      <c r="J1173" s="79">
        <v>2.9880670623840502E-2</v>
      </c>
      <c r="K1173" s="79">
        <v>0.63004543651528899</v>
      </c>
      <c r="L1173" s="79">
        <v>0.91965825061269202</v>
      </c>
      <c r="M1173" s="80">
        <v>1</v>
      </c>
      <c r="N1173" s="79">
        <v>1.0381065681646238</v>
      </c>
      <c r="O1173" s="79">
        <v>2.9697911538931299E-2</v>
      </c>
      <c r="P1173" s="79">
        <v>0.207923618766649</v>
      </c>
      <c r="Q1173" s="79">
        <v>0.28371513141384702</v>
      </c>
      <c r="R1173" s="80">
        <v>1</v>
      </c>
      <c r="S1173" s="79">
        <v>1.0850626046304452</v>
      </c>
      <c r="T1173" s="79">
        <v>2.9741937618230099E-2</v>
      </c>
      <c r="U1173" s="79">
        <v>6.0535286945363701E-3</v>
      </c>
      <c r="V1173" s="79">
        <v>1.7948172943849899E-2</v>
      </c>
      <c r="W1173" s="79">
        <v>1</v>
      </c>
    </row>
    <row r="1174" spans="1:23" x14ac:dyDescent="0.2">
      <c r="A1174" s="69"/>
      <c r="B1174" s="84" t="s">
        <v>2846</v>
      </c>
      <c r="C1174" s="78">
        <v>5494</v>
      </c>
      <c r="D1174" s="79">
        <v>1.0082175845058903</v>
      </c>
      <c r="E1174" s="79">
        <v>3.0109849000000001E-2</v>
      </c>
      <c r="F1174" s="79">
        <v>0.78577204</v>
      </c>
      <c r="G1174" s="79">
        <v>0.98545101377932998</v>
      </c>
      <c r="H1174" s="80">
        <v>1</v>
      </c>
      <c r="I1174" s="79">
        <v>0.98571066522961437</v>
      </c>
      <c r="J1174" s="79">
        <v>2.9880670623840502E-2</v>
      </c>
      <c r="K1174" s="79">
        <v>0.63004543651528899</v>
      </c>
      <c r="L1174" s="79">
        <v>0.91965825061269202</v>
      </c>
      <c r="M1174" s="80">
        <v>1</v>
      </c>
      <c r="N1174" s="79">
        <v>1.0381065681646238</v>
      </c>
      <c r="O1174" s="79">
        <v>2.9697911538931299E-2</v>
      </c>
      <c r="P1174" s="79">
        <v>0.207923618766649</v>
      </c>
      <c r="Q1174" s="79">
        <v>0.28371513141384702</v>
      </c>
      <c r="R1174" s="80">
        <v>1</v>
      </c>
      <c r="S1174" s="79">
        <v>1.0850626046304452</v>
      </c>
      <c r="T1174" s="79">
        <v>2.9741937618230099E-2</v>
      </c>
      <c r="U1174" s="79">
        <v>6.0535286945363701E-3</v>
      </c>
      <c r="V1174" s="79">
        <v>1.7948172943849899E-2</v>
      </c>
      <c r="W1174" s="79">
        <v>1</v>
      </c>
    </row>
    <row r="1175" spans="1:23" x14ac:dyDescent="0.2">
      <c r="A1175" s="69"/>
      <c r="B1175" s="84" t="s">
        <v>2847</v>
      </c>
      <c r="C1175" s="78">
        <v>5494</v>
      </c>
      <c r="D1175" s="79">
        <v>0.97312613407457471</v>
      </c>
      <c r="E1175" s="79">
        <v>4.9406013999999998E-2</v>
      </c>
      <c r="F1175" s="79">
        <v>0.58137205300000006</v>
      </c>
      <c r="G1175" s="79">
        <v>0.95350818012595395</v>
      </c>
      <c r="H1175" s="80">
        <v>1</v>
      </c>
      <c r="I1175" s="79">
        <v>1.0834537487260498</v>
      </c>
      <c r="J1175" s="79">
        <v>4.9229673649727697E-2</v>
      </c>
      <c r="K1175" s="79">
        <v>0.10349066799321301</v>
      </c>
      <c r="L1175" s="79">
        <v>0.62241543925775999</v>
      </c>
      <c r="M1175" s="80">
        <v>1</v>
      </c>
      <c r="N1175" s="79">
        <v>1.1310515443153741</v>
      </c>
      <c r="O1175" s="79">
        <v>4.8759758526771203E-2</v>
      </c>
      <c r="P1175" s="79">
        <v>1.1550006840321401E-2</v>
      </c>
      <c r="Q1175" s="79">
        <v>2.6893502165812599E-2</v>
      </c>
      <c r="R1175" s="80">
        <v>1</v>
      </c>
      <c r="S1175" s="79">
        <v>1.1098725705236459</v>
      </c>
      <c r="T1175" s="79">
        <v>4.8951047362685803E-2</v>
      </c>
      <c r="U1175" s="79">
        <v>3.3206242981011901E-2</v>
      </c>
      <c r="V1175" s="79">
        <v>6.6151840412722304E-2</v>
      </c>
      <c r="W1175" s="79">
        <v>1</v>
      </c>
    </row>
    <row r="1176" spans="1:23" x14ac:dyDescent="0.2">
      <c r="A1176" s="69"/>
      <c r="B1176" s="84" t="s">
        <v>2848</v>
      </c>
      <c r="C1176" s="78">
        <v>5494</v>
      </c>
      <c r="D1176" s="79">
        <v>1.0158217664045095</v>
      </c>
      <c r="E1176" s="79">
        <v>3.0977090999999998E-2</v>
      </c>
      <c r="F1176" s="79">
        <v>0.612324219</v>
      </c>
      <c r="G1176" s="79">
        <v>0.96049373783807201</v>
      </c>
      <c r="H1176" s="80">
        <v>1</v>
      </c>
      <c r="I1176" s="79">
        <v>1.0028017223430277</v>
      </c>
      <c r="J1176" s="79">
        <v>3.0753939342827899E-2</v>
      </c>
      <c r="K1176" s="79">
        <v>0.92751335483062702</v>
      </c>
      <c r="L1176" s="79">
        <v>0.981200184300273</v>
      </c>
      <c r="M1176" s="80">
        <v>1</v>
      </c>
      <c r="N1176" s="79">
        <v>1.0618118081529675</v>
      </c>
      <c r="O1176" s="79">
        <v>3.05821393242602E-2</v>
      </c>
      <c r="P1176" s="79">
        <v>4.9859470471157699E-2</v>
      </c>
      <c r="Q1176" s="79">
        <v>8.8615781551679401E-2</v>
      </c>
      <c r="R1176" s="80">
        <v>1</v>
      </c>
      <c r="S1176" s="79">
        <v>1.094778072193936</v>
      </c>
      <c r="T1176" s="79">
        <v>3.0633593523957101E-2</v>
      </c>
      <c r="U1176" s="79">
        <v>3.1169778183576199E-3</v>
      </c>
      <c r="V1176" s="79">
        <v>1.06615764191262E-2</v>
      </c>
      <c r="W1176" s="79">
        <v>1</v>
      </c>
    </row>
    <row r="1177" spans="1:23" x14ac:dyDescent="0.2">
      <c r="A1177" s="69"/>
      <c r="B1177" s="84" t="s">
        <v>2849</v>
      </c>
      <c r="C1177" s="78">
        <v>5494</v>
      </c>
      <c r="D1177" s="79">
        <v>0.96093857485455081</v>
      </c>
      <c r="E1177" s="79">
        <v>7.3744327999999998E-2</v>
      </c>
      <c r="F1177" s="79">
        <v>0.58898333400000003</v>
      </c>
      <c r="G1177" s="79">
        <v>0.95350818012595395</v>
      </c>
      <c r="H1177" s="80">
        <v>1</v>
      </c>
      <c r="I1177" s="79">
        <v>1.157452348384185</v>
      </c>
      <c r="J1177" s="79">
        <v>7.3681335652345706E-2</v>
      </c>
      <c r="K1177" s="79">
        <v>4.7199027999313199E-2</v>
      </c>
      <c r="L1177" s="79">
        <v>0.53217113930985405</v>
      </c>
      <c r="M1177" s="80">
        <v>1</v>
      </c>
      <c r="N1177" s="79">
        <v>1.1406977701458849</v>
      </c>
      <c r="O1177" s="79">
        <v>7.2651234179502894E-2</v>
      </c>
      <c r="P1177" s="79">
        <v>6.9994453369486703E-2</v>
      </c>
      <c r="Q1177" s="79">
        <v>0.116872317534051</v>
      </c>
      <c r="R1177" s="80">
        <v>1</v>
      </c>
      <c r="S1177" s="79">
        <v>1.1511312334035895</v>
      </c>
      <c r="T1177" s="79">
        <v>7.3243341782414401E-2</v>
      </c>
      <c r="U1177" s="79">
        <v>5.4654845760218701E-2</v>
      </c>
      <c r="V1177" s="79">
        <v>0.10051739024596699</v>
      </c>
      <c r="W1177" s="79">
        <v>1</v>
      </c>
    </row>
    <row r="1178" spans="1:23" x14ac:dyDescent="0.2">
      <c r="A1178" s="69"/>
      <c r="B1178" s="84" t="s">
        <v>2850</v>
      </c>
      <c r="C1178" s="78">
        <v>5494</v>
      </c>
      <c r="D1178" s="79">
        <v>0.97823182711252299</v>
      </c>
      <c r="E1178" s="79">
        <v>4.5466034000000002E-2</v>
      </c>
      <c r="F1178" s="79">
        <v>0.62833850400000002</v>
      </c>
      <c r="G1178" s="79">
        <v>0.97330723874177805</v>
      </c>
      <c r="H1178" s="80">
        <v>1</v>
      </c>
      <c r="I1178" s="79">
        <v>0.96270493536746027</v>
      </c>
      <c r="J1178" s="79">
        <v>4.5099252170800803E-2</v>
      </c>
      <c r="K1178" s="79">
        <v>0.39935685521988101</v>
      </c>
      <c r="L1178" s="79">
        <v>0.83369555356615399</v>
      </c>
      <c r="M1178" s="80">
        <v>1</v>
      </c>
      <c r="N1178" s="79">
        <v>1.092564972395571</v>
      </c>
      <c r="O1178" s="79">
        <v>4.4803457770485403E-2</v>
      </c>
      <c r="P1178" s="79">
        <v>4.8163663563253897E-2</v>
      </c>
      <c r="Q1178" s="79">
        <v>8.6084069101083405E-2</v>
      </c>
      <c r="R1178" s="80">
        <v>1</v>
      </c>
      <c r="S1178" s="79">
        <v>1.1842237577569144</v>
      </c>
      <c r="T1178" s="79">
        <v>4.50446668550019E-2</v>
      </c>
      <c r="U1178" s="79">
        <v>1.7419186809060499E-4</v>
      </c>
      <c r="V1178" s="79">
        <v>1.2079206590545201E-3</v>
      </c>
      <c r="W1178" s="79">
        <v>0.22104948060697799</v>
      </c>
    </row>
    <row r="1179" spans="1:23" x14ac:dyDescent="0.2">
      <c r="A1179" s="69"/>
      <c r="B1179" s="84" t="s">
        <v>2851</v>
      </c>
      <c r="C1179" s="78">
        <v>5494</v>
      </c>
      <c r="D1179" s="79">
        <v>0.98010051524556896</v>
      </c>
      <c r="E1179" s="79">
        <v>5.0815900999999997E-2</v>
      </c>
      <c r="F1179" s="79">
        <v>0.69243825000000003</v>
      </c>
      <c r="G1179" s="79">
        <v>0.98545101377932998</v>
      </c>
      <c r="H1179" s="80">
        <v>1</v>
      </c>
      <c r="I1179" s="79">
        <v>1.0852978754696876</v>
      </c>
      <c r="J1179" s="79">
        <v>5.0630434455403703E-2</v>
      </c>
      <c r="K1179" s="79">
        <v>0.105941921314107</v>
      </c>
      <c r="L1179" s="79">
        <v>0.62424045135977002</v>
      </c>
      <c r="M1179" s="80">
        <v>1</v>
      </c>
      <c r="N1179" s="79">
        <v>1.1429596322592985</v>
      </c>
      <c r="O1179" s="79">
        <v>5.0135916145845401E-2</v>
      </c>
      <c r="P1179" s="79">
        <v>7.6947919323064797E-3</v>
      </c>
      <c r="Q1179" s="79">
        <v>1.8960564974945499E-2</v>
      </c>
      <c r="R1179" s="80">
        <v>1</v>
      </c>
      <c r="S1179" s="79">
        <v>1.1472152186959668</v>
      </c>
      <c r="T1179" s="79">
        <v>5.0469268172877099E-2</v>
      </c>
      <c r="U1179" s="79">
        <v>6.50435071370102E-3</v>
      </c>
      <c r="V1179" s="79">
        <v>1.8801870286302001E-2</v>
      </c>
      <c r="W1179" s="79">
        <v>1</v>
      </c>
    </row>
    <row r="1180" spans="1:23" x14ac:dyDescent="0.2">
      <c r="A1180" s="69"/>
      <c r="B1180" s="84" t="s">
        <v>2852</v>
      </c>
      <c r="C1180" s="78">
        <v>5494</v>
      </c>
      <c r="D1180" s="79">
        <v>1.0224763540050656</v>
      </c>
      <c r="E1180" s="79">
        <v>3.1212631000000001E-2</v>
      </c>
      <c r="F1180" s="79">
        <v>0.476383642</v>
      </c>
      <c r="G1180" s="79">
        <v>0.92469797334961801</v>
      </c>
      <c r="H1180" s="80">
        <v>1</v>
      </c>
      <c r="I1180" s="79">
        <v>0.99893251740574707</v>
      </c>
      <c r="J1180" s="79">
        <v>3.0983079635532301E-2</v>
      </c>
      <c r="K1180" s="79">
        <v>0.97250066590031203</v>
      </c>
      <c r="L1180" s="79">
        <v>0.99045212281500505</v>
      </c>
      <c r="M1180" s="80">
        <v>1</v>
      </c>
      <c r="N1180" s="79">
        <v>1.0736636169591618</v>
      </c>
      <c r="O1180" s="79">
        <v>3.0825831658754601E-2</v>
      </c>
      <c r="P1180" s="79">
        <v>2.1124460657305201E-2</v>
      </c>
      <c r="Q1180" s="79">
        <v>4.3167376125797602E-2</v>
      </c>
      <c r="R1180" s="80">
        <v>1</v>
      </c>
      <c r="S1180" s="79">
        <v>1.1035258998661639</v>
      </c>
      <c r="T1180" s="79">
        <v>3.08800414767917E-2</v>
      </c>
      <c r="U1180" s="79">
        <v>1.42223623141436E-3</v>
      </c>
      <c r="V1180" s="79">
        <v>6.0160592588827397E-3</v>
      </c>
      <c r="W1180" s="79">
        <v>1</v>
      </c>
    </row>
    <row r="1181" spans="1:23" x14ac:dyDescent="0.2">
      <c r="A1181" s="69"/>
      <c r="B1181" s="84" t="s">
        <v>2853</v>
      </c>
      <c r="C1181" s="78">
        <v>5494</v>
      </c>
      <c r="D1181" s="79">
        <v>0.98010051524556896</v>
      </c>
      <c r="E1181" s="79">
        <v>5.0815900999999997E-2</v>
      </c>
      <c r="F1181" s="79">
        <v>0.69243825000000003</v>
      </c>
      <c r="G1181" s="79">
        <v>0.98545101377932998</v>
      </c>
      <c r="H1181" s="80">
        <v>1</v>
      </c>
      <c r="I1181" s="79">
        <v>1.0852978754696876</v>
      </c>
      <c r="J1181" s="79">
        <v>5.0630434455403703E-2</v>
      </c>
      <c r="K1181" s="79">
        <v>0.105941921314107</v>
      </c>
      <c r="L1181" s="79">
        <v>0.62424045135977002</v>
      </c>
      <c r="M1181" s="80">
        <v>1</v>
      </c>
      <c r="N1181" s="79">
        <v>1.1429596322592985</v>
      </c>
      <c r="O1181" s="79">
        <v>5.0135916145845401E-2</v>
      </c>
      <c r="P1181" s="79">
        <v>7.6947919323064797E-3</v>
      </c>
      <c r="Q1181" s="79">
        <v>1.8960564974945499E-2</v>
      </c>
      <c r="R1181" s="80">
        <v>1</v>
      </c>
      <c r="S1181" s="79">
        <v>1.1472152186959668</v>
      </c>
      <c r="T1181" s="79">
        <v>5.0469268172877099E-2</v>
      </c>
      <c r="U1181" s="79">
        <v>6.50435071370102E-3</v>
      </c>
      <c r="V1181" s="79">
        <v>1.8801870286302001E-2</v>
      </c>
      <c r="W1181" s="79">
        <v>1</v>
      </c>
    </row>
    <row r="1182" spans="1:23" x14ac:dyDescent="0.2">
      <c r="A1182" s="69"/>
      <c r="B1182" s="84" t="s">
        <v>2854</v>
      </c>
      <c r="C1182" s="78">
        <v>5494</v>
      </c>
      <c r="D1182" s="79">
        <v>1.0181112733503297</v>
      </c>
      <c r="E1182" s="79">
        <v>3.1215484000000002E-2</v>
      </c>
      <c r="F1182" s="79">
        <v>0.565284483</v>
      </c>
      <c r="G1182" s="79">
        <v>0.94636676639445905</v>
      </c>
      <c r="H1182" s="80">
        <v>1</v>
      </c>
      <c r="I1182" s="79">
        <v>1.000254232906308</v>
      </c>
      <c r="J1182" s="79">
        <v>3.0990190551211799E-2</v>
      </c>
      <c r="K1182" s="79">
        <v>0.99345533371120398</v>
      </c>
      <c r="L1182" s="79">
        <v>0.99523523065353503</v>
      </c>
      <c r="M1182" s="80">
        <v>1</v>
      </c>
      <c r="N1182" s="79">
        <v>1.0742404474459268</v>
      </c>
      <c r="O1182" s="79">
        <v>3.0834355119252001E-2</v>
      </c>
      <c r="P1182" s="79">
        <v>2.0204176841611798E-2</v>
      </c>
      <c r="Q1182" s="79">
        <v>4.1962521132578402E-2</v>
      </c>
      <c r="R1182" s="80">
        <v>1</v>
      </c>
      <c r="S1182" s="79">
        <v>1.0996596049246234</v>
      </c>
      <c r="T1182" s="79">
        <v>3.0877166467688101E-2</v>
      </c>
      <c r="U1182" s="79">
        <v>2.0928528735469601E-3</v>
      </c>
      <c r="V1182" s="79">
        <v>8.0236564849881908E-3</v>
      </c>
      <c r="W1182" s="79">
        <v>1</v>
      </c>
    </row>
    <row r="1183" spans="1:23" x14ac:dyDescent="0.2">
      <c r="A1183" s="69"/>
      <c r="B1183" s="84" t="s">
        <v>2855</v>
      </c>
      <c r="C1183" s="78">
        <v>5494</v>
      </c>
      <c r="D1183" s="79">
        <v>1.0108373431473419</v>
      </c>
      <c r="E1183" s="79">
        <v>5.3090089E-2</v>
      </c>
      <c r="F1183" s="79">
        <v>0.83910923699999995</v>
      </c>
      <c r="G1183" s="79">
        <v>0.98552821438803295</v>
      </c>
      <c r="H1183" s="80">
        <v>1</v>
      </c>
      <c r="I1183" s="79">
        <v>1.1015197941825914</v>
      </c>
      <c r="J1183" s="79">
        <v>5.2885910474774998E-2</v>
      </c>
      <c r="K1183" s="79">
        <v>6.7505824148548804E-2</v>
      </c>
      <c r="L1183" s="79">
        <v>0.57459637698370203</v>
      </c>
      <c r="M1183" s="80">
        <v>1</v>
      </c>
      <c r="N1183" s="79">
        <v>1.1529065696741698</v>
      </c>
      <c r="O1183" s="79">
        <v>5.2277286574920298E-2</v>
      </c>
      <c r="P1183" s="79">
        <v>6.4935364472916597E-3</v>
      </c>
      <c r="Q1183" s="79">
        <v>1.6647066164875001E-2</v>
      </c>
      <c r="R1183" s="80">
        <v>1</v>
      </c>
      <c r="S1183" s="79">
        <v>1.1670848832867202</v>
      </c>
      <c r="T1183" s="79">
        <v>5.2724108117149303E-2</v>
      </c>
      <c r="U1183" s="79">
        <v>3.3839451451434101E-3</v>
      </c>
      <c r="V1183" s="79">
        <v>1.1420814864859E-2</v>
      </c>
      <c r="W1183" s="79">
        <v>1</v>
      </c>
    </row>
    <row r="1184" spans="1:23" x14ac:dyDescent="0.2">
      <c r="A1184" s="69"/>
      <c r="B1184" s="84" t="s">
        <v>2856</v>
      </c>
      <c r="C1184" s="78">
        <v>5494</v>
      </c>
      <c r="D1184" s="79">
        <v>1.0046826856656772</v>
      </c>
      <c r="E1184" s="79">
        <v>3.3946767000000003E-2</v>
      </c>
      <c r="F1184" s="79">
        <v>0.89054069499999999</v>
      </c>
      <c r="G1184" s="79">
        <v>0.991673151733656</v>
      </c>
      <c r="H1184" s="80">
        <v>1</v>
      </c>
      <c r="I1184" s="79">
        <v>1.0120562940880733</v>
      </c>
      <c r="J1184" s="79">
        <v>3.3704083890612503E-2</v>
      </c>
      <c r="K1184" s="79">
        <v>0.72216184086624402</v>
      </c>
      <c r="L1184" s="79">
        <v>0.94282240335315204</v>
      </c>
      <c r="M1184" s="80">
        <v>1</v>
      </c>
      <c r="N1184" s="79">
        <v>1.0590061366386183</v>
      </c>
      <c r="O1184" s="79">
        <v>3.3526636775756499E-2</v>
      </c>
      <c r="P1184" s="79">
        <v>8.7264149644835504E-2</v>
      </c>
      <c r="Q1184" s="79">
        <v>0.13929774256199301</v>
      </c>
      <c r="R1184" s="80">
        <v>1</v>
      </c>
      <c r="S1184" s="79">
        <v>1.0781230240092192</v>
      </c>
      <c r="T1184" s="79">
        <v>3.3509661947410403E-2</v>
      </c>
      <c r="U1184" s="79">
        <v>2.4782701152359501E-2</v>
      </c>
      <c r="V1184" s="79">
        <v>5.1810951832527499E-2</v>
      </c>
      <c r="W1184" s="79">
        <v>1</v>
      </c>
    </row>
    <row r="1185" spans="1:23" x14ac:dyDescent="0.2">
      <c r="A1185" s="69"/>
      <c r="B1185" s="84" t="s">
        <v>2557</v>
      </c>
      <c r="C1185" s="78">
        <v>5424</v>
      </c>
      <c r="D1185" s="79">
        <v>1.1859943954806593</v>
      </c>
      <c r="E1185" s="79">
        <v>0.12468610099999999</v>
      </c>
      <c r="F1185" s="79">
        <v>0.17128449100000001</v>
      </c>
      <c r="G1185" s="79">
        <v>0.70136321922857203</v>
      </c>
      <c r="H1185" s="80">
        <v>1</v>
      </c>
      <c r="I1185" s="79">
        <v>0.9550128952910466</v>
      </c>
      <c r="J1185" s="79">
        <v>0.122495701921217</v>
      </c>
      <c r="K1185" s="79">
        <v>0.70708652227773805</v>
      </c>
      <c r="L1185" s="79">
        <v>0.93958156138094695</v>
      </c>
      <c r="M1185" s="80">
        <v>1</v>
      </c>
      <c r="N1185" s="79">
        <v>1.2230761105244514</v>
      </c>
      <c r="O1185" s="79">
        <v>0.12496698770765</v>
      </c>
      <c r="P1185" s="79">
        <v>0.10709730232869499</v>
      </c>
      <c r="Q1185" s="79">
        <v>0.16655205472440399</v>
      </c>
      <c r="R1185" s="80">
        <v>1</v>
      </c>
      <c r="S1185" s="79">
        <v>1.3017451712126236</v>
      </c>
      <c r="T1185" s="79">
        <v>0.122635727440498</v>
      </c>
      <c r="U1185" s="79">
        <v>3.1530075072219298E-2</v>
      </c>
      <c r="V1185" s="79">
        <v>6.3409929107204901E-2</v>
      </c>
      <c r="W1185" s="79">
        <v>1</v>
      </c>
    </row>
    <row r="1186" spans="1:23" x14ac:dyDescent="0.2">
      <c r="A1186" s="69"/>
      <c r="B1186" s="84" t="s">
        <v>2558</v>
      </c>
      <c r="C1186" s="78">
        <v>5424</v>
      </c>
      <c r="D1186" s="79">
        <v>0.97287976972846946</v>
      </c>
      <c r="E1186" s="79">
        <v>6.5630093E-2</v>
      </c>
      <c r="F1186" s="79">
        <v>0.67526332099999997</v>
      </c>
      <c r="G1186" s="79">
        <v>0.98545101377932998</v>
      </c>
      <c r="H1186" s="80">
        <v>1</v>
      </c>
      <c r="I1186" s="79">
        <v>1.0209105713562059</v>
      </c>
      <c r="J1186" s="79">
        <v>6.49808097488076E-2</v>
      </c>
      <c r="K1186" s="79">
        <v>0.75012252301729998</v>
      </c>
      <c r="L1186" s="79">
        <v>0.95292255370996004</v>
      </c>
      <c r="M1186" s="80">
        <v>1</v>
      </c>
      <c r="N1186" s="79">
        <v>1.0146837027603806</v>
      </c>
      <c r="O1186" s="79">
        <v>6.4645506680721901E-2</v>
      </c>
      <c r="P1186" s="79">
        <v>0.82159779429860302</v>
      </c>
      <c r="Q1186" s="79">
        <v>0.85811325182298503</v>
      </c>
      <c r="R1186" s="80">
        <v>1</v>
      </c>
      <c r="S1186" s="79">
        <v>1.0004827230916933</v>
      </c>
      <c r="T1186" s="79">
        <v>6.4172352789602594E-2</v>
      </c>
      <c r="U1186" s="79">
        <v>0.99399958512779096</v>
      </c>
      <c r="V1186" s="79">
        <v>0.995568645246383</v>
      </c>
      <c r="W1186" s="79">
        <v>1</v>
      </c>
    </row>
    <row r="1187" spans="1:23" x14ac:dyDescent="0.2">
      <c r="A1187" s="69"/>
      <c r="B1187" s="84" t="s">
        <v>2559</v>
      </c>
      <c r="C1187" s="78">
        <v>5424</v>
      </c>
      <c r="D1187" s="79">
        <v>0.88796244992903639</v>
      </c>
      <c r="E1187" s="79">
        <v>0.14962402</v>
      </c>
      <c r="F1187" s="79">
        <v>0.427100692</v>
      </c>
      <c r="G1187" s="79">
        <v>0.89290078772322901</v>
      </c>
      <c r="H1187" s="80">
        <v>1</v>
      </c>
      <c r="I1187" s="79">
        <v>1.0138249493597473</v>
      </c>
      <c r="J1187" s="79">
        <v>0.14707261302302899</v>
      </c>
      <c r="K1187" s="79">
        <v>0.92561995805469299</v>
      </c>
      <c r="L1187" s="79">
        <v>0.981200184300273</v>
      </c>
      <c r="M1187" s="80">
        <v>1</v>
      </c>
      <c r="N1187" s="79">
        <v>0.97787398128784098</v>
      </c>
      <c r="O1187" s="79">
        <v>0.14898401317488799</v>
      </c>
      <c r="P1187" s="79">
        <v>0.88062233116153499</v>
      </c>
      <c r="Q1187" s="79">
        <v>0.90559946373094602</v>
      </c>
      <c r="R1187" s="80">
        <v>1</v>
      </c>
      <c r="S1187" s="79">
        <v>1.1182659173399039</v>
      </c>
      <c r="T1187" s="79">
        <v>0.14625642075605699</v>
      </c>
      <c r="U1187" s="79">
        <v>0.44470716304726998</v>
      </c>
      <c r="V1187" s="79">
        <v>0.53289271945891004</v>
      </c>
      <c r="W1187" s="79">
        <v>1</v>
      </c>
    </row>
    <row r="1188" spans="1:23" x14ac:dyDescent="0.2">
      <c r="A1188" s="69"/>
      <c r="B1188" s="84" t="s">
        <v>2560</v>
      </c>
      <c r="C1188" s="78">
        <v>5424</v>
      </c>
      <c r="D1188" s="79">
        <v>0.97050875528205871</v>
      </c>
      <c r="E1188" s="79">
        <v>0.137379798</v>
      </c>
      <c r="F1188" s="79">
        <v>0.82750818000000004</v>
      </c>
      <c r="G1188" s="79">
        <v>0.98545101377932998</v>
      </c>
      <c r="H1188" s="80">
        <v>1</v>
      </c>
      <c r="I1188" s="79">
        <v>1.0941512423849331</v>
      </c>
      <c r="J1188" s="79">
        <v>0.13349424857836101</v>
      </c>
      <c r="K1188" s="79">
        <v>0.50029313046223001</v>
      </c>
      <c r="L1188" s="79">
        <v>0.88650784260657001</v>
      </c>
      <c r="M1188" s="80">
        <v>1</v>
      </c>
      <c r="N1188" s="79">
        <v>1.0750989534162756</v>
      </c>
      <c r="O1188" s="79">
        <v>0.135273694600832</v>
      </c>
      <c r="P1188" s="79">
        <v>0.59243885730913404</v>
      </c>
      <c r="Q1188" s="79">
        <v>0.67125438386186698</v>
      </c>
      <c r="R1188" s="80">
        <v>1</v>
      </c>
      <c r="S1188" s="79">
        <v>1.0912680658234075</v>
      </c>
      <c r="T1188" s="79">
        <v>0.136090418901885</v>
      </c>
      <c r="U1188" s="79">
        <v>0.52101472904671797</v>
      </c>
      <c r="V1188" s="79">
        <v>0.60435803579550695</v>
      </c>
      <c r="W1188" s="79">
        <v>1</v>
      </c>
    </row>
    <row r="1189" spans="1:23" x14ac:dyDescent="0.2">
      <c r="A1189" s="69"/>
      <c r="B1189" s="84" t="s">
        <v>2561</v>
      </c>
      <c r="C1189" s="78">
        <v>5424</v>
      </c>
      <c r="D1189" s="79">
        <v>1.0369963733607979</v>
      </c>
      <c r="E1189" s="79">
        <v>9.7636505999999998E-2</v>
      </c>
      <c r="F1189" s="79">
        <v>0.70983449899999995</v>
      </c>
      <c r="G1189" s="79">
        <v>0.98545101377932998</v>
      </c>
      <c r="H1189" s="80">
        <v>1</v>
      </c>
      <c r="I1189" s="79">
        <v>1.1051067332544018</v>
      </c>
      <c r="J1189" s="79">
        <v>9.5382586461072505E-2</v>
      </c>
      <c r="K1189" s="79">
        <v>0.29473053354918799</v>
      </c>
      <c r="L1189" s="79">
        <v>0.777573902440581</v>
      </c>
      <c r="M1189" s="80">
        <v>1</v>
      </c>
      <c r="N1189" s="79">
        <v>1.2400743072711902</v>
      </c>
      <c r="O1189" s="79">
        <v>9.6483914520421293E-2</v>
      </c>
      <c r="P1189" s="79">
        <v>2.5739067706063101E-2</v>
      </c>
      <c r="Q1189" s="79">
        <v>5.08767553255359E-2</v>
      </c>
      <c r="R1189" s="80">
        <v>1</v>
      </c>
      <c r="S1189" s="79">
        <v>1.3524377308623046</v>
      </c>
      <c r="T1189" s="79">
        <v>9.7126022616237997E-2</v>
      </c>
      <c r="U1189" s="79">
        <v>1.88089122221794E-3</v>
      </c>
      <c r="V1189" s="79">
        <v>7.3668239536869304E-3</v>
      </c>
      <c r="W1189" s="79">
        <v>1</v>
      </c>
    </row>
    <row r="1190" spans="1:23" x14ac:dyDescent="0.2">
      <c r="A1190" s="69"/>
      <c r="B1190" s="84" t="s">
        <v>2562</v>
      </c>
      <c r="C1190" s="78">
        <v>5424</v>
      </c>
      <c r="D1190" s="79">
        <v>0.96467820748563993</v>
      </c>
      <c r="E1190" s="79">
        <v>4.1908372999999999E-2</v>
      </c>
      <c r="F1190" s="79">
        <v>0.39084881399999999</v>
      </c>
      <c r="G1190" s="79">
        <v>0.88261195738869902</v>
      </c>
      <c r="H1190" s="80">
        <v>1</v>
      </c>
      <c r="I1190" s="79">
        <v>0.97294423516044504</v>
      </c>
      <c r="J1190" s="79">
        <v>4.1612375401145901E-2</v>
      </c>
      <c r="K1190" s="79">
        <v>0.50980387209908296</v>
      </c>
      <c r="L1190" s="79">
        <v>0.89454937074195695</v>
      </c>
      <c r="M1190" s="80">
        <v>1</v>
      </c>
      <c r="N1190" s="79">
        <v>1.1132485561684069</v>
      </c>
      <c r="O1190" s="79">
        <v>4.1303553707816298E-2</v>
      </c>
      <c r="P1190" s="79">
        <v>9.39290376891639E-3</v>
      </c>
      <c r="Q1190" s="79">
        <v>2.2447447990122198E-2</v>
      </c>
      <c r="R1190" s="80">
        <v>1</v>
      </c>
      <c r="S1190" s="79">
        <v>1.1178442907497432</v>
      </c>
      <c r="T1190" s="79">
        <v>4.1500485086861799E-2</v>
      </c>
      <c r="U1190" s="79">
        <v>7.2669606884507403E-3</v>
      </c>
      <c r="V1190" s="79">
        <v>2.0396157937173299E-2</v>
      </c>
      <c r="W1190" s="79">
        <v>1</v>
      </c>
    </row>
    <row r="1191" spans="1:23" x14ac:dyDescent="0.2">
      <c r="A1191" s="69"/>
      <c r="B1191" s="84" t="s">
        <v>324</v>
      </c>
      <c r="C1191" s="78">
        <v>5555</v>
      </c>
      <c r="D1191" s="79">
        <v>8.0715170000000003E-3</v>
      </c>
      <c r="E1191" s="79">
        <v>1.3747580000000001E-2</v>
      </c>
      <c r="F1191" s="79">
        <v>0.55714612100000005</v>
      </c>
      <c r="G1191" s="79">
        <v>0.94577236532085596</v>
      </c>
      <c r="H1191" s="80">
        <v>1</v>
      </c>
      <c r="I1191" s="79">
        <v>1.87519570234186E-2</v>
      </c>
      <c r="J1191" s="79">
        <v>1.3688823446273301E-2</v>
      </c>
      <c r="K1191" s="79">
        <v>0.17078465534234999</v>
      </c>
      <c r="L1191" s="79">
        <v>0.694633742402058</v>
      </c>
      <c r="M1191" s="80">
        <v>1</v>
      </c>
      <c r="N1191" s="81">
        <v>5.8973469428576598E-2</v>
      </c>
      <c r="O1191" s="81">
        <v>1.3580742362972799E-2</v>
      </c>
      <c r="P1191" s="81">
        <v>1.4353794687735599E-5</v>
      </c>
      <c r="Q1191" s="81">
        <v>1.17435283943116E-4</v>
      </c>
      <c r="R1191" s="82">
        <v>1.82149654587365E-2</v>
      </c>
      <c r="S1191" s="79">
        <v>4.55577212743608E-2</v>
      </c>
      <c r="T1191" s="79">
        <v>1.35590595085962E-2</v>
      </c>
      <c r="U1191" s="79">
        <v>7.8505026167848696E-4</v>
      </c>
      <c r="V1191" s="79">
        <v>3.7299759964038001E-3</v>
      </c>
      <c r="W1191" s="79">
        <v>0.99622878206999999</v>
      </c>
    </row>
    <row r="1192" spans="1:23" x14ac:dyDescent="0.2">
      <c r="A1192" s="69"/>
      <c r="B1192" s="84" t="s">
        <v>2563</v>
      </c>
      <c r="C1192" s="78">
        <v>262</v>
      </c>
      <c r="D1192" s="79">
        <v>0.95173058898976015</v>
      </c>
      <c r="E1192" s="79">
        <v>0.13194028899999999</v>
      </c>
      <c r="F1192" s="79">
        <v>0.707684867</v>
      </c>
      <c r="G1192" s="79">
        <v>0.98545101377932998</v>
      </c>
      <c r="H1192" s="80">
        <v>1</v>
      </c>
      <c r="I1192" s="79">
        <v>0.7938177254071237</v>
      </c>
      <c r="J1192" s="79">
        <v>0.13217046927363699</v>
      </c>
      <c r="K1192" s="79">
        <v>8.0637864065216794E-2</v>
      </c>
      <c r="L1192" s="79">
        <v>0.59186625016599403</v>
      </c>
      <c r="M1192" s="80">
        <v>1</v>
      </c>
      <c r="N1192" s="79">
        <v>0.96172144636139689</v>
      </c>
      <c r="O1192" s="79">
        <v>0.124507371510546</v>
      </c>
      <c r="P1192" s="79">
        <v>0.75391689040642196</v>
      </c>
      <c r="Q1192" s="79">
        <v>0.80194512483298397</v>
      </c>
      <c r="R1192" s="80">
        <v>1</v>
      </c>
      <c r="S1192" s="79">
        <v>1.0319027634599507</v>
      </c>
      <c r="T1192" s="79">
        <v>0.12672872602858101</v>
      </c>
      <c r="U1192" s="79">
        <v>0.80428266551625804</v>
      </c>
      <c r="V1192" s="79">
        <v>0.84436928383294296</v>
      </c>
      <c r="W1192" s="79">
        <v>1</v>
      </c>
    </row>
    <row r="1193" spans="1:23" x14ac:dyDescent="0.2">
      <c r="A1193" s="69"/>
      <c r="B1193" s="84" t="s">
        <v>2564</v>
      </c>
      <c r="C1193" s="78">
        <v>669</v>
      </c>
      <c r="D1193" s="79">
        <v>0.79385441973932613</v>
      </c>
      <c r="E1193" s="79">
        <v>8.3155543999999998E-2</v>
      </c>
      <c r="F1193" s="79">
        <v>5.5000880000000002E-3</v>
      </c>
      <c r="G1193" s="79">
        <v>0.22514876361290301</v>
      </c>
      <c r="H1193" s="80">
        <v>1</v>
      </c>
      <c r="I1193" s="79">
        <v>0.87621220362592678</v>
      </c>
      <c r="J1193" s="79">
        <v>8.2635615467920601E-2</v>
      </c>
      <c r="K1193" s="79">
        <v>0.109786655227725</v>
      </c>
      <c r="L1193" s="79">
        <v>0.62424045135977002</v>
      </c>
      <c r="M1193" s="80">
        <v>1</v>
      </c>
      <c r="N1193" s="79">
        <v>1.127894030395354</v>
      </c>
      <c r="O1193" s="79">
        <v>8.3973867182377607E-2</v>
      </c>
      <c r="P1193" s="79">
        <v>0.151797772187939</v>
      </c>
      <c r="Q1193" s="79">
        <v>0.22084963768538801</v>
      </c>
      <c r="R1193" s="80">
        <v>1</v>
      </c>
      <c r="S1193" s="79">
        <v>0.96018576859375682</v>
      </c>
      <c r="T1193" s="79">
        <v>8.0466855587483899E-2</v>
      </c>
      <c r="U1193" s="79">
        <v>0.61362218777113997</v>
      </c>
      <c r="V1193" s="79">
        <v>0.68305838270313701</v>
      </c>
      <c r="W1193" s="79">
        <v>1</v>
      </c>
    </row>
    <row r="1194" spans="1:23" x14ac:dyDescent="0.2">
      <c r="A1194" s="69"/>
      <c r="B1194" s="84" t="s">
        <v>2565</v>
      </c>
      <c r="C1194" s="78">
        <v>1036</v>
      </c>
      <c r="D1194" s="79">
        <v>1.0061934888253206</v>
      </c>
      <c r="E1194" s="79">
        <v>6.6739420999999993E-2</v>
      </c>
      <c r="F1194" s="79">
        <v>0.92628898299999995</v>
      </c>
      <c r="G1194" s="79">
        <v>0.991673151733656</v>
      </c>
      <c r="H1194" s="80">
        <v>1</v>
      </c>
      <c r="I1194" s="79">
        <v>1.166847830936548</v>
      </c>
      <c r="J1194" s="79">
        <v>6.6332477770695494E-2</v>
      </c>
      <c r="K1194" s="79">
        <v>2.0005197590984802E-2</v>
      </c>
      <c r="L1194" s="79">
        <v>0.41909202640396798</v>
      </c>
      <c r="M1194" s="80">
        <v>1</v>
      </c>
      <c r="N1194" s="79">
        <v>1.0391058708950547</v>
      </c>
      <c r="O1194" s="79">
        <v>6.6822771011103399E-2</v>
      </c>
      <c r="P1194" s="79">
        <v>0.56592391996837799</v>
      </c>
      <c r="Q1194" s="79">
        <v>0.64466557849180595</v>
      </c>
      <c r="R1194" s="80">
        <v>1</v>
      </c>
      <c r="S1194" s="79">
        <v>1.1906216543718657</v>
      </c>
      <c r="T1194" s="79">
        <v>6.6510412360504506E-2</v>
      </c>
      <c r="U1194" s="79">
        <v>8.7087150347624296E-3</v>
      </c>
      <c r="V1194" s="79">
        <v>2.3540356341118701E-2</v>
      </c>
      <c r="W1194" s="79">
        <v>1</v>
      </c>
    </row>
    <row r="1195" spans="1:23" x14ac:dyDescent="0.2">
      <c r="A1195" s="69"/>
      <c r="B1195" s="84" t="s">
        <v>2566</v>
      </c>
      <c r="C1195" s="78">
        <v>476</v>
      </c>
      <c r="D1195" s="79">
        <v>1.0200880805007044</v>
      </c>
      <c r="E1195" s="79">
        <v>0.10207859499999999</v>
      </c>
      <c r="F1195" s="79">
        <v>0.84551833200000004</v>
      </c>
      <c r="G1195" s="79">
        <v>0.98552821438803295</v>
      </c>
      <c r="H1195" s="80">
        <v>1</v>
      </c>
      <c r="I1195" s="79">
        <v>1.1245663702180566</v>
      </c>
      <c r="J1195" s="79">
        <v>0.102399645260284</v>
      </c>
      <c r="K1195" s="79">
        <v>0.25160319142003601</v>
      </c>
      <c r="L1195" s="79">
        <v>0.75316534960692805</v>
      </c>
      <c r="M1195" s="80">
        <v>1</v>
      </c>
      <c r="N1195" s="79">
        <v>0.95955204222576684</v>
      </c>
      <c r="O1195" s="79">
        <v>0.100293898019783</v>
      </c>
      <c r="P1195" s="79">
        <v>0.68057592907174203</v>
      </c>
      <c r="Q1195" s="79">
        <v>0.74292899196089801</v>
      </c>
      <c r="R1195" s="80">
        <v>1</v>
      </c>
      <c r="S1195" s="79">
        <v>1.1455604747099131</v>
      </c>
      <c r="T1195" s="79">
        <v>9.5486394069475303E-2</v>
      </c>
      <c r="U1195" s="79">
        <v>0.154684927314266</v>
      </c>
      <c r="V1195" s="79">
        <v>0.22985383227377501</v>
      </c>
      <c r="W1195" s="79">
        <v>1</v>
      </c>
    </row>
    <row r="1196" spans="1:23" x14ac:dyDescent="0.2">
      <c r="A1196" s="69"/>
      <c r="B1196" s="84" t="s">
        <v>2567</v>
      </c>
      <c r="C1196" s="78">
        <v>317</v>
      </c>
      <c r="D1196" s="79">
        <v>1.027699131954702</v>
      </c>
      <c r="E1196" s="79">
        <v>0.122159144</v>
      </c>
      <c r="F1196" s="79">
        <v>0.82301972700000003</v>
      </c>
      <c r="G1196" s="79">
        <v>0.98545101377932998</v>
      </c>
      <c r="H1196" s="80">
        <v>1</v>
      </c>
      <c r="I1196" s="79">
        <v>0.96195582920972067</v>
      </c>
      <c r="J1196" s="79">
        <v>0.119866633756713</v>
      </c>
      <c r="K1196" s="79">
        <v>0.74625413912094896</v>
      </c>
      <c r="L1196" s="79">
        <v>0.95175527893917999</v>
      </c>
      <c r="M1196" s="80">
        <v>1</v>
      </c>
      <c r="N1196" s="79">
        <v>0.90427834004644703</v>
      </c>
      <c r="O1196" s="79">
        <v>0.112151114178611</v>
      </c>
      <c r="P1196" s="79">
        <v>0.36963081490545702</v>
      </c>
      <c r="Q1196" s="79">
        <v>0.45407696429334499</v>
      </c>
      <c r="R1196" s="80">
        <v>1</v>
      </c>
      <c r="S1196" s="79">
        <v>1.022064151019741</v>
      </c>
      <c r="T1196" s="79">
        <v>0.118054968304251</v>
      </c>
      <c r="U1196" s="79">
        <v>0.85333473653945602</v>
      </c>
      <c r="V1196" s="79">
        <v>0.88543072826538805</v>
      </c>
      <c r="W1196" s="79">
        <v>1</v>
      </c>
    </row>
    <row r="1197" spans="1:23" x14ac:dyDescent="0.2">
      <c r="A1197" s="69"/>
      <c r="B1197" s="84" t="s">
        <v>2568</v>
      </c>
      <c r="C1197" s="78">
        <v>587</v>
      </c>
      <c r="D1197" s="79">
        <v>0.90900934529947286</v>
      </c>
      <c r="E1197" s="79">
        <v>8.8058721000000006E-2</v>
      </c>
      <c r="F1197" s="79">
        <v>0.27864560399999999</v>
      </c>
      <c r="G1197" s="79">
        <v>0.82719597069976902</v>
      </c>
      <c r="H1197" s="80">
        <v>1</v>
      </c>
      <c r="I1197" s="79">
        <v>1.0147427040442549</v>
      </c>
      <c r="J1197" s="79">
        <v>8.8067817390909006E-2</v>
      </c>
      <c r="K1197" s="79">
        <v>0.86801550458766197</v>
      </c>
      <c r="L1197" s="79">
        <v>0.972117051448254</v>
      </c>
      <c r="M1197" s="80">
        <v>1</v>
      </c>
      <c r="N1197" s="79">
        <v>1.0744232707994239</v>
      </c>
      <c r="O1197" s="79">
        <v>9.0233519359078099E-2</v>
      </c>
      <c r="P1197" s="79">
        <v>0.42630169932645301</v>
      </c>
      <c r="Q1197" s="79">
        <v>0.51132454854390197</v>
      </c>
      <c r="R1197" s="80">
        <v>1</v>
      </c>
      <c r="S1197" s="79">
        <v>1.1188128028446866</v>
      </c>
      <c r="T1197" s="79">
        <v>8.9335368314181707E-2</v>
      </c>
      <c r="U1197" s="79">
        <v>0.208860794758957</v>
      </c>
      <c r="V1197" s="79">
        <v>0.29449372061012902</v>
      </c>
      <c r="W1197" s="79">
        <v>1</v>
      </c>
    </row>
    <row r="1198" spans="1:23" x14ac:dyDescent="0.2">
      <c r="A1198" s="69"/>
      <c r="B1198" s="84" t="s">
        <v>2569</v>
      </c>
      <c r="C1198" s="78">
        <v>589</v>
      </c>
      <c r="D1198" s="79">
        <v>0.96694903611941485</v>
      </c>
      <c r="E1198" s="79">
        <v>9.3521831E-2</v>
      </c>
      <c r="F1198" s="79">
        <v>0.71931393200000004</v>
      </c>
      <c r="G1198" s="79">
        <v>0.98545101377932998</v>
      </c>
      <c r="H1198" s="80">
        <v>1</v>
      </c>
      <c r="I1198" s="79">
        <v>0.97290046632681071</v>
      </c>
      <c r="J1198" s="79">
        <v>9.4980124496316903E-2</v>
      </c>
      <c r="K1198" s="79">
        <v>0.77238607041830398</v>
      </c>
      <c r="L1198" s="79">
        <v>0.95389133514851498</v>
      </c>
      <c r="M1198" s="80">
        <v>1</v>
      </c>
      <c r="N1198" s="79">
        <v>0.98159321061077964</v>
      </c>
      <c r="O1198" s="79">
        <v>9.18560942168032E-2</v>
      </c>
      <c r="P1198" s="79">
        <v>0.839717820841135</v>
      </c>
      <c r="Q1198" s="79">
        <v>0.87201466010425599</v>
      </c>
      <c r="R1198" s="80">
        <v>1</v>
      </c>
      <c r="S1198" s="79">
        <v>1.1145839555420805</v>
      </c>
      <c r="T1198" s="79">
        <v>9.2527151276229805E-2</v>
      </c>
      <c r="U1198" s="79">
        <v>0.24102622477644101</v>
      </c>
      <c r="V1198" s="79">
        <v>0.32838123444808298</v>
      </c>
      <c r="W1198" s="79">
        <v>1</v>
      </c>
    </row>
    <row r="1199" spans="1:23" x14ac:dyDescent="0.2">
      <c r="A1199" s="69"/>
      <c r="B1199" s="84" t="s">
        <v>2570</v>
      </c>
      <c r="C1199" s="78">
        <v>322</v>
      </c>
      <c r="D1199" s="79">
        <v>0.99862396061159953</v>
      </c>
      <c r="E1199" s="79">
        <v>0.126211606</v>
      </c>
      <c r="F1199" s="79">
        <v>0.99129513800000002</v>
      </c>
      <c r="G1199" s="79">
        <v>0.99538600326677196</v>
      </c>
      <c r="H1199" s="80">
        <v>1</v>
      </c>
      <c r="I1199" s="79">
        <v>0.91093541635070807</v>
      </c>
      <c r="J1199" s="79">
        <v>0.121965545666748</v>
      </c>
      <c r="K1199" s="79">
        <v>0.44437097895647598</v>
      </c>
      <c r="L1199" s="79">
        <v>0.86970662028650003</v>
      </c>
      <c r="M1199" s="80">
        <v>1</v>
      </c>
      <c r="N1199" s="79">
        <v>1.0620606641731729</v>
      </c>
      <c r="O1199" s="79">
        <v>0.12319760227066</v>
      </c>
      <c r="P1199" s="79">
        <v>0.62502895575251205</v>
      </c>
      <c r="Q1199" s="79">
        <v>0.70315757522157596</v>
      </c>
      <c r="R1199" s="80">
        <v>1</v>
      </c>
      <c r="S1199" s="79">
        <v>1.0366395046150974</v>
      </c>
      <c r="T1199" s="79">
        <v>0.13110731216677801</v>
      </c>
      <c r="U1199" s="79">
        <v>0.78372807424533697</v>
      </c>
      <c r="V1199" s="79">
        <v>0.82810235322009396</v>
      </c>
      <c r="W1199" s="79">
        <v>1</v>
      </c>
    </row>
    <row r="1200" spans="1:23" x14ac:dyDescent="0.2">
      <c r="A1200" s="69"/>
      <c r="B1200" s="84" t="s">
        <v>2571</v>
      </c>
      <c r="C1200" s="78">
        <v>628</v>
      </c>
      <c r="D1200" s="79">
        <v>1.0791533451297042</v>
      </c>
      <c r="E1200" s="79">
        <v>9.5906638000000002E-2</v>
      </c>
      <c r="F1200" s="79">
        <v>0.42703202000000001</v>
      </c>
      <c r="G1200" s="79">
        <v>0.89290078772322901</v>
      </c>
      <c r="H1200" s="80">
        <v>1</v>
      </c>
      <c r="I1200" s="79">
        <v>1.1201329828105611</v>
      </c>
      <c r="J1200" s="79">
        <v>9.3270083547777605E-2</v>
      </c>
      <c r="K1200" s="79">
        <v>0.223858371496754</v>
      </c>
      <c r="L1200" s="79">
        <v>0.73459417908661795</v>
      </c>
      <c r="M1200" s="80">
        <v>1</v>
      </c>
      <c r="N1200" s="79">
        <v>1.1935269741200698</v>
      </c>
      <c r="O1200" s="79">
        <v>9.8112964910912703E-2</v>
      </c>
      <c r="P1200" s="79">
        <v>7.1364060831180604E-2</v>
      </c>
      <c r="Q1200" s="79">
        <v>0.118524164747335</v>
      </c>
      <c r="R1200" s="80">
        <v>1</v>
      </c>
      <c r="S1200" s="79">
        <v>1.3009195093296899</v>
      </c>
      <c r="T1200" s="79">
        <v>9.6396083693367898E-2</v>
      </c>
      <c r="U1200" s="79">
        <v>6.3513881336917204E-3</v>
      </c>
      <c r="V1200" s="79">
        <v>1.8571224750356701E-2</v>
      </c>
      <c r="W1200" s="79">
        <v>1</v>
      </c>
    </row>
    <row r="1201" spans="1:23" x14ac:dyDescent="0.2">
      <c r="A1201" s="69"/>
      <c r="B1201" s="84" t="s">
        <v>2572</v>
      </c>
      <c r="C1201" s="78">
        <v>677</v>
      </c>
      <c r="D1201" s="79">
        <v>1.0791600078430248</v>
      </c>
      <c r="E1201" s="79">
        <v>8.5156473999999996E-2</v>
      </c>
      <c r="F1201" s="79">
        <v>0.37098848000000001</v>
      </c>
      <c r="G1201" s="79">
        <v>0.880152082540541</v>
      </c>
      <c r="H1201" s="80">
        <v>1</v>
      </c>
      <c r="I1201" s="79">
        <v>1.0616751428441347</v>
      </c>
      <c r="J1201" s="79">
        <v>8.4087065170886904E-2</v>
      </c>
      <c r="K1201" s="79">
        <v>0.476626850867093</v>
      </c>
      <c r="L1201" s="79">
        <v>0.87548946656965998</v>
      </c>
      <c r="M1201" s="80">
        <v>1</v>
      </c>
      <c r="N1201" s="79">
        <v>1.0525924345808602</v>
      </c>
      <c r="O1201" s="79">
        <v>8.3649070585523705E-2</v>
      </c>
      <c r="P1201" s="79">
        <v>0.54004056087127295</v>
      </c>
      <c r="Q1201" s="79">
        <v>0.61851215861520403</v>
      </c>
      <c r="R1201" s="80">
        <v>1</v>
      </c>
      <c r="S1201" s="79">
        <v>1.0550805014959439</v>
      </c>
      <c r="T1201" s="79">
        <v>8.2593282375220997E-2</v>
      </c>
      <c r="U1201" s="79">
        <v>0.51622859708772095</v>
      </c>
      <c r="V1201" s="79">
        <v>0.60100375202231004</v>
      </c>
      <c r="W1201" s="79">
        <v>1</v>
      </c>
    </row>
    <row r="1202" spans="1:23" x14ac:dyDescent="0.2">
      <c r="A1202" s="69"/>
      <c r="B1202" s="84" t="s">
        <v>2573</v>
      </c>
      <c r="C1202" s="78">
        <v>595</v>
      </c>
      <c r="D1202" s="79">
        <v>1.0914526037244947</v>
      </c>
      <c r="E1202" s="79">
        <v>8.6464528999999998E-2</v>
      </c>
      <c r="F1202" s="79">
        <v>0.31149730199999998</v>
      </c>
      <c r="G1202" s="79">
        <v>0.85008618545806502</v>
      </c>
      <c r="H1202" s="80">
        <v>1</v>
      </c>
      <c r="I1202" s="79">
        <v>1.0607251642973743</v>
      </c>
      <c r="J1202" s="79">
        <v>8.4914817762477293E-2</v>
      </c>
      <c r="K1202" s="79">
        <v>0.48752042563710402</v>
      </c>
      <c r="L1202" s="79">
        <v>0.88254410860696897</v>
      </c>
      <c r="M1202" s="80">
        <v>1</v>
      </c>
      <c r="N1202" s="79">
        <v>1.1952476642660033</v>
      </c>
      <c r="O1202" s="79">
        <v>8.5850000494862605E-2</v>
      </c>
      <c r="P1202" s="79">
        <v>3.7755394092447402E-2</v>
      </c>
      <c r="Q1202" s="79">
        <v>6.9939945688852395E-2</v>
      </c>
      <c r="R1202" s="80">
        <v>1</v>
      </c>
      <c r="S1202" s="79">
        <v>1.3432070313229487</v>
      </c>
      <c r="T1202" s="79">
        <v>8.7007874577424801E-2</v>
      </c>
      <c r="U1202" s="79">
        <v>6.9590343241831599E-4</v>
      </c>
      <c r="V1202" s="79">
        <v>3.3965440605340101E-3</v>
      </c>
      <c r="W1202" s="79">
        <v>0.88310145573884302</v>
      </c>
    </row>
    <row r="1203" spans="1:23" x14ac:dyDescent="0.2">
      <c r="A1203" s="69"/>
      <c r="B1203" s="84" t="s">
        <v>2574</v>
      </c>
      <c r="C1203" s="78">
        <v>988</v>
      </c>
      <c r="D1203" s="79">
        <v>1.0470594337116803</v>
      </c>
      <c r="E1203" s="79">
        <v>6.6354181999999998E-2</v>
      </c>
      <c r="F1203" s="79">
        <v>0.48828828899999999</v>
      </c>
      <c r="G1203" s="79">
        <v>0.92884339055395704</v>
      </c>
      <c r="H1203" s="80">
        <v>1</v>
      </c>
      <c r="I1203" s="79">
        <v>0.99116425957861309</v>
      </c>
      <c r="J1203" s="79">
        <v>6.8897702250170098E-2</v>
      </c>
      <c r="K1203" s="79">
        <v>0.89750461577033502</v>
      </c>
      <c r="L1203" s="79">
        <v>0.981200184300273</v>
      </c>
      <c r="M1203" s="80">
        <v>1</v>
      </c>
      <c r="N1203" s="79">
        <v>1.089080485625143</v>
      </c>
      <c r="O1203" s="79">
        <v>6.7931419852655106E-2</v>
      </c>
      <c r="P1203" s="79">
        <v>0.20905254087456299</v>
      </c>
      <c r="Q1203" s="79">
        <v>0.28464342743542997</v>
      </c>
      <c r="R1203" s="80">
        <v>1</v>
      </c>
      <c r="S1203" s="79">
        <v>1.2658242582442401</v>
      </c>
      <c r="T1203" s="79">
        <v>6.6820152498862098E-2</v>
      </c>
      <c r="U1203" s="79">
        <v>4.1913847921964199E-4</v>
      </c>
      <c r="V1203" s="79">
        <v>2.3125510005640301E-3</v>
      </c>
      <c r="W1203" s="79">
        <v>0.53188673012972598</v>
      </c>
    </row>
    <row r="1204" spans="1:23" x14ac:dyDescent="0.2">
      <c r="A1204" s="69"/>
      <c r="B1204" s="84" t="s">
        <v>2575</v>
      </c>
      <c r="C1204" s="78">
        <v>442</v>
      </c>
      <c r="D1204" s="79">
        <v>1.2759762080245771</v>
      </c>
      <c r="E1204" s="79">
        <v>0.105385232</v>
      </c>
      <c r="F1204" s="79">
        <v>2.0745868000000001E-2</v>
      </c>
      <c r="G1204" s="79">
        <v>0.35576360124324302</v>
      </c>
      <c r="H1204" s="80">
        <v>1</v>
      </c>
      <c r="I1204" s="79">
        <v>1.1307637039414684</v>
      </c>
      <c r="J1204" s="79">
        <v>0.108436060573337</v>
      </c>
      <c r="K1204" s="79">
        <v>0.25707798934433201</v>
      </c>
      <c r="L1204" s="79">
        <v>0.75316534960692805</v>
      </c>
      <c r="M1204" s="80">
        <v>1</v>
      </c>
      <c r="N1204" s="79">
        <v>1.0241057559076863</v>
      </c>
      <c r="O1204" s="79">
        <v>0.10406322601728001</v>
      </c>
      <c r="P1204" s="79">
        <v>0.81894868631984596</v>
      </c>
      <c r="Q1204" s="79">
        <v>0.85605097441506195</v>
      </c>
      <c r="R1204" s="80">
        <v>1</v>
      </c>
      <c r="S1204" s="79">
        <v>1.3202724386697773</v>
      </c>
      <c r="T1204" s="79">
        <v>0.113708942496089</v>
      </c>
      <c r="U1204" s="79">
        <v>1.45490061153684E-2</v>
      </c>
      <c r="V1204" s="79">
        <v>3.4317265353908E-2</v>
      </c>
      <c r="W1204" s="79">
        <v>1</v>
      </c>
    </row>
    <row r="1205" spans="1:23" x14ac:dyDescent="0.2">
      <c r="A1205" s="69"/>
      <c r="B1205" s="84" t="s">
        <v>2576</v>
      </c>
      <c r="C1205" s="78">
        <v>645</v>
      </c>
      <c r="D1205" s="79">
        <v>0.99851357881990754</v>
      </c>
      <c r="E1205" s="79">
        <v>8.4183729999999998E-2</v>
      </c>
      <c r="F1205" s="79">
        <v>0.98590211299999997</v>
      </c>
      <c r="G1205" s="79">
        <v>0.99355472541428602</v>
      </c>
      <c r="H1205" s="80">
        <v>1</v>
      </c>
      <c r="I1205" s="79">
        <v>1.0541371689768317</v>
      </c>
      <c r="J1205" s="79">
        <v>8.1949479957249896E-2</v>
      </c>
      <c r="K1205" s="79">
        <v>0.51999397109372103</v>
      </c>
      <c r="L1205" s="79">
        <v>0.89861420621934396</v>
      </c>
      <c r="M1205" s="80">
        <v>1</v>
      </c>
      <c r="N1205" s="79">
        <v>1.0313500202574357</v>
      </c>
      <c r="O1205" s="79">
        <v>8.2943544016338397E-2</v>
      </c>
      <c r="P1205" s="79">
        <v>0.70977036917646297</v>
      </c>
      <c r="Q1205" s="79">
        <v>0.76459982893457701</v>
      </c>
      <c r="R1205" s="80">
        <v>1</v>
      </c>
      <c r="S1205" s="79">
        <v>1.1279979201913877</v>
      </c>
      <c r="T1205" s="79">
        <v>8.2384849522481193E-2</v>
      </c>
      <c r="U1205" s="79">
        <v>0.14374899584582199</v>
      </c>
      <c r="V1205" s="79">
        <v>0.21702198099845299</v>
      </c>
      <c r="W1205" s="79">
        <v>1</v>
      </c>
    </row>
    <row r="1206" spans="1:23" x14ac:dyDescent="0.2">
      <c r="A1206" s="69"/>
      <c r="B1206" s="84" t="s">
        <v>2577</v>
      </c>
      <c r="C1206" s="78">
        <v>472</v>
      </c>
      <c r="D1206" s="79">
        <v>0.87004036052631351</v>
      </c>
      <c r="E1206" s="79">
        <v>0.106198688</v>
      </c>
      <c r="F1206" s="79">
        <v>0.18989213599999999</v>
      </c>
      <c r="G1206" s="79">
        <v>0.71824426474260405</v>
      </c>
      <c r="H1206" s="80">
        <v>1</v>
      </c>
      <c r="I1206" s="79">
        <v>0.98240326974849546</v>
      </c>
      <c r="J1206" s="79">
        <v>0.108350185250648</v>
      </c>
      <c r="K1206" s="79">
        <v>0.86984766408027503</v>
      </c>
      <c r="L1206" s="79">
        <v>0.972117051448254</v>
      </c>
      <c r="M1206" s="80">
        <v>1</v>
      </c>
      <c r="N1206" s="79">
        <v>1.0142345612482546</v>
      </c>
      <c r="O1206" s="79">
        <v>0.10665999822456999</v>
      </c>
      <c r="P1206" s="79">
        <v>0.89457583608205204</v>
      </c>
      <c r="Q1206" s="79">
        <v>0.91623626794844604</v>
      </c>
      <c r="R1206" s="80">
        <v>1</v>
      </c>
      <c r="S1206" s="79">
        <v>0.91682768703210704</v>
      </c>
      <c r="T1206" s="79">
        <v>0.102375464276534</v>
      </c>
      <c r="U1206" s="79">
        <v>0.39632189234165699</v>
      </c>
      <c r="V1206" s="79">
        <v>0.48513162161258799</v>
      </c>
      <c r="W1206" s="79">
        <v>1</v>
      </c>
    </row>
    <row r="1207" spans="1:23" x14ac:dyDescent="0.2">
      <c r="A1207" s="69"/>
      <c r="B1207" s="84" t="s">
        <v>2578</v>
      </c>
      <c r="C1207" s="78">
        <v>822</v>
      </c>
      <c r="D1207" s="79">
        <v>1.1254256593933372</v>
      </c>
      <c r="E1207" s="79">
        <v>7.5225972000000002E-2</v>
      </c>
      <c r="F1207" s="79">
        <v>0.116240318</v>
      </c>
      <c r="G1207" s="79">
        <v>0.64215920265517301</v>
      </c>
      <c r="H1207" s="80">
        <v>1</v>
      </c>
      <c r="I1207" s="79">
        <v>1.078564743752318</v>
      </c>
      <c r="J1207" s="79">
        <v>7.1969095970780397E-2</v>
      </c>
      <c r="K1207" s="79">
        <v>0.29331158323483503</v>
      </c>
      <c r="L1207" s="79">
        <v>0.77544249817709499</v>
      </c>
      <c r="M1207" s="80">
        <v>1</v>
      </c>
      <c r="N1207" s="79">
        <v>1.1286308006967465</v>
      </c>
      <c r="O1207" s="79">
        <v>7.7563377517314902E-2</v>
      </c>
      <c r="P1207" s="79">
        <v>0.11874054081626401</v>
      </c>
      <c r="Q1207" s="79">
        <v>0.180025981237562</v>
      </c>
      <c r="R1207" s="80">
        <v>1</v>
      </c>
      <c r="S1207" s="79">
        <v>1.184171720858112</v>
      </c>
      <c r="T1207" s="79">
        <v>7.5997937554925801E-2</v>
      </c>
      <c r="U1207" s="79">
        <v>2.6127074196160099E-2</v>
      </c>
      <c r="V1207" s="79">
        <v>5.3910987243784E-2</v>
      </c>
      <c r="W1207" s="79">
        <v>1</v>
      </c>
    </row>
    <row r="1208" spans="1:23" x14ac:dyDescent="0.2">
      <c r="A1208" s="69"/>
      <c r="B1208" s="84" t="s">
        <v>2579</v>
      </c>
      <c r="C1208" s="78">
        <v>941</v>
      </c>
      <c r="D1208" s="79">
        <v>0.99355188290850538</v>
      </c>
      <c r="E1208" s="79">
        <v>8.9177221000000001E-2</v>
      </c>
      <c r="F1208" s="79">
        <v>0.94217145999999996</v>
      </c>
      <c r="G1208" s="79">
        <v>0.991673151733656</v>
      </c>
      <c r="H1208" s="80">
        <v>1</v>
      </c>
      <c r="I1208" s="79">
        <v>0.9556748425538959</v>
      </c>
      <c r="J1208" s="79">
        <v>9.0434655157047003E-2</v>
      </c>
      <c r="K1208" s="79">
        <v>0.61613935460063995</v>
      </c>
      <c r="L1208" s="79">
        <v>0.91965825061269202</v>
      </c>
      <c r="M1208" s="80">
        <v>1</v>
      </c>
      <c r="N1208" s="79">
        <v>1.0179812597680273</v>
      </c>
      <c r="O1208" s="79">
        <v>9.2489588770888101E-2</v>
      </c>
      <c r="P1208" s="79">
        <v>0.84720437871996801</v>
      </c>
      <c r="Q1208" s="79">
        <v>0.87906979280101305</v>
      </c>
      <c r="R1208" s="80">
        <v>1</v>
      </c>
      <c r="S1208" s="79">
        <v>1.0218562468506491</v>
      </c>
      <c r="T1208" s="79">
        <v>8.7322708364432594E-2</v>
      </c>
      <c r="U1208" s="79">
        <v>0.80444638625218901</v>
      </c>
      <c r="V1208" s="79">
        <v>0.84436928383294296</v>
      </c>
      <c r="W1208" s="79">
        <v>1</v>
      </c>
    </row>
    <row r="1209" spans="1:23" x14ac:dyDescent="0.2">
      <c r="A1209" s="69"/>
      <c r="B1209" s="84" t="s">
        <v>2580</v>
      </c>
      <c r="C1209" s="78">
        <v>607</v>
      </c>
      <c r="D1209" s="79">
        <v>1.030890633161238</v>
      </c>
      <c r="E1209" s="79">
        <v>8.8154918999999998E-2</v>
      </c>
      <c r="F1209" s="79">
        <v>0.73001187099999998</v>
      </c>
      <c r="G1209" s="79">
        <v>0.98545101377932998</v>
      </c>
      <c r="H1209" s="80">
        <v>1</v>
      </c>
      <c r="I1209" s="79">
        <v>1.0155642471185657</v>
      </c>
      <c r="J1209" s="79">
        <v>9.2571984067643096E-2</v>
      </c>
      <c r="K1209" s="79">
        <v>0.86749886231840401</v>
      </c>
      <c r="L1209" s="79">
        <v>0.972117051448254</v>
      </c>
      <c r="M1209" s="80">
        <v>1</v>
      </c>
      <c r="N1209" s="79">
        <v>1.2186773263745461</v>
      </c>
      <c r="O1209" s="79">
        <v>8.8821797627670201E-2</v>
      </c>
      <c r="P1209" s="79">
        <v>2.5977410183373201E-2</v>
      </c>
      <c r="Q1209" s="79">
        <v>5.1188406091150003E-2</v>
      </c>
      <c r="R1209" s="80">
        <v>1</v>
      </c>
      <c r="S1209" s="79">
        <v>1.3063822458466057</v>
      </c>
      <c r="T1209" s="79">
        <v>9.2957610420796602E-2</v>
      </c>
      <c r="U1209" s="79">
        <v>4.0390992045118796E-3</v>
      </c>
      <c r="V1209" s="79">
        <v>1.3009179925191801E-2</v>
      </c>
      <c r="W1209" s="79">
        <v>1</v>
      </c>
    </row>
    <row r="1210" spans="1:23" x14ac:dyDescent="0.2">
      <c r="A1210" s="69"/>
      <c r="B1210" s="84" t="s">
        <v>1995</v>
      </c>
      <c r="C1210" s="78">
        <v>3094</v>
      </c>
      <c r="D1210" s="79">
        <v>1.361316E-3</v>
      </c>
      <c r="E1210" s="79">
        <v>1.8282463999999998E-2</v>
      </c>
      <c r="F1210" s="79">
        <v>0.94064939700000005</v>
      </c>
      <c r="G1210" s="79">
        <v>0.991673151733656</v>
      </c>
      <c r="H1210" s="80">
        <v>1</v>
      </c>
      <c r="I1210" s="79">
        <v>3.12854920323948E-2</v>
      </c>
      <c r="J1210" s="79">
        <v>1.8302009333883901E-2</v>
      </c>
      <c r="K1210" s="79">
        <v>8.7486506482993304E-2</v>
      </c>
      <c r="L1210" s="79">
        <v>0.59811020064394504</v>
      </c>
      <c r="M1210" s="80">
        <v>1</v>
      </c>
      <c r="N1210" s="79">
        <v>2.26943147744166E-2</v>
      </c>
      <c r="O1210" s="79">
        <v>1.81929430731394E-2</v>
      </c>
      <c r="P1210" s="79">
        <v>0.21234495574498799</v>
      </c>
      <c r="Q1210" s="79">
        <v>0.28819866186137899</v>
      </c>
      <c r="R1210" s="80">
        <v>1</v>
      </c>
      <c r="S1210" s="81">
        <v>8.4497110772622397E-2</v>
      </c>
      <c r="T1210" s="81">
        <v>1.82314115830737E-2</v>
      </c>
      <c r="U1210" s="81">
        <v>3.7321998790715998E-6</v>
      </c>
      <c r="V1210" s="81">
        <v>7.5177168992727895E-5</v>
      </c>
      <c r="W1210" s="81">
        <v>4.73616164654186E-3</v>
      </c>
    </row>
    <row r="1211" spans="1:23" x14ac:dyDescent="0.2">
      <c r="A1211" s="69"/>
      <c r="B1211" s="84" t="s">
        <v>236</v>
      </c>
      <c r="C1211" s="78">
        <v>3094</v>
      </c>
      <c r="D1211" s="79">
        <v>-4.5913969999999997E-3</v>
      </c>
      <c r="E1211" s="79">
        <v>1.8235332999999999E-2</v>
      </c>
      <c r="F1211" s="79">
        <v>0.80122412099999996</v>
      </c>
      <c r="G1211" s="79">
        <v>0.98545101377932998</v>
      </c>
      <c r="H1211" s="80">
        <v>1</v>
      </c>
      <c r="I1211" s="79">
        <v>2.4865252122276301E-2</v>
      </c>
      <c r="J1211" s="79">
        <v>1.82728708080463E-2</v>
      </c>
      <c r="K1211" s="79">
        <v>0.173689616126217</v>
      </c>
      <c r="L1211" s="79">
        <v>0.69548531020629201</v>
      </c>
      <c r="M1211" s="80">
        <v>1</v>
      </c>
      <c r="N1211" s="79">
        <v>5.9298485956749303E-2</v>
      </c>
      <c r="O1211" s="79">
        <v>1.8127034003276001E-2</v>
      </c>
      <c r="P1211" s="79">
        <v>1.08298611499588E-3</v>
      </c>
      <c r="Q1211" s="79">
        <v>3.77306561522867E-3</v>
      </c>
      <c r="R1211" s="80">
        <v>1</v>
      </c>
      <c r="S1211" s="81">
        <v>9.3223335894922099E-2</v>
      </c>
      <c r="T1211" s="81">
        <v>1.8174563180952199E-2</v>
      </c>
      <c r="U1211" s="81">
        <v>3.0942410855866402E-7</v>
      </c>
      <c r="V1211" s="81">
        <v>1.06124106421877E-5</v>
      </c>
      <c r="W1211" s="81">
        <v>3.9265919376094502E-4</v>
      </c>
    </row>
    <row r="1212" spans="1:23" x14ac:dyDescent="0.2">
      <c r="A1212" s="69"/>
      <c r="B1212" s="84" t="s">
        <v>235</v>
      </c>
      <c r="C1212" s="78">
        <v>5556</v>
      </c>
      <c r="D1212" s="79">
        <v>-4.0409759999999999E-3</v>
      </c>
      <c r="E1212" s="79">
        <v>1.3549083E-2</v>
      </c>
      <c r="F1212" s="79">
        <v>0.76552625100000005</v>
      </c>
      <c r="G1212" s="79">
        <v>0.98545101377932998</v>
      </c>
      <c r="H1212" s="80">
        <v>1</v>
      </c>
      <c r="I1212" s="79">
        <v>1.62874867153259E-2</v>
      </c>
      <c r="J1212" s="79">
        <v>1.34810651239591E-2</v>
      </c>
      <c r="K1212" s="79">
        <v>0.22703467630896301</v>
      </c>
      <c r="L1212" s="79">
        <v>0.73459417908661795</v>
      </c>
      <c r="M1212" s="80">
        <v>1</v>
      </c>
      <c r="N1212" s="81">
        <v>7.1163713445997603E-2</v>
      </c>
      <c r="O1212" s="81">
        <v>1.33660106484811E-2</v>
      </c>
      <c r="P1212" s="81">
        <v>1.05608480199357E-7</v>
      </c>
      <c r="Q1212" s="81">
        <v>1.7404826152335601E-6</v>
      </c>
      <c r="R1212" s="82">
        <v>1.3401716137298399E-4</v>
      </c>
      <c r="S1212" s="81">
        <v>8.0932422909460205E-2</v>
      </c>
      <c r="T1212" s="81">
        <v>1.3325127616534E-2</v>
      </c>
      <c r="U1212" s="81">
        <v>1.3377054942384901E-9</v>
      </c>
      <c r="V1212" s="81">
        <v>1.1316988481257599E-7</v>
      </c>
      <c r="W1212" s="81">
        <v>1.69754827218864E-6</v>
      </c>
    </row>
    <row r="1213" spans="1:23" x14ac:dyDescent="0.2">
      <c r="A1213" s="69"/>
      <c r="B1213" s="84" t="s">
        <v>237</v>
      </c>
      <c r="C1213" s="78">
        <v>5556</v>
      </c>
      <c r="D1213" s="79">
        <v>-7.6963830000000002E-3</v>
      </c>
      <c r="E1213" s="79">
        <v>1.3637866E-2</v>
      </c>
      <c r="F1213" s="79">
        <v>0.57254739700000001</v>
      </c>
      <c r="G1213" s="79">
        <v>0.95099822878664897</v>
      </c>
      <c r="H1213" s="80">
        <v>1</v>
      </c>
      <c r="I1213" s="79">
        <v>2.0925494394108599E-2</v>
      </c>
      <c r="J1213" s="79">
        <v>1.35647856691195E-2</v>
      </c>
      <c r="K1213" s="79">
        <v>0.12298081244596901</v>
      </c>
      <c r="L1213" s="79">
        <v>0.64414963084250298</v>
      </c>
      <c r="M1213" s="80">
        <v>1</v>
      </c>
      <c r="N1213" s="81">
        <v>7.1194244833252998E-2</v>
      </c>
      <c r="O1213" s="81">
        <v>1.3452460092443001E-2</v>
      </c>
      <c r="P1213" s="81">
        <v>1.2575397482290099E-7</v>
      </c>
      <c r="Q1213" s="81">
        <v>1.9947724256282699E-6</v>
      </c>
      <c r="R1213" s="82">
        <v>1.5958179405026101E-4</v>
      </c>
      <c r="S1213" s="81">
        <v>9.0909100700521397E-2</v>
      </c>
      <c r="T1213" s="81">
        <v>1.3398570126600199E-2</v>
      </c>
      <c r="U1213" s="81">
        <v>1.28944118694764E-11</v>
      </c>
      <c r="V1213" s="81">
        <v>2.0453760827956899E-9</v>
      </c>
      <c r="W1213" s="81">
        <v>1.6363008662365499E-8</v>
      </c>
    </row>
    <row r="1214" spans="1:23" x14ac:dyDescent="0.2">
      <c r="A1214" s="69"/>
      <c r="B1214" s="84" t="s">
        <v>2581</v>
      </c>
      <c r="C1214" s="78">
        <v>5554</v>
      </c>
      <c r="D1214" s="79">
        <v>1.0707439111831498</v>
      </c>
      <c r="E1214" s="79">
        <v>6.5465649000000001E-2</v>
      </c>
      <c r="F1214" s="79">
        <v>0.29643229300000001</v>
      </c>
      <c r="G1214" s="79">
        <v>0.84338459475166305</v>
      </c>
      <c r="H1214" s="80">
        <v>1</v>
      </c>
      <c r="I1214" s="79">
        <v>1.0798759823263129</v>
      </c>
      <c r="J1214" s="79">
        <v>6.5022792974908303E-2</v>
      </c>
      <c r="K1214" s="79">
        <v>0.23727123323213301</v>
      </c>
      <c r="L1214" s="79">
        <v>0.74312835742433903</v>
      </c>
      <c r="M1214" s="80">
        <v>1</v>
      </c>
      <c r="N1214" s="79">
        <v>1.2075107149983049</v>
      </c>
      <c r="O1214" s="79">
        <v>6.4338258455194405E-2</v>
      </c>
      <c r="P1214" s="79">
        <v>3.3811722666919801E-3</v>
      </c>
      <c r="Q1214" s="79">
        <v>9.7738214269524407E-3</v>
      </c>
      <c r="R1214" s="80">
        <v>1</v>
      </c>
      <c r="S1214" s="79">
        <v>1.1646475609478499</v>
      </c>
      <c r="T1214" s="79">
        <v>6.5215388236419494E-2</v>
      </c>
      <c r="U1214" s="79">
        <v>1.94310879912141E-2</v>
      </c>
      <c r="V1214" s="79">
        <v>4.2899003050762802E-2</v>
      </c>
      <c r="W1214" s="79">
        <v>1</v>
      </c>
    </row>
    <row r="1215" spans="1:23" x14ac:dyDescent="0.2">
      <c r="A1215" s="69"/>
      <c r="B1215" s="84" t="s">
        <v>2582</v>
      </c>
      <c r="C1215" s="78">
        <v>5554</v>
      </c>
      <c r="D1215" s="79">
        <v>0.99863870839914726</v>
      </c>
      <c r="E1215" s="79">
        <v>4.2997841000000002E-2</v>
      </c>
      <c r="F1215" s="79">
        <v>0.97472637200000001</v>
      </c>
      <c r="G1215" s="79">
        <v>0.992299742561502</v>
      </c>
      <c r="H1215" s="80">
        <v>1</v>
      </c>
      <c r="I1215" s="79">
        <v>1.0112846411066101</v>
      </c>
      <c r="J1215" s="79">
        <v>4.27886292782882E-2</v>
      </c>
      <c r="K1215" s="79">
        <v>0.79312642823784096</v>
      </c>
      <c r="L1215" s="79">
        <v>0.95970310918962698</v>
      </c>
      <c r="M1215" s="80">
        <v>1</v>
      </c>
      <c r="N1215" s="79">
        <v>1.0939250289671651</v>
      </c>
      <c r="O1215" s="79">
        <v>4.2522558922527001E-2</v>
      </c>
      <c r="P1215" s="79">
        <v>3.4758062813019498E-2</v>
      </c>
      <c r="Q1215" s="79">
        <v>6.50560202208285E-2</v>
      </c>
      <c r="R1215" s="80">
        <v>1</v>
      </c>
      <c r="S1215" s="81">
        <v>1.2228691958706999</v>
      </c>
      <c r="T1215" s="81">
        <v>4.3006395218983903E-2</v>
      </c>
      <c r="U1215" s="81">
        <v>2.8916217096144202E-6</v>
      </c>
      <c r="V1215" s="81">
        <v>6.0155212286896702E-5</v>
      </c>
      <c r="W1215" s="81">
        <v>3.6694679495006999E-3</v>
      </c>
    </row>
    <row r="1216" spans="1:23" x14ac:dyDescent="0.2">
      <c r="A1216" s="69"/>
      <c r="B1216" s="84" t="s">
        <v>245</v>
      </c>
      <c r="C1216" s="78">
        <v>380</v>
      </c>
      <c r="D1216" s="79">
        <v>5.441731E-3</v>
      </c>
      <c r="E1216" s="79">
        <v>5.2334757000000003E-2</v>
      </c>
      <c r="F1216" s="79">
        <v>0.91724284499999997</v>
      </c>
      <c r="G1216" s="79">
        <v>0.991673151733656</v>
      </c>
      <c r="H1216" s="80">
        <v>1</v>
      </c>
      <c r="I1216" s="79">
        <v>7.8653757477431405E-2</v>
      </c>
      <c r="J1216" s="79">
        <v>5.23172245259221E-2</v>
      </c>
      <c r="K1216" s="79">
        <v>0.13360832321949301</v>
      </c>
      <c r="L1216" s="79">
        <v>0.65283885689403798</v>
      </c>
      <c r="M1216" s="80">
        <v>1</v>
      </c>
      <c r="N1216" s="79">
        <v>5.08174779909897E-2</v>
      </c>
      <c r="O1216" s="79">
        <v>5.2495558741892497E-2</v>
      </c>
      <c r="P1216" s="79">
        <v>0.33367510604086398</v>
      </c>
      <c r="Q1216" s="79">
        <v>0.41676546217111798</v>
      </c>
      <c r="R1216" s="80">
        <v>1</v>
      </c>
      <c r="S1216" s="79">
        <v>6.3278712948410198E-2</v>
      </c>
      <c r="T1216" s="79">
        <v>5.4406946207965698E-2</v>
      </c>
      <c r="U1216" s="79">
        <v>0.24558295769486499</v>
      </c>
      <c r="V1216" s="79">
        <v>0.33366678085094598</v>
      </c>
      <c r="W1216" s="79">
        <v>1</v>
      </c>
    </row>
    <row r="1217" spans="1:23" x14ac:dyDescent="0.2">
      <c r="A1217" s="69"/>
      <c r="B1217" s="84" t="s">
        <v>2583</v>
      </c>
      <c r="C1217" s="78">
        <v>5554</v>
      </c>
      <c r="D1217" s="79">
        <v>0.99407611679983066</v>
      </c>
      <c r="E1217" s="79">
        <v>3.5857150999999997E-2</v>
      </c>
      <c r="F1217" s="79">
        <v>0.86839371899999995</v>
      </c>
      <c r="G1217" s="79">
        <v>0.98755445668576602</v>
      </c>
      <c r="H1217" s="80">
        <v>1</v>
      </c>
      <c r="I1217" s="79">
        <v>1.0390743840348429</v>
      </c>
      <c r="J1217" s="79">
        <v>3.5691003608013201E-2</v>
      </c>
      <c r="K1217" s="79">
        <v>0.28284574263624301</v>
      </c>
      <c r="L1217" s="79">
        <v>0.76694710984058201</v>
      </c>
      <c r="M1217" s="80">
        <v>1</v>
      </c>
      <c r="N1217" s="81">
        <v>1.1777483585504414</v>
      </c>
      <c r="O1217" s="81">
        <v>3.5528853757449498E-2</v>
      </c>
      <c r="P1217" s="81">
        <v>4.1279661607866803E-6</v>
      </c>
      <c r="Q1217" s="81">
        <v>3.9386383895024797E-5</v>
      </c>
      <c r="R1217" s="82">
        <v>5.2383890580383003E-3</v>
      </c>
      <c r="S1217" s="81">
        <v>1.2061169039399113</v>
      </c>
      <c r="T1217" s="81">
        <v>3.5751712333098401E-2</v>
      </c>
      <c r="U1217" s="81">
        <v>1.58952515966631E-7</v>
      </c>
      <c r="V1217" s="81">
        <v>6.50679815360177E-6</v>
      </c>
      <c r="W1217" s="81">
        <v>2.0171074276165499E-4</v>
      </c>
    </row>
    <row r="1218" spans="1:23" x14ac:dyDescent="0.2">
      <c r="A1218" s="69"/>
      <c r="B1218" s="84" t="s">
        <v>246</v>
      </c>
      <c r="C1218" s="78">
        <v>642</v>
      </c>
      <c r="D1218" s="79">
        <v>-4.8988549999999999E-2</v>
      </c>
      <c r="E1218" s="79">
        <v>4.0631842000000001E-2</v>
      </c>
      <c r="F1218" s="79">
        <v>0.22840633199999999</v>
      </c>
      <c r="G1218" s="79">
        <v>0.75299428573246796</v>
      </c>
      <c r="H1218" s="80">
        <v>1</v>
      </c>
      <c r="I1218" s="79">
        <v>4.9943405701754998E-2</v>
      </c>
      <c r="J1218" s="79">
        <v>4.0342230677961402E-2</v>
      </c>
      <c r="K1218" s="79">
        <v>0.21618357676357</v>
      </c>
      <c r="L1218" s="79">
        <v>0.73459417908661795</v>
      </c>
      <c r="M1218" s="80">
        <v>1</v>
      </c>
      <c r="N1218" s="79">
        <v>6.28919854697821E-2</v>
      </c>
      <c r="O1218" s="79">
        <v>3.9653649354921001E-2</v>
      </c>
      <c r="P1218" s="79">
        <v>0.113240476830349</v>
      </c>
      <c r="Q1218" s="79">
        <v>0.173135138671943</v>
      </c>
      <c r="R1218" s="80">
        <v>1</v>
      </c>
      <c r="S1218" s="79">
        <v>8.8543908025564805E-2</v>
      </c>
      <c r="T1218" s="79">
        <v>4.06598090431829E-2</v>
      </c>
      <c r="U1218" s="79">
        <v>2.9803423135018301E-2</v>
      </c>
      <c r="V1218" s="79">
        <v>6.0416204406291099E-2</v>
      </c>
      <c r="W1218" s="79">
        <v>1</v>
      </c>
    </row>
    <row r="1219" spans="1:23" x14ac:dyDescent="0.2">
      <c r="A1219" s="69"/>
      <c r="B1219" s="84" t="s">
        <v>2584</v>
      </c>
      <c r="C1219" s="78">
        <v>5554</v>
      </c>
      <c r="D1219" s="79">
        <v>1.0037583549698921</v>
      </c>
      <c r="E1219" s="79">
        <v>5.0061329000000002E-2</v>
      </c>
      <c r="F1219" s="79">
        <v>0.94026699000000002</v>
      </c>
      <c r="G1219" s="79">
        <v>0.991673151733656</v>
      </c>
      <c r="H1219" s="80">
        <v>1</v>
      </c>
      <c r="I1219" s="79">
        <v>1.0332577574877375</v>
      </c>
      <c r="J1219" s="79">
        <v>4.9847404286905997E-2</v>
      </c>
      <c r="K1219" s="79">
        <v>0.51160749095083302</v>
      </c>
      <c r="L1219" s="79">
        <v>0.89454937074195695</v>
      </c>
      <c r="M1219" s="80">
        <v>1</v>
      </c>
      <c r="N1219" s="79">
        <v>1.1393207192540373</v>
      </c>
      <c r="O1219" s="79">
        <v>4.9496988177368799E-2</v>
      </c>
      <c r="P1219" s="79">
        <v>8.4098926847246593E-3</v>
      </c>
      <c r="Q1219" s="79">
        <v>2.04839804547324E-2</v>
      </c>
      <c r="R1219" s="80">
        <v>1</v>
      </c>
      <c r="S1219" s="79">
        <v>1.1784476008415379</v>
      </c>
      <c r="T1219" s="79">
        <v>4.9941066824927403E-2</v>
      </c>
      <c r="U1219" s="79">
        <v>1.00961047016185E-3</v>
      </c>
      <c r="V1219" s="79">
        <v>4.5112524177302396E-3</v>
      </c>
      <c r="W1219" s="79">
        <v>1</v>
      </c>
    </row>
    <row r="1220" spans="1:23" x14ac:dyDescent="0.2">
      <c r="A1220" s="69"/>
      <c r="B1220" s="84" t="s">
        <v>247</v>
      </c>
      <c r="C1220" s="78">
        <v>320</v>
      </c>
      <c r="D1220" s="79">
        <v>-1.3982583999999999E-2</v>
      </c>
      <c r="E1220" s="79">
        <v>5.7573228999999997E-2</v>
      </c>
      <c r="F1220" s="79">
        <v>0.80827265199999998</v>
      </c>
      <c r="G1220" s="79">
        <v>0.98545101377932998</v>
      </c>
      <c r="H1220" s="80">
        <v>1</v>
      </c>
      <c r="I1220" s="79">
        <v>9.59681292379857E-2</v>
      </c>
      <c r="J1220" s="79">
        <v>5.7062946064514099E-2</v>
      </c>
      <c r="K1220" s="79">
        <v>9.36366206472415E-2</v>
      </c>
      <c r="L1220" s="79">
        <v>0.60012561414822996</v>
      </c>
      <c r="M1220" s="80">
        <v>1</v>
      </c>
      <c r="N1220" s="79">
        <v>2.2259948802862702E-2</v>
      </c>
      <c r="O1220" s="79">
        <v>5.6402716694660703E-2</v>
      </c>
      <c r="P1220" s="79">
        <v>0.69336976892176405</v>
      </c>
      <c r="Q1220" s="79">
        <v>0.75113885129286495</v>
      </c>
      <c r="R1220" s="80">
        <v>1</v>
      </c>
      <c r="S1220" s="79">
        <v>0.138016735377991</v>
      </c>
      <c r="T1220" s="79">
        <v>5.7467063491911601E-2</v>
      </c>
      <c r="U1220" s="79">
        <v>1.6921983069404699E-2</v>
      </c>
      <c r="V1220" s="79">
        <v>3.85529560414265E-2</v>
      </c>
      <c r="W1220" s="79">
        <v>1</v>
      </c>
    </row>
    <row r="1221" spans="1:23" x14ac:dyDescent="0.2">
      <c r="A1221" s="69"/>
      <c r="B1221" s="84" t="s">
        <v>2585</v>
      </c>
      <c r="C1221" s="78">
        <v>5554</v>
      </c>
      <c r="D1221" s="79">
        <v>1.0490317795019171</v>
      </c>
      <c r="E1221" s="79">
        <v>5.9919119E-2</v>
      </c>
      <c r="F1221" s="79">
        <v>0.42436543300000001</v>
      </c>
      <c r="G1221" s="79">
        <v>0.89158896436589397</v>
      </c>
      <c r="H1221" s="80">
        <v>1</v>
      </c>
      <c r="I1221" s="79">
        <v>1.0929141551501991</v>
      </c>
      <c r="J1221" s="79">
        <v>5.9662136612381698E-2</v>
      </c>
      <c r="K1221" s="79">
        <v>0.13643995413492199</v>
      </c>
      <c r="L1221" s="79">
        <v>0.65586150762509099</v>
      </c>
      <c r="M1221" s="80">
        <v>1</v>
      </c>
      <c r="N1221" s="79">
        <v>1.2148363314448478</v>
      </c>
      <c r="O1221" s="79">
        <v>5.8906055115943101E-2</v>
      </c>
      <c r="P1221" s="79">
        <v>9.5409637776483404E-4</v>
      </c>
      <c r="Q1221" s="79">
        <v>3.4127432633156499E-3</v>
      </c>
      <c r="R1221" s="80">
        <v>1</v>
      </c>
      <c r="S1221" s="79">
        <v>1.2084975852114856</v>
      </c>
      <c r="T1221" s="79">
        <v>5.9633740896417403E-2</v>
      </c>
      <c r="U1221" s="79">
        <v>1.49483634880435E-3</v>
      </c>
      <c r="V1221" s="79">
        <v>6.2562400154072698E-3</v>
      </c>
      <c r="W1221" s="79">
        <v>1</v>
      </c>
    </row>
    <row r="1222" spans="1:23" x14ac:dyDescent="0.2">
      <c r="A1222" s="69"/>
      <c r="B1222" s="84" t="s">
        <v>248</v>
      </c>
      <c r="C1222" s="78">
        <v>140</v>
      </c>
      <c r="D1222" s="79">
        <v>-0.144068418</v>
      </c>
      <c r="E1222" s="79">
        <v>9.1757309999999995E-2</v>
      </c>
      <c r="F1222" s="79">
        <v>0.118947759</v>
      </c>
      <c r="G1222" s="79">
        <v>0.64506284688461601</v>
      </c>
      <c r="H1222" s="80">
        <v>1</v>
      </c>
      <c r="I1222" s="79">
        <v>-0.106857936812781</v>
      </c>
      <c r="J1222" s="79">
        <v>8.6767048995614701E-2</v>
      </c>
      <c r="K1222" s="79">
        <v>0.220670432208905</v>
      </c>
      <c r="L1222" s="79">
        <v>0.73459417908661795</v>
      </c>
      <c r="M1222" s="80">
        <v>1</v>
      </c>
      <c r="N1222" s="79">
        <v>7.5619112358923005E-2</v>
      </c>
      <c r="O1222" s="79">
        <v>8.0736518381777103E-2</v>
      </c>
      <c r="P1222" s="79">
        <v>0.35074798827743298</v>
      </c>
      <c r="Q1222" s="79">
        <v>0.43594436544962001</v>
      </c>
      <c r="R1222" s="80">
        <v>1</v>
      </c>
      <c r="S1222" s="79">
        <v>-6.4621996061388701E-2</v>
      </c>
      <c r="T1222" s="79">
        <v>8.7704201882171706E-2</v>
      </c>
      <c r="U1222" s="79">
        <v>0.46271134327424701</v>
      </c>
      <c r="V1222" s="79">
        <v>0.54979465787923198</v>
      </c>
      <c r="W1222" s="79">
        <v>1</v>
      </c>
    </row>
    <row r="1223" spans="1:23" x14ac:dyDescent="0.2">
      <c r="A1223" s="69"/>
      <c r="B1223" s="84" t="s">
        <v>2586</v>
      </c>
      <c r="C1223" s="78">
        <v>5554</v>
      </c>
      <c r="D1223" s="79">
        <v>0.99235691704484585</v>
      </c>
      <c r="E1223" s="79">
        <v>4.5563859999999998E-2</v>
      </c>
      <c r="F1223" s="79">
        <v>0.86627746000000005</v>
      </c>
      <c r="G1223" s="79">
        <v>0.98755445668576602</v>
      </c>
      <c r="H1223" s="80">
        <v>1</v>
      </c>
      <c r="I1223" s="79">
        <v>1.04699712564793</v>
      </c>
      <c r="J1223" s="79">
        <v>4.5440375919392699E-2</v>
      </c>
      <c r="K1223" s="79">
        <v>0.31216426603982</v>
      </c>
      <c r="L1223" s="79">
        <v>0.78754770700353705</v>
      </c>
      <c r="M1223" s="80">
        <v>1</v>
      </c>
      <c r="N1223" s="79">
        <v>1.126523475351054</v>
      </c>
      <c r="O1223" s="79">
        <v>4.5058023414959701E-2</v>
      </c>
      <c r="P1223" s="79">
        <v>8.1917046226393803E-3</v>
      </c>
      <c r="Q1223" s="79">
        <v>2.0029428065759899E-2</v>
      </c>
      <c r="R1223" s="80">
        <v>1</v>
      </c>
      <c r="S1223" s="79">
        <v>1.0959992237357685</v>
      </c>
      <c r="T1223" s="79">
        <v>4.5216172436564998E-2</v>
      </c>
      <c r="U1223" s="79">
        <v>4.2632343072421301E-2</v>
      </c>
      <c r="V1223" s="79">
        <v>8.2596096731149093E-2</v>
      </c>
      <c r="W1223" s="79">
        <v>1</v>
      </c>
    </row>
    <row r="1224" spans="1:23" x14ac:dyDescent="0.2">
      <c r="A1224" s="69"/>
      <c r="B1224" s="84" t="s">
        <v>249</v>
      </c>
      <c r="C1224" s="78">
        <v>198</v>
      </c>
      <c r="D1224" s="79">
        <v>-0.12876075100000001</v>
      </c>
      <c r="E1224" s="79">
        <v>7.7223539999999993E-2</v>
      </c>
      <c r="F1224" s="79">
        <v>9.7140564999999998E-2</v>
      </c>
      <c r="G1224" s="79">
        <v>0.61188685347029703</v>
      </c>
      <c r="H1224" s="80">
        <v>1</v>
      </c>
      <c r="I1224" s="79">
        <v>9.1786222531780898E-2</v>
      </c>
      <c r="J1224" s="79">
        <v>7.0881468137749398E-2</v>
      </c>
      <c r="K1224" s="79">
        <v>0.196968426171963</v>
      </c>
      <c r="L1224" s="79">
        <v>0.71347894824854996</v>
      </c>
      <c r="M1224" s="80">
        <v>1</v>
      </c>
      <c r="N1224" s="79">
        <v>7.0247953700478996E-2</v>
      </c>
      <c r="O1224" s="79">
        <v>7.1863807294159296E-2</v>
      </c>
      <c r="P1224" s="79">
        <v>0.32959767305173698</v>
      </c>
      <c r="Q1224" s="79">
        <v>0.41304419768877199</v>
      </c>
      <c r="R1224" s="80">
        <v>1</v>
      </c>
      <c r="S1224" s="79">
        <v>3.8780728125421902E-2</v>
      </c>
      <c r="T1224" s="79">
        <v>7.5577741692995595E-2</v>
      </c>
      <c r="U1224" s="79">
        <v>0.608480338402552</v>
      </c>
      <c r="V1224" s="79">
        <v>0.678525087375078</v>
      </c>
      <c r="W1224" s="79">
        <v>1</v>
      </c>
    </row>
    <row r="1225" spans="1:23" x14ac:dyDescent="0.2">
      <c r="A1225" s="69"/>
      <c r="B1225" s="84" t="s">
        <v>2587</v>
      </c>
      <c r="C1225" s="78">
        <v>5553</v>
      </c>
      <c r="D1225" s="79">
        <v>0.96631999293147952</v>
      </c>
      <c r="E1225" s="79">
        <v>4.5290819000000003E-2</v>
      </c>
      <c r="F1225" s="79">
        <v>0.44937939399999999</v>
      </c>
      <c r="G1225" s="79">
        <v>0.90950949120574198</v>
      </c>
      <c r="H1225" s="80">
        <v>1</v>
      </c>
      <c r="I1225" s="79">
        <v>1.0337926092353509</v>
      </c>
      <c r="J1225" s="79">
        <v>4.53152727775872E-2</v>
      </c>
      <c r="K1225" s="79">
        <v>0.46331498932135101</v>
      </c>
      <c r="L1225" s="79">
        <v>0.87326336285163797</v>
      </c>
      <c r="M1225" s="80">
        <v>1</v>
      </c>
      <c r="N1225" s="79">
        <v>1.1249548503309219</v>
      </c>
      <c r="O1225" s="79">
        <v>4.4867393299581101E-2</v>
      </c>
      <c r="P1225" s="79">
        <v>8.6842035795292594E-3</v>
      </c>
      <c r="Q1225" s="79">
        <v>2.1031019737447799E-2</v>
      </c>
      <c r="R1225" s="80">
        <v>1</v>
      </c>
      <c r="S1225" s="79">
        <v>1.1737181590396546</v>
      </c>
      <c r="T1225" s="79">
        <v>4.5304531820923102E-2</v>
      </c>
      <c r="U1225" s="79">
        <v>4.0692090059829799E-4</v>
      </c>
      <c r="V1225" s="79">
        <v>2.2609016525214202E-3</v>
      </c>
      <c r="W1225" s="79">
        <v>0.51638262285923997</v>
      </c>
    </row>
    <row r="1226" spans="1:23" x14ac:dyDescent="0.2">
      <c r="A1226" s="69"/>
      <c r="B1226" s="84" t="s">
        <v>250</v>
      </c>
      <c r="C1226" s="78">
        <v>184</v>
      </c>
      <c r="D1226" s="79">
        <v>2.5994683000000001E-2</v>
      </c>
      <c r="E1226" s="79">
        <v>7.3330919999999994E-2</v>
      </c>
      <c r="F1226" s="79">
        <v>0.72341506099999997</v>
      </c>
      <c r="G1226" s="79">
        <v>0.98545101377932998</v>
      </c>
      <c r="H1226" s="80">
        <v>1</v>
      </c>
      <c r="I1226" s="79">
        <v>0.101224617134569</v>
      </c>
      <c r="J1226" s="79">
        <v>7.0992898715778796E-2</v>
      </c>
      <c r="K1226" s="79">
        <v>0.155747771568643</v>
      </c>
      <c r="L1226" s="79">
        <v>0.66546775124783797</v>
      </c>
      <c r="M1226" s="80">
        <v>1</v>
      </c>
      <c r="N1226" s="79">
        <v>-0.16443374552106799</v>
      </c>
      <c r="O1226" s="79">
        <v>7.6776397531028495E-2</v>
      </c>
      <c r="P1226" s="79">
        <v>3.3639759372699099E-2</v>
      </c>
      <c r="Q1226" s="79">
        <v>6.3215702317839198E-2</v>
      </c>
      <c r="R1226" s="80">
        <v>1</v>
      </c>
      <c r="S1226" s="79">
        <v>0.16357707361856</v>
      </c>
      <c r="T1226" s="79">
        <v>7.7618232473164503E-2</v>
      </c>
      <c r="U1226" s="79">
        <v>3.6544811574565302E-2</v>
      </c>
      <c r="V1226" s="79">
        <v>7.2123430619165402E-2</v>
      </c>
      <c r="W1226" s="79">
        <v>1</v>
      </c>
    </row>
    <row r="1227" spans="1:23" x14ac:dyDescent="0.2">
      <c r="A1227" s="69"/>
      <c r="B1227" s="84" t="s">
        <v>2588</v>
      </c>
      <c r="C1227" s="78">
        <v>5554</v>
      </c>
      <c r="D1227" s="79">
        <v>1.0285759059868576</v>
      </c>
      <c r="E1227" s="79">
        <v>5.9785129999999999E-2</v>
      </c>
      <c r="F1227" s="79">
        <v>0.63744444700000003</v>
      </c>
      <c r="G1227" s="79">
        <v>0.97816222485489701</v>
      </c>
      <c r="H1227" s="80">
        <v>1</v>
      </c>
      <c r="I1227" s="79">
        <v>1.1353418365185586</v>
      </c>
      <c r="J1227" s="79">
        <v>5.99573065139129E-2</v>
      </c>
      <c r="K1227" s="79">
        <v>3.4253952295730597E-2</v>
      </c>
      <c r="L1227" s="79">
        <v>0.48715323267970501</v>
      </c>
      <c r="M1227" s="80">
        <v>1</v>
      </c>
      <c r="N1227" s="79">
        <v>1.2177530314833098</v>
      </c>
      <c r="O1227" s="79">
        <v>5.89359740052341E-2</v>
      </c>
      <c r="P1227" s="79">
        <v>8.2956877004794103E-4</v>
      </c>
      <c r="Q1227" s="79">
        <v>3.1148233946866602E-3</v>
      </c>
      <c r="R1227" s="80">
        <v>1</v>
      </c>
      <c r="S1227" s="79">
        <v>1.1935796115608153</v>
      </c>
      <c r="T1227" s="79">
        <v>5.9635313411952197E-2</v>
      </c>
      <c r="U1227" s="79">
        <v>3.0041122502119299E-3</v>
      </c>
      <c r="V1227" s="79">
        <v>1.0444434097312201E-2</v>
      </c>
      <c r="W1227" s="79">
        <v>1</v>
      </c>
    </row>
    <row r="1228" spans="1:23" x14ac:dyDescent="0.2">
      <c r="A1228" s="69"/>
      <c r="B1228" s="84" t="s">
        <v>2589</v>
      </c>
      <c r="C1228" s="78">
        <v>5554</v>
      </c>
      <c r="D1228" s="79">
        <v>1.0266683500755434</v>
      </c>
      <c r="E1228" s="79">
        <v>4.3973294000000003E-2</v>
      </c>
      <c r="F1228" s="79">
        <v>0.54949222499999995</v>
      </c>
      <c r="G1228" s="79">
        <v>0.94233160000673799</v>
      </c>
      <c r="H1228" s="80">
        <v>1</v>
      </c>
      <c r="I1228" s="79">
        <v>1.0772982122303119</v>
      </c>
      <c r="J1228" s="79">
        <v>4.3777738888933597E-2</v>
      </c>
      <c r="K1228" s="79">
        <v>8.8984526422233895E-2</v>
      </c>
      <c r="L1228" s="79">
        <v>0.59811020064394504</v>
      </c>
      <c r="M1228" s="80">
        <v>1</v>
      </c>
      <c r="N1228" s="79">
        <v>1.1129351893762551</v>
      </c>
      <c r="O1228" s="79">
        <v>4.3321845470264901E-2</v>
      </c>
      <c r="P1228" s="79">
        <v>1.35148961421901E-2</v>
      </c>
      <c r="Q1228" s="79">
        <v>3.0408516319927699E-2</v>
      </c>
      <c r="R1228" s="80">
        <v>1</v>
      </c>
      <c r="S1228" s="79">
        <v>1.1211561335128319</v>
      </c>
      <c r="T1228" s="79">
        <v>4.3514688891713997E-2</v>
      </c>
      <c r="U1228" s="79">
        <v>8.5866396621765897E-3</v>
      </c>
      <c r="V1228" s="79">
        <v>2.3382930753867201E-2</v>
      </c>
      <c r="W1228" s="79">
        <v>1</v>
      </c>
    </row>
    <row r="1229" spans="1:23" x14ac:dyDescent="0.2">
      <c r="A1229" s="69"/>
      <c r="B1229" s="84" t="s">
        <v>251</v>
      </c>
      <c r="C1229" s="78">
        <v>165</v>
      </c>
      <c r="D1229" s="79">
        <v>-3.2842739000000003E-2</v>
      </c>
      <c r="E1229" s="79">
        <v>8.7719942999999995E-2</v>
      </c>
      <c r="F1229" s="79">
        <v>0.70863735400000005</v>
      </c>
      <c r="G1229" s="79">
        <v>0.98545101377932998</v>
      </c>
      <c r="H1229" s="80">
        <v>1</v>
      </c>
      <c r="I1229" s="79">
        <v>0.14339063596128701</v>
      </c>
      <c r="J1229" s="79">
        <v>7.5820444286595706E-2</v>
      </c>
      <c r="K1229" s="79">
        <v>6.0539840530538201E-2</v>
      </c>
      <c r="L1229" s="79">
        <v>0.57459637698370203</v>
      </c>
      <c r="M1229" s="80">
        <v>1</v>
      </c>
      <c r="N1229" s="79">
        <v>-6.5141351912340301E-2</v>
      </c>
      <c r="O1229" s="79">
        <v>8.3009401650110101E-2</v>
      </c>
      <c r="P1229" s="79">
        <v>0.43383243674876198</v>
      </c>
      <c r="Q1229" s="79">
        <v>0.51741857352836396</v>
      </c>
      <c r="R1229" s="80">
        <v>1</v>
      </c>
      <c r="S1229" s="79">
        <v>0.18265050957571799</v>
      </c>
      <c r="T1229" s="79">
        <v>7.9674312004328701E-2</v>
      </c>
      <c r="U1229" s="79">
        <v>2.3260113108252201E-2</v>
      </c>
      <c r="V1229" s="79">
        <v>4.9277268003959998E-2</v>
      </c>
      <c r="W1229" s="79">
        <v>1</v>
      </c>
    </row>
    <row r="1230" spans="1:23" x14ac:dyDescent="0.2">
      <c r="A1230" s="69"/>
      <c r="B1230" s="84" t="s">
        <v>2590</v>
      </c>
      <c r="C1230" s="78">
        <v>5554</v>
      </c>
      <c r="D1230" s="79">
        <v>0.97725354381696694</v>
      </c>
      <c r="E1230" s="79">
        <v>4.3424286999999999E-2</v>
      </c>
      <c r="F1230" s="79">
        <v>0.59620332700000001</v>
      </c>
      <c r="G1230" s="79">
        <v>0.95648801765233904</v>
      </c>
      <c r="H1230" s="80">
        <v>1</v>
      </c>
      <c r="I1230" s="79">
        <v>0.9988902023876719</v>
      </c>
      <c r="J1230" s="79">
        <v>4.30463984434084E-2</v>
      </c>
      <c r="K1230" s="79">
        <v>0.97942025615852901</v>
      </c>
      <c r="L1230" s="79">
        <v>0.99340446144064498</v>
      </c>
      <c r="M1230" s="80">
        <v>1</v>
      </c>
      <c r="N1230" s="79">
        <v>1.112104804457162</v>
      </c>
      <c r="O1230" s="79">
        <v>4.29229377606795E-2</v>
      </c>
      <c r="P1230" s="79">
        <v>1.3306098120579301E-2</v>
      </c>
      <c r="Q1230" s="79">
        <v>3.0045264261592802E-2</v>
      </c>
      <c r="R1230" s="80">
        <v>1</v>
      </c>
      <c r="S1230" s="79">
        <v>1.0908753473063197</v>
      </c>
      <c r="T1230" s="79">
        <v>4.3020771600160802E-2</v>
      </c>
      <c r="U1230" s="79">
        <v>4.3194498143336903E-2</v>
      </c>
      <c r="V1230" s="79">
        <v>8.3430469016582201E-2</v>
      </c>
      <c r="W1230" s="79">
        <v>1</v>
      </c>
    </row>
    <row r="1231" spans="1:23" x14ac:dyDescent="0.2">
      <c r="A1231" s="69"/>
      <c r="B1231" s="84" t="s">
        <v>252</v>
      </c>
      <c r="C1231" s="78">
        <v>444</v>
      </c>
      <c r="D1231" s="79">
        <v>-6.5187503999999993E-2</v>
      </c>
      <c r="E1231" s="79">
        <v>4.8286451000000001E-2</v>
      </c>
      <c r="F1231" s="79">
        <v>0.177736753</v>
      </c>
      <c r="G1231" s="79">
        <v>0.70927025017924505</v>
      </c>
      <c r="H1231" s="80">
        <v>1</v>
      </c>
      <c r="I1231" s="79">
        <v>1.39480972541677E-2</v>
      </c>
      <c r="J1231" s="79">
        <v>4.8106712084038099E-2</v>
      </c>
      <c r="K1231" s="79">
        <v>0.77201047969423497</v>
      </c>
      <c r="L1231" s="79">
        <v>0.95389133514851498</v>
      </c>
      <c r="M1231" s="80">
        <v>1</v>
      </c>
      <c r="N1231" s="79">
        <v>9.3904112371704096E-2</v>
      </c>
      <c r="O1231" s="79">
        <v>4.7676048690791603E-2</v>
      </c>
      <c r="P1231" s="79">
        <v>4.9537836912788499E-2</v>
      </c>
      <c r="Q1231" s="79">
        <v>8.8167622780264507E-2</v>
      </c>
      <c r="R1231" s="80">
        <v>1</v>
      </c>
      <c r="S1231" s="79">
        <v>9.8805513363476594E-2</v>
      </c>
      <c r="T1231" s="79">
        <v>4.8036581071207597E-2</v>
      </c>
      <c r="U1231" s="79">
        <v>4.0328774167119802E-2</v>
      </c>
      <c r="V1231" s="79">
        <v>7.8734176027807704E-2</v>
      </c>
      <c r="W1231" s="79">
        <v>1</v>
      </c>
    </row>
    <row r="1232" spans="1:23" x14ac:dyDescent="0.2">
      <c r="A1232" s="69"/>
      <c r="B1232" s="84" t="s">
        <v>2591</v>
      </c>
      <c r="C1232" s="78">
        <v>5554</v>
      </c>
      <c r="D1232" s="79">
        <v>0.9926507527655426</v>
      </c>
      <c r="E1232" s="79">
        <v>4.5686089999999999E-2</v>
      </c>
      <c r="F1232" s="79">
        <v>0.87173266400000005</v>
      </c>
      <c r="G1232" s="79">
        <v>0.98858690850402198</v>
      </c>
      <c r="H1232" s="80">
        <v>1</v>
      </c>
      <c r="I1232" s="79">
        <v>1.0563286122944582</v>
      </c>
      <c r="J1232" s="79">
        <v>4.5693530439532899E-2</v>
      </c>
      <c r="K1232" s="79">
        <v>0.23041921188230899</v>
      </c>
      <c r="L1232" s="79">
        <v>0.73709318666527301</v>
      </c>
      <c r="M1232" s="80">
        <v>1</v>
      </c>
      <c r="N1232" s="79">
        <v>1.1732262651946015</v>
      </c>
      <c r="O1232" s="79">
        <v>4.5390137284229901E-2</v>
      </c>
      <c r="P1232" s="79">
        <v>4.3211486182954099E-4</v>
      </c>
      <c r="Q1232" s="79">
        <v>1.91064027756686E-3</v>
      </c>
      <c r="R1232" s="80">
        <v>0.54835375966168798</v>
      </c>
      <c r="S1232" s="79">
        <v>1.168387176481565</v>
      </c>
      <c r="T1232" s="79">
        <v>4.5583575771074802E-2</v>
      </c>
      <c r="U1232" s="79">
        <v>6.4006326580681597E-4</v>
      </c>
      <c r="V1232" s="79">
        <v>3.2620091739311201E-3</v>
      </c>
      <c r="W1232" s="79">
        <v>0.81224028430884898</v>
      </c>
    </row>
    <row r="1233" spans="1:23" x14ac:dyDescent="0.2">
      <c r="A1233" s="69"/>
      <c r="B1233" s="84" t="s">
        <v>253</v>
      </c>
      <c r="C1233" s="78">
        <v>282</v>
      </c>
      <c r="D1233" s="79">
        <v>2.2696304E-2</v>
      </c>
      <c r="E1233" s="79">
        <v>6.3619657999999996E-2</v>
      </c>
      <c r="F1233" s="79">
        <v>0.72156288899999999</v>
      </c>
      <c r="G1233" s="79">
        <v>0.98545101377932998</v>
      </c>
      <c r="H1233" s="80">
        <v>1</v>
      </c>
      <c r="I1233" s="79">
        <v>4.4140511424471E-2</v>
      </c>
      <c r="J1233" s="79">
        <v>6.1294204591903101E-2</v>
      </c>
      <c r="K1233" s="79">
        <v>0.472071447530515</v>
      </c>
      <c r="L1233" s="79">
        <v>0.87326336285163797</v>
      </c>
      <c r="M1233" s="80">
        <v>1</v>
      </c>
      <c r="N1233" s="79">
        <v>-3.0537977545883398E-2</v>
      </c>
      <c r="O1233" s="79">
        <v>6.5040221392590802E-2</v>
      </c>
      <c r="P1233" s="79">
        <v>0.63908913188560601</v>
      </c>
      <c r="Q1233" s="79">
        <v>0.71531773186515002</v>
      </c>
      <c r="R1233" s="80">
        <v>1</v>
      </c>
      <c r="S1233" s="79">
        <v>2.3941467146803699E-2</v>
      </c>
      <c r="T1233" s="79">
        <v>6.0648179397916502E-2</v>
      </c>
      <c r="U1233" s="79">
        <v>0.69333643139010204</v>
      </c>
      <c r="V1233" s="79">
        <v>0.755879666180446</v>
      </c>
      <c r="W1233" s="79">
        <v>1</v>
      </c>
    </row>
    <row r="1234" spans="1:23" x14ac:dyDescent="0.2">
      <c r="A1234" s="69"/>
      <c r="B1234" s="84" t="s">
        <v>238</v>
      </c>
      <c r="C1234" s="78">
        <v>149</v>
      </c>
      <c r="D1234" s="79">
        <v>6.8436997999999999E-2</v>
      </c>
      <c r="E1234" s="79">
        <v>8.1901617999999995E-2</v>
      </c>
      <c r="F1234" s="79">
        <v>0.40489863500000001</v>
      </c>
      <c r="G1234" s="79">
        <v>0.88261195738869902</v>
      </c>
      <c r="H1234" s="80">
        <v>1</v>
      </c>
      <c r="I1234" s="79">
        <v>-4.2524008401580903E-2</v>
      </c>
      <c r="J1234" s="79">
        <v>8.4121630390573396E-2</v>
      </c>
      <c r="K1234" s="79">
        <v>0.61410198997517995</v>
      </c>
      <c r="L1234" s="79">
        <v>0.91965825061269202</v>
      </c>
      <c r="M1234" s="80">
        <v>1</v>
      </c>
      <c r="N1234" s="79">
        <v>0.22112547696800899</v>
      </c>
      <c r="O1234" s="79">
        <v>7.7395447699474901E-2</v>
      </c>
      <c r="P1234" s="79">
        <v>4.9795967763400896E-3</v>
      </c>
      <c r="Q1234" s="79">
        <v>1.32754376243184E-2</v>
      </c>
      <c r="R1234" s="80">
        <v>1</v>
      </c>
      <c r="S1234" s="79">
        <v>0.151995054447815</v>
      </c>
      <c r="T1234" s="79">
        <v>8.3075359232114607E-2</v>
      </c>
      <c r="U1234" s="79">
        <v>6.9601821496573402E-2</v>
      </c>
      <c r="V1234" s="79">
        <v>0.120992755450893</v>
      </c>
      <c r="W1234" s="79">
        <v>1</v>
      </c>
    </row>
    <row r="1235" spans="1:23" x14ac:dyDescent="0.2">
      <c r="A1235" s="69"/>
      <c r="B1235" s="84" t="s">
        <v>2592</v>
      </c>
      <c r="C1235" s="78">
        <v>5554</v>
      </c>
      <c r="D1235" s="79">
        <v>0.97286797363277544</v>
      </c>
      <c r="E1235" s="79">
        <v>3.6987276999999999E-2</v>
      </c>
      <c r="F1235" s="79">
        <v>0.45706686099999999</v>
      </c>
      <c r="G1235" s="79">
        <v>0.91508141765196804</v>
      </c>
      <c r="H1235" s="80">
        <v>1</v>
      </c>
      <c r="I1235" s="79">
        <v>1.0233862934144959</v>
      </c>
      <c r="J1235" s="79">
        <v>3.67592598495474E-2</v>
      </c>
      <c r="K1235" s="79">
        <v>0.529430100212684</v>
      </c>
      <c r="L1235" s="79">
        <v>0.89965480158269595</v>
      </c>
      <c r="M1235" s="80">
        <v>1</v>
      </c>
      <c r="N1235" s="79">
        <v>1.0948924865066791</v>
      </c>
      <c r="O1235" s="79">
        <v>3.6586795616723802E-2</v>
      </c>
      <c r="P1235" s="79">
        <v>1.3218094167722801E-2</v>
      </c>
      <c r="Q1235" s="79">
        <v>2.9899753117362302E-2</v>
      </c>
      <c r="R1235" s="80">
        <v>1</v>
      </c>
      <c r="S1235" s="79">
        <v>1.16121191951911</v>
      </c>
      <c r="T1235" s="79">
        <v>3.6786469151884403E-2</v>
      </c>
      <c r="U1235" s="79">
        <v>4.8441549629193401E-5</v>
      </c>
      <c r="V1235" s="79">
        <v>4.6569944302610899E-4</v>
      </c>
      <c r="W1235" s="79">
        <v>6.14723264794464E-2</v>
      </c>
    </row>
    <row r="1236" spans="1:23" x14ac:dyDescent="0.2">
      <c r="A1236" s="69"/>
      <c r="B1236" s="84" t="s">
        <v>2593</v>
      </c>
      <c r="C1236" s="78">
        <v>5555</v>
      </c>
      <c r="D1236" s="79">
        <v>0.99463914594025282</v>
      </c>
      <c r="E1236" s="79">
        <v>5.1190094999999998E-2</v>
      </c>
      <c r="F1236" s="79">
        <v>0.91637093300000005</v>
      </c>
      <c r="G1236" s="79">
        <v>0.991673151733656</v>
      </c>
      <c r="H1236" s="80">
        <v>1</v>
      </c>
      <c r="I1236" s="79">
        <v>1.075928540053138</v>
      </c>
      <c r="J1236" s="79">
        <v>5.13053973325341E-2</v>
      </c>
      <c r="K1236" s="79">
        <v>0.15374150958895799</v>
      </c>
      <c r="L1236" s="79">
        <v>0.66470888806839401</v>
      </c>
      <c r="M1236" s="80">
        <v>1</v>
      </c>
      <c r="N1236" s="81">
        <v>1.2875686184921367</v>
      </c>
      <c r="O1236" s="81">
        <v>5.0998984184879498E-2</v>
      </c>
      <c r="P1236" s="81">
        <v>7.1925237942933303E-7</v>
      </c>
      <c r="Q1236" s="81">
        <v>8.9483457793708205E-6</v>
      </c>
      <c r="R1236" s="82">
        <v>9.1273126949582405E-4</v>
      </c>
      <c r="S1236" s="81">
        <v>1.3277653082970649</v>
      </c>
      <c r="T1236" s="81">
        <v>5.1445344259710098E-2</v>
      </c>
      <c r="U1236" s="81">
        <v>3.5751006638937601E-8</v>
      </c>
      <c r="V1236" s="81">
        <v>1.81472109699247E-6</v>
      </c>
      <c r="W1236" s="81">
        <v>4.5368027424811801E-5</v>
      </c>
    </row>
    <row r="1237" spans="1:23" x14ac:dyDescent="0.2">
      <c r="A1237" s="69"/>
      <c r="B1237" s="84" t="s">
        <v>254</v>
      </c>
      <c r="C1237" s="78">
        <v>144</v>
      </c>
      <c r="D1237" s="79">
        <v>3.2247826E-2</v>
      </c>
      <c r="E1237" s="79">
        <v>8.8380321999999997E-2</v>
      </c>
      <c r="F1237" s="79">
        <v>0.71579898799999997</v>
      </c>
      <c r="G1237" s="79">
        <v>0.98545101377932998</v>
      </c>
      <c r="H1237" s="80">
        <v>1</v>
      </c>
      <c r="I1237" s="79">
        <v>9.8354252183333199E-2</v>
      </c>
      <c r="J1237" s="79">
        <v>9.3728654541554698E-2</v>
      </c>
      <c r="K1237" s="79">
        <v>0.29596699673309101</v>
      </c>
      <c r="L1237" s="79">
        <v>0.779216014220524</v>
      </c>
      <c r="M1237" s="80">
        <v>1</v>
      </c>
      <c r="N1237" s="79">
        <v>-1.6909898288612599E-2</v>
      </c>
      <c r="O1237" s="79">
        <v>8.9687213943543398E-2</v>
      </c>
      <c r="P1237" s="79">
        <v>0.85075706528266004</v>
      </c>
      <c r="Q1237" s="79">
        <v>0.88203489856511097</v>
      </c>
      <c r="R1237" s="80">
        <v>1</v>
      </c>
      <c r="S1237" s="79">
        <v>-0.12505062166227701</v>
      </c>
      <c r="T1237" s="79">
        <v>9.94025519831441E-2</v>
      </c>
      <c r="U1237" s="79">
        <v>0.21065461338230901</v>
      </c>
      <c r="V1237" s="79">
        <v>0.29636441727511098</v>
      </c>
      <c r="W1237" s="79">
        <v>1</v>
      </c>
    </row>
    <row r="1238" spans="1:23" x14ac:dyDescent="0.2">
      <c r="A1238" s="69"/>
      <c r="B1238" s="84" t="s">
        <v>2594</v>
      </c>
      <c r="C1238" s="78">
        <v>5554</v>
      </c>
      <c r="D1238" s="79">
        <v>0.9285240681362722</v>
      </c>
      <c r="E1238" s="79">
        <v>4.3774594999999999E-2</v>
      </c>
      <c r="F1238" s="79">
        <v>9.0244389999999994E-2</v>
      </c>
      <c r="G1238" s="79">
        <v>0.59336855393782395</v>
      </c>
      <c r="H1238" s="80">
        <v>1</v>
      </c>
      <c r="I1238" s="79">
        <v>0.99328674098224479</v>
      </c>
      <c r="J1238" s="79">
        <v>4.3527469014650801E-2</v>
      </c>
      <c r="K1238" s="79">
        <v>0.87701807587181302</v>
      </c>
      <c r="L1238" s="79">
        <v>0.97274786917512301</v>
      </c>
      <c r="M1238" s="80">
        <v>1</v>
      </c>
      <c r="N1238" s="79">
        <v>1.1016957234277234</v>
      </c>
      <c r="O1238" s="79">
        <v>4.3306246497240901E-2</v>
      </c>
      <c r="P1238" s="79">
        <v>2.5324871036341401E-2</v>
      </c>
      <c r="Q1238" s="79">
        <v>5.0235745253909198E-2</v>
      </c>
      <c r="R1238" s="80">
        <v>1</v>
      </c>
      <c r="S1238" s="81">
        <v>1.2114140265340094</v>
      </c>
      <c r="T1238" s="81">
        <v>4.3855030214235299E-2</v>
      </c>
      <c r="U1238" s="81">
        <v>1.2241957437122299E-5</v>
      </c>
      <c r="V1238" s="81">
        <v>1.8276522338480199E-4</v>
      </c>
      <c r="W1238" s="81">
        <v>1.55350439877082E-2</v>
      </c>
    </row>
    <row r="1239" spans="1:23" x14ac:dyDescent="0.2">
      <c r="A1239" s="69"/>
      <c r="B1239" s="84" t="s">
        <v>255</v>
      </c>
      <c r="C1239" s="78">
        <v>259</v>
      </c>
      <c r="D1239" s="79">
        <v>-7.8498976999999998E-2</v>
      </c>
      <c r="E1239" s="79">
        <v>6.4065583999999995E-2</v>
      </c>
      <c r="F1239" s="79">
        <v>0.22164682999999999</v>
      </c>
      <c r="G1239" s="79">
        <v>0.74224234113157905</v>
      </c>
      <c r="H1239" s="80">
        <v>1</v>
      </c>
      <c r="I1239" s="79">
        <v>3.0961397485235499E-2</v>
      </c>
      <c r="J1239" s="79">
        <v>6.2989868081011896E-2</v>
      </c>
      <c r="K1239" s="79">
        <v>0.62349275110235802</v>
      </c>
      <c r="L1239" s="79">
        <v>0.91965825061269202</v>
      </c>
      <c r="M1239" s="80">
        <v>1</v>
      </c>
      <c r="N1239" s="79">
        <v>-2.4676519437481399E-2</v>
      </c>
      <c r="O1239" s="79">
        <v>6.0043651933901002E-2</v>
      </c>
      <c r="P1239" s="79">
        <v>0.681457325959405</v>
      </c>
      <c r="Q1239" s="79">
        <v>0.74292899196089801</v>
      </c>
      <c r="R1239" s="80">
        <v>1</v>
      </c>
      <c r="S1239" s="79">
        <v>-3.5115649857700298E-2</v>
      </c>
      <c r="T1239" s="79">
        <v>6.0063745637231103E-2</v>
      </c>
      <c r="U1239" s="79">
        <v>0.55933045924318403</v>
      </c>
      <c r="V1239" s="79">
        <v>0.63938232763549196</v>
      </c>
      <c r="W1239" s="79">
        <v>1</v>
      </c>
    </row>
    <row r="1240" spans="1:23" x14ac:dyDescent="0.2">
      <c r="A1240" s="69"/>
      <c r="B1240" s="84" t="s">
        <v>239</v>
      </c>
      <c r="C1240" s="78">
        <v>614</v>
      </c>
      <c r="D1240" s="79">
        <v>-7.5731743000000004E-2</v>
      </c>
      <c r="E1240" s="79">
        <v>4.1875938000000001E-2</v>
      </c>
      <c r="F1240" s="79">
        <v>7.1035574000000004E-2</v>
      </c>
      <c r="G1240" s="79">
        <v>0.53978528985628804</v>
      </c>
      <c r="H1240" s="80">
        <v>1</v>
      </c>
      <c r="I1240" s="79">
        <v>4.7389088154578103E-2</v>
      </c>
      <c r="J1240" s="79">
        <v>4.2185496198487597E-2</v>
      </c>
      <c r="K1240" s="79">
        <v>0.26173831298396799</v>
      </c>
      <c r="L1240" s="79">
        <v>0.75316534960692805</v>
      </c>
      <c r="M1240" s="80">
        <v>1</v>
      </c>
      <c r="N1240" s="79">
        <v>6.5264793281939598E-2</v>
      </c>
      <c r="O1240" s="79">
        <v>4.1087885275868097E-2</v>
      </c>
      <c r="P1240" s="79">
        <v>0.112718600914199</v>
      </c>
      <c r="Q1240" s="79">
        <v>0.17254512009664499</v>
      </c>
      <c r="R1240" s="80">
        <v>1</v>
      </c>
      <c r="S1240" s="79">
        <v>8.2270856506909101E-2</v>
      </c>
      <c r="T1240" s="79">
        <v>4.0235071590587403E-2</v>
      </c>
      <c r="U1240" s="79">
        <v>4.1314942327252399E-2</v>
      </c>
      <c r="V1240" s="79">
        <v>8.04120579958333E-2</v>
      </c>
      <c r="W1240" s="79">
        <v>1</v>
      </c>
    </row>
    <row r="1241" spans="1:23" x14ac:dyDescent="0.2">
      <c r="A1241" s="69"/>
      <c r="B1241" s="84" t="s">
        <v>2595</v>
      </c>
      <c r="C1241" s="78">
        <v>5554</v>
      </c>
      <c r="D1241" s="79">
        <v>0.97920958859276142</v>
      </c>
      <c r="E1241" s="79">
        <v>4.9903382000000003E-2</v>
      </c>
      <c r="F1241" s="79">
        <v>0.67375140200000005</v>
      </c>
      <c r="G1241" s="79">
        <v>0.98545101377932998</v>
      </c>
      <c r="H1241" s="80">
        <v>1</v>
      </c>
      <c r="I1241" s="79">
        <v>1.0571888083951699</v>
      </c>
      <c r="J1241" s="79">
        <v>4.9826170580303197E-2</v>
      </c>
      <c r="K1241" s="79">
        <v>0.264359330086958</v>
      </c>
      <c r="L1241" s="79">
        <v>0.75619012720719103</v>
      </c>
      <c r="M1241" s="80">
        <v>1</v>
      </c>
      <c r="N1241" s="79">
        <v>1.1816927450293646</v>
      </c>
      <c r="O1241" s="79">
        <v>4.9597457113686599E-2</v>
      </c>
      <c r="P1241" s="79">
        <v>7.6250546116909902E-4</v>
      </c>
      <c r="Q1241" s="79">
        <v>2.9321800915866301E-3</v>
      </c>
      <c r="R1241" s="80">
        <v>0.96761943022358698</v>
      </c>
      <c r="S1241" s="79">
        <v>1.0993236094079089</v>
      </c>
      <c r="T1241" s="79">
        <v>4.9866932476954597E-2</v>
      </c>
      <c r="U1241" s="79">
        <v>5.7570315433879297E-2</v>
      </c>
      <c r="V1241" s="79">
        <v>0.10406941636124301</v>
      </c>
      <c r="W1241" s="79">
        <v>1</v>
      </c>
    </row>
    <row r="1242" spans="1:23" x14ac:dyDescent="0.2">
      <c r="A1242" s="69"/>
      <c r="B1242" s="84" t="s">
        <v>240</v>
      </c>
      <c r="C1242" s="78">
        <v>145</v>
      </c>
      <c r="D1242" s="79">
        <v>-3.2100000000000001E-5</v>
      </c>
      <c r="E1242" s="79">
        <v>2.4346569999999998E-3</v>
      </c>
      <c r="F1242" s="79">
        <v>0.98951357299999998</v>
      </c>
      <c r="G1242" s="79">
        <v>0.99538600326677196</v>
      </c>
      <c r="H1242" s="80">
        <v>1</v>
      </c>
      <c r="I1242" s="79">
        <v>7.2105247045833199E-3</v>
      </c>
      <c r="J1242" s="79">
        <v>2.4514588900457501E-2</v>
      </c>
      <c r="K1242" s="79">
        <v>0.76913538343259702</v>
      </c>
      <c r="L1242" s="79">
        <v>0.95389133514851498</v>
      </c>
      <c r="M1242" s="80">
        <v>1</v>
      </c>
      <c r="N1242" s="79">
        <v>0.11074778482983801</v>
      </c>
      <c r="O1242" s="79">
        <v>7.7751366408164102E-2</v>
      </c>
      <c r="P1242" s="79">
        <v>0.22379450818214899</v>
      </c>
      <c r="Q1242" s="79">
        <v>0.301801520598456</v>
      </c>
      <c r="R1242" s="80">
        <v>1</v>
      </c>
      <c r="S1242" s="79">
        <v>1.94273524145353E-4</v>
      </c>
      <c r="T1242" s="79">
        <v>5.1890186034857103E-3</v>
      </c>
      <c r="U1242" s="79">
        <v>0.97061770634274502</v>
      </c>
      <c r="V1242" s="79">
        <v>0.97738151010838203</v>
      </c>
      <c r="W1242" s="79">
        <v>1</v>
      </c>
    </row>
    <row r="1243" spans="1:23" x14ac:dyDescent="0.2">
      <c r="A1243" s="69"/>
      <c r="B1243" s="84" t="s">
        <v>2596</v>
      </c>
      <c r="C1243" s="78">
        <v>5555</v>
      </c>
      <c r="D1243" s="79">
        <v>1.0700750861674428</v>
      </c>
      <c r="E1243" s="79">
        <v>4.8404928999999999E-2</v>
      </c>
      <c r="F1243" s="79">
        <v>0.16174902699999999</v>
      </c>
      <c r="G1243" s="79">
        <v>0.6895550429699</v>
      </c>
      <c r="H1243" s="80">
        <v>1</v>
      </c>
      <c r="I1243" s="79">
        <v>1.0379789590913271</v>
      </c>
      <c r="J1243" s="79">
        <v>4.7973218401960303E-2</v>
      </c>
      <c r="K1243" s="79">
        <v>0.43715479536393798</v>
      </c>
      <c r="L1243" s="79">
        <v>0.86909030428009104</v>
      </c>
      <c r="M1243" s="80">
        <v>1</v>
      </c>
      <c r="N1243" s="79">
        <v>1.1263030985330078</v>
      </c>
      <c r="O1243" s="79">
        <v>4.7674531157252398E-2</v>
      </c>
      <c r="P1243" s="79">
        <v>1.2601134605245101E-2</v>
      </c>
      <c r="Q1243" s="79">
        <v>2.8708868606922899E-2</v>
      </c>
      <c r="R1243" s="80">
        <v>1</v>
      </c>
      <c r="S1243" s="81">
        <v>1.2459756495534873</v>
      </c>
      <c r="T1243" s="81">
        <v>4.8158623203867802E-2</v>
      </c>
      <c r="U1243" s="81">
        <v>4.9581109528234303E-6</v>
      </c>
      <c r="V1243" s="81">
        <v>9.1283057967871104E-5</v>
      </c>
      <c r="W1243" s="81">
        <v>6.2918427991329297E-3</v>
      </c>
    </row>
    <row r="1244" spans="1:23" x14ac:dyDescent="0.2">
      <c r="A1244" s="69"/>
      <c r="B1244" s="84" t="s">
        <v>2597</v>
      </c>
      <c r="C1244" s="78">
        <v>5554</v>
      </c>
      <c r="D1244" s="79">
        <v>0.91075472597913398</v>
      </c>
      <c r="E1244" s="79">
        <v>6.8754113000000006E-2</v>
      </c>
      <c r="F1244" s="79">
        <v>0.173940136</v>
      </c>
      <c r="G1244" s="79">
        <v>0.70136321922857203</v>
      </c>
      <c r="H1244" s="80">
        <v>1</v>
      </c>
      <c r="I1244" s="79">
        <v>0.93927534455505013</v>
      </c>
      <c r="J1244" s="79">
        <v>6.7948260294399307E-2</v>
      </c>
      <c r="K1244" s="79">
        <v>0.35654151026298297</v>
      </c>
      <c r="L1244" s="79">
        <v>0.814139536849524</v>
      </c>
      <c r="M1244" s="80">
        <v>1</v>
      </c>
      <c r="N1244" s="79">
        <v>1.2255337635718131</v>
      </c>
      <c r="O1244" s="79">
        <v>6.7991576159119604E-2</v>
      </c>
      <c r="P1244" s="79">
        <v>2.7788246787719701E-3</v>
      </c>
      <c r="Q1244" s="79">
        <v>8.3364740363159103E-3</v>
      </c>
      <c r="R1244" s="80">
        <v>1</v>
      </c>
      <c r="S1244" s="79">
        <v>1.1370973985310033</v>
      </c>
      <c r="T1244" s="79">
        <v>6.8853397176501893E-2</v>
      </c>
      <c r="U1244" s="79">
        <v>6.20445461989989E-2</v>
      </c>
      <c r="V1244" s="79">
        <v>0.110427109574375</v>
      </c>
      <c r="W1244" s="79">
        <v>1</v>
      </c>
    </row>
    <row r="1245" spans="1:23" x14ac:dyDescent="0.2">
      <c r="A1245" s="69"/>
      <c r="B1245" s="84" t="s">
        <v>241</v>
      </c>
      <c r="C1245" s="78">
        <v>189</v>
      </c>
      <c r="D1245" s="79">
        <v>-0.103965585</v>
      </c>
      <c r="E1245" s="79">
        <v>7.4658869000000003E-2</v>
      </c>
      <c r="F1245" s="79">
        <v>0.16558500000000001</v>
      </c>
      <c r="G1245" s="79">
        <v>0.69550973380327896</v>
      </c>
      <c r="H1245" s="80">
        <v>1</v>
      </c>
      <c r="I1245" s="79">
        <v>5.88815226072524E-2</v>
      </c>
      <c r="J1245" s="79">
        <v>7.6422706667639506E-2</v>
      </c>
      <c r="K1245" s="79">
        <v>0.44208451654869702</v>
      </c>
      <c r="L1245" s="79">
        <v>0.86970662028650003</v>
      </c>
      <c r="M1245" s="80">
        <v>1</v>
      </c>
      <c r="N1245" s="79">
        <v>8.5547851375922301E-2</v>
      </c>
      <c r="O1245" s="79">
        <v>7.2075507318178605E-2</v>
      </c>
      <c r="P1245" s="79">
        <v>0.23688598094715901</v>
      </c>
      <c r="Q1245" s="79">
        <v>0.31543369341232402</v>
      </c>
      <c r="R1245" s="80">
        <v>1</v>
      </c>
      <c r="S1245" s="79">
        <v>5.9326916997200899E-2</v>
      </c>
      <c r="T1245" s="79">
        <v>7.2445681459230901E-2</v>
      </c>
      <c r="U1245" s="79">
        <v>0.41397016477468501</v>
      </c>
      <c r="V1245" s="79">
        <v>0.50318787270026399</v>
      </c>
      <c r="W1245" s="79">
        <v>1</v>
      </c>
    </row>
    <row r="1246" spans="1:23" x14ac:dyDescent="0.2">
      <c r="A1246" s="69"/>
      <c r="B1246" s="84" t="s">
        <v>2598</v>
      </c>
      <c r="C1246" s="78">
        <v>5554</v>
      </c>
      <c r="D1246" s="79">
        <v>0.96717618655395954</v>
      </c>
      <c r="E1246" s="79">
        <v>3.9898992000000001E-2</v>
      </c>
      <c r="F1246" s="79">
        <v>0.40288645099999998</v>
      </c>
      <c r="G1246" s="79">
        <v>0.88261195738869902</v>
      </c>
      <c r="H1246" s="80">
        <v>1</v>
      </c>
      <c r="I1246" s="79">
        <v>0.99628988456304224</v>
      </c>
      <c r="J1246" s="79">
        <v>3.9500234189260901E-2</v>
      </c>
      <c r="K1246" s="79">
        <v>0.925028856672791</v>
      </c>
      <c r="L1246" s="79">
        <v>0.981200184300273</v>
      </c>
      <c r="M1246" s="80">
        <v>1</v>
      </c>
      <c r="N1246" s="79">
        <v>0.98450419349161411</v>
      </c>
      <c r="O1246" s="79">
        <v>3.9518766010254502E-2</v>
      </c>
      <c r="P1246" s="79">
        <v>0.69270826937690799</v>
      </c>
      <c r="Q1246" s="79">
        <v>0.75113885129286495</v>
      </c>
      <c r="R1246" s="80">
        <v>1</v>
      </c>
      <c r="S1246" s="79">
        <v>1.0374864076166457</v>
      </c>
      <c r="T1246" s="79">
        <v>3.9607601594232399E-2</v>
      </c>
      <c r="U1246" s="79">
        <v>0.35281830326870101</v>
      </c>
      <c r="V1246" s="79">
        <v>0.44683276132533101</v>
      </c>
      <c r="W1246" s="79">
        <v>1</v>
      </c>
    </row>
    <row r="1247" spans="1:23" x14ac:dyDescent="0.2">
      <c r="A1247" s="69"/>
      <c r="B1247" s="84" t="s">
        <v>242</v>
      </c>
      <c r="C1247" s="78">
        <v>330</v>
      </c>
      <c r="D1247" s="79">
        <v>3.7450377999999999E-2</v>
      </c>
      <c r="E1247" s="79">
        <v>6.1737635999999999E-2</v>
      </c>
      <c r="F1247" s="79">
        <v>0.54454841499999995</v>
      </c>
      <c r="G1247" s="79">
        <v>0.94233160000673799</v>
      </c>
      <c r="H1247" s="80">
        <v>1</v>
      </c>
      <c r="I1247" s="79">
        <v>-3.5520470105433501E-2</v>
      </c>
      <c r="J1247" s="79">
        <v>5.2541661569789899E-2</v>
      </c>
      <c r="K1247" s="79">
        <v>0.499507239004854</v>
      </c>
      <c r="L1247" s="79">
        <v>0.88650784260657001</v>
      </c>
      <c r="M1247" s="80">
        <v>1</v>
      </c>
      <c r="N1247" s="79">
        <v>8.4951506379019603E-2</v>
      </c>
      <c r="O1247" s="79">
        <v>5.9300930276422199E-2</v>
      </c>
      <c r="P1247" s="79">
        <v>0.15297516360876801</v>
      </c>
      <c r="Q1247" s="79">
        <v>0.22211153617794799</v>
      </c>
      <c r="R1247" s="80">
        <v>1</v>
      </c>
      <c r="S1247" s="79">
        <v>6.7580686352021205E-2</v>
      </c>
      <c r="T1247" s="79">
        <v>5.3374586914300998E-2</v>
      </c>
      <c r="U1247" s="79">
        <v>0.206388942204839</v>
      </c>
      <c r="V1247" s="79">
        <v>0.292307553189666</v>
      </c>
      <c r="W1247" s="79">
        <v>1</v>
      </c>
    </row>
    <row r="1248" spans="1:23" x14ac:dyDescent="0.2">
      <c r="A1248" s="69"/>
      <c r="B1248" s="84" t="s">
        <v>2599</v>
      </c>
      <c r="C1248" s="78">
        <v>5555</v>
      </c>
      <c r="D1248" s="79">
        <v>1.0204512893628166</v>
      </c>
      <c r="E1248" s="79">
        <v>4.7760414000000001E-2</v>
      </c>
      <c r="F1248" s="79">
        <v>0.67164896500000004</v>
      </c>
      <c r="G1248" s="79">
        <v>0.98545101377932998</v>
      </c>
      <c r="H1248" s="80">
        <v>1</v>
      </c>
      <c r="I1248" s="79">
        <v>1.0389950271981243</v>
      </c>
      <c r="J1248" s="79">
        <v>4.7633927950962697E-2</v>
      </c>
      <c r="K1248" s="79">
        <v>0.42192763398951899</v>
      </c>
      <c r="L1248" s="79">
        <v>0.85260357816835997</v>
      </c>
      <c r="M1248" s="80">
        <v>1</v>
      </c>
      <c r="N1248" s="79">
        <v>1.1571879711026161</v>
      </c>
      <c r="O1248" s="79">
        <v>4.7186245131256799E-2</v>
      </c>
      <c r="P1248" s="79">
        <v>1.9749643472667202E-3</v>
      </c>
      <c r="Q1248" s="79">
        <v>6.2035390016868001E-3</v>
      </c>
      <c r="R1248" s="80">
        <v>1</v>
      </c>
      <c r="S1248" s="79">
        <v>1.0948162993453381</v>
      </c>
      <c r="T1248" s="79">
        <v>4.7415870752564801E-2</v>
      </c>
      <c r="U1248" s="79">
        <v>5.6072759538468603E-2</v>
      </c>
      <c r="V1248" s="79">
        <v>0.102383211301175</v>
      </c>
      <c r="W1248" s="79">
        <v>1</v>
      </c>
    </row>
    <row r="1249" spans="1:23" x14ac:dyDescent="0.2">
      <c r="A1249" s="69"/>
      <c r="B1249" s="84" t="s">
        <v>2600</v>
      </c>
      <c r="C1249" s="78">
        <v>5554</v>
      </c>
      <c r="D1249" s="79">
        <v>0.98951221638256293</v>
      </c>
      <c r="E1249" s="79">
        <v>3.8251937999999999E-2</v>
      </c>
      <c r="F1249" s="79">
        <v>0.78283656499999998</v>
      </c>
      <c r="G1249" s="79">
        <v>0.98545101377932998</v>
      </c>
      <c r="H1249" s="80">
        <v>1</v>
      </c>
      <c r="I1249" s="79">
        <v>0.99281631843290641</v>
      </c>
      <c r="J1249" s="79">
        <v>3.79388228852168E-2</v>
      </c>
      <c r="K1249" s="79">
        <v>0.84928368203341797</v>
      </c>
      <c r="L1249" s="79">
        <v>0.96964513668720897</v>
      </c>
      <c r="M1249" s="80">
        <v>1</v>
      </c>
      <c r="N1249" s="79">
        <v>1.0531304364646645</v>
      </c>
      <c r="O1249" s="79">
        <v>3.7853875664102601E-2</v>
      </c>
      <c r="P1249" s="79">
        <v>0.171452735534561</v>
      </c>
      <c r="Q1249" s="79">
        <v>0.244464630779054</v>
      </c>
      <c r="R1249" s="80">
        <v>1</v>
      </c>
      <c r="S1249" s="79">
        <v>1.1092905164441209</v>
      </c>
      <c r="T1249" s="79">
        <v>3.80524030779964E-2</v>
      </c>
      <c r="U1249" s="79">
        <v>6.4159151863139204E-3</v>
      </c>
      <c r="V1249" s="79">
        <v>1.8673844888606302E-2</v>
      </c>
      <c r="W1249" s="79">
        <v>1</v>
      </c>
    </row>
    <row r="1250" spans="1:23" x14ac:dyDescent="0.2">
      <c r="A1250" s="69"/>
      <c r="B1250" s="84" t="s">
        <v>243</v>
      </c>
      <c r="C1250" s="78">
        <v>785</v>
      </c>
      <c r="D1250" s="79">
        <v>9.2932399999999995E-3</v>
      </c>
      <c r="E1250" s="79">
        <v>3.6309058999999998E-2</v>
      </c>
      <c r="F1250" s="79">
        <v>0.79806113300000003</v>
      </c>
      <c r="G1250" s="79">
        <v>0.98545101377932998</v>
      </c>
      <c r="H1250" s="80">
        <v>1</v>
      </c>
      <c r="I1250" s="79">
        <v>1.6867183725697101E-2</v>
      </c>
      <c r="J1250" s="79">
        <v>3.5956374393385303E-2</v>
      </c>
      <c r="K1250" s="79">
        <v>0.63913385271258905</v>
      </c>
      <c r="L1250" s="79">
        <v>0.91965825061269202</v>
      </c>
      <c r="M1250" s="80">
        <v>1</v>
      </c>
      <c r="N1250" s="79">
        <v>6.2132834308744E-2</v>
      </c>
      <c r="O1250" s="79">
        <v>3.6528359316355098E-2</v>
      </c>
      <c r="P1250" s="79">
        <v>8.9362112865820895E-2</v>
      </c>
      <c r="Q1250" s="79">
        <v>0.142284217348465</v>
      </c>
      <c r="R1250" s="80">
        <v>1</v>
      </c>
      <c r="S1250" s="79">
        <v>6.0005181190992303E-2</v>
      </c>
      <c r="T1250" s="79">
        <v>3.4993917396786103E-2</v>
      </c>
      <c r="U1250" s="79">
        <v>8.6801477413356601E-2</v>
      </c>
      <c r="V1250" s="79">
        <v>0.14589546336099299</v>
      </c>
      <c r="W1250" s="79">
        <v>1</v>
      </c>
    </row>
    <row r="1251" spans="1:23" x14ac:dyDescent="0.2">
      <c r="A1251" s="69"/>
      <c r="B1251" s="84" t="s">
        <v>2601</v>
      </c>
      <c r="C1251" s="78">
        <v>5554</v>
      </c>
      <c r="D1251" s="79">
        <v>0.99185059789531427</v>
      </c>
      <c r="E1251" s="79">
        <v>4.487352E-2</v>
      </c>
      <c r="F1251" s="79">
        <v>0.85530624300000002</v>
      </c>
      <c r="G1251" s="79">
        <v>0.98552821438803295</v>
      </c>
      <c r="H1251" s="80">
        <v>1</v>
      </c>
      <c r="I1251" s="79">
        <v>1.0218782725946474</v>
      </c>
      <c r="J1251" s="79">
        <v>4.45970058048668E-2</v>
      </c>
      <c r="K1251" s="79">
        <v>0.62747229098829804</v>
      </c>
      <c r="L1251" s="79">
        <v>0.91965825061269202</v>
      </c>
      <c r="M1251" s="80">
        <v>1</v>
      </c>
      <c r="N1251" s="79">
        <v>1.172571016292252</v>
      </c>
      <c r="O1251" s="79">
        <v>4.4300595868092499E-2</v>
      </c>
      <c r="P1251" s="79">
        <v>3.2613569072130602E-4</v>
      </c>
      <c r="Q1251" s="79">
        <v>1.5425666543863899E-3</v>
      </c>
      <c r="R1251" s="80">
        <v>0.41386619152533699</v>
      </c>
      <c r="S1251" s="79">
        <v>1.1115659397847382</v>
      </c>
      <c r="T1251" s="79">
        <v>4.4602646237304998E-2</v>
      </c>
      <c r="U1251" s="79">
        <v>1.7721849302007198E-2</v>
      </c>
      <c r="V1251" s="79">
        <v>3.9936027114315702E-2</v>
      </c>
      <c r="W1251" s="79">
        <v>1</v>
      </c>
    </row>
    <row r="1252" spans="1:23" x14ac:dyDescent="0.2">
      <c r="A1252" s="69"/>
      <c r="B1252" s="84" t="s">
        <v>244</v>
      </c>
      <c r="C1252" s="78">
        <v>404</v>
      </c>
      <c r="D1252" s="79">
        <v>3.1640489999999999E-3</v>
      </c>
      <c r="E1252" s="79">
        <v>4.8614064999999998E-2</v>
      </c>
      <c r="F1252" s="79">
        <v>0.94813966800000005</v>
      </c>
      <c r="G1252" s="79">
        <v>0.991673151733656</v>
      </c>
      <c r="H1252" s="80">
        <v>1</v>
      </c>
      <c r="I1252" s="79">
        <v>7.7733439332278095E-2</v>
      </c>
      <c r="J1252" s="79">
        <v>5.3976689795221099E-2</v>
      </c>
      <c r="K1252" s="79">
        <v>0.15069465953210801</v>
      </c>
      <c r="L1252" s="79">
        <v>0.66470888806839401</v>
      </c>
      <c r="M1252" s="80">
        <v>1</v>
      </c>
      <c r="N1252" s="79">
        <v>-3.28331202881747E-2</v>
      </c>
      <c r="O1252" s="79">
        <v>5.2458890810143897E-2</v>
      </c>
      <c r="P1252" s="79">
        <v>0.53176164641134804</v>
      </c>
      <c r="Q1252" s="79">
        <v>0.61179105103898501</v>
      </c>
      <c r="R1252" s="80">
        <v>1</v>
      </c>
      <c r="S1252" s="79">
        <v>8.5418265295751597E-2</v>
      </c>
      <c r="T1252" s="79">
        <v>5.2531043261212197E-2</v>
      </c>
      <c r="U1252" s="79">
        <v>0.104761388167499</v>
      </c>
      <c r="V1252" s="79">
        <v>0.170002815325519</v>
      </c>
      <c r="W1252" s="79">
        <v>1</v>
      </c>
    </row>
    <row r="1253" spans="1:23" x14ac:dyDescent="0.2">
      <c r="A1253" s="69"/>
      <c r="B1253" s="84" t="s">
        <v>308</v>
      </c>
      <c r="C1253" s="78">
        <v>5556</v>
      </c>
      <c r="D1253" s="79">
        <v>-1.7538528000000001E-2</v>
      </c>
      <c r="E1253" s="79">
        <v>1.2986642E-2</v>
      </c>
      <c r="F1253" s="79">
        <v>0.176913178</v>
      </c>
      <c r="G1253" s="79">
        <v>0.70821079773501605</v>
      </c>
      <c r="H1253" s="80">
        <v>1</v>
      </c>
      <c r="I1253" s="79">
        <v>1.17431084472218E-2</v>
      </c>
      <c r="J1253" s="79">
        <v>1.2929190034892599E-2</v>
      </c>
      <c r="K1253" s="79">
        <v>0.36378231168635999</v>
      </c>
      <c r="L1253" s="79">
        <v>0.81642974499659005</v>
      </c>
      <c r="M1253" s="80">
        <v>1</v>
      </c>
      <c r="N1253" s="79">
        <v>-2.8029116191124102E-3</v>
      </c>
      <c r="O1253" s="79">
        <v>1.2848462919035301E-2</v>
      </c>
      <c r="P1253" s="79">
        <v>0.82731978055649202</v>
      </c>
      <c r="Q1253" s="79">
        <v>0.86125414399195099</v>
      </c>
      <c r="R1253" s="80">
        <v>1</v>
      </c>
      <c r="S1253" s="79">
        <v>1.29490373197029E-2</v>
      </c>
      <c r="T1253" s="79">
        <v>1.2819626294485201E-2</v>
      </c>
      <c r="U1253" s="79">
        <v>0.31249729797591003</v>
      </c>
      <c r="V1253" s="79">
        <v>0.40436171318790598</v>
      </c>
      <c r="W1253" s="79">
        <v>1</v>
      </c>
    </row>
    <row r="1254" spans="1:23" x14ac:dyDescent="0.2">
      <c r="A1254" s="69"/>
      <c r="B1254" s="84" t="s">
        <v>310</v>
      </c>
      <c r="C1254" s="78">
        <v>5556</v>
      </c>
      <c r="D1254" s="79">
        <v>-1.727793E-2</v>
      </c>
      <c r="E1254" s="79">
        <v>1.3115813E-2</v>
      </c>
      <c r="F1254" s="79">
        <v>0.187791239</v>
      </c>
      <c r="G1254" s="79">
        <v>0.71779241653915704</v>
      </c>
      <c r="H1254" s="80">
        <v>1</v>
      </c>
      <c r="I1254" s="79">
        <v>7.8631086733459907E-3</v>
      </c>
      <c r="J1254" s="79">
        <v>1.3032954934735301E-2</v>
      </c>
      <c r="K1254" s="79">
        <v>0.54632304494571104</v>
      </c>
      <c r="L1254" s="79">
        <v>0.90479901831250598</v>
      </c>
      <c r="M1254" s="80">
        <v>1</v>
      </c>
      <c r="N1254" s="79">
        <v>8.0212065149840896E-3</v>
      </c>
      <c r="O1254" s="79">
        <v>1.29560146068646E-2</v>
      </c>
      <c r="P1254" s="79">
        <v>0.53587482789020302</v>
      </c>
      <c r="Q1254" s="79">
        <v>0.61485095532790901</v>
      </c>
      <c r="R1254" s="80">
        <v>1</v>
      </c>
      <c r="S1254" s="79">
        <v>3.2810178256264103E-2</v>
      </c>
      <c r="T1254" s="79">
        <v>1.2938217000366301E-2</v>
      </c>
      <c r="U1254" s="79">
        <v>1.12480750817299E-2</v>
      </c>
      <c r="V1254" s="79">
        <v>2.8361241330127799E-2</v>
      </c>
      <c r="W1254" s="79">
        <v>1</v>
      </c>
    </row>
    <row r="1255" spans="1:23" x14ac:dyDescent="0.2">
      <c r="A1255" s="69"/>
      <c r="B1255" s="84" t="s">
        <v>309</v>
      </c>
      <c r="C1255" s="78">
        <v>5556</v>
      </c>
      <c r="D1255" s="79">
        <v>-6.4987109999999999E-3</v>
      </c>
      <c r="E1255" s="79">
        <v>1.2816667E-2</v>
      </c>
      <c r="F1255" s="79">
        <v>0.61214045299999997</v>
      </c>
      <c r="G1255" s="79">
        <v>0.96049373783807201</v>
      </c>
      <c r="H1255" s="80">
        <v>1</v>
      </c>
      <c r="I1255" s="79">
        <v>7.1780454697021002E-3</v>
      </c>
      <c r="J1255" s="79">
        <v>1.27469366724231E-2</v>
      </c>
      <c r="K1255" s="79">
        <v>0.573378744148626</v>
      </c>
      <c r="L1255" s="79">
        <v>0.911324282187712</v>
      </c>
      <c r="M1255" s="80">
        <v>1</v>
      </c>
      <c r="N1255" s="79">
        <v>1.76783215174258E-2</v>
      </c>
      <c r="O1255" s="79">
        <v>1.2668230972483799E-2</v>
      </c>
      <c r="P1255" s="79">
        <v>0.162930916634525</v>
      </c>
      <c r="Q1255" s="79">
        <v>0.234155530248259</v>
      </c>
      <c r="R1255" s="80">
        <v>1</v>
      </c>
      <c r="S1255" s="79">
        <v>3.1132351392855501E-2</v>
      </c>
      <c r="T1255" s="79">
        <v>1.2641381512726599E-2</v>
      </c>
      <c r="U1255" s="79">
        <v>1.3820894120271199E-2</v>
      </c>
      <c r="V1255" s="79">
        <v>3.3029594423021003E-2</v>
      </c>
      <c r="W1255" s="79">
        <v>1</v>
      </c>
    </row>
    <row r="1256" spans="1:23" x14ac:dyDescent="0.2">
      <c r="A1256" s="69"/>
      <c r="B1256" s="84" t="s">
        <v>311</v>
      </c>
      <c r="C1256" s="78">
        <v>5556</v>
      </c>
      <c r="D1256" s="79">
        <v>-9.4907370000000008E-3</v>
      </c>
      <c r="E1256" s="79">
        <v>1.2998879E-2</v>
      </c>
      <c r="F1256" s="79">
        <v>0.465351446</v>
      </c>
      <c r="G1256" s="79">
        <v>0.91708779931578899</v>
      </c>
      <c r="H1256" s="80">
        <v>1</v>
      </c>
      <c r="I1256" s="79">
        <v>-1.7702429361161299E-4</v>
      </c>
      <c r="J1256" s="79">
        <v>1.29134576378026E-2</v>
      </c>
      <c r="K1256" s="79">
        <v>0.98906309484918098</v>
      </c>
      <c r="L1256" s="79">
        <v>0.99523523065353503</v>
      </c>
      <c r="M1256" s="80">
        <v>1</v>
      </c>
      <c r="N1256" s="79">
        <v>1.8740175746919101E-2</v>
      </c>
      <c r="O1256" s="79">
        <v>1.2835337883332E-2</v>
      </c>
      <c r="P1256" s="79">
        <v>0.14434201680740399</v>
      </c>
      <c r="Q1256" s="79">
        <v>0.21200233718587499</v>
      </c>
      <c r="R1256" s="80">
        <v>1</v>
      </c>
      <c r="S1256" s="79">
        <v>1.29416035377237E-2</v>
      </c>
      <c r="T1256" s="79">
        <v>1.2823160404180399E-2</v>
      </c>
      <c r="U1256" s="79">
        <v>0.31291032494131099</v>
      </c>
      <c r="V1256" s="79">
        <v>0.40436171318790598</v>
      </c>
      <c r="W1256" s="79">
        <v>1</v>
      </c>
    </row>
    <row r="1257" spans="1:23" x14ac:dyDescent="0.2">
      <c r="A1257" s="69"/>
      <c r="B1257" s="84" t="s">
        <v>260</v>
      </c>
      <c r="C1257" s="78">
        <v>5550</v>
      </c>
      <c r="D1257" s="79">
        <v>-2.9153750999999999E-2</v>
      </c>
      <c r="E1257" s="79">
        <v>1.3799799999999999E-2</v>
      </c>
      <c r="F1257" s="79">
        <v>3.4681217E-2</v>
      </c>
      <c r="G1257" s="79">
        <v>0.43476803659223301</v>
      </c>
      <c r="H1257" s="80">
        <v>1</v>
      </c>
      <c r="I1257" s="79">
        <v>-4.7356625172738399E-3</v>
      </c>
      <c r="J1257" s="79">
        <v>1.3726907659134599E-2</v>
      </c>
      <c r="K1257" s="79">
        <v>0.73011531134915597</v>
      </c>
      <c r="L1257" s="79">
        <v>0.94665651256802896</v>
      </c>
      <c r="M1257" s="80">
        <v>1</v>
      </c>
      <c r="N1257" s="81">
        <v>8.3581787562785503E-2</v>
      </c>
      <c r="O1257" s="81">
        <v>1.35907153676259E-2</v>
      </c>
      <c r="P1257" s="81">
        <v>8.3465507720900399E-10</v>
      </c>
      <c r="Q1257" s="81">
        <v>1.9984477226004301E-8</v>
      </c>
      <c r="R1257" s="82">
        <v>1.05917729297823E-6</v>
      </c>
      <c r="S1257" s="79">
        <v>4.0806799094038698E-2</v>
      </c>
      <c r="T1257" s="79">
        <v>1.3611118400081199E-2</v>
      </c>
      <c r="U1257" s="79">
        <v>2.7301735729304902E-3</v>
      </c>
      <c r="V1257" s="79">
        <v>9.9716363359299703E-3</v>
      </c>
      <c r="W1257" s="79">
        <v>1</v>
      </c>
    </row>
    <row r="1258" spans="1:23" x14ac:dyDescent="0.2">
      <c r="A1258" s="69"/>
      <c r="B1258" s="84" t="s">
        <v>257</v>
      </c>
      <c r="C1258" s="78">
        <v>5550</v>
      </c>
      <c r="D1258" s="79">
        <v>-4.3020783E-2</v>
      </c>
      <c r="E1258" s="79">
        <v>1.3675015E-2</v>
      </c>
      <c r="F1258" s="79">
        <v>1.6651509999999999E-3</v>
      </c>
      <c r="G1258" s="79">
        <v>0.12494161575</v>
      </c>
      <c r="H1258" s="80">
        <v>1</v>
      </c>
      <c r="I1258" s="79">
        <v>-5.4661262340799897E-4</v>
      </c>
      <c r="J1258" s="79">
        <v>1.3599971871079501E-2</v>
      </c>
      <c r="K1258" s="79">
        <v>0.96794152469391004</v>
      </c>
      <c r="L1258" s="79">
        <v>0.98860412674308995</v>
      </c>
      <c r="M1258" s="80">
        <v>1</v>
      </c>
      <c r="N1258" s="81">
        <v>7.4161991522295495E-2</v>
      </c>
      <c r="O1258" s="81">
        <v>1.34846496169153E-2</v>
      </c>
      <c r="P1258" s="81">
        <v>3.9938996471945301E-8</v>
      </c>
      <c r="Q1258" s="81">
        <v>7.03924812818036E-7</v>
      </c>
      <c r="R1258" s="82">
        <v>5.0682586522898602E-5</v>
      </c>
      <c r="S1258" s="79">
        <v>-3.4599848655365402E-3</v>
      </c>
      <c r="T1258" s="79">
        <v>1.35120955877336E-2</v>
      </c>
      <c r="U1258" s="79">
        <v>0.79791051032776195</v>
      </c>
      <c r="V1258" s="79">
        <v>0.83889793508975397</v>
      </c>
      <c r="W1258" s="79">
        <v>1</v>
      </c>
    </row>
    <row r="1259" spans="1:23" x14ac:dyDescent="0.2">
      <c r="A1259" s="69"/>
      <c r="B1259" s="84" t="s">
        <v>256</v>
      </c>
      <c r="C1259" s="78">
        <v>5550</v>
      </c>
      <c r="D1259" s="79">
        <v>2.5235679999999999E-3</v>
      </c>
      <c r="E1259" s="79">
        <v>1.3824790999999999E-2</v>
      </c>
      <c r="F1259" s="79">
        <v>0.85516664099999995</v>
      </c>
      <c r="G1259" s="79">
        <v>0.98552821438803295</v>
      </c>
      <c r="H1259" s="80">
        <v>1</v>
      </c>
      <c r="I1259" s="79">
        <v>-1.6392586315064399E-2</v>
      </c>
      <c r="J1259" s="79">
        <v>1.3743811212320999E-2</v>
      </c>
      <c r="K1259" s="79">
        <v>0.23303238296222001</v>
      </c>
      <c r="L1259" s="79">
        <v>0.73717954403955399</v>
      </c>
      <c r="M1259" s="80">
        <v>1</v>
      </c>
      <c r="N1259" s="79">
        <v>5.0396732315822902E-2</v>
      </c>
      <c r="O1259" s="79">
        <v>1.36395169046508E-2</v>
      </c>
      <c r="P1259" s="79">
        <v>2.2226005758747101E-4</v>
      </c>
      <c r="Q1259" s="79">
        <v>1.13272294409036E-3</v>
      </c>
      <c r="R1259" s="80">
        <v>0.28204801307850103</v>
      </c>
      <c r="S1259" s="79">
        <v>3.9096750045583703E-2</v>
      </c>
      <c r="T1259" s="79">
        <v>1.3636442865910399E-2</v>
      </c>
      <c r="U1259" s="79">
        <v>4.1594931523763496E-3</v>
      </c>
      <c r="V1259" s="79">
        <v>1.3295709849787399E-2</v>
      </c>
      <c r="W1259" s="79">
        <v>1</v>
      </c>
    </row>
    <row r="1260" spans="1:23" x14ac:dyDescent="0.2">
      <c r="A1260" s="69"/>
      <c r="B1260" s="84" t="s">
        <v>259</v>
      </c>
      <c r="C1260" s="78">
        <v>5550</v>
      </c>
      <c r="D1260" s="79">
        <v>-3.4749678999999999E-2</v>
      </c>
      <c r="E1260" s="79">
        <v>1.3766672000000001E-2</v>
      </c>
      <c r="F1260" s="79">
        <v>1.1626134999999999E-2</v>
      </c>
      <c r="G1260" s="79">
        <v>0.30736594406250001</v>
      </c>
      <c r="H1260" s="80">
        <v>1</v>
      </c>
      <c r="I1260" s="79">
        <v>-1.4634821204086599E-2</v>
      </c>
      <c r="J1260" s="79">
        <v>1.36923792690474E-2</v>
      </c>
      <c r="K1260" s="79">
        <v>0.285196841869711</v>
      </c>
      <c r="L1260" s="79">
        <v>0.77003147304821995</v>
      </c>
      <c r="M1260" s="80">
        <v>1</v>
      </c>
      <c r="N1260" s="81">
        <v>7.3215044682393801E-2</v>
      </c>
      <c r="O1260" s="81">
        <v>1.35692204377475E-2</v>
      </c>
      <c r="P1260" s="81">
        <v>7.1336997063308197E-8</v>
      </c>
      <c r="Q1260" s="81">
        <v>1.19114012201761E-6</v>
      </c>
      <c r="R1260" s="82">
        <v>9.0526649273338104E-5</v>
      </c>
      <c r="S1260" s="79">
        <v>2.6920529939410201E-2</v>
      </c>
      <c r="T1260" s="79">
        <v>1.3590498917071E-2</v>
      </c>
      <c r="U1260" s="79">
        <v>4.7662613375266803E-2</v>
      </c>
      <c r="V1260" s="79">
        <v>8.9656478981278598E-2</v>
      </c>
      <c r="W1260" s="79">
        <v>1</v>
      </c>
    </row>
    <row r="1261" spans="1:23" x14ac:dyDescent="0.2">
      <c r="A1261" s="69"/>
      <c r="B1261" s="84" t="s">
        <v>258</v>
      </c>
      <c r="C1261" s="78">
        <v>5550</v>
      </c>
      <c r="D1261" s="79">
        <v>3.5910619999999999E-3</v>
      </c>
      <c r="E1261" s="79">
        <v>1.3698241999999999E-2</v>
      </c>
      <c r="F1261" s="79">
        <v>0.79321232399999997</v>
      </c>
      <c r="G1261" s="79">
        <v>0.98545101377932998</v>
      </c>
      <c r="H1261" s="80">
        <v>1</v>
      </c>
      <c r="I1261" s="79">
        <v>1.0374035756500101E-2</v>
      </c>
      <c r="J1261" s="79">
        <v>1.36250613460581E-2</v>
      </c>
      <c r="K1261" s="79">
        <v>0.446456847420789</v>
      </c>
      <c r="L1261" s="79">
        <v>0.86998925201122601</v>
      </c>
      <c r="M1261" s="80">
        <v>1</v>
      </c>
      <c r="N1261" s="79">
        <v>1.5033203180925599E-2</v>
      </c>
      <c r="O1261" s="79">
        <v>1.3542153148151499E-2</v>
      </c>
      <c r="P1261" s="79">
        <v>0.26700570808655</v>
      </c>
      <c r="Q1261" s="79">
        <v>0.34716213479695901</v>
      </c>
      <c r="R1261" s="80">
        <v>1</v>
      </c>
      <c r="S1261" s="79">
        <v>-4.2214917617732902E-3</v>
      </c>
      <c r="T1261" s="79">
        <v>1.35270744079652E-2</v>
      </c>
      <c r="U1261" s="79">
        <v>0.75499432478538198</v>
      </c>
      <c r="V1261" s="79">
        <v>0.80383251917866105</v>
      </c>
      <c r="W1261" s="79">
        <v>1</v>
      </c>
    </row>
    <row r="1262" spans="1:23" x14ac:dyDescent="0.2">
      <c r="A1262" s="69"/>
      <c r="B1262" s="84" t="s">
        <v>263</v>
      </c>
      <c r="C1262" s="78">
        <v>5556</v>
      </c>
      <c r="D1262" s="79">
        <v>-3.5747819999999999E-3</v>
      </c>
      <c r="E1262" s="79">
        <v>1.3754715000000001E-2</v>
      </c>
      <c r="F1262" s="79">
        <v>0.794955254</v>
      </c>
      <c r="G1262" s="79">
        <v>0.98545101377932998</v>
      </c>
      <c r="H1262" s="80">
        <v>1</v>
      </c>
      <c r="I1262" s="79">
        <v>-1.66797153697727E-2</v>
      </c>
      <c r="J1262" s="79">
        <v>1.3657732561564599E-2</v>
      </c>
      <c r="K1262" s="79">
        <v>0.22204328561606901</v>
      </c>
      <c r="L1262" s="79">
        <v>0.73459417908661795</v>
      </c>
      <c r="M1262" s="80">
        <v>1</v>
      </c>
      <c r="N1262" s="79">
        <v>3.0661577882374301E-2</v>
      </c>
      <c r="O1262" s="79">
        <v>1.3565006849944E-2</v>
      </c>
      <c r="P1262" s="79">
        <v>2.3842914841112402E-2</v>
      </c>
      <c r="Q1262" s="79">
        <v>4.7791445497070102E-2</v>
      </c>
      <c r="R1262" s="80">
        <v>1</v>
      </c>
      <c r="S1262" s="79">
        <v>3.0033711679053599E-2</v>
      </c>
      <c r="T1262" s="79">
        <v>1.35568078293347E-2</v>
      </c>
      <c r="U1262" s="79">
        <v>2.6777109143853801E-2</v>
      </c>
      <c r="V1262" s="79">
        <v>5.4984063921602697E-2</v>
      </c>
      <c r="W1262" s="79">
        <v>1</v>
      </c>
    </row>
    <row r="1263" spans="1:23" x14ac:dyDescent="0.2">
      <c r="A1263" s="69"/>
      <c r="B1263" s="84" t="s">
        <v>264</v>
      </c>
      <c r="C1263" s="78">
        <v>5556</v>
      </c>
      <c r="D1263" s="79">
        <v>-1.8059354E-2</v>
      </c>
      <c r="E1263" s="79">
        <v>1.3775422000000001E-2</v>
      </c>
      <c r="F1263" s="79">
        <v>0.18992184600000001</v>
      </c>
      <c r="G1263" s="79">
        <v>0.71824426474260405</v>
      </c>
      <c r="H1263" s="80">
        <v>1</v>
      </c>
      <c r="I1263" s="79">
        <v>-1.15791446907709E-3</v>
      </c>
      <c r="J1263" s="79">
        <v>1.3693265323208E-2</v>
      </c>
      <c r="K1263" s="79">
        <v>0.932613855506773</v>
      </c>
      <c r="L1263" s="79">
        <v>0.981200184300273</v>
      </c>
      <c r="M1263" s="80">
        <v>1</v>
      </c>
      <c r="N1263" s="79">
        <v>2.8047719507030999E-2</v>
      </c>
      <c r="O1263" s="79">
        <v>1.3608344966732E-2</v>
      </c>
      <c r="P1263" s="79">
        <v>3.9347420583888897E-2</v>
      </c>
      <c r="Q1263" s="79">
        <v>7.2365038726021805E-2</v>
      </c>
      <c r="R1263" s="80">
        <v>1</v>
      </c>
      <c r="S1263" s="79">
        <v>-1.6960342293588299E-2</v>
      </c>
      <c r="T1263" s="79">
        <v>1.35940636447248E-2</v>
      </c>
      <c r="U1263" s="79">
        <v>0.21222401836027099</v>
      </c>
      <c r="V1263" s="79">
        <v>0.29725417141190302</v>
      </c>
      <c r="W1263" s="79">
        <v>1</v>
      </c>
    </row>
    <row r="1264" spans="1:23" x14ac:dyDescent="0.2">
      <c r="A1264" s="69"/>
      <c r="B1264" s="84" t="s">
        <v>265</v>
      </c>
      <c r="C1264" s="78">
        <v>5556</v>
      </c>
      <c r="D1264" s="79">
        <v>-1.531157E-2</v>
      </c>
      <c r="E1264" s="79">
        <v>1.3801887000000001E-2</v>
      </c>
      <c r="F1264" s="79">
        <v>0.26731787099999998</v>
      </c>
      <c r="G1264" s="79">
        <v>0.82078783688755996</v>
      </c>
      <c r="H1264" s="80">
        <v>1</v>
      </c>
      <c r="I1264" s="79">
        <v>-4.7992791645569896E-3</v>
      </c>
      <c r="J1264" s="79">
        <v>1.3710580713974799E-2</v>
      </c>
      <c r="K1264" s="79">
        <v>0.72632198598429798</v>
      </c>
      <c r="L1264" s="79">
        <v>0.94469845151544796</v>
      </c>
      <c r="M1264" s="80">
        <v>1</v>
      </c>
      <c r="N1264" s="79">
        <v>4.6811780534825702E-2</v>
      </c>
      <c r="O1264" s="79">
        <v>1.36085473124112E-2</v>
      </c>
      <c r="P1264" s="79">
        <v>5.8675163851276203E-4</v>
      </c>
      <c r="Q1264" s="79">
        <v>2.4018962234603099E-3</v>
      </c>
      <c r="R1264" s="80">
        <v>0.74458782927269496</v>
      </c>
      <c r="S1264" s="79">
        <v>3.56486666319938E-2</v>
      </c>
      <c r="T1264" s="79">
        <v>1.36026613001643E-2</v>
      </c>
      <c r="U1264" s="79">
        <v>8.8008605112915497E-3</v>
      </c>
      <c r="V1264" s="79">
        <v>2.3711872587747301E-2</v>
      </c>
      <c r="W1264" s="79">
        <v>1</v>
      </c>
    </row>
    <row r="1265" spans="1:23" x14ac:dyDescent="0.2">
      <c r="A1265" s="69"/>
      <c r="B1265" s="84" t="s">
        <v>266</v>
      </c>
      <c r="C1265" s="78">
        <v>5556</v>
      </c>
      <c r="D1265" s="79">
        <v>-4.3755390999999998E-2</v>
      </c>
      <c r="E1265" s="79">
        <v>1.3769913E-2</v>
      </c>
      <c r="F1265" s="79">
        <v>1.4938309999999999E-3</v>
      </c>
      <c r="G1265" s="79">
        <v>0.12494161575</v>
      </c>
      <c r="H1265" s="80">
        <v>1</v>
      </c>
      <c r="I1265" s="79">
        <v>1.1260175485591301E-2</v>
      </c>
      <c r="J1265" s="79">
        <v>1.3692567749393401E-2</v>
      </c>
      <c r="K1265" s="79">
        <v>0.410913092346196</v>
      </c>
      <c r="L1265" s="79">
        <v>0.84382485205778901</v>
      </c>
      <c r="M1265" s="80">
        <v>1</v>
      </c>
      <c r="N1265" s="79">
        <v>4.6834692524790701E-2</v>
      </c>
      <c r="O1265" s="79">
        <v>1.35955204713378E-2</v>
      </c>
      <c r="P1265" s="79">
        <v>5.7603433823134496E-4</v>
      </c>
      <c r="Q1265" s="79">
        <v>2.3743217832514398E-3</v>
      </c>
      <c r="R1265" s="80">
        <v>0.730987575215577</v>
      </c>
      <c r="S1265" s="79">
        <v>-2.15067916786758E-2</v>
      </c>
      <c r="T1265" s="79">
        <v>1.35934759049458E-2</v>
      </c>
      <c r="U1265" s="79">
        <v>0.11367961095319599</v>
      </c>
      <c r="V1265" s="79">
        <v>0.18145839786113899</v>
      </c>
      <c r="W1265" s="79">
        <v>1</v>
      </c>
    </row>
    <row r="1266" spans="1:23" x14ac:dyDescent="0.2">
      <c r="A1266" s="69"/>
      <c r="B1266" s="84" t="s">
        <v>267</v>
      </c>
      <c r="C1266" s="78">
        <v>5556</v>
      </c>
      <c r="D1266" s="79">
        <v>-1.185363E-3</v>
      </c>
      <c r="E1266" s="79">
        <v>1.3786754E-2</v>
      </c>
      <c r="F1266" s="79">
        <v>0.93148698299999999</v>
      </c>
      <c r="G1266" s="79">
        <v>0.991673151733656</v>
      </c>
      <c r="H1266" s="80">
        <v>1</v>
      </c>
      <c r="I1266" s="79">
        <v>-1.53201701577607E-2</v>
      </c>
      <c r="J1266" s="79">
        <v>1.36966425057742E-2</v>
      </c>
      <c r="K1266" s="79">
        <v>0.26339228381034502</v>
      </c>
      <c r="L1266" s="79">
        <v>0.75619012720719103</v>
      </c>
      <c r="M1266" s="80">
        <v>1</v>
      </c>
      <c r="N1266" s="79">
        <v>3.23335370422436E-2</v>
      </c>
      <c r="O1266" s="79">
        <v>1.36110470934417E-2</v>
      </c>
      <c r="P1266" s="79">
        <v>1.7560720252265901E-2</v>
      </c>
      <c r="Q1266" s="79">
        <v>3.7390191275378203E-2</v>
      </c>
      <c r="R1266" s="80">
        <v>1</v>
      </c>
      <c r="S1266" s="79">
        <v>2.4815745578446E-2</v>
      </c>
      <c r="T1266" s="79">
        <v>1.35983797578332E-2</v>
      </c>
      <c r="U1266" s="79">
        <v>6.8073874816989899E-2</v>
      </c>
      <c r="V1266" s="79">
        <v>0.118988632428044</v>
      </c>
      <c r="W1266" s="79">
        <v>1</v>
      </c>
    </row>
    <row r="1267" spans="1:23" x14ac:dyDescent="0.2">
      <c r="A1267" s="69"/>
      <c r="B1267" s="56" t="s">
        <v>268</v>
      </c>
      <c r="C1267" s="78">
        <v>5556</v>
      </c>
      <c r="D1267" s="79">
        <v>-2.8458229999999999E-3</v>
      </c>
      <c r="E1267" s="79">
        <v>1.3777279E-2</v>
      </c>
      <c r="F1267" s="79">
        <v>0.83636243099999996</v>
      </c>
      <c r="G1267" s="79">
        <v>0.98546325435376003</v>
      </c>
      <c r="H1267" s="80">
        <v>1</v>
      </c>
      <c r="I1267" s="79">
        <v>8.7960285248919797E-3</v>
      </c>
      <c r="J1267" s="79">
        <v>1.368689919427E-2</v>
      </c>
      <c r="K1267" s="79">
        <v>0.52047394922869805</v>
      </c>
      <c r="L1267" s="79">
        <v>0.89861420621934396</v>
      </c>
      <c r="M1267" s="80">
        <v>1</v>
      </c>
      <c r="N1267" s="79">
        <v>2.1738255506371901E-2</v>
      </c>
      <c r="O1267" s="79">
        <v>1.36018420052996E-2</v>
      </c>
      <c r="P1267" s="79">
        <v>0.110064939307398</v>
      </c>
      <c r="Q1267" s="79">
        <v>0.16971130981906199</v>
      </c>
      <c r="R1267" s="80">
        <v>1</v>
      </c>
      <c r="S1267" s="79">
        <v>2.97322909440322E-3</v>
      </c>
      <c r="T1267" s="79">
        <v>1.35906686524603E-2</v>
      </c>
      <c r="U1267" s="79">
        <v>0.82683808761592303</v>
      </c>
      <c r="V1267" s="79">
        <v>0.86287626084260405</v>
      </c>
      <c r="W1267" s="79">
        <v>1</v>
      </c>
    </row>
    <row r="1268" spans="1:23" x14ac:dyDescent="0.2">
      <c r="A1268" s="69"/>
      <c r="B1268" s="56" t="s">
        <v>269</v>
      </c>
      <c r="C1268" s="78">
        <v>5556</v>
      </c>
      <c r="D1268" s="79">
        <v>-2.4964509999999999E-2</v>
      </c>
      <c r="E1268" s="79">
        <v>1.3784832E-2</v>
      </c>
      <c r="F1268" s="79">
        <v>7.0196943999999997E-2</v>
      </c>
      <c r="G1268" s="79">
        <v>0.536626035759036</v>
      </c>
      <c r="H1268" s="80">
        <v>1</v>
      </c>
      <c r="I1268" s="79">
        <v>-1.3931759307076399E-2</v>
      </c>
      <c r="J1268" s="79">
        <v>1.37114735218491E-2</v>
      </c>
      <c r="K1268" s="79">
        <v>0.30964646252969502</v>
      </c>
      <c r="L1268" s="79">
        <v>0.78754770700353705</v>
      </c>
      <c r="M1268" s="80">
        <v>1</v>
      </c>
      <c r="N1268" s="81">
        <v>7.8125641523756104E-2</v>
      </c>
      <c r="O1268" s="81">
        <v>1.35831038698712E-2</v>
      </c>
      <c r="P1268" s="81">
        <v>9.3517546581740304E-9</v>
      </c>
      <c r="Q1268" s="81">
        <v>1.8542776033160701E-7</v>
      </c>
      <c r="R1268" s="82">
        <v>1.1867376661222799E-5</v>
      </c>
      <c r="S1268" s="79">
        <v>4.2344810298309402E-2</v>
      </c>
      <c r="T1268" s="79">
        <v>1.3587712331438901E-2</v>
      </c>
      <c r="U1268" s="79">
        <v>1.8407953655751399E-3</v>
      </c>
      <c r="V1268" s="79">
        <v>7.3458154682856996E-3</v>
      </c>
      <c r="W1268" s="79">
        <v>1</v>
      </c>
    </row>
    <row r="1269" spans="1:23" x14ac:dyDescent="0.2">
      <c r="A1269" s="69"/>
      <c r="B1269" s="56" t="s">
        <v>270</v>
      </c>
      <c r="C1269" s="78">
        <v>5556</v>
      </c>
      <c r="D1269" s="79">
        <v>9.3862399999999999E-4</v>
      </c>
      <c r="E1269" s="79">
        <v>1.3769062E-2</v>
      </c>
      <c r="F1269" s="79">
        <v>0.94565373600000002</v>
      </c>
      <c r="G1269" s="79">
        <v>0.991673151733656</v>
      </c>
      <c r="H1269" s="80">
        <v>1</v>
      </c>
      <c r="I1269" s="79">
        <v>6.4261706633961801E-3</v>
      </c>
      <c r="J1269" s="79">
        <v>1.3669674666620101E-2</v>
      </c>
      <c r="K1269" s="79">
        <v>0.63830124844339298</v>
      </c>
      <c r="L1269" s="79">
        <v>0.91965825061269202</v>
      </c>
      <c r="M1269" s="80">
        <v>1</v>
      </c>
      <c r="N1269" s="79">
        <v>5.3705401216117901E-2</v>
      </c>
      <c r="O1269" s="79">
        <v>1.35556409417574E-2</v>
      </c>
      <c r="P1269" s="79">
        <v>7.5419217629267598E-5</v>
      </c>
      <c r="Q1269" s="79">
        <v>4.6235259503159699E-4</v>
      </c>
      <c r="R1269" s="80">
        <v>9.5706987171540595E-2</v>
      </c>
      <c r="S1269" s="79">
        <v>4.02767595314657E-2</v>
      </c>
      <c r="T1269" s="79">
        <v>1.3566679719467199E-2</v>
      </c>
      <c r="U1269" s="79">
        <v>3.0036872432045499E-3</v>
      </c>
      <c r="V1269" s="79">
        <v>1.0444434097312201E-2</v>
      </c>
      <c r="W1269" s="79">
        <v>1</v>
      </c>
    </row>
    <row r="1270" spans="1:23" x14ac:dyDescent="0.2">
      <c r="A1270" s="69"/>
      <c r="B1270" s="56" t="s">
        <v>271</v>
      </c>
      <c r="C1270" s="78">
        <v>5556</v>
      </c>
      <c r="D1270" s="79">
        <v>-6.3625130000000002E-3</v>
      </c>
      <c r="E1270" s="79">
        <v>1.3786052E-2</v>
      </c>
      <c r="F1270" s="79">
        <v>0.644446191</v>
      </c>
      <c r="G1270" s="79">
        <v>0.98233085592215597</v>
      </c>
      <c r="H1270" s="80">
        <v>1</v>
      </c>
      <c r="I1270" s="79">
        <v>-1.47536083583109E-2</v>
      </c>
      <c r="J1270" s="79">
        <v>1.3704568220968801E-2</v>
      </c>
      <c r="K1270" s="79">
        <v>0.28173348452338798</v>
      </c>
      <c r="L1270" s="79">
        <v>0.76694710984058201</v>
      </c>
      <c r="M1270" s="80">
        <v>1</v>
      </c>
      <c r="N1270" s="79">
        <v>6.5412697270637102E-3</v>
      </c>
      <c r="O1270" s="79">
        <v>1.3620999117153299E-2</v>
      </c>
      <c r="P1270" s="79">
        <v>0.631081294081132</v>
      </c>
      <c r="Q1270" s="79">
        <v>0.70870987804332397</v>
      </c>
      <c r="R1270" s="80">
        <v>1</v>
      </c>
      <c r="S1270" s="79">
        <v>1.9270899851715199E-2</v>
      </c>
      <c r="T1270" s="79">
        <v>1.3596424439131E-2</v>
      </c>
      <c r="U1270" s="79">
        <v>0.156440429483404</v>
      </c>
      <c r="V1270" s="79">
        <v>0.231378677173007</v>
      </c>
      <c r="W1270" s="79">
        <v>1</v>
      </c>
    </row>
    <row r="1271" spans="1:23" x14ac:dyDescent="0.2">
      <c r="A1271" s="69"/>
      <c r="B1271" s="56" t="s">
        <v>272</v>
      </c>
      <c r="C1271" s="78">
        <v>5556</v>
      </c>
      <c r="D1271" s="79">
        <v>-2.4232076000000002E-2</v>
      </c>
      <c r="E1271" s="79">
        <v>1.3761346000000001E-2</v>
      </c>
      <c r="F1271" s="79">
        <v>7.8318705000000002E-2</v>
      </c>
      <c r="G1271" s="79">
        <v>0.56792249511428605</v>
      </c>
      <c r="H1271" s="80">
        <v>1</v>
      </c>
      <c r="I1271" s="79">
        <v>7.03254814683255E-3</v>
      </c>
      <c r="J1271" s="79">
        <v>1.3671631968985701E-2</v>
      </c>
      <c r="K1271" s="79">
        <v>0.60700219732271898</v>
      </c>
      <c r="L1271" s="79">
        <v>0.91965825061269202</v>
      </c>
      <c r="M1271" s="80">
        <v>1</v>
      </c>
      <c r="N1271" s="79">
        <v>4.8792920038771302E-2</v>
      </c>
      <c r="O1271" s="79">
        <v>1.35708563709077E-2</v>
      </c>
      <c r="P1271" s="79">
        <v>3.2699009458624101E-4</v>
      </c>
      <c r="Q1271" s="79">
        <v>1.5425666543863899E-3</v>
      </c>
      <c r="R1271" s="80">
        <v>0.41495043002993998</v>
      </c>
      <c r="S1271" s="79">
        <v>2.3606240601882E-2</v>
      </c>
      <c r="T1271" s="79">
        <v>1.3567941783528799E-2</v>
      </c>
      <c r="U1271" s="79">
        <v>8.1945144983379806E-2</v>
      </c>
      <c r="V1271" s="79">
        <v>0.139021910406295</v>
      </c>
      <c r="W1271" s="79">
        <v>1</v>
      </c>
    </row>
    <row r="1272" spans="1:23" x14ac:dyDescent="0.2">
      <c r="A1272" s="69"/>
      <c r="B1272" s="56" t="s">
        <v>273</v>
      </c>
      <c r="C1272" s="78">
        <v>5556</v>
      </c>
      <c r="D1272" s="79">
        <v>-2.2768027999999999E-2</v>
      </c>
      <c r="E1272" s="79">
        <v>1.368246E-2</v>
      </c>
      <c r="F1272" s="79">
        <v>9.6168553000000004E-2</v>
      </c>
      <c r="G1272" s="79">
        <v>0.61188685347029703</v>
      </c>
      <c r="H1272" s="80">
        <v>1</v>
      </c>
      <c r="I1272" s="79">
        <v>7.9683184526125207E-3</v>
      </c>
      <c r="J1272" s="79">
        <v>1.3590854861849201E-2</v>
      </c>
      <c r="K1272" s="79">
        <v>0.55770071827632395</v>
      </c>
      <c r="L1272" s="79">
        <v>0.90966865230418403</v>
      </c>
      <c r="M1272" s="80">
        <v>1</v>
      </c>
      <c r="N1272" s="81">
        <v>6.9087777480960996E-2</v>
      </c>
      <c r="O1272" s="81">
        <v>1.34825204319427E-2</v>
      </c>
      <c r="P1272" s="81">
        <v>3.1008378843926198E-7</v>
      </c>
      <c r="Q1272" s="81">
        <v>4.2311433067679897E-6</v>
      </c>
      <c r="R1272" s="82">
        <v>3.9349632752942298E-4</v>
      </c>
      <c r="S1272" s="79">
        <v>1.83786300830832E-2</v>
      </c>
      <c r="T1272" s="79">
        <v>1.3496494200914699E-2</v>
      </c>
      <c r="U1272" s="79">
        <v>0.17334296121262199</v>
      </c>
      <c r="V1272" s="79">
        <v>0.25226171763625799</v>
      </c>
      <c r="W1272" s="79">
        <v>1</v>
      </c>
    </row>
    <row r="1273" spans="1:23" x14ac:dyDescent="0.2">
      <c r="A1273" s="69"/>
      <c r="B1273" s="56" t="s">
        <v>274</v>
      </c>
      <c r="C1273" s="78">
        <v>5556</v>
      </c>
      <c r="D1273" s="79">
        <v>-2.4637914E-2</v>
      </c>
      <c r="E1273" s="79">
        <v>1.3783696E-2</v>
      </c>
      <c r="F1273" s="79">
        <v>7.3921320999999998E-2</v>
      </c>
      <c r="G1273" s="79">
        <v>0.55506601389940802</v>
      </c>
      <c r="H1273" s="80">
        <v>1</v>
      </c>
      <c r="I1273" s="79">
        <v>1.1911934207182099E-3</v>
      </c>
      <c r="J1273" s="79">
        <v>1.36944914536796E-2</v>
      </c>
      <c r="K1273" s="79">
        <v>0.93068819065502495</v>
      </c>
      <c r="L1273" s="79">
        <v>0.981200184300273</v>
      </c>
      <c r="M1273" s="80">
        <v>1</v>
      </c>
      <c r="N1273" s="81">
        <v>7.1859663196986903E-2</v>
      </c>
      <c r="O1273" s="81">
        <v>1.35740113881316E-2</v>
      </c>
      <c r="P1273" s="81">
        <v>1.24838645283581E-7</v>
      </c>
      <c r="Q1273" s="81">
        <v>1.9947724256282699E-6</v>
      </c>
      <c r="R1273" s="82">
        <v>1.5842024086486399E-4</v>
      </c>
      <c r="S1273" s="79">
        <v>1.9818070585040599E-2</v>
      </c>
      <c r="T1273" s="79">
        <v>1.35924006236761E-2</v>
      </c>
      <c r="U1273" s="79">
        <v>0.14489523489141901</v>
      </c>
      <c r="V1273" s="79">
        <v>0.21811631444509</v>
      </c>
      <c r="W1273" s="79">
        <v>1</v>
      </c>
    </row>
    <row r="1274" spans="1:23" x14ac:dyDescent="0.2">
      <c r="A1274" s="69"/>
      <c r="B1274" s="56" t="s">
        <v>275</v>
      </c>
      <c r="C1274" s="78">
        <v>5556</v>
      </c>
      <c r="D1274" s="79">
        <v>2.7473523999999999E-2</v>
      </c>
      <c r="E1274" s="79">
        <v>1.3721679000000001E-2</v>
      </c>
      <c r="F1274" s="79">
        <v>4.5314702999999998E-2</v>
      </c>
      <c r="G1274" s="79">
        <v>0.45279022131496099</v>
      </c>
      <c r="H1274" s="80">
        <v>1</v>
      </c>
      <c r="I1274" s="79">
        <v>3.0414742501433199E-2</v>
      </c>
      <c r="J1274" s="79">
        <v>1.36500179915089E-2</v>
      </c>
      <c r="K1274" s="79">
        <v>2.5911038038154598E-2</v>
      </c>
      <c r="L1274" s="79">
        <v>0.45891948479274403</v>
      </c>
      <c r="M1274" s="80">
        <v>1</v>
      </c>
      <c r="N1274" s="79">
        <v>-1.2095113353600501E-2</v>
      </c>
      <c r="O1274" s="79">
        <v>1.3572969521209901E-2</v>
      </c>
      <c r="P1274" s="79">
        <v>0.37290719204476902</v>
      </c>
      <c r="Q1274" s="79">
        <v>0.45765882660039803</v>
      </c>
      <c r="R1274" s="80">
        <v>1</v>
      </c>
      <c r="S1274" s="79">
        <v>-1.23684005298719E-2</v>
      </c>
      <c r="T1274" s="79">
        <v>1.3546254601980201E-2</v>
      </c>
      <c r="U1274" s="79">
        <v>0.36125846738434497</v>
      </c>
      <c r="V1274" s="79">
        <v>0.45300098331100203</v>
      </c>
      <c r="W1274" s="79">
        <v>1</v>
      </c>
    </row>
    <row r="1275" spans="1:23" x14ac:dyDescent="0.2">
      <c r="A1275" s="69"/>
      <c r="B1275" s="56" t="s">
        <v>276</v>
      </c>
      <c r="C1275" s="78">
        <v>5556</v>
      </c>
      <c r="D1275" s="79">
        <v>-3.9809425000000002E-2</v>
      </c>
      <c r="E1275" s="79">
        <v>1.3695976E-2</v>
      </c>
      <c r="F1275" s="79">
        <v>3.6692000000000001E-3</v>
      </c>
      <c r="G1275" s="79">
        <v>0.1663627275</v>
      </c>
      <c r="H1275" s="80">
        <v>1</v>
      </c>
      <c r="I1275" s="79">
        <v>-1.7787404521599999E-2</v>
      </c>
      <c r="J1275" s="79">
        <v>1.3605903607503101E-2</v>
      </c>
      <c r="K1275" s="79">
        <v>0.19116190073958</v>
      </c>
      <c r="L1275" s="79">
        <v>0.71347894824854996</v>
      </c>
      <c r="M1275" s="80">
        <v>1</v>
      </c>
      <c r="N1275" s="81">
        <v>5.6676468219936202E-2</v>
      </c>
      <c r="O1275" s="81">
        <v>1.3505454854853501E-2</v>
      </c>
      <c r="P1275" s="81">
        <v>2.7578555447573501E-5</v>
      </c>
      <c r="Q1275" s="81">
        <v>1.99420657102996E-4</v>
      </c>
      <c r="R1275" s="82">
        <v>3.4997186862970799E-2</v>
      </c>
      <c r="S1275" s="79">
        <v>-1.2593994830043E-2</v>
      </c>
      <c r="T1275" s="79">
        <v>1.35152311236166E-2</v>
      </c>
      <c r="U1275" s="79">
        <v>0.35146564585528101</v>
      </c>
      <c r="V1275" s="79">
        <v>0.446009904590352</v>
      </c>
      <c r="W1275" s="79">
        <v>1</v>
      </c>
    </row>
    <row r="1276" spans="1:23" x14ac:dyDescent="0.2">
      <c r="A1276" s="69"/>
      <c r="B1276" s="56" t="s">
        <v>277</v>
      </c>
      <c r="C1276" s="78">
        <v>5556</v>
      </c>
      <c r="D1276" s="79">
        <v>-2.5683293999999999E-2</v>
      </c>
      <c r="E1276" s="79">
        <v>1.3739346E-2</v>
      </c>
      <c r="F1276" s="79">
        <v>6.1634621000000001E-2</v>
      </c>
      <c r="G1276" s="79">
        <v>0.50823687530769202</v>
      </c>
      <c r="H1276" s="80">
        <v>1</v>
      </c>
      <c r="I1276" s="79">
        <v>-9.2558345834484503E-3</v>
      </c>
      <c r="J1276" s="79">
        <v>1.36527888122394E-2</v>
      </c>
      <c r="K1276" s="79">
        <v>0.49783790710602099</v>
      </c>
      <c r="L1276" s="79">
        <v>0.88650784260657001</v>
      </c>
      <c r="M1276" s="80">
        <v>1</v>
      </c>
      <c r="N1276" s="79">
        <v>4.4200297875610799E-2</v>
      </c>
      <c r="O1276" s="79">
        <v>1.35534518598416E-2</v>
      </c>
      <c r="P1276" s="79">
        <v>1.11684788720793E-3</v>
      </c>
      <c r="Q1276" s="79">
        <v>3.8617982802911801E-3</v>
      </c>
      <c r="R1276" s="80">
        <v>1</v>
      </c>
      <c r="S1276" s="79">
        <v>9.66589420968577E-3</v>
      </c>
      <c r="T1276" s="79">
        <v>1.3554819142665001E-2</v>
      </c>
      <c r="U1276" s="79">
        <v>0.47581852365525201</v>
      </c>
      <c r="V1276" s="79">
        <v>0.56224808687305305</v>
      </c>
      <c r="W1276" s="79">
        <v>1</v>
      </c>
    </row>
    <row r="1277" spans="1:23" x14ac:dyDescent="0.2">
      <c r="A1277" s="69"/>
      <c r="B1277" s="56" t="s">
        <v>278</v>
      </c>
      <c r="C1277" s="78">
        <v>5556</v>
      </c>
      <c r="D1277" s="79">
        <v>-2.9608318000000002E-2</v>
      </c>
      <c r="E1277" s="79">
        <v>1.3718948E-2</v>
      </c>
      <c r="F1277" s="79">
        <v>3.0958767000000002E-2</v>
      </c>
      <c r="G1277" s="79">
        <v>0.41354395076842099</v>
      </c>
      <c r="H1277" s="80">
        <v>1</v>
      </c>
      <c r="I1277" s="79">
        <v>-1.1675695613484799E-2</v>
      </c>
      <c r="J1277" s="79">
        <v>1.36304924008545E-2</v>
      </c>
      <c r="K1277" s="79">
        <v>0.39171487729016502</v>
      </c>
      <c r="L1277" s="79">
        <v>0.83369555356615399</v>
      </c>
      <c r="M1277" s="80">
        <v>1</v>
      </c>
      <c r="N1277" s="79">
        <v>5.3754100056744698E-2</v>
      </c>
      <c r="O1277" s="79">
        <v>1.35247388532678E-2</v>
      </c>
      <c r="P1277" s="79">
        <v>7.1529256074078499E-5</v>
      </c>
      <c r="Q1277" s="79">
        <v>4.4694717060886298E-4</v>
      </c>
      <c r="R1277" s="80">
        <v>9.0770625958005599E-2</v>
      </c>
      <c r="S1277" s="79">
        <v>1.5033892231389401E-2</v>
      </c>
      <c r="T1277" s="79">
        <v>1.35382358911985E-2</v>
      </c>
      <c r="U1277" s="79">
        <v>0.266846670193846</v>
      </c>
      <c r="V1277" s="79">
        <v>0.35871655135168501</v>
      </c>
      <c r="W1277" s="79">
        <v>1</v>
      </c>
    </row>
    <row r="1278" spans="1:23" x14ac:dyDescent="0.2">
      <c r="A1278" s="69"/>
      <c r="B1278" s="56" t="s">
        <v>279</v>
      </c>
      <c r="C1278" s="78">
        <v>5556</v>
      </c>
      <c r="D1278" s="79">
        <v>-2.1273002999999999E-2</v>
      </c>
      <c r="E1278" s="79">
        <v>1.3784884000000001E-2</v>
      </c>
      <c r="F1278" s="79">
        <v>0.12284023500000001</v>
      </c>
      <c r="G1278" s="79">
        <v>0.65626131345967698</v>
      </c>
      <c r="H1278" s="80">
        <v>1</v>
      </c>
      <c r="I1278" s="79">
        <v>-1.33831109605115E-2</v>
      </c>
      <c r="J1278" s="79">
        <v>1.3695738509954199E-2</v>
      </c>
      <c r="K1278" s="79">
        <v>0.328529563443758</v>
      </c>
      <c r="L1278" s="79">
        <v>0.79366538468944703</v>
      </c>
      <c r="M1278" s="80">
        <v>1</v>
      </c>
      <c r="N1278" s="81">
        <v>6.0734324368528297E-2</v>
      </c>
      <c r="O1278" s="81">
        <v>1.35801740383451E-2</v>
      </c>
      <c r="P1278" s="81">
        <v>7.9065138329555004E-6</v>
      </c>
      <c r="Q1278" s="81">
        <v>6.9676153152920401E-5</v>
      </c>
      <c r="R1278" s="82">
        <v>1.00333660540205E-2</v>
      </c>
      <c r="S1278" s="79">
        <v>2.3124329406792501E-2</v>
      </c>
      <c r="T1278" s="79">
        <v>1.35855203261264E-2</v>
      </c>
      <c r="U1278" s="79">
        <v>8.8790929290111301E-2</v>
      </c>
      <c r="V1278" s="79">
        <v>0.148845032059645</v>
      </c>
      <c r="W1278" s="79">
        <v>1</v>
      </c>
    </row>
    <row r="1279" spans="1:23" x14ac:dyDescent="0.2">
      <c r="A1279" s="69"/>
      <c r="B1279" s="56" t="s">
        <v>280</v>
      </c>
      <c r="C1279" s="78">
        <v>5556</v>
      </c>
      <c r="D1279" s="79">
        <v>-3.2989068000000003E-2</v>
      </c>
      <c r="E1279" s="79">
        <v>1.3791125E-2</v>
      </c>
      <c r="F1279" s="79">
        <v>1.6790092E-2</v>
      </c>
      <c r="G1279" s="79">
        <v>0.349577479479452</v>
      </c>
      <c r="H1279" s="80">
        <v>1</v>
      </c>
      <c r="I1279" s="79">
        <v>-7.9798162200159107E-3</v>
      </c>
      <c r="J1279" s="79">
        <v>1.3713900281856E-2</v>
      </c>
      <c r="K1279" s="79">
        <v>0.560674699544634</v>
      </c>
      <c r="L1279" s="79">
        <v>0.90984167995158605</v>
      </c>
      <c r="M1279" s="80">
        <v>1</v>
      </c>
      <c r="N1279" s="81">
        <v>7.1129901978428806E-2</v>
      </c>
      <c r="O1279" s="81">
        <v>1.35950083651634E-2</v>
      </c>
      <c r="P1279" s="81">
        <v>1.7434478702682499E-7</v>
      </c>
      <c r="Q1279" s="81">
        <v>2.5762723810964799E-6</v>
      </c>
      <c r="R1279" s="82">
        <v>2.2124353473704101E-4</v>
      </c>
      <c r="S1279" s="79">
        <v>3.7279683276915498E-2</v>
      </c>
      <c r="T1279" s="79">
        <v>1.36002763608267E-2</v>
      </c>
      <c r="U1279" s="79">
        <v>6.1445480596539499E-3</v>
      </c>
      <c r="V1279" s="79">
        <v>1.8091488370535602E-2</v>
      </c>
      <c r="W1279" s="79">
        <v>1</v>
      </c>
    </row>
    <row r="1280" spans="1:23" x14ac:dyDescent="0.2">
      <c r="A1280" s="69"/>
      <c r="B1280" s="56" t="s">
        <v>261</v>
      </c>
      <c r="C1280" s="78">
        <v>5556</v>
      </c>
      <c r="D1280" s="79">
        <v>-2.9376309E-2</v>
      </c>
      <c r="E1280" s="79">
        <v>1.3680495000000001E-2</v>
      </c>
      <c r="F1280" s="79">
        <v>3.1815571000000001E-2</v>
      </c>
      <c r="G1280" s="79">
        <v>0.42056207915624999</v>
      </c>
      <c r="H1280" s="80">
        <v>1</v>
      </c>
      <c r="I1280" s="79">
        <v>-3.2154400376760901E-3</v>
      </c>
      <c r="J1280" s="79">
        <v>1.35909866423522E-2</v>
      </c>
      <c r="K1280" s="79">
        <v>0.81298754920558503</v>
      </c>
      <c r="L1280" s="79">
        <v>0.96211732726388599</v>
      </c>
      <c r="M1280" s="80">
        <v>1</v>
      </c>
      <c r="N1280" s="79">
        <v>5.1791149302871702E-2</v>
      </c>
      <c r="O1280" s="79">
        <v>1.34920122591408E-2</v>
      </c>
      <c r="P1280" s="79">
        <v>1.2524416732579899E-4</v>
      </c>
      <c r="Q1280" s="79">
        <v>7.0637710371750605E-4</v>
      </c>
      <c r="R1280" s="80">
        <v>0.15893484833643901</v>
      </c>
      <c r="S1280" s="79">
        <v>5.2757626340040401E-3</v>
      </c>
      <c r="T1280" s="79">
        <v>1.34997483099527E-2</v>
      </c>
      <c r="U1280" s="79">
        <v>0.69595816740329597</v>
      </c>
      <c r="V1280" s="79">
        <v>0.75808662183243103</v>
      </c>
      <c r="W1280" s="79">
        <v>1</v>
      </c>
    </row>
    <row r="1281" spans="1:23" x14ac:dyDescent="0.2">
      <c r="A1281" s="71"/>
      <c r="B1281" s="56" t="s">
        <v>262</v>
      </c>
      <c r="C1281" s="78">
        <v>5556</v>
      </c>
      <c r="D1281" s="79">
        <v>8.4799090000000008E-3</v>
      </c>
      <c r="E1281" s="79">
        <v>1.3790154000000001E-2</v>
      </c>
      <c r="F1281" s="79">
        <v>0.53863136</v>
      </c>
      <c r="G1281" s="79">
        <v>0.94149200528925603</v>
      </c>
      <c r="H1281" s="87">
        <v>1</v>
      </c>
      <c r="I1281" s="79">
        <v>-1.8865323302197E-2</v>
      </c>
      <c r="J1281" s="79">
        <v>1.3703412123227199E-2</v>
      </c>
      <c r="K1281" s="79">
        <v>0.16866918569460901</v>
      </c>
      <c r="L1281" s="79">
        <v>0.69119364508706604</v>
      </c>
      <c r="M1281" s="80">
        <v>1</v>
      </c>
      <c r="N1281" s="79">
        <v>2.9740153398233101E-2</v>
      </c>
      <c r="O1281" s="79">
        <v>1.3614205433545299E-2</v>
      </c>
      <c r="P1281" s="79">
        <v>2.8971264881815999E-2</v>
      </c>
      <c r="Q1281" s="79">
        <v>5.5836880846888599E-2</v>
      </c>
      <c r="R1281" s="80">
        <v>1</v>
      </c>
      <c r="S1281" s="79">
        <v>1.5751474817547899E-2</v>
      </c>
      <c r="T1281" s="79">
        <v>1.3601296091150201E-2</v>
      </c>
      <c r="U1281" s="79">
        <v>0.246882322695886</v>
      </c>
      <c r="V1281" s="79">
        <v>0.335073441177625</v>
      </c>
      <c r="W1281" s="79">
        <v>1</v>
      </c>
    </row>
    <row r="1282" spans="1:23" ht="16" customHeight="1" x14ac:dyDescent="0.2">
      <c r="B1282" s="137" t="s">
        <v>2605</v>
      </c>
      <c r="C1282" s="137"/>
      <c r="D1282" s="137"/>
      <c r="E1282" s="137"/>
      <c r="F1282" s="137"/>
      <c r="G1282" s="137"/>
      <c r="H1282" s="137"/>
      <c r="I1282" s="137"/>
      <c r="J1282" s="137"/>
      <c r="K1282" s="137"/>
      <c r="L1282" s="137"/>
      <c r="M1282" s="137"/>
      <c r="N1282" s="137"/>
      <c r="O1282" s="137"/>
      <c r="P1282" s="137"/>
      <c r="Q1282" s="137"/>
      <c r="R1282" s="137"/>
      <c r="S1282" s="137"/>
      <c r="T1282" s="137"/>
      <c r="U1282" s="137"/>
      <c r="V1282" s="137"/>
      <c r="W1282" s="137"/>
    </row>
    <row r="1283" spans="1:23" x14ac:dyDescent="0.2">
      <c r="B1283" s="135"/>
      <c r="C1283" s="135"/>
      <c r="D1283" s="135"/>
      <c r="E1283" s="135"/>
      <c r="F1283" s="135"/>
      <c r="G1283" s="135"/>
      <c r="H1283" s="135"/>
      <c r="I1283" s="135"/>
      <c r="J1283" s="135"/>
      <c r="K1283" s="135"/>
      <c r="L1283" s="135"/>
      <c r="M1283" s="135"/>
      <c r="N1283" s="135"/>
      <c r="O1283" s="135"/>
      <c r="P1283" s="135"/>
      <c r="Q1283" s="135"/>
      <c r="R1283" s="135"/>
      <c r="S1283" s="135"/>
      <c r="T1283" s="135"/>
      <c r="U1283" s="135"/>
      <c r="V1283" s="135"/>
      <c r="W1283" s="135"/>
    </row>
  </sheetData>
  <sortState xmlns:xlrd2="http://schemas.microsoft.com/office/spreadsheetml/2017/richdata2" ref="S229:W400">
    <sortCondition ref="U229:U400"/>
  </sortState>
  <mergeCells count="6">
    <mergeCell ref="B2:H2"/>
    <mergeCell ref="B1282:W1283"/>
    <mergeCell ref="D3:H3"/>
    <mergeCell ref="I3:M3"/>
    <mergeCell ref="N3:R3"/>
    <mergeCell ref="S3:W3"/>
  </mergeCells>
  <phoneticPr fontId="18" type="noConversion"/>
  <conditionalFormatting sqref="A54:B54">
    <cfRule type="containsText" dxfId="1" priority="1" operator="containsText" text="p12">
      <formula>NOT(ISERROR(SEARCH("p12",A54)))</formula>
    </cfRule>
  </conditionalFormatting>
  <pageMargins left="0.7" right="0.7" top="0.75" bottom="0.75" header="0.3" footer="0.3"/>
  <pageSetup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D367E-5C48-A943-BF0E-96A21F5F9B33}">
  <dimension ref="B1:Y1708"/>
  <sheetViews>
    <sheetView showGridLines="0" topLeftCell="A1596" zoomScaleNormal="100" workbookViewId="0">
      <selection activeCell="T1613" sqref="T1613"/>
    </sheetView>
  </sheetViews>
  <sheetFormatPr baseColWidth="10" defaultRowHeight="16" x14ac:dyDescent="0.2"/>
  <cols>
    <col min="2" max="2" width="30.33203125" customWidth="1"/>
  </cols>
  <sheetData>
    <row r="1" spans="2:23" x14ac:dyDescent="0.2">
      <c r="G1">
        <f>COUNTIF(G6:G1706,"&lt;.05")</f>
        <v>0</v>
      </c>
      <c r="H1">
        <f>COUNTIF(H6:H1706,"&lt;.05")</f>
        <v>0</v>
      </c>
      <c r="L1">
        <f>COUNTIF(L6:L1706,"&lt;.05")</f>
        <v>7</v>
      </c>
      <c r="M1">
        <f>COUNTIF(M6:M1706,"&lt;.05")</f>
        <v>1</v>
      </c>
      <c r="Q1">
        <f>COUNTIF(Q6:Q1706,"&lt;.05")</f>
        <v>702</v>
      </c>
      <c r="R1">
        <f>COUNTIF(R6:R1706,"&lt;.05")</f>
        <v>211</v>
      </c>
      <c r="V1">
        <f>COUNTIF(V6:V1706,"&lt;.05")</f>
        <v>687</v>
      </c>
      <c r="W1">
        <f>COUNTIF(W6:W1706,"&lt;.05")</f>
        <v>173</v>
      </c>
    </row>
    <row r="2" spans="2:23" x14ac:dyDescent="0.2">
      <c r="B2" s="138" t="s">
        <v>8527</v>
      </c>
      <c r="C2" s="138"/>
      <c r="D2" s="138"/>
      <c r="E2" s="138"/>
      <c r="F2" s="138"/>
      <c r="G2" s="138"/>
      <c r="H2" s="138"/>
    </row>
    <row r="3" spans="2:23" x14ac:dyDescent="0.2">
      <c r="D3" s="139" t="s">
        <v>79</v>
      </c>
      <c r="E3" s="139"/>
      <c r="F3" s="139"/>
      <c r="G3" s="139"/>
      <c r="H3" s="139"/>
      <c r="I3" s="139" t="s">
        <v>763</v>
      </c>
      <c r="J3" s="139"/>
      <c r="K3" s="139"/>
      <c r="L3" s="139"/>
      <c r="M3" s="139"/>
      <c r="N3" s="140" t="s">
        <v>764</v>
      </c>
      <c r="O3" s="140"/>
      <c r="P3" s="140"/>
      <c r="Q3" s="140"/>
      <c r="R3" s="140"/>
      <c r="S3" s="140"/>
      <c r="T3" s="140"/>
      <c r="U3" s="140"/>
      <c r="V3" s="140"/>
      <c r="W3" s="140"/>
    </row>
    <row r="4" spans="2:23" x14ac:dyDescent="0.2">
      <c r="B4" s="20" t="s">
        <v>80</v>
      </c>
      <c r="C4" s="101" t="s">
        <v>1975</v>
      </c>
      <c r="D4" s="101" t="s">
        <v>81</v>
      </c>
      <c r="E4" s="20" t="s">
        <v>82</v>
      </c>
      <c r="F4" s="20" t="s">
        <v>83</v>
      </c>
      <c r="G4" s="20" t="s">
        <v>761</v>
      </c>
      <c r="H4" s="20" t="s">
        <v>762</v>
      </c>
      <c r="I4" s="71" t="s">
        <v>81</v>
      </c>
      <c r="J4" s="21" t="s">
        <v>82</v>
      </c>
      <c r="K4" s="21" t="s">
        <v>83</v>
      </c>
      <c r="L4" s="20" t="s">
        <v>761</v>
      </c>
      <c r="M4" s="20" t="s">
        <v>762</v>
      </c>
      <c r="N4" s="71" t="s">
        <v>81</v>
      </c>
      <c r="O4" s="21" t="s">
        <v>82</v>
      </c>
      <c r="P4" s="21" t="s">
        <v>83</v>
      </c>
      <c r="Q4" s="20" t="s">
        <v>761</v>
      </c>
      <c r="R4" s="20" t="s">
        <v>762</v>
      </c>
      <c r="S4" s="71" t="s">
        <v>81</v>
      </c>
      <c r="T4" s="21" t="s">
        <v>82</v>
      </c>
      <c r="U4" s="21" t="s">
        <v>83</v>
      </c>
      <c r="V4" s="20" t="s">
        <v>761</v>
      </c>
      <c r="W4" s="19" t="s">
        <v>762</v>
      </c>
    </row>
    <row r="5" spans="2:23" x14ac:dyDescent="0.2">
      <c r="B5" s="99" t="s">
        <v>2602</v>
      </c>
      <c r="C5" s="100"/>
      <c r="D5" s="100"/>
      <c r="E5" s="33"/>
      <c r="F5" s="33"/>
      <c r="G5" s="33"/>
      <c r="H5" s="33"/>
      <c r="I5" s="69"/>
      <c r="L5" s="33"/>
      <c r="M5" s="33"/>
      <c r="N5" s="69"/>
      <c r="Q5" s="33"/>
      <c r="R5" s="33"/>
      <c r="S5" s="69"/>
      <c r="V5" s="33"/>
      <c r="W5" s="33"/>
    </row>
    <row r="6" spans="2:23" x14ac:dyDescent="0.2">
      <c r="B6" t="s">
        <v>115</v>
      </c>
      <c r="C6" s="84">
        <v>4868</v>
      </c>
      <c r="D6" s="102">
        <v>1.48689391107748E-2</v>
      </c>
      <c r="E6" s="79">
        <v>1.4712468333452799E-2</v>
      </c>
      <c r="F6" s="79">
        <v>0.31224305727628099</v>
      </c>
      <c r="G6" s="79">
        <v>0.88730162874475904</v>
      </c>
      <c r="H6" s="79">
        <v>1</v>
      </c>
      <c r="I6" s="102">
        <v>1.4433678406830399E-2</v>
      </c>
      <c r="J6" s="79">
        <v>1.4560522575601E-2</v>
      </c>
      <c r="K6" s="79">
        <v>0.32159623557260097</v>
      </c>
      <c r="L6" s="79">
        <v>0.71493966280838095</v>
      </c>
      <c r="M6" s="79">
        <v>1</v>
      </c>
      <c r="N6" s="102">
        <v>6.1141945627683396E-3</v>
      </c>
      <c r="O6" s="79">
        <v>1.4435464033194199E-2</v>
      </c>
      <c r="P6" s="79">
        <v>0.671910800102824</v>
      </c>
      <c r="Q6" s="79">
        <v>0.76596022568922195</v>
      </c>
      <c r="R6" s="79">
        <v>1</v>
      </c>
      <c r="S6" s="102">
        <v>-6.3864140142085102E-3</v>
      </c>
      <c r="T6" s="79">
        <v>1.44595493063114E-2</v>
      </c>
      <c r="U6" s="79">
        <v>0.65874517519637898</v>
      </c>
      <c r="V6" s="79">
        <v>0.731267579805155</v>
      </c>
      <c r="W6" s="79">
        <v>1</v>
      </c>
    </row>
    <row r="7" spans="2:23" x14ac:dyDescent="0.2">
      <c r="B7" t="s">
        <v>113</v>
      </c>
      <c r="C7" s="84">
        <v>3808</v>
      </c>
      <c r="D7" s="102">
        <v>1.80010990339367E-2</v>
      </c>
      <c r="E7" s="79">
        <v>1.6163716014209701E-2</v>
      </c>
      <c r="F7" s="79">
        <v>0.26549053435768399</v>
      </c>
      <c r="G7" s="79">
        <v>0.85990749347533801</v>
      </c>
      <c r="H7" s="79">
        <v>1</v>
      </c>
      <c r="I7" s="102">
        <v>-9.3076905509830807E-3</v>
      </c>
      <c r="J7" s="79">
        <v>1.6116308750029701E-2</v>
      </c>
      <c r="K7" s="79">
        <v>0.563614579336847</v>
      </c>
      <c r="L7" s="79">
        <v>0.85878159627519401</v>
      </c>
      <c r="M7" s="79">
        <v>1</v>
      </c>
      <c r="N7" s="102">
        <v>-4.9183990433074698E-2</v>
      </c>
      <c r="O7" s="79">
        <v>1.5969716952549E-2</v>
      </c>
      <c r="P7" s="79">
        <v>2.0861137288009598E-3</v>
      </c>
      <c r="Q7" s="79">
        <v>7.7158878964821501E-3</v>
      </c>
      <c r="R7" s="79">
        <v>1</v>
      </c>
      <c r="S7" s="102">
        <v>-3.2958286921557001E-2</v>
      </c>
      <c r="T7" s="79">
        <v>1.6007647815235199E-2</v>
      </c>
      <c r="U7" s="79">
        <v>3.9572059261489101E-2</v>
      </c>
      <c r="V7" s="79">
        <v>8.5942395370464802E-2</v>
      </c>
      <c r="W7" s="79">
        <v>1</v>
      </c>
    </row>
    <row r="8" spans="2:23" x14ac:dyDescent="0.2">
      <c r="B8" t="s">
        <v>106</v>
      </c>
      <c r="C8" s="84">
        <v>4020</v>
      </c>
      <c r="D8" s="102">
        <v>4.0136052878766704E-3</v>
      </c>
      <c r="E8" s="79">
        <v>1.6114253178775999E-2</v>
      </c>
      <c r="F8" s="79">
        <v>0.80331885259944702</v>
      </c>
      <c r="G8" s="79">
        <v>0.99362338620020496</v>
      </c>
      <c r="H8" s="79">
        <v>1</v>
      </c>
      <c r="I8" s="102">
        <v>-3.2897060659081399E-3</v>
      </c>
      <c r="J8" s="79">
        <v>1.6046549481201398E-2</v>
      </c>
      <c r="K8" s="79">
        <v>0.83757538793404995</v>
      </c>
      <c r="L8" s="79">
        <v>0.95674491379654802</v>
      </c>
      <c r="M8" s="79">
        <v>1</v>
      </c>
      <c r="N8" s="102">
        <v>-2.5146472456660799E-2</v>
      </c>
      <c r="O8" s="79">
        <v>1.60152005357822E-2</v>
      </c>
      <c r="P8" s="79">
        <v>0.116460770199301</v>
      </c>
      <c r="Q8" s="79">
        <v>0.196107897333614</v>
      </c>
      <c r="R8" s="79">
        <v>1</v>
      </c>
      <c r="S8" s="102">
        <v>-2.83881257328179E-2</v>
      </c>
      <c r="T8" s="79">
        <v>1.59029682692652E-2</v>
      </c>
      <c r="U8" s="79">
        <v>7.4328921390413305E-2</v>
      </c>
      <c r="V8" s="79">
        <v>0.13882380687470799</v>
      </c>
      <c r="W8" s="79">
        <v>1</v>
      </c>
    </row>
    <row r="9" spans="2:23" x14ac:dyDescent="0.2">
      <c r="B9" t="s">
        <v>109</v>
      </c>
      <c r="C9" s="84">
        <v>4002</v>
      </c>
      <c r="D9" s="102">
        <v>1.08555385231723E-2</v>
      </c>
      <c r="E9" s="79">
        <v>1.5937475657841298E-2</v>
      </c>
      <c r="F9" s="79">
        <v>0.49582892344565399</v>
      </c>
      <c r="G9" s="79">
        <v>0.91678121217168596</v>
      </c>
      <c r="H9" s="79">
        <v>1</v>
      </c>
      <c r="I9" s="102">
        <v>-3.0418497422748901E-2</v>
      </c>
      <c r="J9" s="79">
        <v>1.58451038015179E-2</v>
      </c>
      <c r="K9" s="79">
        <v>5.4966241887521201E-2</v>
      </c>
      <c r="L9" s="79">
        <v>0.413834727810937</v>
      </c>
      <c r="M9" s="79">
        <v>1</v>
      </c>
      <c r="N9" s="102">
        <v>-1.2713494824087099E-2</v>
      </c>
      <c r="O9" s="79">
        <v>1.5841774346690998E-2</v>
      </c>
      <c r="P9" s="79">
        <v>0.42229660812597197</v>
      </c>
      <c r="Q9" s="79">
        <v>0.53908851105154199</v>
      </c>
      <c r="R9" s="79">
        <v>1</v>
      </c>
      <c r="S9" s="102">
        <v>-1.01648771643176E-2</v>
      </c>
      <c r="T9" s="79">
        <v>1.5741473896346399E-2</v>
      </c>
      <c r="U9" s="79">
        <v>0.51848794609105398</v>
      </c>
      <c r="V9" s="79">
        <v>0.62336308068008905</v>
      </c>
      <c r="W9" s="79">
        <v>1</v>
      </c>
    </row>
    <row r="10" spans="2:23" x14ac:dyDescent="0.2">
      <c r="B10" t="s">
        <v>110</v>
      </c>
      <c r="C10" s="84">
        <v>4795</v>
      </c>
      <c r="D10" s="102">
        <v>1.4325418679720699E-3</v>
      </c>
      <c r="E10" s="79">
        <v>1.4867404651308E-2</v>
      </c>
      <c r="F10" s="79">
        <v>0.92324321222538897</v>
      </c>
      <c r="G10" s="79">
        <v>0.99679668674940003</v>
      </c>
      <c r="H10" s="79">
        <v>1</v>
      </c>
      <c r="I10" s="102">
        <v>-4.2858535847141797E-2</v>
      </c>
      <c r="J10" s="79">
        <v>1.4770116221827201E-2</v>
      </c>
      <c r="K10" s="79">
        <v>3.7293538987766299E-3</v>
      </c>
      <c r="L10" s="79">
        <v>0.140536071937475</v>
      </c>
      <c r="M10" s="79">
        <v>1</v>
      </c>
      <c r="N10" s="102">
        <v>-6.0344977647618897E-2</v>
      </c>
      <c r="O10" s="79">
        <v>1.4611260780417299E-2</v>
      </c>
      <c r="P10" s="79">
        <v>3.6923189839784502E-5</v>
      </c>
      <c r="Q10" s="79">
        <v>2.8823909487831801E-4</v>
      </c>
      <c r="R10" s="79">
        <v>6.2547883588594894E-2</v>
      </c>
      <c r="S10" s="102">
        <v>-5.6159063508745201E-2</v>
      </c>
      <c r="T10" s="79">
        <v>1.4629835545902701E-2</v>
      </c>
      <c r="U10" s="79">
        <v>1.2538800434488099E-4</v>
      </c>
      <c r="V10" s="79">
        <v>8.4288602920725602E-4</v>
      </c>
      <c r="W10" s="79">
        <v>0.21240727936022799</v>
      </c>
    </row>
    <row r="11" spans="2:23" x14ac:dyDescent="0.2">
      <c r="B11" t="s">
        <v>105</v>
      </c>
      <c r="C11" s="84">
        <v>4772</v>
      </c>
      <c r="D11" s="102">
        <v>4.7140781213478398E-3</v>
      </c>
      <c r="E11" s="79">
        <v>1.4488573577027399E-2</v>
      </c>
      <c r="F11" s="79">
        <v>0.74491907567151106</v>
      </c>
      <c r="G11" s="79">
        <v>0.979098679061011</v>
      </c>
      <c r="H11" s="79">
        <v>1</v>
      </c>
      <c r="I11" s="102">
        <v>-3.2913798837225797E-2</v>
      </c>
      <c r="J11" s="79">
        <v>1.44931548841267E-2</v>
      </c>
      <c r="K11" s="79">
        <v>2.3192822679044701E-2</v>
      </c>
      <c r="L11" s="79">
        <v>0.30376275693374599</v>
      </c>
      <c r="M11" s="79">
        <v>1</v>
      </c>
      <c r="N11" s="102">
        <v>-4.1594310758949503E-2</v>
      </c>
      <c r="O11" s="79">
        <v>1.4312552332878601E-2</v>
      </c>
      <c r="P11" s="79">
        <v>3.6762136953244502E-3</v>
      </c>
      <c r="Q11" s="79">
        <v>1.24053904380072E-2</v>
      </c>
      <c r="R11" s="79">
        <v>1</v>
      </c>
      <c r="S11" s="102">
        <v>-4.3105198567600901E-2</v>
      </c>
      <c r="T11" s="79">
        <v>1.43044448646777E-2</v>
      </c>
      <c r="U11" s="79">
        <v>2.5970585833606399E-3</v>
      </c>
      <c r="V11" s="79">
        <v>9.4875757374438003E-3</v>
      </c>
      <c r="W11" s="79">
        <v>1</v>
      </c>
    </row>
    <row r="12" spans="2:23" x14ac:dyDescent="0.2">
      <c r="B12" t="s">
        <v>111</v>
      </c>
      <c r="C12" s="84">
        <v>4761</v>
      </c>
      <c r="D12" s="102">
        <v>3.6809597886681901E-2</v>
      </c>
      <c r="E12" s="79">
        <v>1.46324547950023E-2</v>
      </c>
      <c r="F12" s="79">
        <v>1.1915875676692399E-2</v>
      </c>
      <c r="G12" s="79">
        <v>0.50463733490792295</v>
      </c>
      <c r="H12" s="79">
        <v>1</v>
      </c>
      <c r="I12" s="102">
        <v>8.0378279662244902E-3</v>
      </c>
      <c r="J12" s="79">
        <v>1.4628078654707201E-2</v>
      </c>
      <c r="K12" s="79">
        <v>0.58270311527789598</v>
      </c>
      <c r="L12" s="79">
        <v>0.86416823426642797</v>
      </c>
      <c r="M12" s="79">
        <v>1</v>
      </c>
      <c r="N12" s="102">
        <v>-4.83205045441178E-2</v>
      </c>
      <c r="O12" s="79">
        <v>1.44373546864979E-2</v>
      </c>
      <c r="P12" s="79">
        <v>8.2368130062822299E-4</v>
      </c>
      <c r="Q12" s="79">
        <v>3.7907576599143398E-3</v>
      </c>
      <c r="R12" s="79">
        <v>1</v>
      </c>
      <c r="S12" s="102">
        <v>-1.17217637348376E-2</v>
      </c>
      <c r="T12" s="79">
        <v>1.44583143700453E-2</v>
      </c>
      <c r="U12" s="79">
        <v>0.41756340237551098</v>
      </c>
      <c r="V12" s="79">
        <v>0.53344826819314894</v>
      </c>
      <c r="W12" s="79">
        <v>1</v>
      </c>
    </row>
    <row r="13" spans="2:23" x14ac:dyDescent="0.2">
      <c r="B13" t="s">
        <v>117</v>
      </c>
      <c r="C13" s="84">
        <v>4741</v>
      </c>
      <c r="D13" s="102">
        <v>2.8316797682559802E-2</v>
      </c>
      <c r="E13" s="79">
        <v>1.47617162523119E-2</v>
      </c>
      <c r="F13" s="79">
        <v>5.51407557125939E-2</v>
      </c>
      <c r="G13" s="79">
        <v>0.71261997111332298</v>
      </c>
      <c r="H13" s="79">
        <v>1</v>
      </c>
      <c r="I13" s="102">
        <v>-4.4743732612178601E-2</v>
      </c>
      <c r="J13" s="79">
        <v>1.46723898065871E-2</v>
      </c>
      <c r="K13" s="79">
        <v>2.3054676710829699E-3</v>
      </c>
      <c r="L13" s="79">
        <v>0.12204569483795499</v>
      </c>
      <c r="M13" s="79">
        <v>1</v>
      </c>
      <c r="N13" s="107">
        <v>-6.46762232522516E-2</v>
      </c>
      <c r="O13" s="81">
        <v>1.45748052427578E-2</v>
      </c>
      <c r="P13" s="81">
        <v>9.3163157162615501E-6</v>
      </c>
      <c r="Q13" s="81">
        <v>9.2834346019688595E-5</v>
      </c>
      <c r="R13" s="81">
        <v>1.5781838823347102E-2</v>
      </c>
      <c r="S13" s="102">
        <v>-2.95317179261794E-2</v>
      </c>
      <c r="T13" s="79">
        <v>1.46013101371275E-2</v>
      </c>
      <c r="U13" s="79">
        <v>4.31793660050723E-2</v>
      </c>
      <c r="V13" s="79">
        <v>9.1130935932567395E-2</v>
      </c>
      <c r="W13" s="79">
        <v>1</v>
      </c>
    </row>
    <row r="14" spans="2:23" x14ac:dyDescent="0.2">
      <c r="B14" s="99" t="s">
        <v>2231</v>
      </c>
      <c r="C14" s="105"/>
      <c r="D14" s="103"/>
      <c r="E14" s="104"/>
      <c r="F14" s="104"/>
      <c r="G14" s="104"/>
      <c r="H14" s="104"/>
      <c r="I14" s="102"/>
      <c r="J14" s="79"/>
      <c r="K14" s="79"/>
      <c r="L14" s="104"/>
      <c r="M14" s="104"/>
      <c r="N14" s="102"/>
      <c r="O14" s="79"/>
      <c r="P14" s="79"/>
      <c r="Q14" s="104"/>
      <c r="R14" s="104"/>
      <c r="S14" s="102"/>
      <c r="T14" s="79"/>
      <c r="U14" s="79"/>
      <c r="V14" s="79"/>
      <c r="W14" s="79"/>
    </row>
    <row r="15" spans="2:23" x14ac:dyDescent="0.2">
      <c r="B15" t="s">
        <v>233</v>
      </c>
      <c r="C15" s="84">
        <v>3553</v>
      </c>
      <c r="D15" s="102">
        <v>-9.7088342299633899E-3</v>
      </c>
      <c r="E15" s="79">
        <v>1.3584200709416201E-2</v>
      </c>
      <c r="F15" s="79">
        <v>0.47481899696756003</v>
      </c>
      <c r="G15" s="79">
        <v>0.91151047511105199</v>
      </c>
      <c r="H15" s="79">
        <v>1</v>
      </c>
      <c r="I15" s="102">
        <v>2.7464361100833098E-2</v>
      </c>
      <c r="J15" s="79">
        <v>1.3534029054190299E-2</v>
      </c>
      <c r="K15" s="79">
        <v>4.2484004351810101E-2</v>
      </c>
      <c r="L15" s="79">
        <v>0.38485509824580899</v>
      </c>
      <c r="M15" s="79">
        <v>1</v>
      </c>
      <c r="N15" s="107">
        <v>8.2246377209244798E-2</v>
      </c>
      <c r="O15" s="81">
        <v>1.3361278067038299E-2</v>
      </c>
      <c r="P15" s="81">
        <v>8.0774807306075502E-10</v>
      </c>
      <c r="Q15" s="81">
        <v>2.2309849987725799E-8</v>
      </c>
      <c r="R15" s="81">
        <v>1.3683252357649199E-6</v>
      </c>
      <c r="S15" s="102">
        <v>5.2913721821292899E-2</v>
      </c>
      <c r="T15" s="79">
        <v>1.3375388408171899E-2</v>
      </c>
      <c r="U15" s="79">
        <v>7.7280383993703905E-5</v>
      </c>
      <c r="V15" s="79">
        <v>5.8969806524925396E-4</v>
      </c>
      <c r="W15" s="79">
        <v>0.13091297048533401</v>
      </c>
    </row>
    <row r="16" spans="2:23" x14ac:dyDescent="0.2">
      <c r="B16" t="s">
        <v>234</v>
      </c>
      <c r="C16" s="84">
        <v>3553</v>
      </c>
      <c r="D16" s="102">
        <v>-1.1358914760863601E-2</v>
      </c>
      <c r="E16" s="79">
        <v>1.41583044635911E-2</v>
      </c>
      <c r="F16" s="79">
        <v>0.42243029772451601</v>
      </c>
      <c r="G16" s="79">
        <v>0.89561567502544503</v>
      </c>
      <c r="H16" s="79">
        <v>1</v>
      </c>
      <c r="I16" s="102">
        <v>5.23474146237786E-2</v>
      </c>
      <c r="J16" s="79">
        <v>1.4092218383512101E-2</v>
      </c>
      <c r="K16" s="79">
        <v>2.05793330729019E-4</v>
      </c>
      <c r="L16" s="79">
        <v>4.9801986036422601E-2</v>
      </c>
      <c r="M16" s="79">
        <v>0.34861390225495797</v>
      </c>
      <c r="N16" s="107">
        <v>7.4801026652636299E-2</v>
      </c>
      <c r="O16" s="81">
        <v>1.39353890573985E-2</v>
      </c>
      <c r="P16" s="81">
        <v>8.3448337124910306E-8</v>
      </c>
      <c r="Q16" s="81">
        <v>1.4310266809396E-6</v>
      </c>
      <c r="R16" s="81">
        <v>1.4136148308959801E-4</v>
      </c>
      <c r="S16" s="102">
        <v>5.2612090260249003E-2</v>
      </c>
      <c r="T16" s="79">
        <v>1.3940250404818199E-2</v>
      </c>
      <c r="U16" s="79">
        <v>1.6249177484172999E-4</v>
      </c>
      <c r="V16" s="79">
        <v>1.0348160397815401E-3</v>
      </c>
      <c r="W16" s="79">
        <v>0.27526106658189098</v>
      </c>
    </row>
    <row r="17" spans="2:23" x14ac:dyDescent="0.2">
      <c r="B17" t="s">
        <v>3194</v>
      </c>
      <c r="C17" s="84">
        <v>5036</v>
      </c>
      <c r="D17" s="102">
        <v>-3.3074653241225598E-2</v>
      </c>
      <c r="E17" s="79">
        <v>1.4582075496930601E-2</v>
      </c>
      <c r="F17" s="79">
        <v>2.33634845653376E-2</v>
      </c>
      <c r="G17" s="79">
        <v>0.58941504196472505</v>
      </c>
      <c r="H17" s="79">
        <v>1</v>
      </c>
      <c r="I17" s="102">
        <v>8.0061216580958102E-3</v>
      </c>
      <c r="J17" s="79">
        <v>1.4523402670267299E-2</v>
      </c>
      <c r="K17" s="79">
        <v>0.58148438718565998</v>
      </c>
      <c r="L17" s="79">
        <v>0.86406539639693702</v>
      </c>
      <c r="M17" s="79">
        <v>1</v>
      </c>
      <c r="N17" s="107">
        <v>8.5524935078383796E-2</v>
      </c>
      <c r="O17" s="81">
        <v>1.43354565798676E-2</v>
      </c>
      <c r="P17" s="81">
        <v>2.6111646672523999E-9</v>
      </c>
      <c r="Q17" s="81">
        <v>6.4105984729355997E-8</v>
      </c>
      <c r="R17" s="81">
        <v>4.4233129463255696E-6</v>
      </c>
      <c r="S17" s="107">
        <v>7.0021279134996603E-2</v>
      </c>
      <c r="T17" s="81">
        <v>1.4334435592470701E-2</v>
      </c>
      <c r="U17" s="81">
        <v>1.0698937840805601E-6</v>
      </c>
      <c r="V17" s="81">
        <v>1.9280851810983699E-5</v>
      </c>
      <c r="W17" s="81">
        <v>1.81240007023247E-3</v>
      </c>
    </row>
    <row r="18" spans="2:23" x14ac:dyDescent="0.2">
      <c r="B18" t="s">
        <v>3268</v>
      </c>
      <c r="C18" s="84">
        <v>5034</v>
      </c>
      <c r="D18" s="102">
        <v>5.9078021925497402E-3</v>
      </c>
      <c r="E18" s="79">
        <v>1.3531064374464601E-2</v>
      </c>
      <c r="F18" s="79">
        <v>0.66241400659104899</v>
      </c>
      <c r="G18" s="79">
        <v>0.95990532691637098</v>
      </c>
      <c r="H18" s="79">
        <v>1</v>
      </c>
      <c r="I18" s="102">
        <v>2.1966470350637601E-2</v>
      </c>
      <c r="J18" s="79">
        <v>1.3560757107328E-2</v>
      </c>
      <c r="K18" s="79">
        <v>0.10532883488075601</v>
      </c>
      <c r="L18" s="79">
        <v>0.53293803425049502</v>
      </c>
      <c r="M18" s="79">
        <v>1</v>
      </c>
      <c r="N18" s="102">
        <v>4.9434448105991298E-2</v>
      </c>
      <c r="O18" s="79">
        <v>1.33692592733198E-2</v>
      </c>
      <c r="P18" s="79">
        <v>2.20089995957618E-4</v>
      </c>
      <c r="Q18" s="79">
        <v>1.3060313369701901E-3</v>
      </c>
      <c r="R18" s="79">
        <v>0.37283245315220498</v>
      </c>
      <c r="S18" s="102">
        <v>3.9154453787759301E-2</v>
      </c>
      <c r="T18" s="79">
        <v>1.34123789446633E-2</v>
      </c>
      <c r="U18" s="79">
        <v>3.5247756261469398E-3</v>
      </c>
      <c r="V18" s="79">
        <v>1.22355940792888E-2</v>
      </c>
      <c r="W18" s="79">
        <v>1</v>
      </c>
    </row>
    <row r="19" spans="2:23" x14ac:dyDescent="0.2">
      <c r="B19" t="s">
        <v>3198</v>
      </c>
      <c r="C19" s="84">
        <v>5033</v>
      </c>
      <c r="D19" s="102">
        <v>-1.49662768571996E-2</v>
      </c>
      <c r="E19" s="79">
        <v>1.3508539520901501E-2</v>
      </c>
      <c r="F19" s="79">
        <v>0.267956505992273</v>
      </c>
      <c r="G19" s="79">
        <v>0.85990749347533801</v>
      </c>
      <c r="H19" s="79">
        <v>1</v>
      </c>
      <c r="I19" s="102">
        <v>9.5727989726862792E-3</v>
      </c>
      <c r="J19" s="79">
        <v>1.35443130788026E-2</v>
      </c>
      <c r="K19" s="79">
        <v>0.47973987633387</v>
      </c>
      <c r="L19" s="79">
        <v>0.80783235637134798</v>
      </c>
      <c r="M19" s="79">
        <v>1</v>
      </c>
      <c r="N19" s="107">
        <v>7.8686095304950701E-2</v>
      </c>
      <c r="O19" s="81">
        <v>1.33219100021401E-2</v>
      </c>
      <c r="P19" s="81">
        <v>3.7387114121087903E-9</v>
      </c>
      <c r="Q19" s="81">
        <v>8.6758590850853302E-8</v>
      </c>
      <c r="R19" s="81">
        <v>6.3333771321122902E-6</v>
      </c>
      <c r="S19" s="102">
        <v>5.0985954629364998E-2</v>
      </c>
      <c r="T19" s="79">
        <v>1.33828488756207E-2</v>
      </c>
      <c r="U19" s="79">
        <v>1.4082784207905099E-4</v>
      </c>
      <c r="V19" s="79">
        <v>9.2488508594168396E-4</v>
      </c>
      <c r="W19" s="79">
        <v>0.23856236448191201</v>
      </c>
    </row>
    <row r="20" spans="2:23" x14ac:dyDescent="0.2">
      <c r="B20" t="s">
        <v>3193</v>
      </c>
      <c r="C20" s="84">
        <v>5036</v>
      </c>
      <c r="D20" s="102">
        <v>-3.6507558558958701E-2</v>
      </c>
      <c r="E20" s="79">
        <v>1.3730252332576401E-2</v>
      </c>
      <c r="F20" s="79">
        <v>7.8655794573325097E-3</v>
      </c>
      <c r="G20" s="79">
        <v>0.38801325087508498</v>
      </c>
      <c r="H20" s="79">
        <v>1</v>
      </c>
      <c r="I20" s="102">
        <v>3.4221626319182999E-4</v>
      </c>
      <c r="J20" s="79">
        <v>1.3672282227507399E-2</v>
      </c>
      <c r="K20" s="79">
        <v>0.98003216499406098</v>
      </c>
      <c r="L20" s="79">
        <v>0.99629532610271199</v>
      </c>
      <c r="M20" s="79">
        <v>1</v>
      </c>
      <c r="N20" s="107">
        <v>6.3912348444803493E-2</v>
      </c>
      <c r="O20" s="81">
        <v>1.3515955635240299E-2</v>
      </c>
      <c r="P20" s="81">
        <v>2.3263550614299901E-6</v>
      </c>
      <c r="Q20" s="81">
        <v>2.6272303160416E-5</v>
      </c>
      <c r="R20" s="81">
        <v>3.9408454740623997E-3</v>
      </c>
      <c r="S20" s="102">
        <v>1.04062875111259E-2</v>
      </c>
      <c r="T20" s="79">
        <v>1.35369423765711E-2</v>
      </c>
      <c r="U20" s="79">
        <v>0.44209080130628797</v>
      </c>
      <c r="V20" s="79">
        <v>0.55854068843829796</v>
      </c>
      <c r="W20" s="79">
        <v>1</v>
      </c>
    </row>
    <row r="21" spans="2:23" x14ac:dyDescent="0.2">
      <c r="B21" t="s">
        <v>3260</v>
      </c>
      <c r="C21" s="84">
        <v>5036</v>
      </c>
      <c r="D21" s="102">
        <v>-1.6713561440692099E-2</v>
      </c>
      <c r="E21" s="79">
        <v>1.42061464797173E-2</v>
      </c>
      <c r="F21" s="79">
        <v>0.23945514529982301</v>
      </c>
      <c r="G21" s="79">
        <v>0.85940045791927999</v>
      </c>
      <c r="H21" s="79">
        <v>1</v>
      </c>
      <c r="I21" s="102">
        <v>2.9343063449260499E-2</v>
      </c>
      <c r="J21" s="79">
        <v>1.41122678307131E-2</v>
      </c>
      <c r="K21" s="79">
        <v>3.7650408860285901E-2</v>
      </c>
      <c r="L21" s="79">
        <v>0.374397350453329</v>
      </c>
      <c r="M21" s="79">
        <v>1</v>
      </c>
      <c r="N21" s="102">
        <v>3.3393331798571402E-2</v>
      </c>
      <c r="O21" s="79">
        <v>1.39929074535483E-2</v>
      </c>
      <c r="P21" s="79">
        <v>1.70529937119266E-2</v>
      </c>
      <c r="Q21" s="79">
        <v>4.2796698293338799E-2</v>
      </c>
      <c r="R21" s="79">
        <v>1</v>
      </c>
      <c r="S21" s="102">
        <v>5.7689252759005903E-2</v>
      </c>
      <c r="T21" s="79">
        <v>1.39627829955492E-2</v>
      </c>
      <c r="U21" s="79">
        <v>3.6667376857743803E-5</v>
      </c>
      <c r="V21" s="79">
        <v>3.3757900215770702E-4</v>
      </c>
      <c r="W21" s="79">
        <v>6.2114536397018E-2</v>
      </c>
    </row>
    <row r="22" spans="2:23" x14ac:dyDescent="0.2">
      <c r="B22" t="s">
        <v>3261</v>
      </c>
      <c r="C22" s="84">
        <v>5036</v>
      </c>
      <c r="D22" s="102">
        <v>-1.612906181139E-2</v>
      </c>
      <c r="E22" s="79">
        <v>1.41706751131242E-2</v>
      </c>
      <c r="F22" s="79">
        <v>0.25509504045334502</v>
      </c>
      <c r="G22" s="79">
        <v>0.85990749347533801</v>
      </c>
      <c r="H22" s="79">
        <v>1</v>
      </c>
      <c r="I22" s="102">
        <v>1.1223722896236601E-2</v>
      </c>
      <c r="J22" s="79">
        <v>1.4086495757391499E-2</v>
      </c>
      <c r="K22" s="79">
        <v>0.42562477275611899</v>
      </c>
      <c r="L22" s="79">
        <v>0.781805785028304</v>
      </c>
      <c r="M22" s="79">
        <v>1</v>
      </c>
      <c r="N22" s="102">
        <v>4.5533689967523203E-2</v>
      </c>
      <c r="O22" s="79">
        <v>1.39570341996963E-2</v>
      </c>
      <c r="P22" s="79">
        <v>1.1126576842562701E-3</v>
      </c>
      <c r="Q22" s="79">
        <v>4.7838632414470101E-3</v>
      </c>
      <c r="R22" s="79">
        <v>1</v>
      </c>
      <c r="S22" s="102">
        <v>4.4065022897589699E-2</v>
      </c>
      <c r="T22" s="79">
        <v>1.39399975734266E-2</v>
      </c>
      <c r="U22" s="79">
        <v>1.5821428822610499E-3</v>
      </c>
      <c r="V22" s="79">
        <v>6.5210463322389802E-3</v>
      </c>
      <c r="W22" s="79">
        <v>1</v>
      </c>
    </row>
    <row r="23" spans="2:23" x14ac:dyDescent="0.2">
      <c r="B23" t="s">
        <v>3262</v>
      </c>
      <c r="C23" s="84">
        <v>5036</v>
      </c>
      <c r="D23" s="102">
        <v>1.8330283437955499E-4</v>
      </c>
      <c r="E23" s="79">
        <v>1.4553770691427799E-2</v>
      </c>
      <c r="F23" s="79">
        <v>0.98995153468434105</v>
      </c>
      <c r="G23" s="79">
        <v>0.99962502278478604</v>
      </c>
      <c r="H23" s="79">
        <v>1</v>
      </c>
      <c r="I23" s="102">
        <v>2.6221309507118901E-2</v>
      </c>
      <c r="J23" s="79">
        <v>1.45934532504212E-2</v>
      </c>
      <c r="K23" s="79">
        <v>7.2430983353183598E-2</v>
      </c>
      <c r="L23" s="79">
        <v>0.45523555939255</v>
      </c>
      <c r="M23" s="79">
        <v>1</v>
      </c>
      <c r="N23" s="102">
        <v>2.5608039008368898E-2</v>
      </c>
      <c r="O23" s="79">
        <v>1.43919425343831E-2</v>
      </c>
      <c r="P23" s="79">
        <v>7.5247949596106006E-2</v>
      </c>
      <c r="Q23" s="79">
        <v>0.14100666661040201</v>
      </c>
      <c r="R23" s="79">
        <v>1</v>
      </c>
      <c r="S23" s="102">
        <v>3.9696518563442397E-2</v>
      </c>
      <c r="T23" s="79">
        <v>1.44143917999999E-2</v>
      </c>
      <c r="U23" s="79">
        <v>5.9097513848597799E-3</v>
      </c>
      <c r="V23" s="79">
        <v>1.84177281363E-2</v>
      </c>
      <c r="W23" s="79">
        <v>1</v>
      </c>
    </row>
    <row r="24" spans="2:23" x14ac:dyDescent="0.2">
      <c r="B24" t="s">
        <v>3195</v>
      </c>
      <c r="C24" s="84">
        <v>5036</v>
      </c>
      <c r="D24" s="102">
        <v>-1.5505371199704999E-2</v>
      </c>
      <c r="E24" s="79">
        <v>1.4279419063959501E-2</v>
      </c>
      <c r="F24" s="79">
        <v>0.27759915212829001</v>
      </c>
      <c r="G24" s="79">
        <v>0.86861170490914397</v>
      </c>
      <c r="H24" s="79">
        <v>1</v>
      </c>
      <c r="I24" s="102">
        <v>2.0203743740130401E-2</v>
      </c>
      <c r="J24" s="79">
        <v>1.41942989186905E-2</v>
      </c>
      <c r="K24" s="79">
        <v>0.15469689234746001</v>
      </c>
      <c r="L24" s="79">
        <v>0.59601477595142704</v>
      </c>
      <c r="M24" s="79">
        <v>1</v>
      </c>
      <c r="N24" s="107">
        <v>5.9487918589202798E-2</v>
      </c>
      <c r="O24" s="81">
        <v>1.4047801466112401E-2</v>
      </c>
      <c r="P24" s="81">
        <v>2.3333017206121498E-5</v>
      </c>
      <c r="Q24" s="81">
        <v>1.9664741864263601E-4</v>
      </c>
      <c r="R24" s="81">
        <v>3.9526131147169803E-2</v>
      </c>
      <c r="S24" s="102">
        <v>5.46324573837772E-2</v>
      </c>
      <c r="T24" s="79">
        <v>1.4038102499178201E-2</v>
      </c>
      <c r="U24" s="79">
        <v>1.0093226359029099E-4</v>
      </c>
      <c r="V24" s="79">
        <v>7.1308835126796595E-4</v>
      </c>
      <c r="W24" s="79">
        <v>0.17097925452195301</v>
      </c>
    </row>
    <row r="25" spans="2:23" x14ac:dyDescent="0.2">
      <c r="B25" t="s">
        <v>3263</v>
      </c>
      <c r="C25" s="84">
        <v>5036</v>
      </c>
      <c r="D25" s="102">
        <v>-2.6457796683367899E-2</v>
      </c>
      <c r="E25" s="79">
        <v>1.4489527667858699E-2</v>
      </c>
      <c r="F25" s="79">
        <v>6.7918202183158902E-2</v>
      </c>
      <c r="G25" s="79">
        <v>0.73538141425839998</v>
      </c>
      <c r="H25" s="79">
        <v>1</v>
      </c>
      <c r="I25" s="102">
        <v>2.7385079910232001E-2</v>
      </c>
      <c r="J25" s="79">
        <v>1.43891750882932E-2</v>
      </c>
      <c r="K25" s="79">
        <v>5.7085041706298398E-2</v>
      </c>
      <c r="L25" s="79">
        <v>0.42179912679238901</v>
      </c>
      <c r="M25" s="79">
        <v>1</v>
      </c>
      <c r="N25" s="102">
        <v>1.96922059086071E-2</v>
      </c>
      <c r="O25" s="79">
        <v>1.42769941834032E-2</v>
      </c>
      <c r="P25" s="79">
        <v>0.16787451066853301</v>
      </c>
      <c r="Q25" s="79">
        <v>0.26277053270621298</v>
      </c>
      <c r="R25" s="79">
        <v>1</v>
      </c>
      <c r="S25" s="102">
        <v>3.03364300283494E-2</v>
      </c>
      <c r="T25" s="79">
        <v>1.4259960574292199E-2</v>
      </c>
      <c r="U25" s="79">
        <v>3.3443907273755902E-2</v>
      </c>
      <c r="V25" s="79">
        <v>7.5038382677804605E-2</v>
      </c>
      <c r="W25" s="79">
        <v>1</v>
      </c>
    </row>
    <row r="26" spans="2:23" x14ac:dyDescent="0.2">
      <c r="B26" t="s">
        <v>3197</v>
      </c>
      <c r="C26" s="84">
        <v>5036</v>
      </c>
      <c r="D26" s="102">
        <v>-2.1830194894615899E-2</v>
      </c>
      <c r="E26" s="79">
        <v>1.4382922515562E-2</v>
      </c>
      <c r="F26" s="79">
        <v>0.129133592928876</v>
      </c>
      <c r="G26" s="79">
        <v>0.80938271582532695</v>
      </c>
      <c r="H26" s="79">
        <v>1</v>
      </c>
      <c r="I26" s="102">
        <v>3.0590223284967699E-3</v>
      </c>
      <c r="J26" s="79">
        <v>1.4334026406950201E-2</v>
      </c>
      <c r="K26" s="79">
        <v>0.831016433907943</v>
      </c>
      <c r="L26" s="79">
        <v>0.95440124680681704</v>
      </c>
      <c r="M26" s="79">
        <v>1</v>
      </c>
      <c r="N26" s="107">
        <v>7.6136897138093504E-2</v>
      </c>
      <c r="O26" s="81">
        <v>1.4148307768367001E-2</v>
      </c>
      <c r="P26" s="81">
        <v>7.7451650536625904E-8</v>
      </c>
      <c r="Q26" s="81">
        <v>1.38108522114783E-6</v>
      </c>
      <c r="R26" s="81">
        <v>1.3120309600904399E-4</v>
      </c>
      <c r="S26" s="102">
        <v>4.3836596449401299E-2</v>
      </c>
      <c r="T26" s="79">
        <v>1.4173892352585199E-2</v>
      </c>
      <c r="U26" s="79">
        <v>1.99437377464101E-3</v>
      </c>
      <c r="V26" s="79">
        <v>7.7716301541054999E-3</v>
      </c>
      <c r="W26" s="79">
        <v>1</v>
      </c>
    </row>
    <row r="27" spans="2:23" x14ac:dyDescent="0.2">
      <c r="B27" t="s">
        <v>3265</v>
      </c>
      <c r="C27" s="84">
        <v>5036</v>
      </c>
      <c r="D27" s="102">
        <v>-1.9359283130806301E-2</v>
      </c>
      <c r="E27" s="79">
        <v>1.4162795049905599E-2</v>
      </c>
      <c r="F27" s="79">
        <v>0.17171949014938201</v>
      </c>
      <c r="G27" s="79">
        <v>0.81796927009920195</v>
      </c>
      <c r="H27" s="79">
        <v>1</v>
      </c>
      <c r="I27" s="102">
        <v>-1.93075633909679E-2</v>
      </c>
      <c r="J27" s="79">
        <v>1.4064606857933201E-2</v>
      </c>
      <c r="K27" s="79">
        <v>0.16989001276339599</v>
      </c>
      <c r="L27" s="79">
        <v>0.61396896490869202</v>
      </c>
      <c r="M27" s="79">
        <v>1</v>
      </c>
      <c r="N27" s="102">
        <v>5.3478310444879197E-2</v>
      </c>
      <c r="O27" s="79">
        <v>1.39334457624424E-2</v>
      </c>
      <c r="P27" s="79">
        <v>1.2565812312015801E-4</v>
      </c>
      <c r="Q27" s="79">
        <v>8.34764159080579E-4</v>
      </c>
      <c r="R27" s="79">
        <v>0.21286486056554799</v>
      </c>
      <c r="S27" s="102">
        <v>3.5209706594626397E-2</v>
      </c>
      <c r="T27" s="79">
        <v>1.39331150997817E-2</v>
      </c>
      <c r="U27" s="79">
        <v>1.1535891323347799E-2</v>
      </c>
      <c r="V27" s="79">
        <v>3.1621035439726802E-2</v>
      </c>
      <c r="W27" s="79">
        <v>1</v>
      </c>
    </row>
    <row r="28" spans="2:23" x14ac:dyDescent="0.2">
      <c r="B28" t="s">
        <v>3253</v>
      </c>
      <c r="C28" s="84">
        <v>3553</v>
      </c>
      <c r="D28" s="102">
        <v>-1.20917881590529E-2</v>
      </c>
      <c r="E28" s="79">
        <v>1.39944412334711E-2</v>
      </c>
      <c r="F28" s="79">
        <v>0.38760809720504402</v>
      </c>
      <c r="G28" s="79">
        <v>0.89461055933914202</v>
      </c>
      <c r="H28" s="79">
        <v>1</v>
      </c>
      <c r="I28" s="102">
        <v>-2.08393489215141E-3</v>
      </c>
      <c r="J28" s="79">
        <v>1.39353325336278E-2</v>
      </c>
      <c r="K28" s="79">
        <v>0.88113144428871604</v>
      </c>
      <c r="L28" s="79">
        <v>0.97367036309529298</v>
      </c>
      <c r="M28" s="79">
        <v>1</v>
      </c>
      <c r="N28" s="102">
        <v>5.2190667952723299E-2</v>
      </c>
      <c r="O28" s="79">
        <v>1.3783293290362901E-2</v>
      </c>
      <c r="P28" s="79">
        <v>1.5467537959517699E-4</v>
      </c>
      <c r="Q28" s="79">
        <v>9.6754984311086005E-4</v>
      </c>
      <c r="R28" s="79">
        <v>0.26202009303423002</v>
      </c>
      <c r="S28" s="102">
        <v>1.23167337079771E-2</v>
      </c>
      <c r="T28" s="79">
        <v>1.37937266674999E-2</v>
      </c>
      <c r="U28" s="79">
        <v>0.37194407931108903</v>
      </c>
      <c r="V28" s="79">
        <v>0.49032939327080499</v>
      </c>
      <c r="W28" s="79">
        <v>1</v>
      </c>
    </row>
    <row r="29" spans="2:23" x14ac:dyDescent="0.2">
      <c r="B29" t="s">
        <v>3254</v>
      </c>
      <c r="C29" s="84">
        <v>262</v>
      </c>
      <c r="D29" s="102">
        <v>-8.3955099315951506E-3</v>
      </c>
      <c r="E29" s="79">
        <v>1.4310542987996101E-2</v>
      </c>
      <c r="F29" s="79">
        <v>0.55745659727937602</v>
      </c>
      <c r="G29" s="79">
        <v>0.93167796111031398</v>
      </c>
      <c r="H29" s="79">
        <v>1</v>
      </c>
      <c r="I29" s="102">
        <v>2.0528135846860699E-2</v>
      </c>
      <c r="J29" s="79">
        <v>1.4221119120535201E-2</v>
      </c>
      <c r="K29" s="79">
        <v>0.14895022205779301</v>
      </c>
      <c r="L29" s="79">
        <v>0.592867466146905</v>
      </c>
      <c r="M29" s="79">
        <v>1</v>
      </c>
      <c r="N29" s="102">
        <v>3.0490206445723901E-2</v>
      </c>
      <c r="O29" s="79">
        <v>1.4088444252142099E-2</v>
      </c>
      <c r="P29" s="79">
        <v>3.0500856821434101E-2</v>
      </c>
      <c r="Q29" s="79">
        <v>6.81641839782446E-2</v>
      </c>
      <c r="R29" s="79">
        <v>1</v>
      </c>
      <c r="S29" s="102">
        <v>5.7182243682830501E-2</v>
      </c>
      <c r="T29" s="79">
        <v>1.4077270935335401E-2</v>
      </c>
      <c r="U29" s="79">
        <v>4.9465281151655303E-5</v>
      </c>
      <c r="V29" s="79">
        <v>4.21059298469121E-4</v>
      </c>
      <c r="W29" s="79">
        <v>8.3794186270904097E-2</v>
      </c>
    </row>
    <row r="30" spans="2:23" x14ac:dyDescent="0.2">
      <c r="B30" t="s">
        <v>3255</v>
      </c>
      <c r="C30" s="84">
        <v>171</v>
      </c>
      <c r="D30" s="102">
        <v>-1.1024007860786901E-2</v>
      </c>
      <c r="E30" s="79">
        <v>1.42935948837201E-2</v>
      </c>
      <c r="F30" s="79">
        <v>0.44059385127392697</v>
      </c>
      <c r="G30" s="79">
        <v>0.90581448957043498</v>
      </c>
      <c r="H30" s="79">
        <v>1</v>
      </c>
      <c r="I30" s="102">
        <v>1.00693835995165E-2</v>
      </c>
      <c r="J30" s="79">
        <v>1.4234580107552099E-2</v>
      </c>
      <c r="K30" s="79">
        <v>0.479360066287638</v>
      </c>
      <c r="L30" s="79">
        <v>0.80783235637134798</v>
      </c>
      <c r="M30" s="79">
        <v>1</v>
      </c>
      <c r="N30" s="102">
        <v>5.3712474382727401E-2</v>
      </c>
      <c r="O30" s="79">
        <v>1.40794643713572E-2</v>
      </c>
      <c r="P30" s="79">
        <v>1.3794745786205399E-4</v>
      </c>
      <c r="Q30" s="79">
        <v>8.9533714030007501E-4</v>
      </c>
      <c r="R30" s="79">
        <v>0.23368299361832001</v>
      </c>
      <c r="S30" s="102">
        <v>3.7941695622752403E-2</v>
      </c>
      <c r="T30" s="79">
        <v>1.40740269314073E-2</v>
      </c>
      <c r="U30" s="79">
        <v>7.0454912935668098E-3</v>
      </c>
      <c r="V30" s="79">
        <v>2.1086682422795398E-2</v>
      </c>
      <c r="W30" s="79">
        <v>1</v>
      </c>
    </row>
    <row r="31" spans="2:23" x14ac:dyDescent="0.2">
      <c r="B31" t="s">
        <v>3256</v>
      </c>
      <c r="C31" s="84">
        <v>102</v>
      </c>
      <c r="D31" s="102">
        <v>-9.1631280836188198E-3</v>
      </c>
      <c r="E31" s="79">
        <v>1.46201642919849E-2</v>
      </c>
      <c r="F31" s="79">
        <v>0.53085479865965002</v>
      </c>
      <c r="G31" s="79">
        <v>0.92176676956083303</v>
      </c>
      <c r="H31" s="79">
        <v>1</v>
      </c>
      <c r="I31" s="102">
        <v>2.6959739981949001E-2</v>
      </c>
      <c r="J31" s="79">
        <v>1.46391906984674E-2</v>
      </c>
      <c r="K31" s="79">
        <v>6.5590987010246002E-2</v>
      </c>
      <c r="L31" s="79">
        <v>0.43517978594622803</v>
      </c>
      <c r="M31" s="79">
        <v>1</v>
      </c>
      <c r="N31" s="102">
        <v>4.6449854711544399E-2</v>
      </c>
      <c r="O31" s="79">
        <v>1.44419944407816E-2</v>
      </c>
      <c r="P31" s="79">
        <v>1.3068804153551199E-3</v>
      </c>
      <c r="Q31" s="79">
        <v>5.4261162343420899E-3</v>
      </c>
      <c r="R31" s="79">
        <v>1</v>
      </c>
      <c r="S31" s="102">
        <v>4.7038562340222197E-2</v>
      </c>
      <c r="T31" s="79">
        <v>1.44616361468262E-2</v>
      </c>
      <c r="U31" s="79">
        <v>1.1509836167766399E-3</v>
      </c>
      <c r="V31" s="79">
        <v>5.0381556765365099E-3</v>
      </c>
      <c r="W31" s="79">
        <v>1</v>
      </c>
    </row>
    <row r="32" spans="2:23" x14ac:dyDescent="0.2">
      <c r="B32" t="s">
        <v>3258</v>
      </c>
      <c r="C32" s="84">
        <v>5036</v>
      </c>
      <c r="D32" s="102">
        <v>-5.5910115107269197E-2</v>
      </c>
      <c r="E32" s="79">
        <v>1.4479568153146299E-2</v>
      </c>
      <c r="F32" s="79">
        <v>1.14325653270104E-4</v>
      </c>
      <c r="G32" s="79">
        <v>8.3417519310952704E-2</v>
      </c>
      <c r="H32" s="79">
        <v>0.19366765663955601</v>
      </c>
      <c r="I32" s="102">
        <v>-1.1885716091441101E-2</v>
      </c>
      <c r="J32" s="79">
        <v>1.44170622418682E-2</v>
      </c>
      <c r="K32" s="79">
        <v>0.40974483525691602</v>
      </c>
      <c r="L32" s="79">
        <v>0.77250777393894599</v>
      </c>
      <c r="M32" s="79">
        <v>1</v>
      </c>
      <c r="N32" s="102">
        <v>5.5643921034141203E-2</v>
      </c>
      <c r="O32" s="79">
        <v>1.42677017858059E-2</v>
      </c>
      <c r="P32" s="79">
        <v>9.7589651870397996E-5</v>
      </c>
      <c r="Q32" s="79">
        <v>6.7201979783924502E-4</v>
      </c>
      <c r="R32" s="79">
        <v>0.16531687026845401</v>
      </c>
      <c r="S32" s="107">
        <v>6.3102112893092602E-2</v>
      </c>
      <c r="T32" s="81">
        <v>1.4246136528107601E-2</v>
      </c>
      <c r="U32" s="81">
        <v>9.6716226993443597E-6</v>
      </c>
      <c r="V32" s="81">
        <v>1.1786855289704599E-4</v>
      </c>
      <c r="W32" s="81">
        <v>1.6383728852689301E-2</v>
      </c>
    </row>
    <row r="33" spans="2:23" x14ac:dyDescent="0.2">
      <c r="B33" t="s">
        <v>3190</v>
      </c>
      <c r="C33" s="84">
        <v>104</v>
      </c>
      <c r="D33" s="102">
        <v>-1.94077287221089E-2</v>
      </c>
      <c r="E33" s="79">
        <v>1.4223009591654101E-2</v>
      </c>
      <c r="F33" s="79">
        <v>0.17246692859196899</v>
      </c>
      <c r="G33" s="79">
        <v>0.81796927009920195</v>
      </c>
      <c r="H33" s="79">
        <v>1</v>
      </c>
      <c r="I33" s="102">
        <v>1.54228838313628E-2</v>
      </c>
      <c r="J33" s="79">
        <v>1.41311638003785E-2</v>
      </c>
      <c r="K33" s="79">
        <v>0.275151062850994</v>
      </c>
      <c r="L33" s="79">
        <v>0.69464366686972301</v>
      </c>
      <c r="M33" s="79">
        <v>1</v>
      </c>
      <c r="N33" s="107">
        <v>6.9567697746956106E-2</v>
      </c>
      <c r="O33" s="81">
        <v>1.39773302520609E-2</v>
      </c>
      <c r="P33" s="81">
        <v>6.6901384738057403E-7</v>
      </c>
      <c r="Q33" s="81">
        <v>8.7853446314937408E-6</v>
      </c>
      <c r="R33" s="81">
        <v>1.13330945746269E-3</v>
      </c>
      <c r="S33" s="102">
        <v>5.5560205241087401E-2</v>
      </c>
      <c r="T33" s="79">
        <v>1.3979043833015301E-2</v>
      </c>
      <c r="U33" s="79">
        <v>7.1604538483616395E-5</v>
      </c>
      <c r="V33" s="79">
        <v>5.5897736493661803E-4</v>
      </c>
      <c r="W33" s="79">
        <v>0.121298088191246</v>
      </c>
    </row>
    <row r="34" spans="2:23" x14ac:dyDescent="0.2">
      <c r="B34" t="s">
        <v>3192</v>
      </c>
      <c r="C34" s="84">
        <v>5036</v>
      </c>
      <c r="D34" s="102">
        <v>-4.5200783938452699E-2</v>
      </c>
      <c r="E34" s="79">
        <v>1.43576846796386E-2</v>
      </c>
      <c r="F34" s="79">
        <v>1.65287656473528E-3</v>
      </c>
      <c r="G34" s="79">
        <v>0.21538253082011999</v>
      </c>
      <c r="H34" s="79">
        <v>1</v>
      </c>
      <c r="I34" s="102">
        <v>-1.5642718270161501E-2</v>
      </c>
      <c r="J34" s="79">
        <v>1.43054895813564E-2</v>
      </c>
      <c r="K34" s="79">
        <v>0.27424033680349802</v>
      </c>
      <c r="L34" s="79">
        <v>0.69337780678377003</v>
      </c>
      <c r="M34" s="79">
        <v>1</v>
      </c>
      <c r="N34" s="107">
        <v>8.9029625335455997E-2</v>
      </c>
      <c r="O34" s="81">
        <v>1.41127403149059E-2</v>
      </c>
      <c r="P34" s="81">
        <v>3.0742599282125102E-10</v>
      </c>
      <c r="Q34" s="81">
        <v>9.4687205788945302E-9</v>
      </c>
      <c r="R34" s="81">
        <v>5.2077963183919902E-7</v>
      </c>
      <c r="S34" s="102">
        <v>3.2252680580258701E-2</v>
      </c>
      <c r="T34" s="79">
        <v>1.4157719526995601E-2</v>
      </c>
      <c r="U34" s="79">
        <v>2.2764831729241999E-2</v>
      </c>
      <c r="V34" s="79">
        <v>5.4545438400758102E-2</v>
      </c>
      <c r="W34" s="79">
        <v>1</v>
      </c>
    </row>
    <row r="35" spans="2:23" x14ac:dyDescent="0.2">
      <c r="B35" t="s">
        <v>3257</v>
      </c>
      <c r="C35" s="84">
        <v>5036</v>
      </c>
      <c r="D35" s="102">
        <v>-2.68016697327884E-2</v>
      </c>
      <c r="E35" s="79">
        <v>1.44922525921582E-2</v>
      </c>
      <c r="F35" s="79">
        <v>6.4475428058084996E-2</v>
      </c>
      <c r="G35" s="79">
        <v>0.73302936329124802</v>
      </c>
      <c r="H35" s="79">
        <v>1</v>
      </c>
      <c r="I35" s="102">
        <v>4.7334988650865797E-3</v>
      </c>
      <c r="J35" s="79">
        <v>1.44036385246671E-2</v>
      </c>
      <c r="K35" s="79">
        <v>0.74245160180974601</v>
      </c>
      <c r="L35" s="79">
        <v>0.91967633960533601</v>
      </c>
      <c r="M35" s="79">
        <v>1</v>
      </c>
      <c r="N35" s="102">
        <v>2.84315542043257E-2</v>
      </c>
      <c r="O35" s="79">
        <v>1.42753149084844E-2</v>
      </c>
      <c r="P35" s="79">
        <v>4.6478102625705203E-2</v>
      </c>
      <c r="Q35" s="79">
        <v>9.5550856611583301E-2</v>
      </c>
      <c r="R35" s="79">
        <v>1</v>
      </c>
      <c r="S35" s="102">
        <v>1.7026770724215701E-2</v>
      </c>
      <c r="T35" s="79">
        <v>1.4271750783511001E-2</v>
      </c>
      <c r="U35" s="79">
        <v>0.23292489490203899</v>
      </c>
      <c r="V35" s="79">
        <v>0.34132765740835103</v>
      </c>
      <c r="W35" s="79">
        <v>1</v>
      </c>
    </row>
    <row r="36" spans="2:23" x14ac:dyDescent="0.2">
      <c r="B36" t="s">
        <v>3259</v>
      </c>
      <c r="C36" s="84">
        <v>5036</v>
      </c>
      <c r="D36" s="102">
        <v>-3.9971973917462801E-2</v>
      </c>
      <c r="E36" s="79">
        <v>1.4117954130608699E-2</v>
      </c>
      <c r="F36" s="79">
        <v>4.6558870174931398E-3</v>
      </c>
      <c r="G36" s="79">
        <v>0.358226457094522</v>
      </c>
      <c r="H36" s="79">
        <v>1</v>
      </c>
      <c r="I36" s="102">
        <v>-8.0786709618816295E-3</v>
      </c>
      <c r="J36" s="79">
        <v>1.40448606625008E-2</v>
      </c>
      <c r="K36" s="79">
        <v>0.56518115022038495</v>
      </c>
      <c r="L36" s="79">
        <v>0.85878159627519401</v>
      </c>
      <c r="M36" s="79">
        <v>1</v>
      </c>
      <c r="N36" s="102">
        <v>4.6344520629377703E-2</v>
      </c>
      <c r="O36" s="79">
        <v>1.39086142837261E-2</v>
      </c>
      <c r="P36" s="79">
        <v>8.6880548873625497E-4</v>
      </c>
      <c r="Q36" s="79">
        <v>3.9246839944512401E-3</v>
      </c>
      <c r="R36" s="79">
        <v>1</v>
      </c>
      <c r="S36" s="102">
        <v>3.04141812391375E-2</v>
      </c>
      <c r="T36" s="79">
        <v>1.39053360427014E-2</v>
      </c>
      <c r="U36" s="79">
        <v>2.8775634916683002E-2</v>
      </c>
      <c r="V36" s="79">
        <v>6.6592794465657107E-2</v>
      </c>
      <c r="W36" s="79">
        <v>1</v>
      </c>
    </row>
    <row r="37" spans="2:23" x14ac:dyDescent="0.2">
      <c r="B37" t="s">
        <v>1130</v>
      </c>
      <c r="C37" s="84">
        <v>4728</v>
      </c>
      <c r="D37" s="102">
        <v>1.0647151556738E-2</v>
      </c>
      <c r="E37" s="79">
        <v>1.6989942683336302E-2</v>
      </c>
      <c r="F37" s="79">
        <v>0.53092927427688497</v>
      </c>
      <c r="G37" s="79">
        <v>0.92176676956083303</v>
      </c>
      <c r="H37" s="79">
        <v>1</v>
      </c>
      <c r="I37" s="102">
        <v>-7.3577792819532204E-3</v>
      </c>
      <c r="J37" s="79">
        <v>1.6492030259065801E-2</v>
      </c>
      <c r="K37" s="79">
        <v>0.65553452630027997</v>
      </c>
      <c r="L37" s="79">
        <v>0.88374695918109603</v>
      </c>
      <c r="M37" s="79">
        <v>1</v>
      </c>
      <c r="N37" s="102">
        <v>-1.6982692936851899E-2</v>
      </c>
      <c r="O37" s="79">
        <v>1.65942122563651E-2</v>
      </c>
      <c r="P37" s="79">
        <v>0.30621270092710901</v>
      </c>
      <c r="Q37" s="79">
        <v>0.421042463774775</v>
      </c>
      <c r="R37" s="79">
        <v>1</v>
      </c>
      <c r="S37" s="102">
        <v>-2.8573833827380699E-2</v>
      </c>
      <c r="T37" s="79">
        <v>1.6549855240832499E-2</v>
      </c>
      <c r="U37" s="79">
        <v>8.4365649995519598E-2</v>
      </c>
      <c r="V37" s="79">
        <v>0.15383790214468299</v>
      </c>
      <c r="W37" s="79">
        <v>1</v>
      </c>
    </row>
    <row r="38" spans="2:23" x14ac:dyDescent="0.2">
      <c r="B38" t="s">
        <v>1131</v>
      </c>
      <c r="C38" s="84">
        <v>4888</v>
      </c>
      <c r="D38" s="102">
        <v>1.5832635126557599E-2</v>
      </c>
      <c r="E38" s="79">
        <v>2.05846550252652E-2</v>
      </c>
      <c r="F38" s="79">
        <v>0.44189484215566899</v>
      </c>
      <c r="G38" s="79">
        <v>0.90581448957043498</v>
      </c>
      <c r="H38" s="79">
        <v>1</v>
      </c>
      <c r="I38" s="102">
        <v>2.8344962491997899E-2</v>
      </c>
      <c r="J38" s="79">
        <v>2.1119846826763301E-2</v>
      </c>
      <c r="K38" s="79">
        <v>0.179709115039038</v>
      </c>
      <c r="L38" s="79">
        <v>0.61549445076584797</v>
      </c>
      <c r="M38" s="79">
        <v>1</v>
      </c>
      <c r="N38" s="102">
        <v>-3.05509436554845E-3</v>
      </c>
      <c r="O38" s="79">
        <v>2.0573743434504601E-2</v>
      </c>
      <c r="P38" s="79">
        <v>0.88196679654413002</v>
      </c>
      <c r="Q38" s="79">
        <v>0.92054944753281298</v>
      </c>
      <c r="R38" s="79">
        <v>1</v>
      </c>
      <c r="S38" s="102">
        <v>-7.6491976985439102E-3</v>
      </c>
      <c r="T38" s="79">
        <v>2.0846002589224401E-2</v>
      </c>
      <c r="U38" s="79">
        <v>0.71370452550334795</v>
      </c>
      <c r="V38" s="79">
        <v>0.77700222763667803</v>
      </c>
      <c r="W38" s="79">
        <v>1</v>
      </c>
    </row>
    <row r="39" spans="2:23" x14ac:dyDescent="0.2">
      <c r="B39" t="s">
        <v>3735</v>
      </c>
      <c r="C39" s="84">
        <v>5048</v>
      </c>
      <c r="D39" s="102">
        <v>0.97319949333053912</v>
      </c>
      <c r="E39" s="79">
        <v>5.5624658073452397E-2</v>
      </c>
      <c r="F39" s="79">
        <v>0.62527792769813895</v>
      </c>
      <c r="G39" s="79">
        <v>0.95511344411239596</v>
      </c>
      <c r="H39" s="79">
        <v>1</v>
      </c>
      <c r="I39" s="102">
        <v>0.97208871055202994</v>
      </c>
      <c r="J39" s="79">
        <v>5.6172621253919697E-2</v>
      </c>
      <c r="K39" s="79">
        <v>0.61429626056131703</v>
      </c>
      <c r="L39" s="79">
        <v>0.87455910458575803</v>
      </c>
      <c r="M39" s="79">
        <v>1</v>
      </c>
      <c r="N39" s="102">
        <v>0.89363383014492404</v>
      </c>
      <c r="O39" s="79">
        <v>5.6153447126747601E-2</v>
      </c>
      <c r="P39" s="79">
        <v>4.5208226701184101E-2</v>
      </c>
      <c r="Q39" s="79">
        <v>9.3393580526592496E-2</v>
      </c>
      <c r="R39" s="79">
        <v>1</v>
      </c>
      <c r="S39" s="102">
        <v>0.9375717294012591</v>
      </c>
      <c r="T39" s="79">
        <v>5.60253959384856E-2</v>
      </c>
      <c r="U39" s="79">
        <v>0.24990276799317801</v>
      </c>
      <c r="V39" s="79">
        <v>0.35997898722826799</v>
      </c>
      <c r="W39" s="79">
        <v>1</v>
      </c>
    </row>
    <row r="40" spans="2:23" x14ac:dyDescent="0.2">
      <c r="B40" t="s">
        <v>3736</v>
      </c>
      <c r="C40" s="84">
        <v>5048</v>
      </c>
      <c r="D40" s="102">
        <v>0.9929001159604528</v>
      </c>
      <c r="E40" s="79">
        <v>4.0275903442460598E-2</v>
      </c>
      <c r="F40" s="79">
        <v>0.859579121198774</v>
      </c>
      <c r="G40" s="79">
        <v>0.99362338620020496</v>
      </c>
      <c r="H40" s="79">
        <v>1</v>
      </c>
      <c r="I40" s="102">
        <v>1.0666270457923832</v>
      </c>
      <c r="J40" s="79">
        <v>3.9988656241309303E-2</v>
      </c>
      <c r="K40" s="79">
        <v>0.106746282417263</v>
      </c>
      <c r="L40" s="79">
        <v>0.53339716773734003</v>
      </c>
      <c r="M40" s="79">
        <v>1</v>
      </c>
      <c r="N40" s="102">
        <v>1.0764813710390333</v>
      </c>
      <c r="O40" s="79">
        <v>3.9556056874482097E-2</v>
      </c>
      <c r="P40" s="79">
        <v>6.2445200522915703E-2</v>
      </c>
      <c r="Q40" s="79">
        <v>0.12186885908504499</v>
      </c>
      <c r="R40" s="79">
        <v>1</v>
      </c>
      <c r="S40" s="102">
        <v>1.1325876213217878</v>
      </c>
      <c r="T40" s="79">
        <v>3.9743428975517602E-2</v>
      </c>
      <c r="U40" s="79">
        <v>1.73195907502253E-3</v>
      </c>
      <c r="V40" s="79">
        <v>6.9939784151216997E-3</v>
      </c>
      <c r="W40" s="79">
        <v>1</v>
      </c>
    </row>
    <row r="41" spans="2:23" x14ac:dyDescent="0.2">
      <c r="B41" t="s">
        <v>3737</v>
      </c>
      <c r="C41" s="84">
        <v>5048</v>
      </c>
      <c r="D41" s="102">
        <v>1.0063082498664124</v>
      </c>
      <c r="E41" s="79">
        <v>3.6003036455523302E-2</v>
      </c>
      <c r="F41" s="79">
        <v>0.86134361782024405</v>
      </c>
      <c r="G41" s="79">
        <v>0.99362338620020496</v>
      </c>
      <c r="H41" s="79">
        <v>1</v>
      </c>
      <c r="I41" s="102">
        <v>0.96623039892334217</v>
      </c>
      <c r="J41" s="79">
        <v>3.5792552332217599E-2</v>
      </c>
      <c r="K41" s="79">
        <v>0.33716610303484101</v>
      </c>
      <c r="L41" s="79">
        <v>0.73038283700897799</v>
      </c>
      <c r="M41" s="79">
        <v>1</v>
      </c>
      <c r="N41" s="102">
        <v>1.0207660479531462</v>
      </c>
      <c r="O41" s="79">
        <v>3.5419306695221399E-2</v>
      </c>
      <c r="P41" s="79">
        <v>0.56172090992922097</v>
      </c>
      <c r="Q41" s="79">
        <v>0.67295277328154202</v>
      </c>
      <c r="R41" s="79">
        <v>1</v>
      </c>
      <c r="S41" s="102">
        <v>0.9940812306012673</v>
      </c>
      <c r="T41" s="79">
        <v>3.5428238002529998E-2</v>
      </c>
      <c r="U41" s="79">
        <v>0.86692945982761005</v>
      </c>
      <c r="V41" s="79">
        <v>0.90545460358382202</v>
      </c>
      <c r="W41" s="79">
        <v>1</v>
      </c>
    </row>
    <row r="42" spans="2:23" x14ac:dyDescent="0.2">
      <c r="B42" t="s">
        <v>3738</v>
      </c>
      <c r="C42" s="84">
        <v>5048</v>
      </c>
      <c r="D42" s="102">
        <v>1.040429639738002</v>
      </c>
      <c r="E42" s="79">
        <v>3.6993613476288302E-2</v>
      </c>
      <c r="F42" s="79">
        <v>0.28400436842830601</v>
      </c>
      <c r="G42" s="79">
        <v>0.86861170490914397</v>
      </c>
      <c r="H42" s="79">
        <v>1</v>
      </c>
      <c r="I42" s="102">
        <v>1.0769231762428577</v>
      </c>
      <c r="J42" s="79">
        <v>3.6668209021856801E-2</v>
      </c>
      <c r="K42" s="79">
        <v>4.3275208975061902E-2</v>
      </c>
      <c r="L42" s="79">
        <v>0.38787409525796201</v>
      </c>
      <c r="M42" s="79">
        <v>1</v>
      </c>
      <c r="N42" s="102">
        <v>1.032911662752771</v>
      </c>
      <c r="O42" s="79">
        <v>3.6180718307683102E-2</v>
      </c>
      <c r="P42" s="79">
        <v>0.37078814657488002</v>
      </c>
      <c r="Q42" s="79">
        <v>0.48728868913719697</v>
      </c>
      <c r="R42" s="79">
        <v>1</v>
      </c>
      <c r="S42" s="102">
        <v>1.0432643023169097</v>
      </c>
      <c r="T42" s="79">
        <v>3.6209727244685699E-2</v>
      </c>
      <c r="U42" s="79">
        <v>0.24212136435366399</v>
      </c>
      <c r="V42" s="79">
        <v>0.35241938030398301</v>
      </c>
      <c r="W42" s="79">
        <v>1</v>
      </c>
    </row>
    <row r="43" spans="2:23" x14ac:dyDescent="0.2">
      <c r="B43" t="s">
        <v>3739</v>
      </c>
      <c r="C43" s="84">
        <v>5048</v>
      </c>
      <c r="D43" s="102">
        <v>0.96466722674098282</v>
      </c>
      <c r="E43" s="79">
        <v>4.6791646622936799E-2</v>
      </c>
      <c r="F43" s="79">
        <v>0.44202902758483598</v>
      </c>
      <c r="G43" s="79">
        <v>0.90581448957043498</v>
      </c>
      <c r="H43" s="79">
        <v>1</v>
      </c>
      <c r="I43" s="102">
        <v>0.91489515522577769</v>
      </c>
      <c r="J43" s="79">
        <v>4.6311997517075397E-2</v>
      </c>
      <c r="K43" s="79">
        <v>5.4784927770084202E-2</v>
      </c>
      <c r="L43" s="79">
        <v>0.413834727810937</v>
      </c>
      <c r="M43" s="79">
        <v>1</v>
      </c>
      <c r="N43" s="102">
        <v>0.95123529396706519</v>
      </c>
      <c r="O43" s="79">
        <v>4.6020683219729998E-2</v>
      </c>
      <c r="P43" s="79">
        <v>0.27733128122585698</v>
      </c>
      <c r="Q43" s="79">
        <v>0.38955156749303599</v>
      </c>
      <c r="R43" s="79">
        <v>1</v>
      </c>
      <c r="S43" s="102">
        <v>0.98257844514923587</v>
      </c>
      <c r="T43" s="79">
        <v>4.5906510442670502E-2</v>
      </c>
      <c r="U43" s="79">
        <v>0.70183440212029202</v>
      </c>
      <c r="V43" s="79">
        <v>0.76604863221119501</v>
      </c>
      <c r="W43" s="79">
        <v>1</v>
      </c>
    </row>
    <row r="44" spans="2:23" x14ac:dyDescent="0.2">
      <c r="B44" t="s">
        <v>3740</v>
      </c>
      <c r="C44" s="84">
        <v>5048</v>
      </c>
      <c r="D44" s="102">
        <v>1.0017437224350656</v>
      </c>
      <c r="E44" s="79">
        <v>6.9169534243050904E-2</v>
      </c>
      <c r="F44" s="79">
        <v>0.97990545033510501</v>
      </c>
      <c r="G44" s="79">
        <v>0.99840985319461195</v>
      </c>
      <c r="H44" s="79">
        <v>1</v>
      </c>
      <c r="I44" s="102">
        <v>0.93981920799180363</v>
      </c>
      <c r="J44" s="79">
        <v>6.8823613596155006E-2</v>
      </c>
      <c r="K44" s="79">
        <v>0.36714289876773198</v>
      </c>
      <c r="L44" s="79">
        <v>0.74754780849462499</v>
      </c>
      <c r="M44" s="79">
        <v>1</v>
      </c>
      <c r="N44" s="102">
        <v>1.0475934758391561</v>
      </c>
      <c r="O44" s="79">
        <v>6.8094732067237193E-2</v>
      </c>
      <c r="P44" s="79">
        <v>0.49472837714401602</v>
      </c>
      <c r="Q44" s="79">
        <v>0.61083809831046898</v>
      </c>
      <c r="R44" s="79">
        <v>1</v>
      </c>
      <c r="S44" s="102">
        <v>1.1024713766925192</v>
      </c>
      <c r="T44" s="79">
        <v>6.8383754565275096E-2</v>
      </c>
      <c r="U44" s="79">
        <v>0.15370323101182701</v>
      </c>
      <c r="V44" s="79">
        <v>0.2489228234551</v>
      </c>
      <c r="W44" s="79">
        <v>1</v>
      </c>
    </row>
    <row r="45" spans="2:23" x14ac:dyDescent="0.2">
      <c r="B45" t="s">
        <v>3741</v>
      </c>
      <c r="C45" s="84">
        <v>4427</v>
      </c>
      <c r="D45" s="102">
        <v>1.0054485613591189</v>
      </c>
      <c r="E45" s="79">
        <v>0.10012493075682501</v>
      </c>
      <c r="F45" s="79">
        <v>0.95672011725981698</v>
      </c>
      <c r="G45" s="79">
        <v>0.99840985319461195</v>
      </c>
      <c r="H45" s="79">
        <v>1</v>
      </c>
      <c r="I45" s="102">
        <v>1.094822499415179</v>
      </c>
      <c r="J45" s="79">
        <v>9.90009466930971E-2</v>
      </c>
      <c r="K45" s="79">
        <v>0.36015778424904599</v>
      </c>
      <c r="L45" s="79">
        <v>0.74593451887386297</v>
      </c>
      <c r="M45" s="79">
        <v>1</v>
      </c>
      <c r="N45" s="102">
        <v>1.1508792687483205</v>
      </c>
      <c r="O45" s="79">
        <v>9.8712734210781E-2</v>
      </c>
      <c r="P45" s="79">
        <v>0.154565865832998</v>
      </c>
      <c r="Q45" s="79">
        <v>0.24533388598504299</v>
      </c>
      <c r="R45" s="79">
        <v>1</v>
      </c>
      <c r="S45" s="102">
        <v>1.034789402214763</v>
      </c>
      <c r="T45" s="79">
        <v>9.7229345961240901E-2</v>
      </c>
      <c r="U45" s="79">
        <v>0.72504498666411799</v>
      </c>
      <c r="V45" s="79">
        <v>0.78682012005702495</v>
      </c>
      <c r="W45" s="79">
        <v>1</v>
      </c>
    </row>
    <row r="46" spans="2:23" x14ac:dyDescent="0.2">
      <c r="B46" t="s">
        <v>3727</v>
      </c>
      <c r="C46" s="84">
        <v>4953</v>
      </c>
      <c r="D46" s="102">
        <v>0.9258940941415793</v>
      </c>
      <c r="E46" s="79">
        <v>4.0580383915307001E-2</v>
      </c>
      <c r="F46" s="79">
        <v>5.7781016915511997E-2</v>
      </c>
      <c r="G46" s="79">
        <v>0.71323882218720602</v>
      </c>
      <c r="H46" s="79">
        <v>1</v>
      </c>
      <c r="I46" s="102">
        <v>1.0663893782194953</v>
      </c>
      <c r="J46" s="79">
        <v>4.00666969985706E-2</v>
      </c>
      <c r="K46" s="79">
        <v>0.10865053971302301</v>
      </c>
      <c r="L46" s="79">
        <v>0.53622641688935602</v>
      </c>
      <c r="M46" s="79">
        <v>1</v>
      </c>
      <c r="N46" s="102">
        <v>1.1196531378075396</v>
      </c>
      <c r="O46" s="79">
        <v>3.9875462880527297E-2</v>
      </c>
      <c r="P46" s="79">
        <v>4.5926503475550596E-3</v>
      </c>
      <c r="Q46" s="79">
        <v>1.4932724930438099E-2</v>
      </c>
      <c r="R46" s="79">
        <v>1</v>
      </c>
      <c r="S46" s="102">
        <v>1.0835012359386689</v>
      </c>
      <c r="T46" s="79">
        <v>3.9759893875798799E-2</v>
      </c>
      <c r="U46" s="79">
        <v>4.3690325262616098E-2</v>
      </c>
      <c r="V46" s="79">
        <v>9.1939640987418206E-2</v>
      </c>
      <c r="W46" s="79">
        <v>1</v>
      </c>
    </row>
    <row r="47" spans="2:23" x14ac:dyDescent="0.2">
      <c r="B47" t="s">
        <v>1132</v>
      </c>
      <c r="C47" s="84">
        <v>4832</v>
      </c>
      <c r="D47" s="102">
        <v>-1.23589997374102E-2</v>
      </c>
      <c r="E47" s="79">
        <v>1.41743456800791E-2</v>
      </c>
      <c r="F47" s="79">
        <v>0.38328995218907502</v>
      </c>
      <c r="G47" s="79">
        <v>0.89461055933914202</v>
      </c>
      <c r="H47" s="79">
        <v>1</v>
      </c>
      <c r="I47" s="102">
        <v>3.8058917490144499E-2</v>
      </c>
      <c r="J47" s="79">
        <v>1.41526910815692E-2</v>
      </c>
      <c r="K47" s="79">
        <v>7.1868668165231296E-3</v>
      </c>
      <c r="L47" s="79">
        <v>0.16019147877881801</v>
      </c>
      <c r="M47" s="79">
        <v>1</v>
      </c>
      <c r="N47" s="102">
        <v>4.2524740213076E-2</v>
      </c>
      <c r="O47" s="79">
        <v>1.3998861584845399E-2</v>
      </c>
      <c r="P47" s="79">
        <v>2.3959935785272898E-3</v>
      </c>
      <c r="Q47" s="79">
        <v>8.5991803432737893E-3</v>
      </c>
      <c r="R47" s="79">
        <v>1</v>
      </c>
      <c r="S47" s="102">
        <v>4.5392434577322498E-2</v>
      </c>
      <c r="T47" s="79">
        <v>1.40098884286849E-2</v>
      </c>
      <c r="U47" s="79">
        <v>1.2029978080504301E-3</v>
      </c>
      <c r="V47" s="79">
        <v>5.1986690990750697E-3</v>
      </c>
      <c r="W47" s="79">
        <v>1</v>
      </c>
    </row>
    <row r="48" spans="2:23" x14ac:dyDescent="0.2">
      <c r="B48" t="s">
        <v>1133</v>
      </c>
      <c r="C48" s="84">
        <v>4566</v>
      </c>
      <c r="D48" s="102">
        <v>-7.6060035875875204E-3</v>
      </c>
      <c r="E48" s="79">
        <v>1.42490917520196E-2</v>
      </c>
      <c r="F48" s="79">
        <v>0.59351152286028297</v>
      </c>
      <c r="G48" s="79">
        <v>0.94227602598436699</v>
      </c>
      <c r="H48" s="79">
        <v>1</v>
      </c>
      <c r="I48" s="102">
        <v>1.9091779907204599E-2</v>
      </c>
      <c r="J48" s="79">
        <v>1.42327507784784E-2</v>
      </c>
      <c r="K48" s="79">
        <v>0.17985227457443601</v>
      </c>
      <c r="L48" s="79">
        <v>0.61549445076584797</v>
      </c>
      <c r="M48" s="79">
        <v>1</v>
      </c>
      <c r="N48" s="102">
        <v>2.82319464755004E-2</v>
      </c>
      <c r="O48" s="79">
        <v>1.40787258010549E-2</v>
      </c>
      <c r="P48" s="79">
        <v>4.49857293025447E-2</v>
      </c>
      <c r="Q48" s="79">
        <v>9.3161155792800404E-2</v>
      </c>
      <c r="R48" s="79">
        <v>1</v>
      </c>
      <c r="S48" s="102">
        <v>2.5744968790618699E-2</v>
      </c>
      <c r="T48" s="79">
        <v>1.40924161572939E-2</v>
      </c>
      <c r="U48" s="79">
        <v>6.7779362607806704E-2</v>
      </c>
      <c r="V48" s="79">
        <v>0.128864467180274</v>
      </c>
      <c r="W48" s="79">
        <v>1</v>
      </c>
    </row>
    <row r="49" spans="2:23" x14ac:dyDescent="0.2">
      <c r="B49" t="s">
        <v>1134</v>
      </c>
      <c r="C49" s="84">
        <v>4828</v>
      </c>
      <c r="D49" s="102">
        <v>-1.8982660949276201E-2</v>
      </c>
      <c r="E49" s="79">
        <v>1.4392646317461301E-2</v>
      </c>
      <c r="F49" s="79">
        <v>0.18725832217755201</v>
      </c>
      <c r="G49" s="79">
        <v>0.83003013605610498</v>
      </c>
      <c r="H49" s="79">
        <v>1</v>
      </c>
      <c r="I49" s="102">
        <v>2.5785132777130199E-2</v>
      </c>
      <c r="J49" s="79">
        <v>1.43600236556553E-2</v>
      </c>
      <c r="K49" s="79">
        <v>7.2615654324950096E-2</v>
      </c>
      <c r="L49" s="79">
        <v>0.45523555939255</v>
      </c>
      <c r="M49" s="79">
        <v>1</v>
      </c>
      <c r="N49" s="107">
        <v>8.8077633940574801E-2</v>
      </c>
      <c r="O49" s="81">
        <v>1.4166273240137301E-2</v>
      </c>
      <c r="P49" s="81">
        <v>5.4652160614052604E-10</v>
      </c>
      <c r="Q49" s="81">
        <v>1.6532278585750899E-8</v>
      </c>
      <c r="R49" s="81">
        <v>9.2580760080205098E-7</v>
      </c>
      <c r="S49" s="107">
        <v>6.1536493899415401E-2</v>
      </c>
      <c r="T49" s="81">
        <v>1.4200228424301299E-2</v>
      </c>
      <c r="U49" s="81">
        <v>1.4965205034314999E-5</v>
      </c>
      <c r="V49" s="81">
        <v>1.6678327189558999E-4</v>
      </c>
      <c r="W49" s="81">
        <v>2.53510573281296E-2</v>
      </c>
    </row>
    <row r="50" spans="2:23" x14ac:dyDescent="0.2">
      <c r="B50" t="s">
        <v>1014</v>
      </c>
      <c r="C50" s="84">
        <v>5036</v>
      </c>
      <c r="D50" s="102">
        <v>1.31191367673986E-2</v>
      </c>
      <c r="E50" s="79">
        <v>1.7828123590940499E-2</v>
      </c>
      <c r="F50" s="79">
        <v>0.46186577970993198</v>
      </c>
      <c r="G50" s="79">
        <v>0.91151047511105199</v>
      </c>
      <c r="H50" s="79">
        <v>1</v>
      </c>
      <c r="I50" s="102">
        <v>1.79027188053652E-2</v>
      </c>
      <c r="J50" s="79">
        <v>1.7548008687052901E-2</v>
      </c>
      <c r="K50" s="79">
        <v>0.30770601602713099</v>
      </c>
      <c r="L50" s="79">
        <v>0.712776365212754</v>
      </c>
      <c r="M50" s="79">
        <v>1</v>
      </c>
      <c r="N50" s="102">
        <v>9.98239431466523E-3</v>
      </c>
      <c r="O50" s="79">
        <v>1.7472257791879602E-2</v>
      </c>
      <c r="P50" s="79">
        <v>0.56781787956183705</v>
      </c>
      <c r="Q50" s="79">
        <v>0.67759328106604599</v>
      </c>
      <c r="R50" s="79">
        <v>1</v>
      </c>
      <c r="S50" s="102">
        <v>3.1749982045437303E-2</v>
      </c>
      <c r="T50" s="79">
        <v>1.7352852579237101E-2</v>
      </c>
      <c r="U50" s="79">
        <v>6.7395567227140393E-2</v>
      </c>
      <c r="V50" s="79">
        <v>0.12842304936195301</v>
      </c>
      <c r="W50" s="79">
        <v>1</v>
      </c>
    </row>
    <row r="51" spans="2:23" x14ac:dyDescent="0.2">
      <c r="B51" t="s">
        <v>3742</v>
      </c>
      <c r="C51" s="84">
        <v>5027</v>
      </c>
      <c r="D51" s="102">
        <v>0.96496553002830066</v>
      </c>
      <c r="E51" s="79">
        <v>3.6852320455930898E-2</v>
      </c>
      <c r="F51" s="79">
        <v>0.33318191012213599</v>
      </c>
      <c r="G51" s="79">
        <v>0.887497895560034</v>
      </c>
      <c r="H51" s="79">
        <v>1</v>
      </c>
      <c r="I51" s="102">
        <v>1.0437414992681386</v>
      </c>
      <c r="J51" s="79">
        <v>3.6682405740933899E-2</v>
      </c>
      <c r="K51" s="79">
        <v>0.24317200235469999</v>
      </c>
      <c r="L51" s="79">
        <v>0.67090125731085004</v>
      </c>
      <c r="M51" s="79">
        <v>1</v>
      </c>
      <c r="N51" s="102">
        <v>1.0265766794218669</v>
      </c>
      <c r="O51" s="79">
        <v>3.6384152961236899E-2</v>
      </c>
      <c r="P51" s="79">
        <v>0.47096565337831597</v>
      </c>
      <c r="Q51" s="79">
        <v>0.58962220900136098</v>
      </c>
      <c r="R51" s="79">
        <v>1</v>
      </c>
      <c r="S51" s="102">
        <v>1.0788007803134474</v>
      </c>
      <c r="T51" s="79">
        <v>3.6482358255345501E-2</v>
      </c>
      <c r="U51" s="79">
        <v>3.7609256960931502E-2</v>
      </c>
      <c r="V51" s="79">
        <v>8.2633049665133601E-2</v>
      </c>
      <c r="W51" s="79">
        <v>1</v>
      </c>
    </row>
    <row r="52" spans="2:23" x14ac:dyDescent="0.2">
      <c r="B52" t="s">
        <v>1006</v>
      </c>
      <c r="C52" s="84">
        <v>5036</v>
      </c>
      <c r="D52" s="102">
        <v>-2.4472779648226601E-2</v>
      </c>
      <c r="E52" s="79">
        <v>1.79679653156306E-2</v>
      </c>
      <c r="F52" s="79">
        <v>0.17328622949436701</v>
      </c>
      <c r="G52" s="79">
        <v>0.81796927009920195</v>
      </c>
      <c r="H52" s="79">
        <v>1</v>
      </c>
      <c r="I52" s="102">
        <v>-5.8984784981400201E-3</v>
      </c>
      <c r="J52" s="79">
        <v>1.7702868831053702E-2</v>
      </c>
      <c r="K52" s="79">
        <v>0.73901030400170598</v>
      </c>
      <c r="L52" s="79">
        <v>0.91967633960533601</v>
      </c>
      <c r="M52" s="79">
        <v>1</v>
      </c>
      <c r="N52" s="102">
        <v>6.9877056712377802E-2</v>
      </c>
      <c r="O52" s="79">
        <v>1.75826725418405E-2</v>
      </c>
      <c r="P52" s="79">
        <v>7.2176069199869394E-5</v>
      </c>
      <c r="Q52" s="79">
        <v>5.2784270703972597E-4</v>
      </c>
      <c r="R52" s="79">
        <v>0.122266261224579</v>
      </c>
      <c r="S52" s="102">
        <v>4.1111837954278599E-2</v>
      </c>
      <c r="T52" s="79">
        <v>1.75380808443815E-2</v>
      </c>
      <c r="U52" s="79">
        <v>1.9132525687100901E-2</v>
      </c>
      <c r="V52" s="79">
        <v>4.7245624655902201E-2</v>
      </c>
      <c r="W52" s="79">
        <v>1</v>
      </c>
    </row>
    <row r="53" spans="2:23" x14ac:dyDescent="0.2">
      <c r="B53" t="s">
        <v>1007</v>
      </c>
      <c r="C53" s="84">
        <v>5036</v>
      </c>
      <c r="D53" s="102">
        <v>-2.46475301485371E-2</v>
      </c>
      <c r="E53" s="79">
        <v>1.7885950266727998E-2</v>
      </c>
      <c r="F53" s="79">
        <v>0.16828806697318299</v>
      </c>
      <c r="G53" s="79">
        <v>0.81796927009920195</v>
      </c>
      <c r="H53" s="79">
        <v>1</v>
      </c>
      <c r="I53" s="102">
        <v>1.51071765652767E-2</v>
      </c>
      <c r="J53" s="79">
        <v>1.7618362098481902E-2</v>
      </c>
      <c r="K53" s="79">
        <v>0.39125169779670299</v>
      </c>
      <c r="L53" s="79">
        <v>0.76088358311707605</v>
      </c>
      <c r="M53" s="79">
        <v>1</v>
      </c>
      <c r="N53" s="102">
        <v>5.7255417898010301E-2</v>
      </c>
      <c r="O53" s="79">
        <v>1.7510813360628801E-2</v>
      </c>
      <c r="P53" s="79">
        <v>1.08808041689278E-3</v>
      </c>
      <c r="Q53" s="79">
        <v>4.7020618015723697E-3</v>
      </c>
      <c r="R53" s="79">
        <v>1</v>
      </c>
      <c r="S53" s="102">
        <v>3.2096270565527399E-2</v>
      </c>
      <c r="T53" s="79">
        <v>1.7424314827770699E-2</v>
      </c>
      <c r="U53" s="79">
        <v>6.5564386232248098E-2</v>
      </c>
      <c r="V53" s="79">
        <v>0.12592524974765101</v>
      </c>
      <c r="W53" s="79">
        <v>1</v>
      </c>
    </row>
    <row r="54" spans="2:23" x14ac:dyDescent="0.2">
      <c r="B54" t="s">
        <v>1008</v>
      </c>
      <c r="C54" s="84">
        <v>5036</v>
      </c>
      <c r="D54" s="102">
        <v>6.4194793689090496E-3</v>
      </c>
      <c r="E54" s="79">
        <v>1.7611148885715602E-2</v>
      </c>
      <c r="F54" s="79">
        <v>0.71550021465750002</v>
      </c>
      <c r="G54" s="79">
        <v>0.97160036230239</v>
      </c>
      <c r="H54" s="79">
        <v>1</v>
      </c>
      <c r="I54" s="102">
        <v>-3.5018780891430102E-3</v>
      </c>
      <c r="J54" s="79">
        <v>1.7341673619945399E-2</v>
      </c>
      <c r="K54" s="79">
        <v>0.83998150710029795</v>
      </c>
      <c r="L54" s="79">
        <v>0.95773349535755203</v>
      </c>
      <c r="M54" s="79">
        <v>1</v>
      </c>
      <c r="N54" s="102">
        <v>1.4631894315291201E-2</v>
      </c>
      <c r="O54" s="79">
        <v>1.7259431756587298E-2</v>
      </c>
      <c r="P54" s="79">
        <v>0.39663606716870298</v>
      </c>
      <c r="Q54" s="79">
        <v>0.51368616038515502</v>
      </c>
      <c r="R54" s="79">
        <v>1</v>
      </c>
      <c r="S54" s="102">
        <v>2.9189380363705001E-2</v>
      </c>
      <c r="T54" s="79">
        <v>1.7123367249762801E-2</v>
      </c>
      <c r="U54" s="79">
        <v>8.8361721988525099E-2</v>
      </c>
      <c r="V54" s="79">
        <v>0.158564361280256</v>
      </c>
      <c r="W54" s="79">
        <v>1</v>
      </c>
    </row>
    <row r="55" spans="2:23" x14ac:dyDescent="0.2">
      <c r="B55" t="s">
        <v>1009</v>
      </c>
      <c r="C55" s="84">
        <v>5036</v>
      </c>
      <c r="D55" s="102">
        <v>-8.4110112925183302E-3</v>
      </c>
      <c r="E55" s="79">
        <v>1.78998313321924E-2</v>
      </c>
      <c r="F55" s="79">
        <v>0.638463457886987</v>
      </c>
      <c r="G55" s="79">
        <v>0.95767440062337605</v>
      </c>
      <c r="H55" s="79">
        <v>1</v>
      </c>
      <c r="I55" s="102">
        <v>2.9691180481624099E-2</v>
      </c>
      <c r="J55" s="79">
        <v>1.7626414250477E-2</v>
      </c>
      <c r="K55" s="79">
        <v>9.2190131296977201E-2</v>
      </c>
      <c r="L55" s="79">
        <v>0.50540479746627598</v>
      </c>
      <c r="M55" s="79">
        <v>1</v>
      </c>
      <c r="N55" s="102">
        <v>2.84675902385884E-2</v>
      </c>
      <c r="O55" s="79">
        <v>1.7526251039234199E-2</v>
      </c>
      <c r="P55" s="79">
        <v>0.104415108573002</v>
      </c>
      <c r="Q55" s="79">
        <v>0.18067333393530699</v>
      </c>
      <c r="R55" s="79">
        <v>1</v>
      </c>
      <c r="S55" s="102">
        <v>6.1901917597997798E-2</v>
      </c>
      <c r="T55" s="79">
        <v>1.7367201880765699E-2</v>
      </c>
      <c r="U55" s="79">
        <v>3.7032947234716098E-4</v>
      </c>
      <c r="V55" s="79">
        <v>2.0501245952813398E-3</v>
      </c>
      <c r="W55" s="79">
        <v>0.62733812615609097</v>
      </c>
    </row>
    <row r="56" spans="2:23" x14ac:dyDescent="0.2">
      <c r="B56" t="s">
        <v>1010</v>
      </c>
      <c r="C56" s="84">
        <v>5036</v>
      </c>
      <c r="D56" s="102">
        <v>-1.7697935750105299E-2</v>
      </c>
      <c r="E56" s="79">
        <v>1.7921089041641702E-2</v>
      </c>
      <c r="F56" s="79">
        <v>0.32344991774044402</v>
      </c>
      <c r="G56" s="79">
        <v>0.88730162874475904</v>
      </c>
      <c r="H56" s="79">
        <v>1</v>
      </c>
      <c r="I56" s="102">
        <v>-1.9897642176158501E-2</v>
      </c>
      <c r="J56" s="79">
        <v>1.7626532750896099E-2</v>
      </c>
      <c r="K56" s="79">
        <v>0.25904972925166603</v>
      </c>
      <c r="L56" s="79">
        <v>0.68025543872958705</v>
      </c>
      <c r="M56" s="79">
        <v>1</v>
      </c>
      <c r="N56" s="102">
        <v>4.2186018570312997E-2</v>
      </c>
      <c r="O56" s="79">
        <v>1.7550835550190099E-2</v>
      </c>
      <c r="P56" s="79">
        <v>1.6290165846100799E-2</v>
      </c>
      <c r="Q56" s="79">
        <v>4.1248940124506403E-2</v>
      </c>
      <c r="R56" s="79">
        <v>1</v>
      </c>
      <c r="S56" s="102">
        <v>5.8446868659146702E-2</v>
      </c>
      <c r="T56" s="79">
        <v>1.7393881930765302E-2</v>
      </c>
      <c r="U56" s="79">
        <v>7.8839760307805801E-4</v>
      </c>
      <c r="V56" s="79">
        <v>3.7299738895570302E-3</v>
      </c>
      <c r="W56" s="79">
        <v>1</v>
      </c>
    </row>
    <row r="57" spans="2:23" x14ac:dyDescent="0.2">
      <c r="B57" t="s">
        <v>1011</v>
      </c>
      <c r="C57" s="84">
        <v>5036</v>
      </c>
      <c r="D57" s="102">
        <v>-1.22476994161681E-3</v>
      </c>
      <c r="E57" s="79">
        <v>1.79017001476281E-2</v>
      </c>
      <c r="F57" s="79">
        <v>0.94545851617383003</v>
      </c>
      <c r="G57" s="79">
        <v>0.99840985319461195</v>
      </c>
      <c r="H57" s="79">
        <v>1</v>
      </c>
      <c r="I57" s="102">
        <v>-5.3509306201488501E-3</v>
      </c>
      <c r="J57" s="79">
        <v>1.76128058045079E-2</v>
      </c>
      <c r="K57" s="79">
        <v>0.76129376836593698</v>
      </c>
      <c r="L57" s="79">
        <v>0.92637153989923704</v>
      </c>
      <c r="M57" s="79">
        <v>1</v>
      </c>
      <c r="N57" s="102">
        <v>3.1513261802802298E-2</v>
      </c>
      <c r="O57" s="79">
        <v>1.7542473883566698E-2</v>
      </c>
      <c r="P57" s="79">
        <v>7.2528051490459294E-2</v>
      </c>
      <c r="Q57" s="79">
        <v>0.13712334734914999</v>
      </c>
      <c r="R57" s="79">
        <v>1</v>
      </c>
      <c r="S57" s="107">
        <v>7.68898397621538E-2</v>
      </c>
      <c r="T57" s="81">
        <v>1.7369212053958801E-2</v>
      </c>
      <c r="U57" s="81">
        <v>9.8987058463751407E-6</v>
      </c>
      <c r="V57" s="81">
        <v>1.1977434074113899E-4</v>
      </c>
      <c r="W57" s="81">
        <v>1.6768407703759501E-2</v>
      </c>
    </row>
    <row r="58" spans="2:23" x14ac:dyDescent="0.2">
      <c r="B58" t="s">
        <v>1012</v>
      </c>
      <c r="C58" s="84">
        <v>5036</v>
      </c>
      <c r="D58" s="102">
        <v>-1.4825003463504601E-2</v>
      </c>
      <c r="E58" s="79">
        <v>1.7988041759960501E-2</v>
      </c>
      <c r="F58" s="79">
        <v>0.40991143093898702</v>
      </c>
      <c r="G58" s="79">
        <v>0.89561567502544503</v>
      </c>
      <c r="H58" s="79">
        <v>1</v>
      </c>
      <c r="I58" s="102">
        <v>-2.23935241058296E-3</v>
      </c>
      <c r="J58" s="79">
        <v>1.77082172497025E-2</v>
      </c>
      <c r="K58" s="79">
        <v>0.899377224560449</v>
      </c>
      <c r="L58" s="79">
        <v>0.98103349543168095</v>
      </c>
      <c r="M58" s="79">
        <v>1</v>
      </c>
      <c r="N58" s="102">
        <v>2.7310642537824899E-2</v>
      </c>
      <c r="O58" s="79">
        <v>1.76267270232317E-2</v>
      </c>
      <c r="P58" s="79">
        <v>0.121388836226086</v>
      </c>
      <c r="Q58" s="79">
        <v>0.20238118770274499</v>
      </c>
      <c r="R58" s="79">
        <v>1</v>
      </c>
      <c r="S58" s="102">
        <v>4.6158237802066501E-2</v>
      </c>
      <c r="T58" s="79">
        <v>1.7487848461528298E-2</v>
      </c>
      <c r="U58" s="79">
        <v>8.3458885125141796E-3</v>
      </c>
      <c r="V58" s="79">
        <v>2.45450262850678E-2</v>
      </c>
      <c r="W58" s="79">
        <v>1</v>
      </c>
    </row>
    <row r="59" spans="2:23" x14ac:dyDescent="0.2">
      <c r="B59" t="s">
        <v>1013</v>
      </c>
      <c r="C59" s="84">
        <v>5036</v>
      </c>
      <c r="D59" s="102">
        <v>-1.93551721633941E-3</v>
      </c>
      <c r="E59" s="79">
        <v>1.7857871405763701E-2</v>
      </c>
      <c r="F59" s="79">
        <v>0.91369757132465601</v>
      </c>
      <c r="G59" s="79">
        <v>0.99533029194181499</v>
      </c>
      <c r="H59" s="79">
        <v>1</v>
      </c>
      <c r="I59" s="102">
        <v>2.0920971483636398E-2</v>
      </c>
      <c r="J59" s="79">
        <v>1.75624544321261E-2</v>
      </c>
      <c r="K59" s="79">
        <v>0.233653424614402</v>
      </c>
      <c r="L59" s="79">
        <v>0.66141104862732303</v>
      </c>
      <c r="M59" s="79">
        <v>1</v>
      </c>
      <c r="N59" s="102">
        <v>4.2818501575852499E-2</v>
      </c>
      <c r="O59" s="79">
        <v>1.7483971919911901E-2</v>
      </c>
      <c r="P59" s="79">
        <v>1.43793100665758E-2</v>
      </c>
      <c r="Q59" s="79">
        <v>3.7302528717885801E-2</v>
      </c>
      <c r="R59" s="79">
        <v>1</v>
      </c>
      <c r="S59" s="107">
        <v>9.05736547519531E-2</v>
      </c>
      <c r="T59" s="81">
        <v>1.7305863000283299E-2</v>
      </c>
      <c r="U59" s="81">
        <v>1.7733092082199401E-7</v>
      </c>
      <c r="V59" s="81">
        <v>3.9012802580838702E-6</v>
      </c>
      <c r="W59" s="81">
        <v>3.00398579872458E-4</v>
      </c>
    </row>
    <row r="60" spans="2:23" x14ac:dyDescent="0.2">
      <c r="B60" t="s">
        <v>1135</v>
      </c>
      <c r="C60" s="84">
        <v>4983</v>
      </c>
      <c r="D60" s="102">
        <v>-2.0483317245919001E-2</v>
      </c>
      <c r="E60" s="79">
        <v>1.4449795191580199E-2</v>
      </c>
      <c r="F60" s="79">
        <v>0.156384650120514</v>
      </c>
      <c r="G60" s="79">
        <v>0.812624531607824</v>
      </c>
      <c r="H60" s="79">
        <v>1</v>
      </c>
      <c r="I60" s="102">
        <v>1.75506654803433E-2</v>
      </c>
      <c r="J60" s="79">
        <v>1.4407080293346501E-2</v>
      </c>
      <c r="K60" s="79">
        <v>0.22320717077500199</v>
      </c>
      <c r="L60" s="79">
        <v>0.65304481397729397</v>
      </c>
      <c r="M60" s="79">
        <v>1</v>
      </c>
      <c r="N60" s="102">
        <v>5.1838849912664201E-2</v>
      </c>
      <c r="O60" s="79">
        <v>1.42490857049684E-2</v>
      </c>
      <c r="P60" s="79">
        <v>2.7750460085538002E-4</v>
      </c>
      <c r="Q60" s="79">
        <v>1.5828040196936501E-3</v>
      </c>
      <c r="R60" s="79">
        <v>0.47009279384901398</v>
      </c>
      <c r="S60" s="102">
        <v>3.0975898833862502E-2</v>
      </c>
      <c r="T60" s="79">
        <v>1.4271382830543401E-2</v>
      </c>
      <c r="U60" s="79">
        <v>3.0017069787667699E-2</v>
      </c>
      <c r="V60" s="79">
        <v>6.9182198939195999E-2</v>
      </c>
      <c r="W60" s="79">
        <v>1</v>
      </c>
    </row>
    <row r="61" spans="2:23" x14ac:dyDescent="0.2">
      <c r="B61" t="s">
        <v>1136</v>
      </c>
      <c r="C61" s="84">
        <v>4983</v>
      </c>
      <c r="D61" s="102">
        <v>-5.4359618227563704E-3</v>
      </c>
      <c r="E61" s="79">
        <v>1.4182126812645499E-2</v>
      </c>
      <c r="F61" s="79">
        <v>0.70151625905455794</v>
      </c>
      <c r="G61" s="79">
        <v>0.96986661987494405</v>
      </c>
      <c r="H61" s="79">
        <v>1</v>
      </c>
      <c r="I61" s="102">
        <v>3.5626435279646602E-2</v>
      </c>
      <c r="J61" s="79">
        <v>1.41265194091826E-2</v>
      </c>
      <c r="K61" s="79">
        <v>1.17018258161304E-2</v>
      </c>
      <c r="L61" s="79">
        <v>0.20866203086868301</v>
      </c>
      <c r="M61" s="79">
        <v>1</v>
      </c>
      <c r="N61" s="107">
        <v>9.1223885225496598E-2</v>
      </c>
      <c r="O61" s="81">
        <v>1.39445370101974E-2</v>
      </c>
      <c r="P61" s="81">
        <v>6.6888798157538E-11</v>
      </c>
      <c r="Q61" s="81">
        <v>2.3606171683097802E-9</v>
      </c>
      <c r="R61" s="81">
        <v>1.13309624078869E-7</v>
      </c>
      <c r="S61" s="102">
        <v>5.0007168447079697E-2</v>
      </c>
      <c r="T61" s="79">
        <v>1.39933845329931E-2</v>
      </c>
      <c r="U61" s="79">
        <v>3.5543465086697502E-4</v>
      </c>
      <c r="V61" s="79">
        <v>1.9870668767916801E-3</v>
      </c>
      <c r="W61" s="79">
        <v>0.60210629856865605</v>
      </c>
    </row>
    <row r="62" spans="2:23" x14ac:dyDescent="0.2">
      <c r="B62" t="s">
        <v>1137</v>
      </c>
      <c r="C62" s="84">
        <v>5023</v>
      </c>
      <c r="D62" s="102">
        <v>-1.7349805911884598E-2</v>
      </c>
      <c r="E62" s="79">
        <v>1.42662575727674E-2</v>
      </c>
      <c r="F62" s="79">
        <v>0.223988762690398</v>
      </c>
      <c r="G62" s="79">
        <v>0.84071215771938901</v>
      </c>
      <c r="H62" s="79">
        <v>1</v>
      </c>
      <c r="I62" s="102">
        <v>2.9534998878069599E-2</v>
      </c>
      <c r="J62" s="79">
        <v>1.4208361722956499E-2</v>
      </c>
      <c r="K62" s="79">
        <v>3.7696471775897002E-2</v>
      </c>
      <c r="L62" s="79">
        <v>0.374397350453329</v>
      </c>
      <c r="M62" s="79">
        <v>1</v>
      </c>
      <c r="N62" s="107">
        <v>7.5639842189818701E-2</v>
      </c>
      <c r="O62" s="81">
        <v>1.40328630807457E-2</v>
      </c>
      <c r="P62" s="81">
        <v>7.3676995758525694E-8</v>
      </c>
      <c r="Q62" s="81">
        <v>1.3277535193078999E-6</v>
      </c>
      <c r="R62" s="81">
        <v>1.2480883081494301E-4</v>
      </c>
      <c r="S62" s="102">
        <v>5.5001176414745903E-2</v>
      </c>
      <c r="T62" s="79">
        <v>1.4055469427552E-2</v>
      </c>
      <c r="U62" s="79">
        <v>9.2334393262470901E-5</v>
      </c>
      <c r="V62" s="79">
        <v>6.7102581402210396E-4</v>
      </c>
      <c r="W62" s="79">
        <v>0.156414462186626</v>
      </c>
    </row>
    <row r="63" spans="2:23" x14ac:dyDescent="0.2">
      <c r="B63" t="s">
        <v>1138</v>
      </c>
      <c r="C63" s="84">
        <v>5020</v>
      </c>
      <c r="D63" s="102">
        <v>2.5705231244711399E-3</v>
      </c>
      <c r="E63" s="79">
        <v>1.4365808913031001E-2</v>
      </c>
      <c r="F63" s="79">
        <v>0.85799725229896195</v>
      </c>
      <c r="G63" s="79">
        <v>0.99362338620020496</v>
      </c>
      <c r="H63" s="79">
        <v>1</v>
      </c>
      <c r="I63" s="102">
        <v>3.39318366634066E-2</v>
      </c>
      <c r="J63" s="79">
        <v>1.43229651146289E-2</v>
      </c>
      <c r="K63" s="79">
        <v>1.7871803946962798E-2</v>
      </c>
      <c r="L63" s="79">
        <v>0.26871569429058501</v>
      </c>
      <c r="M63" s="79">
        <v>1</v>
      </c>
      <c r="N63" s="107">
        <v>9.8487730351510094E-2</v>
      </c>
      <c r="O63" s="81">
        <v>1.41127198565706E-2</v>
      </c>
      <c r="P63" s="81">
        <v>3.3702614581432101E-12</v>
      </c>
      <c r="Q63" s="81">
        <v>1.8888730590904E-10</v>
      </c>
      <c r="R63" s="81">
        <v>5.7092229100946003E-9</v>
      </c>
      <c r="S63" s="107">
        <v>8.4086687709090405E-2</v>
      </c>
      <c r="T63" s="81">
        <v>1.4139307025523601E-2</v>
      </c>
      <c r="U63" s="81">
        <v>2.9169725347818902E-9</v>
      </c>
      <c r="V63" s="81">
        <v>1.9005197976617401E-7</v>
      </c>
      <c r="W63" s="81">
        <v>4.9413514739205201E-6</v>
      </c>
    </row>
    <row r="64" spans="2:23" x14ac:dyDescent="0.2">
      <c r="B64" t="s">
        <v>1139</v>
      </c>
      <c r="C64" s="84">
        <v>5031</v>
      </c>
      <c r="D64" s="102">
        <v>-1.34229979428982E-2</v>
      </c>
      <c r="E64" s="79">
        <v>1.4252544551322299E-2</v>
      </c>
      <c r="F64" s="79">
        <v>0.346342414792078</v>
      </c>
      <c r="G64" s="79">
        <v>0.89461055933914202</v>
      </c>
      <c r="H64" s="79">
        <v>1</v>
      </c>
      <c r="I64" s="102">
        <v>3.2357690119577197E-2</v>
      </c>
      <c r="J64" s="79">
        <v>1.4203495553191199E-2</v>
      </c>
      <c r="K64" s="79">
        <v>2.2760023518966999E-2</v>
      </c>
      <c r="L64" s="79">
        <v>0.30358645544196899</v>
      </c>
      <c r="M64" s="79">
        <v>1</v>
      </c>
      <c r="N64" s="102">
        <v>4.4449197654426599E-2</v>
      </c>
      <c r="O64" s="79">
        <v>1.4057649467904601E-2</v>
      </c>
      <c r="P64" s="79">
        <v>1.5767563970312899E-3</v>
      </c>
      <c r="Q64" s="79">
        <v>6.3595841346928703E-3</v>
      </c>
      <c r="R64" s="79">
        <v>1</v>
      </c>
      <c r="S64" s="102">
        <v>4.6223561966210303E-2</v>
      </c>
      <c r="T64" s="79">
        <v>1.40614446052192E-2</v>
      </c>
      <c r="U64" s="79">
        <v>1.0187301081381701E-3</v>
      </c>
      <c r="V64" s="79">
        <v>4.5654201142488401E-3</v>
      </c>
      <c r="W64" s="79">
        <v>1</v>
      </c>
    </row>
    <row r="65" spans="2:23" x14ac:dyDescent="0.2">
      <c r="B65" t="s">
        <v>1140</v>
      </c>
      <c r="C65" s="84">
        <v>5036</v>
      </c>
      <c r="D65" s="102">
        <v>-8.91292215383404E-5</v>
      </c>
      <c r="E65" s="79">
        <v>1.4278742170041801E-2</v>
      </c>
      <c r="F65" s="79">
        <v>0.99501981346837598</v>
      </c>
      <c r="G65" s="79">
        <v>0.99962502278478604</v>
      </c>
      <c r="H65" s="79">
        <v>1</v>
      </c>
      <c r="I65" s="102">
        <v>4.8622584956701399E-3</v>
      </c>
      <c r="J65" s="79">
        <v>1.42459109731302E-2</v>
      </c>
      <c r="K65" s="79">
        <v>0.73288538687182003</v>
      </c>
      <c r="L65" s="79">
        <v>0.91941449148482102</v>
      </c>
      <c r="M65" s="79">
        <v>1</v>
      </c>
      <c r="N65" s="102">
        <v>4.19926741210538E-2</v>
      </c>
      <c r="O65" s="79">
        <v>1.40899729059994E-2</v>
      </c>
      <c r="P65" s="79">
        <v>2.89336854985498E-3</v>
      </c>
      <c r="Q65" s="79">
        <v>1.00541040582204E-2</v>
      </c>
      <c r="R65" s="79">
        <v>1</v>
      </c>
      <c r="S65" s="102">
        <v>2.62151830031945E-2</v>
      </c>
      <c r="T65" s="79">
        <v>1.4099006330408399E-2</v>
      </c>
      <c r="U65" s="79">
        <v>6.3034652754465903E-2</v>
      </c>
      <c r="V65" s="79">
        <v>0.12231466410774899</v>
      </c>
      <c r="W65" s="79">
        <v>1</v>
      </c>
    </row>
    <row r="66" spans="2:23" x14ac:dyDescent="0.2">
      <c r="B66" t="s">
        <v>1141</v>
      </c>
      <c r="C66" s="84">
        <v>5036</v>
      </c>
      <c r="D66" s="102">
        <v>-2.20620180426481E-2</v>
      </c>
      <c r="E66" s="79">
        <v>1.42096492697348E-2</v>
      </c>
      <c r="F66" s="79">
        <v>0.120580483538084</v>
      </c>
      <c r="G66" s="79">
        <v>0.80938271582532695</v>
      </c>
      <c r="H66" s="79">
        <v>1</v>
      </c>
      <c r="I66" s="102">
        <v>2.7944639886339599E-2</v>
      </c>
      <c r="J66" s="79">
        <v>1.41491683033625E-2</v>
      </c>
      <c r="K66" s="79">
        <v>4.8323606401344102E-2</v>
      </c>
      <c r="L66" s="79">
        <v>0.40114376697029003</v>
      </c>
      <c r="M66" s="79">
        <v>1</v>
      </c>
      <c r="N66" s="107">
        <v>9.8357632131356496E-2</v>
      </c>
      <c r="O66" s="81">
        <v>1.39522324297857E-2</v>
      </c>
      <c r="P66" s="81">
        <v>2.0416640395701002E-12</v>
      </c>
      <c r="Q66" s="81">
        <v>1.23520674393991E-10</v>
      </c>
      <c r="R66" s="81">
        <v>3.45857888303175E-9</v>
      </c>
      <c r="S66" s="102">
        <v>5.6324971682745903E-2</v>
      </c>
      <c r="T66" s="79">
        <v>1.4002520333326499E-2</v>
      </c>
      <c r="U66" s="79">
        <v>5.8446749441041001E-5</v>
      </c>
      <c r="V66" s="79">
        <v>4.8062521142292901E-4</v>
      </c>
      <c r="W66" s="79">
        <v>9.9008793553123503E-2</v>
      </c>
    </row>
    <row r="67" spans="2:23" x14ac:dyDescent="0.2">
      <c r="B67" t="s">
        <v>1142</v>
      </c>
      <c r="C67" s="84">
        <v>5034</v>
      </c>
      <c r="D67" s="102">
        <v>-1.2354788331639501E-2</v>
      </c>
      <c r="E67" s="79">
        <v>1.4216863298043799E-2</v>
      </c>
      <c r="F67" s="79">
        <v>0.38487619215192698</v>
      </c>
      <c r="G67" s="79">
        <v>0.89461055933914202</v>
      </c>
      <c r="H67" s="79">
        <v>1</v>
      </c>
      <c r="I67" s="102">
        <v>3.2843169855747797E-2</v>
      </c>
      <c r="J67" s="79">
        <v>1.41538534264761E-2</v>
      </c>
      <c r="K67" s="79">
        <v>2.03575651278829E-2</v>
      </c>
      <c r="L67" s="79">
        <v>0.28979592711456797</v>
      </c>
      <c r="M67" s="79">
        <v>1</v>
      </c>
      <c r="N67" s="107">
        <v>9.2818303236584604E-2</v>
      </c>
      <c r="O67" s="81">
        <v>1.3963144597414099E-2</v>
      </c>
      <c r="P67" s="81">
        <v>3.3052112435818998E-11</v>
      </c>
      <c r="Q67" s="81">
        <v>1.37716618491804E-9</v>
      </c>
      <c r="R67" s="81">
        <v>5.59902784662774E-8</v>
      </c>
      <c r="S67" s="107">
        <v>6.3067654915509294E-2</v>
      </c>
      <c r="T67" s="81">
        <v>1.39962636514164E-2</v>
      </c>
      <c r="U67" s="81">
        <v>6.75717323266169E-6</v>
      </c>
      <c r="V67" s="81">
        <v>8.9426964501007104E-5</v>
      </c>
      <c r="W67" s="81">
        <v>1.1446651456128901E-2</v>
      </c>
    </row>
    <row r="68" spans="2:23" x14ac:dyDescent="0.2">
      <c r="B68" t="s">
        <v>1143</v>
      </c>
      <c r="C68" s="84">
        <v>5031</v>
      </c>
      <c r="D68" s="102">
        <v>-2.39145533898961E-2</v>
      </c>
      <c r="E68" s="79">
        <v>1.42904407872261E-2</v>
      </c>
      <c r="F68" s="79">
        <v>9.4298584220744094E-2</v>
      </c>
      <c r="G68" s="79">
        <v>0.76431484052603105</v>
      </c>
      <c r="H68" s="79">
        <v>1</v>
      </c>
      <c r="I68" s="102">
        <v>2.69051554774546E-2</v>
      </c>
      <c r="J68" s="79">
        <v>1.42581915433712E-2</v>
      </c>
      <c r="K68" s="79">
        <v>5.9219119555933598E-2</v>
      </c>
      <c r="L68" s="79">
        <v>0.42388828942846402</v>
      </c>
      <c r="M68" s="79">
        <v>1</v>
      </c>
      <c r="N68" s="102">
        <v>4.6249772720424298E-2</v>
      </c>
      <c r="O68" s="79">
        <v>1.41046629526704E-2</v>
      </c>
      <c r="P68" s="79">
        <v>1.0487673470371201E-3</v>
      </c>
      <c r="Q68" s="79">
        <v>4.6026214660126498E-3</v>
      </c>
      <c r="R68" s="79">
        <v>1</v>
      </c>
      <c r="S68" s="102">
        <v>3.21095547473816E-2</v>
      </c>
      <c r="T68" s="79">
        <v>1.4124009329950799E-2</v>
      </c>
      <c r="U68" s="79">
        <v>2.30444239945953E-2</v>
      </c>
      <c r="V68" s="79">
        <v>5.5137364755429998E-2</v>
      </c>
      <c r="W68" s="79">
        <v>1</v>
      </c>
    </row>
    <row r="69" spans="2:23" x14ac:dyDescent="0.2">
      <c r="B69" t="s">
        <v>3729</v>
      </c>
      <c r="C69" s="84">
        <v>5048</v>
      </c>
      <c r="D69" s="102">
        <v>0.95632341192923742</v>
      </c>
      <c r="E69" s="79">
        <v>3.3854497003872698E-2</v>
      </c>
      <c r="F69" s="79">
        <v>0.18711930172510499</v>
      </c>
      <c r="G69" s="79">
        <v>0.83003013605610498</v>
      </c>
      <c r="H69" s="79">
        <v>1</v>
      </c>
      <c r="I69" s="102">
        <v>0.94510908006749983</v>
      </c>
      <c r="J69" s="79">
        <v>3.3630037933049403E-2</v>
      </c>
      <c r="K69" s="79">
        <v>9.3209454314057097E-2</v>
      </c>
      <c r="L69" s="79">
        <v>0.50770680259811196</v>
      </c>
      <c r="M69" s="79">
        <v>1</v>
      </c>
      <c r="N69" s="102">
        <v>1.0528589262488295</v>
      </c>
      <c r="O69" s="79">
        <v>3.3291605279553799E-2</v>
      </c>
      <c r="P69" s="79">
        <v>0.12181155535702599</v>
      </c>
      <c r="Q69" s="79">
        <v>0.20270017168448101</v>
      </c>
      <c r="R69" s="79">
        <v>1</v>
      </c>
      <c r="S69" s="102">
        <v>1.0583652994625412</v>
      </c>
      <c r="T69" s="79">
        <v>3.3225780600955497E-2</v>
      </c>
      <c r="U69" s="79">
        <v>8.7770934554332505E-2</v>
      </c>
      <c r="V69" s="79">
        <v>0.15817442886706301</v>
      </c>
      <c r="W69" s="79">
        <v>1</v>
      </c>
    </row>
    <row r="70" spans="2:23" x14ac:dyDescent="0.2">
      <c r="B70" t="s">
        <v>3730</v>
      </c>
      <c r="C70" s="84">
        <v>5048</v>
      </c>
      <c r="D70" s="102">
        <v>0.98542040007083165</v>
      </c>
      <c r="E70" s="79">
        <v>3.64322664344265E-2</v>
      </c>
      <c r="F70" s="79">
        <v>0.68685285059024004</v>
      </c>
      <c r="G70" s="79">
        <v>0.96670198527320195</v>
      </c>
      <c r="H70" s="79">
        <v>1</v>
      </c>
      <c r="I70" s="102">
        <v>1.0194434776483603</v>
      </c>
      <c r="J70" s="79">
        <v>3.6274839766824003E-2</v>
      </c>
      <c r="K70" s="79">
        <v>0.59551566815783197</v>
      </c>
      <c r="L70" s="79">
        <v>0.86877257647115202</v>
      </c>
      <c r="M70" s="79">
        <v>1</v>
      </c>
      <c r="N70" s="102">
        <v>1.1149535215016786</v>
      </c>
      <c r="O70" s="79">
        <v>3.6105957370561402E-2</v>
      </c>
      <c r="P70" s="79">
        <v>2.5807826305432702E-3</v>
      </c>
      <c r="Q70" s="79">
        <v>9.0981940186977105E-3</v>
      </c>
      <c r="R70" s="79">
        <v>1</v>
      </c>
      <c r="S70" s="102">
        <v>1.0197045220056311</v>
      </c>
      <c r="T70" s="79">
        <v>3.5941348714718102E-2</v>
      </c>
      <c r="U70" s="79">
        <v>0.58719208863642902</v>
      </c>
      <c r="V70" s="79">
        <v>0.67990662894744403</v>
      </c>
      <c r="W70" s="79">
        <v>1</v>
      </c>
    </row>
    <row r="71" spans="2:23" x14ac:dyDescent="0.2">
      <c r="B71" t="s">
        <v>3731</v>
      </c>
      <c r="C71" s="84">
        <v>5048</v>
      </c>
      <c r="D71" s="102">
        <v>0.95408479818492309</v>
      </c>
      <c r="E71" s="79">
        <v>3.5727160451763801E-2</v>
      </c>
      <c r="F71" s="79">
        <v>0.18830765486499601</v>
      </c>
      <c r="G71" s="79">
        <v>0.83003013605610498</v>
      </c>
      <c r="H71" s="79">
        <v>1</v>
      </c>
      <c r="I71" s="102">
        <v>1.0362475122741435</v>
      </c>
      <c r="J71" s="79">
        <v>3.5358403795419699E-2</v>
      </c>
      <c r="K71" s="79">
        <v>0.31393322289354098</v>
      </c>
      <c r="L71" s="79">
        <v>0.71287249273680797</v>
      </c>
      <c r="M71" s="79">
        <v>1</v>
      </c>
      <c r="N71" s="102">
        <v>1.0960850110549041</v>
      </c>
      <c r="O71" s="79">
        <v>3.5100037146167197E-2</v>
      </c>
      <c r="P71" s="79">
        <v>8.9539394708513798E-3</v>
      </c>
      <c r="Q71" s="79">
        <v>2.5578370090425399E-2</v>
      </c>
      <c r="R71" s="79">
        <v>1</v>
      </c>
      <c r="S71" s="102">
        <v>1.1342907751180367</v>
      </c>
      <c r="T71" s="79">
        <v>3.5161297141127298E-2</v>
      </c>
      <c r="U71" s="79">
        <v>3.3875940614822399E-4</v>
      </c>
      <c r="V71" s="79">
        <v>1.90650642529931E-3</v>
      </c>
      <c r="W71" s="79">
        <v>0.57385843401509196</v>
      </c>
    </row>
    <row r="72" spans="2:23" x14ac:dyDescent="0.2">
      <c r="B72" t="s">
        <v>3732</v>
      </c>
      <c r="C72" s="84">
        <v>5048</v>
      </c>
      <c r="D72" s="102">
        <v>0.94942073029876217</v>
      </c>
      <c r="E72" s="79">
        <v>3.4870455267184901E-2</v>
      </c>
      <c r="F72" s="79">
        <v>0.136629925024041</v>
      </c>
      <c r="G72" s="79">
        <v>0.80938271582532695</v>
      </c>
      <c r="H72" s="79">
        <v>1</v>
      </c>
      <c r="I72" s="102">
        <v>0.93104833507099982</v>
      </c>
      <c r="J72" s="79">
        <v>3.4680876462930797E-2</v>
      </c>
      <c r="K72" s="79">
        <v>3.9394460854545503E-2</v>
      </c>
      <c r="L72" s="79">
        <v>0.3770294728113</v>
      </c>
      <c r="M72" s="79">
        <v>1</v>
      </c>
      <c r="N72" s="102">
        <v>1.0371021314980948</v>
      </c>
      <c r="O72" s="79">
        <v>3.4297566189018698E-2</v>
      </c>
      <c r="P72" s="79">
        <v>0.28815102631857897</v>
      </c>
      <c r="Q72" s="79">
        <v>0.40076177223618498</v>
      </c>
      <c r="R72" s="79">
        <v>1</v>
      </c>
      <c r="S72" s="102">
        <v>0.96889467128984685</v>
      </c>
      <c r="T72" s="79">
        <v>3.4354529705080399E-2</v>
      </c>
      <c r="U72" s="79">
        <v>0.35767614329126202</v>
      </c>
      <c r="V72" s="79">
        <v>0.47521834253756701</v>
      </c>
      <c r="W72" s="79">
        <v>1</v>
      </c>
    </row>
    <row r="73" spans="2:23" x14ac:dyDescent="0.2">
      <c r="B73" t="s">
        <v>3733</v>
      </c>
      <c r="C73" s="84">
        <v>5048</v>
      </c>
      <c r="D73" s="102">
        <v>0.96559224095273843</v>
      </c>
      <c r="E73" s="79">
        <v>5.237479101123E-2</v>
      </c>
      <c r="F73" s="79">
        <v>0.50380111769486402</v>
      </c>
      <c r="G73" s="79">
        <v>0.91752655785263504</v>
      </c>
      <c r="H73" s="79">
        <v>1</v>
      </c>
      <c r="I73" s="102">
        <v>0.93134115696422315</v>
      </c>
      <c r="J73" s="79">
        <v>5.2548070149982903E-2</v>
      </c>
      <c r="K73" s="79">
        <v>0.175860627288428</v>
      </c>
      <c r="L73" s="79">
        <v>0.61396896490869202</v>
      </c>
      <c r="M73" s="79">
        <v>1</v>
      </c>
      <c r="N73" s="102">
        <v>1.0908123465942952</v>
      </c>
      <c r="O73" s="79">
        <v>5.1660457959022403E-2</v>
      </c>
      <c r="P73" s="79">
        <v>9.2457035764709594E-2</v>
      </c>
      <c r="Q73" s="79">
        <v>0.16417423331804801</v>
      </c>
      <c r="R73" s="79">
        <v>1</v>
      </c>
      <c r="S73" s="102">
        <v>1.0621029255865224</v>
      </c>
      <c r="T73" s="79">
        <v>5.1610996680128002E-2</v>
      </c>
      <c r="U73" s="79">
        <v>0.243047640517567</v>
      </c>
      <c r="V73" s="79">
        <v>0.35284659954048198</v>
      </c>
      <c r="W73" s="79">
        <v>1</v>
      </c>
    </row>
    <row r="74" spans="2:23" x14ac:dyDescent="0.2">
      <c r="B74" t="s">
        <v>3734</v>
      </c>
      <c r="C74" s="84">
        <v>5048</v>
      </c>
      <c r="D74" s="102">
        <v>0.98841412370436998</v>
      </c>
      <c r="E74" s="79">
        <v>3.3142569585250303E-2</v>
      </c>
      <c r="F74" s="79">
        <v>0.72512495709930402</v>
      </c>
      <c r="G74" s="79">
        <v>0.97257456637072104</v>
      </c>
      <c r="H74" s="79">
        <v>1</v>
      </c>
      <c r="I74" s="102">
        <v>1.0435718010875197</v>
      </c>
      <c r="J74" s="79">
        <v>3.2949613423921997E-2</v>
      </c>
      <c r="K74" s="79">
        <v>0.19553490287094599</v>
      </c>
      <c r="L74" s="79">
        <v>0.63930272249608699</v>
      </c>
      <c r="M74" s="79">
        <v>1</v>
      </c>
      <c r="N74" s="102">
        <v>1.0218797895814222</v>
      </c>
      <c r="O74" s="79">
        <v>3.2635119597038499E-2</v>
      </c>
      <c r="P74" s="79">
        <v>0.50719754973369202</v>
      </c>
      <c r="Q74" s="79">
        <v>0.62305485804849503</v>
      </c>
      <c r="R74" s="79">
        <v>1</v>
      </c>
      <c r="S74" s="102">
        <v>1.0225098258362004</v>
      </c>
      <c r="T74" s="79">
        <v>3.2599753538669403E-2</v>
      </c>
      <c r="U74" s="79">
        <v>0.49471177365917102</v>
      </c>
      <c r="V74" s="79">
        <v>0.60236629595479196</v>
      </c>
      <c r="W74" s="79">
        <v>1</v>
      </c>
    </row>
    <row r="75" spans="2:23" x14ac:dyDescent="0.2">
      <c r="B75" t="s">
        <v>3728</v>
      </c>
      <c r="C75" s="84">
        <v>5013</v>
      </c>
      <c r="D75" s="102">
        <v>0.90101762694072129</v>
      </c>
      <c r="E75" s="79">
        <v>6.5844045913939803E-2</v>
      </c>
      <c r="F75" s="79">
        <v>0.113423772839867</v>
      </c>
      <c r="G75" s="79">
        <v>0.80938271582532695</v>
      </c>
      <c r="H75" s="79">
        <v>1</v>
      </c>
      <c r="I75" s="102">
        <v>1.0963120932622923</v>
      </c>
      <c r="J75" s="79">
        <v>6.5090904478243394E-2</v>
      </c>
      <c r="K75" s="79">
        <v>0.157753062976316</v>
      </c>
      <c r="L75" s="79">
        <v>0.59783822971337697</v>
      </c>
      <c r="M75" s="79">
        <v>1</v>
      </c>
      <c r="N75" s="102">
        <v>1.1920652759826103</v>
      </c>
      <c r="O75" s="79">
        <v>6.4687536273793297E-2</v>
      </c>
      <c r="P75" s="79">
        <v>6.6088320949880602E-3</v>
      </c>
      <c r="Q75" s="79">
        <v>2.0099392403787698E-2</v>
      </c>
      <c r="R75" s="79">
        <v>1</v>
      </c>
      <c r="S75" s="102">
        <v>1.2231360347520035</v>
      </c>
      <c r="T75" s="79">
        <v>6.4836570622011605E-2</v>
      </c>
      <c r="U75" s="79">
        <v>1.89283974955552E-3</v>
      </c>
      <c r="V75" s="79">
        <v>7.4742902931166696E-3</v>
      </c>
      <c r="W75" s="79">
        <v>1</v>
      </c>
    </row>
    <row r="76" spans="2:23" x14ac:dyDescent="0.2">
      <c r="B76" t="s">
        <v>3744</v>
      </c>
      <c r="C76" s="84">
        <v>2053</v>
      </c>
      <c r="D76" s="102">
        <v>0.97927885443940133</v>
      </c>
      <c r="E76" s="79">
        <v>4.9112385621781302E-2</v>
      </c>
      <c r="F76" s="79">
        <v>0.66985616105642998</v>
      </c>
      <c r="G76" s="79">
        <v>0.96329994356686</v>
      </c>
      <c r="H76" s="79">
        <v>1</v>
      </c>
      <c r="I76" s="102">
        <v>1.0138586619850001</v>
      </c>
      <c r="J76" s="79">
        <v>4.9513836196510001E-2</v>
      </c>
      <c r="K76" s="79">
        <v>0.78103309657174802</v>
      </c>
      <c r="L76" s="79">
        <v>0.92863930730510702</v>
      </c>
      <c r="M76" s="79">
        <v>1</v>
      </c>
      <c r="N76" s="102">
        <v>0.83120471425088982</v>
      </c>
      <c r="O76" s="79">
        <v>4.88676367673457E-2</v>
      </c>
      <c r="P76" s="79">
        <v>1.5478512838432301E-4</v>
      </c>
      <c r="Q76" s="79">
        <v>9.6754984311086005E-4</v>
      </c>
      <c r="R76" s="79">
        <v>0.26220600748304301</v>
      </c>
      <c r="S76" s="102">
        <v>0.88898029579040594</v>
      </c>
      <c r="T76" s="79">
        <v>4.8064544147905203E-2</v>
      </c>
      <c r="U76" s="79">
        <v>1.43500722625908E-2</v>
      </c>
      <c r="V76" s="79">
        <v>3.7283776706792698E-2</v>
      </c>
      <c r="W76" s="79">
        <v>1</v>
      </c>
    </row>
    <row r="77" spans="2:23" x14ac:dyDescent="0.2">
      <c r="B77" t="s">
        <v>1015</v>
      </c>
      <c r="C77" s="84">
        <v>5036</v>
      </c>
      <c r="D77" s="102">
        <v>-6.4827891089059998E-3</v>
      </c>
      <c r="E77" s="79">
        <v>2.13084415633664E-2</v>
      </c>
      <c r="F77" s="79">
        <v>0.76097534666786804</v>
      </c>
      <c r="G77" s="79">
        <v>0.98179149829045598</v>
      </c>
      <c r="H77" s="79">
        <v>1</v>
      </c>
      <c r="I77" s="102">
        <v>-9.6042132355036603E-3</v>
      </c>
      <c r="J77" s="79">
        <v>2.1102563788923601E-2</v>
      </c>
      <c r="K77" s="79">
        <v>0.64906457830569697</v>
      </c>
      <c r="L77" s="79">
        <v>0.88374695918109603</v>
      </c>
      <c r="M77" s="79">
        <v>1</v>
      </c>
      <c r="N77" s="102">
        <v>3.2799835723415098E-2</v>
      </c>
      <c r="O77" s="79">
        <v>2.0798157447443399E-2</v>
      </c>
      <c r="P77" s="79">
        <v>0.11491672336631201</v>
      </c>
      <c r="Q77" s="79">
        <v>0.19408666937440899</v>
      </c>
      <c r="R77" s="79">
        <v>1</v>
      </c>
      <c r="S77" s="102">
        <v>-1.03171635108118E-2</v>
      </c>
      <c r="T77" s="79">
        <v>2.06608775004542E-2</v>
      </c>
      <c r="U77" s="79">
        <v>0.61757496911828302</v>
      </c>
      <c r="V77" s="79">
        <v>0.70177992348704599</v>
      </c>
      <c r="W77" s="79">
        <v>1</v>
      </c>
    </row>
    <row r="78" spans="2:23" x14ac:dyDescent="0.2">
      <c r="B78" t="s">
        <v>1024</v>
      </c>
      <c r="C78" s="84">
        <v>5036</v>
      </c>
      <c r="D78" s="102">
        <v>-3.1297781158159499E-4</v>
      </c>
      <c r="E78" s="79">
        <v>2.2780774996724201E-3</v>
      </c>
      <c r="F78" s="79">
        <v>0.89084816203894202</v>
      </c>
      <c r="G78" s="79">
        <v>0.99362338620020496</v>
      </c>
      <c r="H78" s="79">
        <v>1</v>
      </c>
      <c r="I78" s="102">
        <v>1.7432644963346999E-3</v>
      </c>
      <c r="J78" s="79">
        <v>2.03780092528665E-3</v>
      </c>
      <c r="K78" s="79">
        <v>0.39321928559031399</v>
      </c>
      <c r="L78" s="79">
        <v>0.76301657478807805</v>
      </c>
      <c r="M78" s="79">
        <v>1</v>
      </c>
      <c r="N78" s="102">
        <v>4.7629139233512798E-4</v>
      </c>
      <c r="O78" s="79">
        <v>1.9504337318939999E-3</v>
      </c>
      <c r="P78" s="79">
        <v>0.80730090917768804</v>
      </c>
      <c r="Q78" s="79">
        <v>0.86609736551425198</v>
      </c>
      <c r="R78" s="79">
        <v>1</v>
      </c>
      <c r="S78" s="102">
        <v>3.1485102924584999E-3</v>
      </c>
      <c r="T78" s="79">
        <v>2.3765215909448199E-3</v>
      </c>
      <c r="U78" s="79">
        <v>0.18658087280434199</v>
      </c>
      <c r="V78" s="79">
        <v>0.28707356814764301</v>
      </c>
      <c r="W78" s="79">
        <v>1</v>
      </c>
    </row>
    <row r="79" spans="2:23" x14ac:dyDescent="0.2">
      <c r="B79" t="s">
        <v>1025</v>
      </c>
      <c r="C79" s="84">
        <v>5036</v>
      </c>
      <c r="D79" s="102">
        <v>-1.43128915460921E-2</v>
      </c>
      <c r="E79" s="79">
        <v>2.2965164021129299E-2</v>
      </c>
      <c r="F79" s="79">
        <v>0.53320084862805806</v>
      </c>
      <c r="G79" s="79">
        <v>0.92176676956083303</v>
      </c>
      <c r="H79" s="79">
        <v>1</v>
      </c>
      <c r="I79" s="102">
        <v>-2.2384384076107001E-3</v>
      </c>
      <c r="J79" s="79">
        <v>2.30338034660451E-2</v>
      </c>
      <c r="K79" s="79">
        <v>0.92259352654501003</v>
      </c>
      <c r="L79" s="79">
        <v>0.98193837767293402</v>
      </c>
      <c r="M79" s="79">
        <v>1</v>
      </c>
      <c r="N79" s="102">
        <v>3.6360470102069199E-2</v>
      </c>
      <c r="O79" s="79">
        <v>2.3015726939228098E-2</v>
      </c>
      <c r="P79" s="79">
        <v>0.11431831928316601</v>
      </c>
      <c r="Q79" s="79">
        <v>0.19326869547473399</v>
      </c>
      <c r="R79" s="79">
        <v>1</v>
      </c>
      <c r="S79" s="102">
        <v>6.1215098630844698E-2</v>
      </c>
      <c r="T79" s="79">
        <v>2.25430832872811E-2</v>
      </c>
      <c r="U79" s="79">
        <v>6.6791415735880499E-3</v>
      </c>
      <c r="V79" s="79">
        <v>2.02405470942006E-2</v>
      </c>
      <c r="W79" s="79">
        <v>1</v>
      </c>
    </row>
    <row r="80" spans="2:23" x14ac:dyDescent="0.2">
      <c r="B80" t="s">
        <v>1016</v>
      </c>
      <c r="C80" s="84">
        <v>5036</v>
      </c>
      <c r="D80" s="102">
        <v>-2.1985574423797501E-2</v>
      </c>
      <c r="E80" s="79">
        <v>2.1094120831967801E-2</v>
      </c>
      <c r="F80" s="79">
        <v>0.29740210332238398</v>
      </c>
      <c r="G80" s="79">
        <v>0.87846938063621105</v>
      </c>
      <c r="H80" s="79">
        <v>1</v>
      </c>
      <c r="I80" s="102">
        <v>5.8182412230233698E-3</v>
      </c>
      <c r="J80" s="79">
        <v>2.08983586290362E-2</v>
      </c>
      <c r="K80" s="79">
        <v>0.78072585382814097</v>
      </c>
      <c r="L80" s="79">
        <v>0.92863930730510702</v>
      </c>
      <c r="M80" s="79">
        <v>1</v>
      </c>
      <c r="N80" s="102">
        <v>3.98089023908305E-2</v>
      </c>
      <c r="O80" s="79">
        <v>2.0695980805287E-2</v>
      </c>
      <c r="P80" s="79">
        <v>5.4539063094739798E-2</v>
      </c>
      <c r="Q80" s="79">
        <v>0.10867448390671899</v>
      </c>
      <c r="R80" s="79">
        <v>1</v>
      </c>
      <c r="S80" s="102">
        <v>2.7989450935088599E-2</v>
      </c>
      <c r="T80" s="79">
        <v>2.0389402024392898E-2</v>
      </c>
      <c r="U80" s="79">
        <v>0.16996908997346999</v>
      </c>
      <c r="V80" s="79">
        <v>0.26734228265093601</v>
      </c>
      <c r="W80" s="79">
        <v>1</v>
      </c>
    </row>
    <row r="81" spans="2:23" x14ac:dyDescent="0.2">
      <c r="B81" t="s">
        <v>3264</v>
      </c>
      <c r="C81" s="84">
        <v>5036</v>
      </c>
      <c r="D81" s="102">
        <v>-2.4289984112748901E-2</v>
      </c>
      <c r="E81" s="79">
        <v>2.0759287327579399E-2</v>
      </c>
      <c r="F81" s="79">
        <v>0.24209813528704899</v>
      </c>
      <c r="G81" s="79">
        <v>0.85990749347533801</v>
      </c>
      <c r="H81" s="79">
        <v>1</v>
      </c>
      <c r="I81" s="102">
        <v>1.4462066142134199E-2</v>
      </c>
      <c r="J81" s="79">
        <v>2.0568258113507501E-2</v>
      </c>
      <c r="K81" s="79">
        <v>0.48205361187252499</v>
      </c>
      <c r="L81" s="79">
        <v>0.80894043982196895</v>
      </c>
      <c r="M81" s="79">
        <v>1</v>
      </c>
      <c r="N81" s="102">
        <v>6.92821561039276E-2</v>
      </c>
      <c r="O81" s="79">
        <v>2.03083781308247E-2</v>
      </c>
      <c r="P81" s="79">
        <v>6.5732479062507695E-4</v>
      </c>
      <c r="Q81" s="79">
        <v>3.1723880208515101E-3</v>
      </c>
      <c r="R81" s="79">
        <v>1</v>
      </c>
      <c r="S81" s="102">
        <v>4.9281472829159297E-2</v>
      </c>
      <c r="T81" s="79">
        <v>2.0070247323603501E-2</v>
      </c>
      <c r="U81" s="79">
        <v>1.41509308503521E-2</v>
      </c>
      <c r="V81" s="79">
        <v>3.6879502862302203E-2</v>
      </c>
      <c r="W81" s="79">
        <v>1</v>
      </c>
    </row>
    <row r="82" spans="2:23" x14ac:dyDescent="0.2">
      <c r="B82" t="s">
        <v>1022</v>
      </c>
      <c r="C82" s="84">
        <v>5036</v>
      </c>
      <c r="D82" s="102">
        <v>-5.7666905131099604E-3</v>
      </c>
      <c r="E82" s="79">
        <v>2.0745623492804999E-2</v>
      </c>
      <c r="F82" s="79">
        <v>0.78106008369236202</v>
      </c>
      <c r="G82" s="79">
        <v>0.98739983714541901</v>
      </c>
      <c r="H82" s="79">
        <v>1</v>
      </c>
      <c r="I82" s="102">
        <v>3.94693790544481E-4</v>
      </c>
      <c r="J82" s="79">
        <v>2.0525426699641899E-2</v>
      </c>
      <c r="K82" s="79">
        <v>0.984659766799028</v>
      </c>
      <c r="L82" s="79">
        <v>0.99629532610271199</v>
      </c>
      <c r="M82" s="79">
        <v>1</v>
      </c>
      <c r="N82" s="102">
        <v>4.1256854731102299E-2</v>
      </c>
      <c r="O82" s="79">
        <v>2.0382423300698099E-2</v>
      </c>
      <c r="P82" s="79">
        <v>4.3073369302536503E-2</v>
      </c>
      <c r="Q82" s="79">
        <v>8.9749431240463501E-2</v>
      </c>
      <c r="R82" s="79">
        <v>1</v>
      </c>
      <c r="S82" s="102">
        <v>3.3304568035000703E-2</v>
      </c>
      <c r="T82" s="79">
        <v>2.0022673229525799E-2</v>
      </c>
      <c r="U82" s="79">
        <v>9.6385592522018407E-2</v>
      </c>
      <c r="V82" s="79">
        <v>0.17043548406294301</v>
      </c>
      <c r="W82" s="79">
        <v>1</v>
      </c>
    </row>
    <row r="83" spans="2:23" x14ac:dyDescent="0.2">
      <c r="B83" t="s">
        <v>1023</v>
      </c>
      <c r="C83" s="84">
        <v>5036</v>
      </c>
      <c r="D83" s="102">
        <v>8.2933322044318105E-3</v>
      </c>
      <c r="E83" s="79">
        <v>2.1410123962275901E-2</v>
      </c>
      <c r="F83" s="79">
        <v>0.698528977123832</v>
      </c>
      <c r="G83" s="79">
        <v>0.969323693033459</v>
      </c>
      <c r="H83" s="79">
        <v>1</v>
      </c>
      <c r="I83" s="102">
        <v>4.1637921099791898E-2</v>
      </c>
      <c r="J83" s="79">
        <v>2.1145479909194E-2</v>
      </c>
      <c r="K83" s="79">
        <v>4.9062075157489497E-2</v>
      </c>
      <c r="L83" s="79">
        <v>0.40345221027566602</v>
      </c>
      <c r="M83" s="79">
        <v>1</v>
      </c>
      <c r="N83" s="102">
        <v>6.4574077746612404E-2</v>
      </c>
      <c r="O83" s="79">
        <v>2.0560952956028E-2</v>
      </c>
      <c r="P83" s="79">
        <v>1.7095949983181001E-3</v>
      </c>
      <c r="Q83" s="79">
        <v>6.7193826616029299E-3</v>
      </c>
      <c r="R83" s="79">
        <v>1</v>
      </c>
      <c r="S83" s="102">
        <v>1.3914667955075099E-2</v>
      </c>
      <c r="T83" s="79">
        <v>2.08908837276163E-2</v>
      </c>
      <c r="U83" s="79">
        <v>0.50543560577301205</v>
      </c>
      <c r="V83" s="79">
        <v>0.61245201443453701</v>
      </c>
      <c r="W83" s="79">
        <v>1</v>
      </c>
    </row>
    <row r="84" spans="2:23" x14ac:dyDescent="0.2">
      <c r="B84" t="s">
        <v>1020</v>
      </c>
      <c r="C84" s="84">
        <v>5036</v>
      </c>
      <c r="D84" s="102">
        <v>-1.18911757704546E-3</v>
      </c>
      <c r="E84" s="79">
        <v>1.98243779291097E-2</v>
      </c>
      <c r="F84" s="79">
        <v>0.95217477717642396</v>
      </c>
      <c r="G84" s="79">
        <v>0.99840985319461195</v>
      </c>
      <c r="H84" s="79">
        <v>1</v>
      </c>
      <c r="I84" s="102">
        <v>1.25896125390118E-2</v>
      </c>
      <c r="J84" s="79">
        <v>1.96240993592059E-2</v>
      </c>
      <c r="K84" s="79">
        <v>0.52123840686505796</v>
      </c>
      <c r="L84" s="79">
        <v>0.83522679153505996</v>
      </c>
      <c r="M84" s="79">
        <v>1</v>
      </c>
      <c r="N84" s="102">
        <v>-1.7780530311419199E-2</v>
      </c>
      <c r="O84" s="79">
        <v>1.94855531473563E-2</v>
      </c>
      <c r="P84" s="79">
        <v>0.36160242926033298</v>
      </c>
      <c r="Q84" s="79">
        <v>0.47855821497422202</v>
      </c>
      <c r="R84" s="79">
        <v>1</v>
      </c>
      <c r="S84" s="102">
        <v>-1.13686945251904E-2</v>
      </c>
      <c r="T84" s="79">
        <v>1.9130800558479301E-2</v>
      </c>
      <c r="U84" s="79">
        <v>0.55239703259433803</v>
      </c>
      <c r="V84" s="79">
        <v>0.65073753352907404</v>
      </c>
      <c r="W84" s="79">
        <v>1</v>
      </c>
    </row>
    <row r="85" spans="2:23" x14ac:dyDescent="0.2">
      <c r="B85" t="s">
        <v>1021</v>
      </c>
      <c r="C85" s="84">
        <v>5036</v>
      </c>
      <c r="D85" s="102">
        <v>-9.5899874946381893E-3</v>
      </c>
      <c r="E85" s="79">
        <v>2.1193983251704698E-2</v>
      </c>
      <c r="F85" s="79">
        <v>0.65096257920942202</v>
      </c>
      <c r="G85" s="79">
        <v>0.95767440062337605</v>
      </c>
      <c r="H85" s="79">
        <v>1</v>
      </c>
      <c r="I85" s="102">
        <v>1.0592150261717E-2</v>
      </c>
      <c r="J85" s="79">
        <v>2.0996497088895699E-2</v>
      </c>
      <c r="K85" s="79">
        <v>0.613979860507883</v>
      </c>
      <c r="L85" s="79">
        <v>0.87455910458575803</v>
      </c>
      <c r="M85" s="79">
        <v>1</v>
      </c>
      <c r="N85" s="102">
        <v>3.8075215628428999E-2</v>
      </c>
      <c r="O85" s="79">
        <v>2.0805268219853498E-2</v>
      </c>
      <c r="P85" s="79">
        <v>6.7369124825364599E-2</v>
      </c>
      <c r="Q85" s="79">
        <v>0.12939149371220801</v>
      </c>
      <c r="R85" s="79">
        <v>1</v>
      </c>
      <c r="S85" s="102">
        <v>4.2793496076945402E-2</v>
      </c>
      <c r="T85" s="79">
        <v>2.0446697546869601E-2</v>
      </c>
      <c r="U85" s="79">
        <v>3.6469490885309798E-2</v>
      </c>
      <c r="V85" s="79">
        <v>8.0757277855836307E-2</v>
      </c>
      <c r="W85" s="79">
        <v>1</v>
      </c>
    </row>
    <row r="86" spans="2:23" x14ac:dyDescent="0.2">
      <c r="B86" t="s">
        <v>1017</v>
      </c>
      <c r="C86" s="84">
        <v>5036</v>
      </c>
      <c r="D86" s="102">
        <v>-3.0047937287851802E-2</v>
      </c>
      <c r="E86" s="79">
        <v>2.10417364791071E-2</v>
      </c>
      <c r="F86" s="79">
        <v>0.153424748756262</v>
      </c>
      <c r="G86" s="79">
        <v>0.80938271582532695</v>
      </c>
      <c r="H86" s="79">
        <v>1</v>
      </c>
      <c r="I86" s="102">
        <v>1.2589646306646799E-2</v>
      </c>
      <c r="J86" s="79">
        <v>2.08125862422858E-2</v>
      </c>
      <c r="K86" s="79">
        <v>0.54530290770328205</v>
      </c>
      <c r="L86" s="79">
        <v>0.85041882730688301</v>
      </c>
      <c r="M86" s="79">
        <v>1</v>
      </c>
      <c r="N86" s="102">
        <v>3.7891330860355898E-2</v>
      </c>
      <c r="O86" s="79">
        <v>2.0702114162017001E-2</v>
      </c>
      <c r="P86" s="79">
        <v>6.7333275700764805E-2</v>
      </c>
      <c r="Q86" s="79">
        <v>0.12939149371220801</v>
      </c>
      <c r="R86" s="79">
        <v>1</v>
      </c>
      <c r="S86" s="102">
        <v>4.0887454473820299E-2</v>
      </c>
      <c r="T86" s="79">
        <v>2.0310300692989901E-2</v>
      </c>
      <c r="U86" s="79">
        <v>4.4218234021343797E-2</v>
      </c>
      <c r="V86" s="79">
        <v>9.2705059940787607E-2</v>
      </c>
      <c r="W86" s="79">
        <v>1</v>
      </c>
    </row>
    <row r="87" spans="2:23" x14ac:dyDescent="0.2">
      <c r="B87" t="s">
        <v>3266</v>
      </c>
      <c r="C87" s="84">
        <v>5036</v>
      </c>
      <c r="D87" s="102">
        <v>-1.8140125110668599E-4</v>
      </c>
      <c r="E87" s="79">
        <v>2.1466345306405898E-2</v>
      </c>
      <c r="F87" s="79">
        <v>0.99325832389440305</v>
      </c>
      <c r="G87" s="79">
        <v>0.99962502278478604</v>
      </c>
      <c r="H87" s="79">
        <v>1</v>
      </c>
      <c r="I87" s="102">
        <v>-8.1338824366774601E-3</v>
      </c>
      <c r="J87" s="79">
        <v>2.12925592035768E-2</v>
      </c>
      <c r="K87" s="79">
        <v>0.70249406993406305</v>
      </c>
      <c r="L87" s="79">
        <v>0.90623303456965298</v>
      </c>
      <c r="M87" s="79">
        <v>1</v>
      </c>
      <c r="N87" s="102">
        <v>8.3516539419371899E-2</v>
      </c>
      <c r="O87" s="79">
        <v>2.1028609043401501E-2</v>
      </c>
      <c r="P87" s="79">
        <v>7.3634192579056902E-5</v>
      </c>
      <c r="Q87" s="79">
        <v>5.3079286054860599E-4</v>
      </c>
      <c r="R87" s="79">
        <v>0.124736322228922</v>
      </c>
      <c r="S87" s="102">
        <v>5.9547947974481402E-2</v>
      </c>
      <c r="T87" s="79">
        <v>2.08952911049641E-2</v>
      </c>
      <c r="U87" s="79">
        <v>4.4153724523016604E-3</v>
      </c>
      <c r="V87" s="79">
        <v>1.4467390588392699E-2</v>
      </c>
      <c r="W87" s="79">
        <v>1</v>
      </c>
    </row>
    <row r="88" spans="2:23" x14ac:dyDescent="0.2">
      <c r="B88" t="s">
        <v>1018</v>
      </c>
      <c r="C88" s="84">
        <v>5036</v>
      </c>
      <c r="D88" s="102">
        <v>-1.8802458774896599E-3</v>
      </c>
      <c r="E88" s="79">
        <v>2.1166338283652299E-2</v>
      </c>
      <c r="F88" s="79">
        <v>0.92922348247768005</v>
      </c>
      <c r="G88" s="79">
        <v>0.99840985319461195</v>
      </c>
      <c r="H88" s="79">
        <v>1</v>
      </c>
      <c r="I88" s="102">
        <v>-2.3395744834756901E-3</v>
      </c>
      <c r="J88" s="79">
        <v>2.09437411049564E-2</v>
      </c>
      <c r="K88" s="79">
        <v>0.91106544490888897</v>
      </c>
      <c r="L88" s="79">
        <v>0.98168469912841005</v>
      </c>
      <c r="M88" s="79">
        <v>1</v>
      </c>
      <c r="N88" s="102">
        <v>5.7917200874843797E-2</v>
      </c>
      <c r="O88" s="79">
        <v>2.0772069911909399E-2</v>
      </c>
      <c r="P88" s="79">
        <v>5.3441151032387803E-3</v>
      </c>
      <c r="Q88" s="79">
        <v>1.69530542788137E-2</v>
      </c>
      <c r="R88" s="79">
        <v>1</v>
      </c>
      <c r="S88" s="102">
        <v>-2.63757227458245E-2</v>
      </c>
      <c r="T88" s="79">
        <v>2.0445177971118399E-2</v>
      </c>
      <c r="U88" s="79">
        <v>0.19716077691199899</v>
      </c>
      <c r="V88" s="79">
        <v>0.29740904371231203</v>
      </c>
      <c r="W88" s="79">
        <v>1</v>
      </c>
    </row>
    <row r="89" spans="2:23" x14ac:dyDescent="0.2">
      <c r="B89" t="s">
        <v>1019</v>
      </c>
      <c r="C89" s="84">
        <v>5036</v>
      </c>
      <c r="D89" s="102">
        <v>-2.7787693031272102E-2</v>
      </c>
      <c r="E89" s="79">
        <v>2.0985492507335699E-2</v>
      </c>
      <c r="F89" s="79">
        <v>0.18559096548405901</v>
      </c>
      <c r="G89" s="79">
        <v>0.83003013605610498</v>
      </c>
      <c r="H89" s="79">
        <v>1</v>
      </c>
      <c r="I89" s="102">
        <v>-1.54783303087726E-2</v>
      </c>
      <c r="J89" s="79">
        <v>2.07754222548127E-2</v>
      </c>
      <c r="K89" s="79">
        <v>0.45633132985446301</v>
      </c>
      <c r="L89" s="79">
        <v>0.79746066051088205</v>
      </c>
      <c r="M89" s="79">
        <v>1</v>
      </c>
      <c r="N89" s="102">
        <v>6.1893227444212398E-2</v>
      </c>
      <c r="O89" s="79">
        <v>2.0602962140805502E-2</v>
      </c>
      <c r="P89" s="79">
        <v>2.6925920215010199E-3</v>
      </c>
      <c r="Q89" s="79">
        <v>9.4435836116412604E-3</v>
      </c>
      <c r="R89" s="79">
        <v>1</v>
      </c>
      <c r="S89" s="102">
        <v>6.3400068215725205E-2</v>
      </c>
      <c r="T89" s="79">
        <v>2.0237877445730801E-2</v>
      </c>
      <c r="U89" s="79">
        <v>1.75412529905447E-3</v>
      </c>
      <c r="V89" s="79">
        <v>7.0247949328564397E-3</v>
      </c>
      <c r="W89" s="79">
        <v>1</v>
      </c>
    </row>
    <row r="90" spans="2:23" x14ac:dyDescent="0.2">
      <c r="B90" t="s">
        <v>1026</v>
      </c>
      <c r="C90" s="84">
        <v>5036</v>
      </c>
      <c r="D90" s="102">
        <v>1.2024795603548801E-2</v>
      </c>
      <c r="E90" s="79">
        <v>2.14113104276768E-2</v>
      </c>
      <c r="F90" s="79">
        <v>0.57443931954268901</v>
      </c>
      <c r="G90" s="79">
        <v>0.93419899529636297</v>
      </c>
      <c r="H90" s="79">
        <v>1</v>
      </c>
      <c r="I90" s="102">
        <v>8.9639381220115604E-4</v>
      </c>
      <c r="J90" s="79">
        <v>2.1196987288031301E-2</v>
      </c>
      <c r="K90" s="79">
        <v>0.96627242525411094</v>
      </c>
      <c r="L90" s="79">
        <v>0.99551534580938295</v>
      </c>
      <c r="M90" s="79">
        <v>1</v>
      </c>
      <c r="N90" s="102">
        <v>6.5200568867672601E-2</v>
      </c>
      <c r="O90" s="79">
        <v>2.1024460841164699E-2</v>
      </c>
      <c r="P90" s="79">
        <v>1.9515388922246499E-3</v>
      </c>
      <c r="Q90" s="79">
        <v>7.3628215666560297E-3</v>
      </c>
      <c r="R90" s="79">
        <v>1</v>
      </c>
      <c r="S90" s="102">
        <v>2.1476126057677201E-2</v>
      </c>
      <c r="T90" s="79">
        <v>2.0686505535904801E-2</v>
      </c>
      <c r="U90" s="79">
        <v>0.29930576508311801</v>
      </c>
      <c r="V90" s="79">
        <v>0.41322246621907299</v>
      </c>
      <c r="W90" s="79">
        <v>1</v>
      </c>
    </row>
    <row r="91" spans="2:23" x14ac:dyDescent="0.2">
      <c r="B91" t="s">
        <v>1027</v>
      </c>
      <c r="C91" s="84">
        <v>5036</v>
      </c>
      <c r="D91" s="102">
        <v>1.3732479243913701E-2</v>
      </c>
      <c r="E91" s="79">
        <v>2.1371739054699801E-2</v>
      </c>
      <c r="F91" s="79">
        <v>0.52058015117025203</v>
      </c>
      <c r="G91" s="79">
        <v>0.91901439037128496</v>
      </c>
      <c r="H91" s="79">
        <v>1</v>
      </c>
      <c r="I91" s="102">
        <v>1.0648473956455601E-2</v>
      </c>
      <c r="J91" s="79">
        <v>2.11616300469352E-2</v>
      </c>
      <c r="K91" s="79">
        <v>0.61487597022528795</v>
      </c>
      <c r="L91" s="79">
        <v>0.87455910458575803</v>
      </c>
      <c r="M91" s="79">
        <v>1</v>
      </c>
      <c r="N91" s="102">
        <v>4.3694283190456103E-2</v>
      </c>
      <c r="O91" s="79">
        <v>2.1003814875874698E-2</v>
      </c>
      <c r="P91" s="79">
        <v>3.7610042270020003E-2</v>
      </c>
      <c r="Q91" s="79">
        <v>7.9738938179491695E-2</v>
      </c>
      <c r="R91" s="79">
        <v>1</v>
      </c>
      <c r="S91" s="102">
        <v>6.3361421249330405E-2</v>
      </c>
      <c r="T91" s="79">
        <v>2.0615450650125801E-2</v>
      </c>
      <c r="U91" s="79">
        <v>2.1415307837941802E-3</v>
      </c>
      <c r="V91" s="79">
        <v>8.1339756675949393E-3</v>
      </c>
      <c r="W91" s="79">
        <v>1</v>
      </c>
    </row>
    <row r="92" spans="2:23" x14ac:dyDescent="0.2">
      <c r="B92" t="s">
        <v>1028</v>
      </c>
      <c r="C92" s="84">
        <v>5036</v>
      </c>
      <c r="D92" s="102">
        <v>1.09448044467352E-2</v>
      </c>
      <c r="E92" s="79">
        <v>2.14857063581637E-2</v>
      </c>
      <c r="F92" s="79">
        <v>0.61052242331325501</v>
      </c>
      <c r="G92" s="79">
        <v>0.94883026155289396</v>
      </c>
      <c r="H92" s="79">
        <v>1</v>
      </c>
      <c r="I92" s="102">
        <v>3.8880787191643202E-3</v>
      </c>
      <c r="J92" s="79">
        <v>2.1287114403968702E-2</v>
      </c>
      <c r="K92" s="79">
        <v>0.85508975911213803</v>
      </c>
      <c r="L92" s="79">
        <v>0.96184556338691496</v>
      </c>
      <c r="M92" s="79">
        <v>1</v>
      </c>
      <c r="N92" s="102">
        <v>4.4086925574448099E-2</v>
      </c>
      <c r="O92" s="79">
        <v>2.1090674954175301E-2</v>
      </c>
      <c r="P92" s="79">
        <v>3.6696144632193103E-2</v>
      </c>
      <c r="Q92" s="79">
        <v>7.8094559053938598E-2</v>
      </c>
      <c r="R92" s="79">
        <v>1</v>
      </c>
      <c r="S92" s="102">
        <v>5.8575995457900903E-2</v>
      </c>
      <c r="T92" s="79">
        <v>2.0730657168844899E-2</v>
      </c>
      <c r="U92" s="79">
        <v>4.7619539897897903E-3</v>
      </c>
      <c r="V92" s="79">
        <v>1.54015101037601E-2</v>
      </c>
      <c r="W92" s="79">
        <v>1</v>
      </c>
    </row>
    <row r="93" spans="2:23" x14ac:dyDescent="0.2">
      <c r="B93" t="s">
        <v>1029</v>
      </c>
      <c r="C93" s="84">
        <v>5036</v>
      </c>
      <c r="D93" s="102">
        <v>-2.3003267638293301E-2</v>
      </c>
      <c r="E93" s="79">
        <v>2.1553280383840401E-2</v>
      </c>
      <c r="F93" s="79">
        <v>0.28596631992719701</v>
      </c>
      <c r="G93" s="79">
        <v>0.86861170490914397</v>
      </c>
      <c r="H93" s="79">
        <v>1</v>
      </c>
      <c r="I93" s="102">
        <v>-2.81848363457116E-2</v>
      </c>
      <c r="J93" s="79">
        <v>2.1319258108484201E-2</v>
      </c>
      <c r="K93" s="79">
        <v>0.186297303189463</v>
      </c>
      <c r="L93" s="79">
        <v>0.62762605764207702</v>
      </c>
      <c r="M93" s="79">
        <v>1</v>
      </c>
      <c r="N93" s="102">
        <v>2.286462919045E-2</v>
      </c>
      <c r="O93" s="79">
        <v>2.11643960056901E-2</v>
      </c>
      <c r="P93" s="79">
        <v>0.28011000978304001</v>
      </c>
      <c r="Q93" s="79">
        <v>0.392131231823729</v>
      </c>
      <c r="R93" s="79">
        <v>1</v>
      </c>
      <c r="S93" s="102">
        <v>2.7185865076325699E-2</v>
      </c>
      <c r="T93" s="79">
        <v>2.0781855113324699E-2</v>
      </c>
      <c r="U93" s="79">
        <v>0.190961352390184</v>
      </c>
      <c r="V93" s="79">
        <v>0.29116879473354801</v>
      </c>
      <c r="W93" s="79">
        <v>1</v>
      </c>
    </row>
    <row r="94" spans="2:23" x14ac:dyDescent="0.2">
      <c r="B94" t="s">
        <v>1030</v>
      </c>
      <c r="C94" s="84">
        <v>5036</v>
      </c>
      <c r="D94" s="102">
        <v>-4.6195947255321104E-3</v>
      </c>
      <c r="E94" s="79">
        <v>2.1373254586253301E-2</v>
      </c>
      <c r="F94" s="79">
        <v>0.82890001986274997</v>
      </c>
      <c r="G94" s="79">
        <v>0.99362338620020496</v>
      </c>
      <c r="H94" s="79">
        <v>1</v>
      </c>
      <c r="I94" s="102">
        <v>-1.40983510918615E-3</v>
      </c>
      <c r="J94" s="79">
        <v>2.1157287450327401E-2</v>
      </c>
      <c r="K94" s="79">
        <v>0.94687795352610404</v>
      </c>
      <c r="L94" s="79">
        <v>0.99135429744945602</v>
      </c>
      <c r="M94" s="79">
        <v>1</v>
      </c>
      <c r="N94" s="102">
        <v>2.5983469823080599E-2</v>
      </c>
      <c r="O94" s="79">
        <v>2.10372536033131E-2</v>
      </c>
      <c r="P94" s="79">
        <v>0.21692038952679499</v>
      </c>
      <c r="Q94" s="79">
        <v>0.32233608759507998</v>
      </c>
      <c r="R94" s="79">
        <v>1</v>
      </c>
      <c r="S94" s="102">
        <v>5.1935401097152598E-2</v>
      </c>
      <c r="T94" s="79">
        <v>2.0605310119988601E-2</v>
      </c>
      <c r="U94" s="79">
        <v>1.1792619477009899E-2</v>
      </c>
      <c r="V94" s="79">
        <v>3.2168594837447301E-2</v>
      </c>
      <c r="W94" s="79">
        <v>1</v>
      </c>
    </row>
    <row r="95" spans="2:23" x14ac:dyDescent="0.2">
      <c r="B95" t="s">
        <v>1031</v>
      </c>
      <c r="C95" s="84">
        <v>5036</v>
      </c>
      <c r="D95" s="102">
        <v>-1.58484249378185E-2</v>
      </c>
      <c r="E95" s="79">
        <v>2.14125193449669E-2</v>
      </c>
      <c r="F95" s="79">
        <v>0.45929012261208801</v>
      </c>
      <c r="G95" s="79">
        <v>0.91151047511105199</v>
      </c>
      <c r="H95" s="79">
        <v>1</v>
      </c>
      <c r="I95" s="102">
        <v>6.9743632034046698E-3</v>
      </c>
      <c r="J95" s="79">
        <v>2.1182624024802001E-2</v>
      </c>
      <c r="K95" s="79">
        <v>0.74199954571403204</v>
      </c>
      <c r="L95" s="79">
        <v>0.91967633960533601</v>
      </c>
      <c r="M95" s="79">
        <v>1</v>
      </c>
      <c r="N95" s="102">
        <v>3.1327118116216801E-2</v>
      </c>
      <c r="O95" s="79">
        <v>2.1044735314093801E-2</v>
      </c>
      <c r="P95" s="79">
        <v>0.136735743353674</v>
      </c>
      <c r="Q95" s="79">
        <v>0.222935851050167</v>
      </c>
      <c r="R95" s="79">
        <v>1</v>
      </c>
      <c r="S95" s="102">
        <v>1.7538000379422301E-2</v>
      </c>
      <c r="T95" s="79">
        <v>2.0691013992003598E-2</v>
      </c>
      <c r="U95" s="79">
        <v>0.39674705764187601</v>
      </c>
      <c r="V95" s="79">
        <v>0.51501112309987596</v>
      </c>
      <c r="W95" s="79">
        <v>1</v>
      </c>
    </row>
    <row r="96" spans="2:23" x14ac:dyDescent="0.2">
      <c r="B96" t="s">
        <v>3745</v>
      </c>
      <c r="C96" s="84">
        <v>5032</v>
      </c>
      <c r="D96" s="102">
        <v>0.99272661843777787</v>
      </c>
      <c r="E96" s="79">
        <v>3.2208152317132803E-2</v>
      </c>
      <c r="F96" s="79">
        <v>0.82069629961219803</v>
      </c>
      <c r="G96" s="79">
        <v>0.969323693033459</v>
      </c>
      <c r="H96" s="79">
        <v>1</v>
      </c>
      <c r="I96" s="102">
        <v>1.0608655403108445</v>
      </c>
      <c r="J96" s="79">
        <v>3.19793139496269E-2</v>
      </c>
      <c r="K96" s="79">
        <v>6.4659587153837697E-2</v>
      </c>
      <c r="L96" s="79">
        <v>0.193041426963559</v>
      </c>
      <c r="M96" s="79">
        <v>1</v>
      </c>
      <c r="N96" s="102">
        <v>1.0093838065874872</v>
      </c>
      <c r="O96" s="79">
        <v>1.4225455957353901E-2</v>
      </c>
      <c r="P96" s="79">
        <v>0.51148828743664898</v>
      </c>
      <c r="Q96" s="79">
        <v>0.62650843016462998</v>
      </c>
      <c r="R96" s="79">
        <v>1</v>
      </c>
      <c r="S96" s="102">
        <v>1.0250847474696141</v>
      </c>
      <c r="T96" s="79">
        <v>1.4210359896180001E-2</v>
      </c>
      <c r="U96" s="79">
        <v>8.1318802644331403E-2</v>
      </c>
      <c r="V96" s="79">
        <v>0.14908447151460799</v>
      </c>
      <c r="W96" s="79">
        <v>1</v>
      </c>
    </row>
    <row r="97" spans="2:23" x14ac:dyDescent="0.2">
      <c r="B97" t="s">
        <v>1045</v>
      </c>
      <c r="C97" s="84">
        <v>360</v>
      </c>
      <c r="D97" s="102">
        <v>-5.6094057261188096E-3</v>
      </c>
      <c r="E97" s="79">
        <v>1.44393065746338E-2</v>
      </c>
      <c r="F97" s="79">
        <v>0.69767735738273695</v>
      </c>
      <c r="G97" s="79">
        <v>0.969323693033459</v>
      </c>
      <c r="H97" s="79">
        <v>1</v>
      </c>
      <c r="I97" s="102">
        <v>3.7200514817999998E-2</v>
      </c>
      <c r="J97" s="79">
        <v>1.4336554523393E-2</v>
      </c>
      <c r="K97" s="79">
        <v>9.4949424989652503E-3</v>
      </c>
      <c r="L97" s="79">
        <v>0.193041426963559</v>
      </c>
      <c r="M97" s="79">
        <v>1</v>
      </c>
      <c r="N97" s="102">
        <v>9.3400521833803905E-3</v>
      </c>
      <c r="O97" s="79">
        <v>1.4225455957353901E-2</v>
      </c>
      <c r="P97" s="79">
        <v>0.51148828743664898</v>
      </c>
      <c r="Q97" s="79">
        <v>0.62650843016462998</v>
      </c>
      <c r="R97" s="79">
        <v>1</v>
      </c>
      <c r="S97" s="102">
        <v>2.4775289630690998E-2</v>
      </c>
      <c r="T97" s="79">
        <v>1.4210359896180001E-2</v>
      </c>
      <c r="U97" s="79">
        <v>8.1318802644331403E-2</v>
      </c>
      <c r="V97" s="79">
        <v>0.14908447151460799</v>
      </c>
      <c r="W97" s="79">
        <v>1</v>
      </c>
    </row>
    <row r="98" spans="2:23" x14ac:dyDescent="0.2">
      <c r="B98" t="s">
        <v>1046</v>
      </c>
      <c r="C98" s="84">
        <v>178</v>
      </c>
      <c r="D98" s="102">
        <v>4.1170127705912699E-4</v>
      </c>
      <c r="E98" s="79">
        <v>1.4109528962923799E-2</v>
      </c>
      <c r="F98" s="79">
        <v>0.97672308050693002</v>
      </c>
      <c r="G98" s="79">
        <v>0.99840985319461195</v>
      </c>
      <c r="H98" s="79">
        <v>1</v>
      </c>
      <c r="I98" s="102">
        <v>-5.0227515153420102E-3</v>
      </c>
      <c r="J98" s="79">
        <v>1.4037191306232001E-2</v>
      </c>
      <c r="K98" s="79">
        <v>0.72049599224945504</v>
      </c>
      <c r="L98" s="79">
        <v>0.91424734896672399</v>
      </c>
      <c r="M98" s="79">
        <v>1</v>
      </c>
      <c r="N98" s="102">
        <v>-2.7054339112829499E-2</v>
      </c>
      <c r="O98" s="79">
        <v>1.3900714105811699E-2</v>
      </c>
      <c r="P98" s="79">
        <v>5.1682945107982402E-2</v>
      </c>
      <c r="Q98" s="79">
        <v>0.10348807211929301</v>
      </c>
      <c r="R98" s="79">
        <v>1</v>
      </c>
      <c r="S98" s="102">
        <v>-2.32260772094195E-2</v>
      </c>
      <c r="T98" s="79">
        <v>1.38980054065887E-2</v>
      </c>
      <c r="U98" s="79">
        <v>9.4751936698519099E-2</v>
      </c>
      <c r="V98" s="79">
        <v>0.16842579304017999</v>
      </c>
      <c r="W98" s="79">
        <v>1</v>
      </c>
    </row>
    <row r="99" spans="2:23" x14ac:dyDescent="0.2">
      <c r="B99" t="s">
        <v>1047</v>
      </c>
      <c r="C99" s="84">
        <v>157</v>
      </c>
      <c r="D99" s="102">
        <v>1.3115432759992399E-4</v>
      </c>
      <c r="E99" s="79">
        <v>1.8050450913504702E-2</v>
      </c>
      <c r="F99" s="79">
        <v>0.99420311068588496</v>
      </c>
      <c r="G99" s="79">
        <v>0.99962502278478604</v>
      </c>
      <c r="H99" s="79">
        <v>1</v>
      </c>
      <c r="I99" s="102">
        <v>-6.1107632486049404E-3</v>
      </c>
      <c r="J99" s="79">
        <v>1.7882371198931098E-2</v>
      </c>
      <c r="K99" s="79">
        <v>0.732585318848609</v>
      </c>
      <c r="L99" s="79">
        <v>0.91941449148482102</v>
      </c>
      <c r="M99" s="79">
        <v>1</v>
      </c>
      <c r="N99" s="102">
        <v>5.4975895410690902E-2</v>
      </c>
      <c r="O99" s="79">
        <v>1.7739081744571901E-2</v>
      </c>
      <c r="P99" s="79">
        <v>1.9585144834720399E-3</v>
      </c>
      <c r="Q99" s="79">
        <v>7.3727189666702997E-3</v>
      </c>
      <c r="R99" s="79">
        <v>1</v>
      </c>
      <c r="S99" s="102">
        <v>3.6525936989192299E-2</v>
      </c>
      <c r="T99" s="79">
        <v>1.7670164603472299E-2</v>
      </c>
      <c r="U99" s="79">
        <v>3.8809812265259098E-2</v>
      </c>
      <c r="V99" s="79">
        <v>8.48307380352889E-2</v>
      </c>
      <c r="W99" s="79">
        <v>1</v>
      </c>
    </row>
    <row r="100" spans="2:23" x14ac:dyDescent="0.2">
      <c r="B100" t="s">
        <v>1048</v>
      </c>
      <c r="C100" s="84">
        <v>134</v>
      </c>
      <c r="D100" s="102">
        <v>1.43743522392305E-2</v>
      </c>
      <c r="E100" s="79">
        <v>1.8390169216019301E-2</v>
      </c>
      <c r="F100" s="79">
        <v>0.434493857484194</v>
      </c>
      <c r="G100" s="79">
        <v>0.90532914462266301</v>
      </c>
      <c r="H100" s="79">
        <v>1</v>
      </c>
      <c r="I100" s="102">
        <v>4.8359424003183802E-3</v>
      </c>
      <c r="J100" s="79">
        <v>1.8238737352903801E-2</v>
      </c>
      <c r="K100" s="79">
        <v>0.790915060352261</v>
      </c>
      <c r="L100" s="79">
        <v>0.93431667519995099</v>
      </c>
      <c r="M100" s="79">
        <v>1</v>
      </c>
      <c r="N100" s="102">
        <v>6.2812649415929803E-2</v>
      </c>
      <c r="O100" s="79">
        <v>1.80123486426461E-2</v>
      </c>
      <c r="P100" s="79">
        <v>4.9527570043273405E-4</v>
      </c>
      <c r="Q100" s="79">
        <v>2.5424152622213702E-3</v>
      </c>
      <c r="R100" s="79">
        <v>0.83899703653305102</v>
      </c>
      <c r="S100" s="102">
        <v>5.7781766036643402E-2</v>
      </c>
      <c r="T100" s="79">
        <v>1.80100696289223E-2</v>
      </c>
      <c r="U100" s="79">
        <v>1.3497318179083199E-3</v>
      </c>
      <c r="V100" s="79">
        <v>5.7077075613328502E-3</v>
      </c>
      <c r="W100" s="79">
        <v>1</v>
      </c>
    </row>
    <row r="101" spans="2:23" x14ac:dyDescent="0.2">
      <c r="B101" t="s">
        <v>3882</v>
      </c>
      <c r="C101" s="84">
        <v>5022</v>
      </c>
      <c r="D101" s="102">
        <v>1.0067856157595436</v>
      </c>
      <c r="E101" s="79">
        <v>4.1854715404003803E-2</v>
      </c>
      <c r="F101" s="79">
        <v>0.87164014215235197</v>
      </c>
      <c r="G101" s="79">
        <v>0.99362338620020496</v>
      </c>
      <c r="H101" s="79">
        <v>1</v>
      </c>
      <c r="I101" s="102">
        <v>0.93905940663090348</v>
      </c>
      <c r="J101" s="79">
        <v>4.1318930302797201E-2</v>
      </c>
      <c r="K101" s="79">
        <v>0.12807504800764699</v>
      </c>
      <c r="L101" s="79">
        <v>0.55630547453855295</v>
      </c>
      <c r="M101" s="79">
        <v>1</v>
      </c>
      <c r="N101" s="102">
        <v>0.94017801229911768</v>
      </c>
      <c r="O101" s="79">
        <v>4.1003442407974003E-2</v>
      </c>
      <c r="P101" s="79">
        <v>0.132475466601682</v>
      </c>
      <c r="Q101" s="79">
        <v>0.21733460124253501</v>
      </c>
      <c r="R101" s="79">
        <v>1</v>
      </c>
      <c r="S101" s="102">
        <v>0.91819281464006597</v>
      </c>
      <c r="T101" s="79">
        <v>4.05550262422507E-2</v>
      </c>
      <c r="U101" s="79">
        <v>3.5335241469254798E-2</v>
      </c>
      <c r="V101" s="79">
        <v>7.85536732925428E-2</v>
      </c>
      <c r="W101" s="79">
        <v>1</v>
      </c>
    </row>
    <row r="102" spans="2:23" x14ac:dyDescent="0.2">
      <c r="B102" t="s">
        <v>3879</v>
      </c>
      <c r="C102" s="84">
        <v>1337</v>
      </c>
      <c r="D102" s="102">
        <v>1.0500546089455614</v>
      </c>
      <c r="E102" s="79">
        <v>3.8992812597539402E-2</v>
      </c>
      <c r="F102" s="79">
        <v>0.210353422662133</v>
      </c>
      <c r="G102" s="79">
        <v>0.83451685541571996</v>
      </c>
      <c r="H102" s="79">
        <v>1</v>
      </c>
      <c r="I102" s="102">
        <v>1.0538233422919914</v>
      </c>
      <c r="J102" s="79">
        <v>3.8477318640849502E-2</v>
      </c>
      <c r="K102" s="79">
        <v>0.173044385898038</v>
      </c>
      <c r="L102" s="79">
        <v>0.61396896490869202</v>
      </c>
      <c r="M102" s="79">
        <v>1</v>
      </c>
      <c r="N102" s="102">
        <v>1.0030083363752598</v>
      </c>
      <c r="O102" s="79">
        <v>3.7961983581869203E-2</v>
      </c>
      <c r="P102" s="79">
        <v>0.93693155532637196</v>
      </c>
      <c r="Q102" s="79">
        <v>0.95504596712650303</v>
      </c>
      <c r="R102" s="79">
        <v>1</v>
      </c>
      <c r="S102" s="102">
        <v>0.99034788881705738</v>
      </c>
      <c r="T102" s="79">
        <v>3.7710450639590602E-2</v>
      </c>
      <c r="U102" s="79">
        <v>0.797027109952266</v>
      </c>
      <c r="V102" s="79">
        <v>0.84809291724820302</v>
      </c>
      <c r="W102" s="79">
        <v>1</v>
      </c>
    </row>
    <row r="103" spans="2:23" x14ac:dyDescent="0.2">
      <c r="B103" t="s">
        <v>3881</v>
      </c>
      <c r="C103" s="84">
        <v>5022</v>
      </c>
      <c r="D103" s="102">
        <v>0.95307962349865194</v>
      </c>
      <c r="E103" s="79">
        <v>5.5326550974809798E-2</v>
      </c>
      <c r="F103" s="79">
        <v>0.38506411231221299</v>
      </c>
      <c r="G103" s="79">
        <v>0.89461055933914202</v>
      </c>
      <c r="H103" s="79">
        <v>1</v>
      </c>
      <c r="I103" s="102">
        <v>1.0653189062030712</v>
      </c>
      <c r="J103" s="79">
        <v>5.4778488659193901E-2</v>
      </c>
      <c r="K103" s="79">
        <v>0.24805273329580901</v>
      </c>
      <c r="L103" s="79">
        <v>0.67645700560099897</v>
      </c>
      <c r="M103" s="79">
        <v>1</v>
      </c>
      <c r="N103" s="102">
        <v>1.1703137421128726</v>
      </c>
      <c r="O103" s="79">
        <v>5.4498162736950698E-2</v>
      </c>
      <c r="P103" s="79">
        <v>3.90395807017238E-3</v>
      </c>
      <c r="Q103" s="79">
        <v>1.3018316871795299E-2</v>
      </c>
      <c r="R103" s="79">
        <v>1</v>
      </c>
      <c r="S103" s="102">
        <v>1.1294869703528572</v>
      </c>
      <c r="T103" s="79">
        <v>5.3801077929778202E-2</v>
      </c>
      <c r="U103" s="79">
        <v>2.36223078684096E-2</v>
      </c>
      <c r="V103" s="79">
        <v>5.6360830322656097E-2</v>
      </c>
      <c r="W103" s="79">
        <v>1</v>
      </c>
    </row>
    <row r="104" spans="2:23" x14ac:dyDescent="0.2">
      <c r="B104" t="s">
        <v>3880</v>
      </c>
      <c r="C104" s="84">
        <v>5022</v>
      </c>
      <c r="D104" s="102">
        <v>0.95314376309129489</v>
      </c>
      <c r="E104" s="79">
        <v>4.3972351442516003E-2</v>
      </c>
      <c r="F104" s="79">
        <v>0.27511582592559702</v>
      </c>
      <c r="G104" s="79">
        <v>0.86861170490914397</v>
      </c>
      <c r="H104" s="79">
        <v>1</v>
      </c>
      <c r="I104" s="102">
        <v>0.96919068174602307</v>
      </c>
      <c r="J104" s="79">
        <v>4.3396636189638002E-2</v>
      </c>
      <c r="K104" s="79">
        <v>0.47083962541739799</v>
      </c>
      <c r="L104" s="79">
        <v>0.80241685035737897</v>
      </c>
      <c r="M104" s="79">
        <v>1</v>
      </c>
      <c r="N104" s="102">
        <v>0.97926016700629559</v>
      </c>
      <c r="O104" s="79">
        <v>4.30861240311722E-2</v>
      </c>
      <c r="P104" s="79">
        <v>0.62666988053790595</v>
      </c>
      <c r="Q104" s="79">
        <v>0.72707839858616496</v>
      </c>
      <c r="R104" s="79">
        <v>1</v>
      </c>
      <c r="S104" s="102">
        <v>1.0406583906057307</v>
      </c>
      <c r="T104" s="79">
        <v>4.2698569113620001E-2</v>
      </c>
      <c r="U104" s="79">
        <v>0.35062875535820098</v>
      </c>
      <c r="V104" s="79">
        <v>0.46829521712267402</v>
      </c>
      <c r="W104" s="79">
        <v>1</v>
      </c>
    </row>
    <row r="105" spans="2:23" x14ac:dyDescent="0.2">
      <c r="B105" t="s">
        <v>1038</v>
      </c>
      <c r="C105" s="84">
        <v>3553</v>
      </c>
      <c r="D105" s="102">
        <v>-2.1151787736092699E-2</v>
      </c>
      <c r="E105" s="79">
        <v>1.4487946023002201E-2</v>
      </c>
      <c r="F105" s="79">
        <v>0.14436651385566601</v>
      </c>
      <c r="G105" s="79">
        <v>0.80938271582532695</v>
      </c>
      <c r="H105" s="79">
        <v>1</v>
      </c>
      <c r="I105" s="102">
        <v>3.2371416728849897E-2</v>
      </c>
      <c r="J105" s="79">
        <v>1.44179967472445E-2</v>
      </c>
      <c r="K105" s="79">
        <v>2.4800355592132301E-2</v>
      </c>
      <c r="L105" s="79">
        <v>0.30705200698785101</v>
      </c>
      <c r="M105" s="79">
        <v>1</v>
      </c>
      <c r="N105" s="107">
        <v>6.4848271548259895E-2</v>
      </c>
      <c r="O105" s="81">
        <v>1.42600490419569E-2</v>
      </c>
      <c r="P105" s="81">
        <v>5.56097705959806E-6</v>
      </c>
      <c r="Q105" s="81">
        <v>5.8876844618494499E-5</v>
      </c>
      <c r="R105" s="81">
        <v>9.4202951389591102E-3</v>
      </c>
      <c r="S105" s="107">
        <v>5.9900337017781399E-2</v>
      </c>
      <c r="T105" s="81">
        <v>1.4257494308823501E-2</v>
      </c>
      <c r="U105" s="81">
        <v>2.7017946756932E-5</v>
      </c>
      <c r="V105" s="81">
        <v>2.6765147255112799E-4</v>
      </c>
      <c r="W105" s="81">
        <v>4.5768401806242802E-2</v>
      </c>
    </row>
    <row r="106" spans="2:23" x14ac:dyDescent="0.2">
      <c r="B106" t="s">
        <v>1039</v>
      </c>
      <c r="C106" s="84">
        <v>5038</v>
      </c>
      <c r="D106" s="102">
        <v>7.65895421401563E-4</v>
      </c>
      <c r="E106" s="79">
        <v>1.4274192497534499E-2</v>
      </c>
      <c r="F106" s="79">
        <v>0.95721153609051601</v>
      </c>
      <c r="G106" s="79">
        <v>0.99840985319461195</v>
      </c>
      <c r="H106" s="79">
        <v>1</v>
      </c>
      <c r="I106" s="102">
        <v>2.2665049934059298E-2</v>
      </c>
      <c r="J106" s="79">
        <v>1.41856660279428E-2</v>
      </c>
      <c r="K106" s="79">
        <v>0.11016821096006001</v>
      </c>
      <c r="L106" s="79">
        <v>0.53622641688935602</v>
      </c>
      <c r="M106" s="79">
        <v>1</v>
      </c>
      <c r="N106" s="102">
        <v>5.4011311957088103E-2</v>
      </c>
      <c r="O106" s="79">
        <v>1.40441849510637E-2</v>
      </c>
      <c r="P106" s="79">
        <v>1.21750485269683E-4</v>
      </c>
      <c r="Q106" s="79">
        <v>8.1519890137092099E-4</v>
      </c>
      <c r="R106" s="79">
        <v>0.20624532204684301</v>
      </c>
      <c r="S106" s="102">
        <v>4.6365894075124703E-2</v>
      </c>
      <c r="T106" s="79">
        <v>1.40464821085376E-2</v>
      </c>
      <c r="U106" s="79">
        <v>9.7098953527319503E-4</v>
      </c>
      <c r="V106" s="79">
        <v>4.3980114244727099E-3</v>
      </c>
      <c r="W106" s="79">
        <v>1</v>
      </c>
    </row>
    <row r="107" spans="2:23" x14ac:dyDescent="0.2">
      <c r="B107" t="s">
        <v>1040</v>
      </c>
      <c r="C107" s="84">
        <v>1803</v>
      </c>
      <c r="D107" s="102">
        <v>-9.8082522841054405E-3</v>
      </c>
      <c r="E107" s="79">
        <v>1.4537045640394399E-2</v>
      </c>
      <c r="F107" s="79">
        <v>0.49989387038066901</v>
      </c>
      <c r="G107" s="79">
        <v>0.91752655785263504</v>
      </c>
      <c r="H107" s="79">
        <v>1</v>
      </c>
      <c r="I107" s="102">
        <v>2.10903504674958E-2</v>
      </c>
      <c r="J107" s="79">
        <v>1.44772590982069E-2</v>
      </c>
      <c r="K107" s="79">
        <v>0.14523974355312899</v>
      </c>
      <c r="L107" s="79">
        <v>0.59040772609061598</v>
      </c>
      <c r="M107" s="79">
        <v>1</v>
      </c>
      <c r="N107" s="107">
        <v>6.9302641554449304E-2</v>
      </c>
      <c r="O107" s="81">
        <v>1.43100401866943E-2</v>
      </c>
      <c r="P107" s="81">
        <v>1.3194880038917201E-6</v>
      </c>
      <c r="Q107" s="81">
        <v>1.6080666752464599E-5</v>
      </c>
      <c r="R107" s="81">
        <v>2.23521267859257E-3</v>
      </c>
      <c r="S107" s="102">
        <v>5.8456701223847003E-2</v>
      </c>
      <c r="T107" s="79">
        <v>1.43069457746768E-2</v>
      </c>
      <c r="U107" s="79">
        <v>4.46238223030074E-5</v>
      </c>
      <c r="V107" s="79">
        <v>3.957735862895E-4</v>
      </c>
      <c r="W107" s="79">
        <v>7.5592754981294502E-2</v>
      </c>
    </row>
    <row r="108" spans="2:23" x14ac:dyDescent="0.2">
      <c r="B108" t="s">
        <v>1041</v>
      </c>
      <c r="C108" s="84">
        <v>5038</v>
      </c>
      <c r="D108" s="102">
        <v>3.8567258934333101E-3</v>
      </c>
      <c r="E108" s="79">
        <v>1.41453864081823E-2</v>
      </c>
      <c r="F108" s="79">
        <v>0.78513484336721695</v>
      </c>
      <c r="G108" s="79">
        <v>0.988344463507694</v>
      </c>
      <c r="H108" s="79">
        <v>1</v>
      </c>
      <c r="I108" s="102">
        <v>2.70344546306313E-2</v>
      </c>
      <c r="J108" s="79">
        <v>1.40649984367537E-2</v>
      </c>
      <c r="K108" s="79">
        <v>5.4652919433681502E-2</v>
      </c>
      <c r="L108" s="79">
        <v>0.413834727810937</v>
      </c>
      <c r="M108" s="79">
        <v>1</v>
      </c>
      <c r="N108" s="102">
        <v>3.3411873962149903E-2</v>
      </c>
      <c r="O108" s="79">
        <v>1.3938080317901599E-2</v>
      </c>
      <c r="P108" s="79">
        <v>1.6561213325542799E-2</v>
      </c>
      <c r="Q108" s="79">
        <v>4.1810276264485101E-2</v>
      </c>
      <c r="R108" s="79">
        <v>1</v>
      </c>
      <c r="S108" s="102">
        <v>5.0330134109491602E-2</v>
      </c>
      <c r="T108" s="79">
        <v>1.3921364879657901E-2</v>
      </c>
      <c r="U108" s="79">
        <v>3.0311970798397599E-4</v>
      </c>
      <c r="V108" s="79">
        <v>1.75250779974353E-3</v>
      </c>
      <c r="W108" s="79">
        <v>0.51348478532485498</v>
      </c>
    </row>
    <row r="109" spans="2:23" x14ac:dyDescent="0.2">
      <c r="B109" t="s">
        <v>1042</v>
      </c>
      <c r="C109" s="84">
        <v>1804</v>
      </c>
      <c r="D109" s="102">
        <v>4.1813410258069398E-3</v>
      </c>
      <c r="E109" s="79">
        <v>1.4215550966618E-2</v>
      </c>
      <c r="F109" s="79">
        <v>0.76866460590291397</v>
      </c>
      <c r="G109" s="79">
        <v>0.98424328460352195</v>
      </c>
      <c r="H109" s="79">
        <v>1</v>
      </c>
      <c r="I109" s="102">
        <v>3.1393686435683597E-2</v>
      </c>
      <c r="J109" s="79">
        <v>1.4152743394990199E-2</v>
      </c>
      <c r="K109" s="79">
        <v>2.6587540742469801E-2</v>
      </c>
      <c r="L109" s="79">
        <v>0.31408898726867501</v>
      </c>
      <c r="M109" s="79">
        <v>1</v>
      </c>
      <c r="N109" s="102">
        <v>3.2209193937699297E-2</v>
      </c>
      <c r="O109" s="79">
        <v>1.4016859144576999E-2</v>
      </c>
      <c r="P109" s="79">
        <v>2.1610611878274798E-2</v>
      </c>
      <c r="Q109" s="79">
        <v>5.1416259159827997E-2</v>
      </c>
      <c r="R109" s="79">
        <v>1</v>
      </c>
      <c r="S109" s="102">
        <v>4.3838705959698299E-2</v>
      </c>
      <c r="T109" s="79">
        <v>1.40025850024443E-2</v>
      </c>
      <c r="U109" s="79">
        <v>1.7539856510216301E-3</v>
      </c>
      <c r="V109" s="79">
        <v>7.0247949328564397E-3</v>
      </c>
      <c r="W109" s="79">
        <v>1</v>
      </c>
    </row>
    <row r="110" spans="2:23" x14ac:dyDescent="0.2">
      <c r="B110" t="s">
        <v>1043</v>
      </c>
      <c r="C110" s="84">
        <v>318</v>
      </c>
      <c r="D110" s="102">
        <v>-2.2586669213827898E-3</v>
      </c>
      <c r="E110" s="79">
        <v>1.44121425436448E-2</v>
      </c>
      <c r="F110" s="79">
        <v>0.87547282460320597</v>
      </c>
      <c r="G110" s="79">
        <v>0.99362338620020496</v>
      </c>
      <c r="H110" s="79">
        <v>1</v>
      </c>
      <c r="I110" s="102">
        <v>2.10190043190812E-2</v>
      </c>
      <c r="J110" s="79">
        <v>1.4300739359011E-2</v>
      </c>
      <c r="K110" s="79">
        <v>0.141693211997554</v>
      </c>
      <c r="L110" s="79">
        <v>0.59040772609061598</v>
      </c>
      <c r="M110" s="79">
        <v>1</v>
      </c>
      <c r="N110" s="102">
        <v>3.9236675191194198E-2</v>
      </c>
      <c r="O110" s="79">
        <v>1.41786561345013E-2</v>
      </c>
      <c r="P110" s="79">
        <v>5.6759819486082901E-3</v>
      </c>
      <c r="Q110" s="79">
        <v>1.76424099466834E-2</v>
      </c>
      <c r="R110" s="79">
        <v>1</v>
      </c>
      <c r="S110" s="107">
        <v>6.1728197621275398E-2</v>
      </c>
      <c r="T110" s="81">
        <v>1.41606675891487E-2</v>
      </c>
      <c r="U110" s="81">
        <v>1.3356586468518601E-5</v>
      </c>
      <c r="V110" s="81">
        <v>1.5391875835149999E-4</v>
      </c>
      <c r="W110" s="81">
        <v>2.2626057477670498E-2</v>
      </c>
    </row>
    <row r="111" spans="2:23" x14ac:dyDescent="0.2">
      <c r="B111" t="s">
        <v>1044</v>
      </c>
      <c r="C111" s="84">
        <v>276</v>
      </c>
      <c r="D111" s="102">
        <v>-1.6662700967994E-2</v>
      </c>
      <c r="E111" s="79">
        <v>1.4392084288095601E-2</v>
      </c>
      <c r="F111" s="79">
        <v>0.24702070343992399</v>
      </c>
      <c r="G111" s="79">
        <v>0.85990749347533801</v>
      </c>
      <c r="H111" s="79">
        <v>1</v>
      </c>
      <c r="I111" s="102">
        <v>2.87739417825916E-2</v>
      </c>
      <c r="J111" s="79">
        <v>1.42835647282584E-2</v>
      </c>
      <c r="K111" s="79">
        <v>4.4021519604522198E-2</v>
      </c>
      <c r="L111" s="79">
        <v>0.39248660110558198</v>
      </c>
      <c r="M111" s="79">
        <v>1</v>
      </c>
      <c r="N111" s="102">
        <v>4.4790353935803898E-2</v>
      </c>
      <c r="O111" s="79">
        <v>1.4157511836509601E-2</v>
      </c>
      <c r="P111" s="79">
        <v>1.5684382879131199E-3</v>
      </c>
      <c r="Q111" s="79">
        <v>6.3537986156929002E-3</v>
      </c>
      <c r="R111" s="79">
        <v>1</v>
      </c>
      <c r="S111" s="102">
        <v>5.5665228071183702E-2</v>
      </c>
      <c r="T111" s="79">
        <v>1.4151467706884101E-2</v>
      </c>
      <c r="U111" s="79">
        <v>8.5000429589332903E-5</v>
      </c>
      <c r="V111" s="79">
        <v>6.3712711382446897E-4</v>
      </c>
      <c r="W111" s="79">
        <v>0.14399072772433</v>
      </c>
    </row>
    <row r="112" spans="2:23" x14ac:dyDescent="0.2">
      <c r="B112" t="s">
        <v>3743</v>
      </c>
      <c r="C112" s="84">
        <v>5032</v>
      </c>
      <c r="D112" s="102">
        <v>0.96518686313726809</v>
      </c>
      <c r="E112" s="79">
        <v>3.4339553165150201E-2</v>
      </c>
      <c r="F112" s="79">
        <v>0.302138463916449</v>
      </c>
      <c r="G112" s="79">
        <v>0.87874159579827504</v>
      </c>
      <c r="H112" s="79">
        <v>1</v>
      </c>
      <c r="I112" s="102">
        <v>1.1094182895494484</v>
      </c>
      <c r="J112" s="79">
        <v>3.40563819081958E-2</v>
      </c>
      <c r="K112" s="79">
        <v>2.2965147768638601E-3</v>
      </c>
      <c r="L112" s="79">
        <v>0.12204569483795499</v>
      </c>
      <c r="M112" s="79">
        <v>1</v>
      </c>
      <c r="N112" s="102">
        <v>1.1235597968029947</v>
      </c>
      <c r="O112" s="79">
        <v>3.3809038884199498E-2</v>
      </c>
      <c r="P112" s="79">
        <v>5.69194088947565E-4</v>
      </c>
      <c r="Q112" s="79">
        <v>2.8193414815122098E-3</v>
      </c>
      <c r="R112" s="79">
        <v>0.96421478667717497</v>
      </c>
      <c r="S112" s="102">
        <v>1.1149731827920877</v>
      </c>
      <c r="T112" s="79">
        <v>3.3855358721569397E-2</v>
      </c>
      <c r="U112" s="79">
        <v>1.30640960737657E-3</v>
      </c>
      <c r="V112" s="79">
        <v>5.56044692184902E-3</v>
      </c>
      <c r="W112" s="79">
        <v>1</v>
      </c>
    </row>
    <row r="113" spans="2:23" x14ac:dyDescent="0.2">
      <c r="B113" t="s">
        <v>1032</v>
      </c>
      <c r="C113" s="84">
        <v>5036</v>
      </c>
      <c r="D113" s="102">
        <v>-2.5015852124511701E-2</v>
      </c>
      <c r="E113" s="79">
        <v>1.59642809812671E-2</v>
      </c>
      <c r="F113" s="79">
        <v>0.117209097286499</v>
      </c>
      <c r="G113" s="79">
        <v>0.80938271582532695</v>
      </c>
      <c r="H113" s="79">
        <v>1</v>
      </c>
      <c r="I113" s="102">
        <v>-4.7797661419751204E-3</v>
      </c>
      <c r="J113" s="79">
        <v>1.60167774687065E-2</v>
      </c>
      <c r="K113" s="79">
        <v>0.76539904428092298</v>
      </c>
      <c r="L113" s="79">
        <v>0.92745778327030304</v>
      </c>
      <c r="M113" s="79">
        <v>1</v>
      </c>
      <c r="N113" s="102">
        <v>3.39478721768511E-2</v>
      </c>
      <c r="O113" s="79">
        <v>1.5801561716466701E-2</v>
      </c>
      <c r="P113" s="79">
        <v>3.1752772570418697E-2</v>
      </c>
      <c r="Q113" s="79">
        <v>7.0404707767394298E-2</v>
      </c>
      <c r="R113" s="79">
        <v>1</v>
      </c>
      <c r="S113" s="102">
        <v>2.1577538170382399E-2</v>
      </c>
      <c r="T113" s="79">
        <v>1.5836466280339401E-2</v>
      </c>
      <c r="U113" s="79">
        <v>0.173123227904179</v>
      </c>
      <c r="V113" s="79">
        <v>0.27065668006466898</v>
      </c>
      <c r="W113" s="79">
        <v>1</v>
      </c>
    </row>
    <row r="114" spans="2:23" x14ac:dyDescent="0.2">
      <c r="B114" t="s">
        <v>1033</v>
      </c>
      <c r="C114" s="84">
        <v>5036</v>
      </c>
      <c r="D114" s="102">
        <v>2.0956726915796402E-3</v>
      </c>
      <c r="E114" s="79">
        <v>1.64949791866148E-2</v>
      </c>
      <c r="F114" s="79">
        <v>0.89890905646590702</v>
      </c>
      <c r="G114" s="79">
        <v>0.99533029194181499</v>
      </c>
      <c r="H114" s="79">
        <v>1</v>
      </c>
      <c r="I114" s="102">
        <v>1.49827534122606E-2</v>
      </c>
      <c r="J114" s="79">
        <v>1.6505985123638201E-2</v>
      </c>
      <c r="K114" s="79">
        <v>0.36409423313307099</v>
      </c>
      <c r="L114" s="79">
        <v>0.74593451887386297</v>
      </c>
      <c r="M114" s="79">
        <v>1</v>
      </c>
      <c r="N114" s="102">
        <v>4.7867579264014803E-2</v>
      </c>
      <c r="O114" s="79">
        <v>1.6291455175797699E-2</v>
      </c>
      <c r="P114" s="79">
        <v>3.3237361937289798E-3</v>
      </c>
      <c r="Q114" s="79">
        <v>1.13287909701748E-2</v>
      </c>
      <c r="R114" s="79">
        <v>1</v>
      </c>
      <c r="S114" s="102">
        <v>3.3912984999750199E-2</v>
      </c>
      <c r="T114" s="79">
        <v>1.63143016987706E-2</v>
      </c>
      <c r="U114" s="79">
        <v>3.77189426962381E-2</v>
      </c>
      <c r="V114" s="79">
        <v>8.2766695501848897E-2</v>
      </c>
      <c r="W114" s="79">
        <v>1</v>
      </c>
    </row>
    <row r="115" spans="2:23" x14ac:dyDescent="0.2">
      <c r="B115" t="s">
        <v>1034</v>
      </c>
      <c r="C115" s="84">
        <v>5036</v>
      </c>
      <c r="D115" s="102">
        <v>2.32177408236665E-2</v>
      </c>
      <c r="E115" s="79">
        <v>1.68850492378043E-2</v>
      </c>
      <c r="F115" s="79">
        <v>0.16920740540378901</v>
      </c>
      <c r="G115" s="79">
        <v>0.81796927009920195</v>
      </c>
      <c r="H115" s="79">
        <v>1</v>
      </c>
      <c r="I115" s="102">
        <v>-4.6347255566909199E-4</v>
      </c>
      <c r="J115" s="79">
        <v>1.69222678582647E-2</v>
      </c>
      <c r="K115" s="79">
        <v>0.97815165631041701</v>
      </c>
      <c r="L115" s="79">
        <v>0.99629532610271199</v>
      </c>
      <c r="M115" s="79">
        <v>1</v>
      </c>
      <c r="N115" s="102">
        <v>5.2644504338766197E-2</v>
      </c>
      <c r="O115" s="79">
        <v>1.66940087946728E-2</v>
      </c>
      <c r="P115" s="79">
        <v>1.62744084025795E-3</v>
      </c>
      <c r="Q115" s="79">
        <v>6.4867877256399196E-3</v>
      </c>
      <c r="R115" s="79">
        <v>1</v>
      </c>
      <c r="S115" s="102">
        <v>3.6349826139776401E-2</v>
      </c>
      <c r="T115" s="79">
        <v>1.6725993437543302E-2</v>
      </c>
      <c r="U115" s="79">
        <v>2.98313414224174E-2</v>
      </c>
      <c r="V115" s="79">
        <v>6.8847809767813503E-2</v>
      </c>
      <c r="W115" s="79">
        <v>1</v>
      </c>
    </row>
    <row r="116" spans="2:23" x14ac:dyDescent="0.2">
      <c r="B116" t="s">
        <v>1035</v>
      </c>
      <c r="C116" s="84">
        <v>5036</v>
      </c>
      <c r="D116" s="102">
        <v>-1.4830293970069301E-2</v>
      </c>
      <c r="E116" s="79">
        <v>1.6938588757573501E-2</v>
      </c>
      <c r="F116" s="79">
        <v>0.381346247211797</v>
      </c>
      <c r="G116" s="79">
        <v>0.89461055933914202</v>
      </c>
      <c r="H116" s="79">
        <v>1</v>
      </c>
      <c r="I116" s="102">
        <v>-3.0204215105837599E-3</v>
      </c>
      <c r="J116" s="79">
        <v>1.69434828540166E-2</v>
      </c>
      <c r="K116" s="79">
        <v>0.85852621491403602</v>
      </c>
      <c r="L116" s="79">
        <v>0.96377959447606198</v>
      </c>
      <c r="M116" s="79">
        <v>1</v>
      </c>
      <c r="N116" s="102">
        <v>9.4817625836120297E-3</v>
      </c>
      <c r="O116" s="79">
        <v>1.6731237669253399E-2</v>
      </c>
      <c r="P116" s="79">
        <v>0.57094918099590997</v>
      </c>
      <c r="Q116" s="79">
        <v>0.68016027609498697</v>
      </c>
      <c r="R116" s="79">
        <v>1</v>
      </c>
      <c r="S116" s="102">
        <v>1.8011975534069798E-2</v>
      </c>
      <c r="T116" s="79">
        <v>1.6744453161982701E-2</v>
      </c>
      <c r="U116" s="79">
        <v>0.28214085450698201</v>
      </c>
      <c r="V116" s="79">
        <v>0.394671021911501</v>
      </c>
      <c r="W116" s="79">
        <v>1</v>
      </c>
    </row>
    <row r="117" spans="2:23" x14ac:dyDescent="0.2">
      <c r="B117" t="s">
        <v>1036</v>
      </c>
      <c r="C117" s="84">
        <v>5036</v>
      </c>
      <c r="D117" s="102">
        <v>1.2064563125091099E-2</v>
      </c>
      <c r="E117" s="79">
        <v>1.6720886518040601E-2</v>
      </c>
      <c r="F117" s="79">
        <v>0.47063568940837502</v>
      </c>
      <c r="G117" s="79">
        <v>0.91151047511105199</v>
      </c>
      <c r="H117" s="79">
        <v>1</v>
      </c>
      <c r="I117" s="102">
        <v>1.4201308173259E-2</v>
      </c>
      <c r="J117" s="79">
        <v>1.6742929994041901E-2</v>
      </c>
      <c r="K117" s="79">
        <v>0.39638993582020099</v>
      </c>
      <c r="L117" s="79">
        <v>0.76305062645388699</v>
      </c>
      <c r="M117" s="79">
        <v>1</v>
      </c>
      <c r="N117" s="102">
        <v>5.2472070297485601E-2</v>
      </c>
      <c r="O117" s="79">
        <v>1.6519082696800198E-2</v>
      </c>
      <c r="P117" s="79">
        <v>1.5045111457264999E-3</v>
      </c>
      <c r="Q117" s="79">
        <v>6.13737597350283E-3</v>
      </c>
      <c r="R117" s="79">
        <v>1</v>
      </c>
      <c r="S117" s="102">
        <v>5.26769909919979E-2</v>
      </c>
      <c r="T117" s="79">
        <v>1.6528371874019999E-2</v>
      </c>
      <c r="U117" s="79">
        <v>1.4506988703076899E-3</v>
      </c>
      <c r="V117" s="79">
        <v>6.0678614476573503E-3</v>
      </c>
      <c r="W117" s="79">
        <v>1</v>
      </c>
    </row>
    <row r="118" spans="2:23" x14ac:dyDescent="0.2">
      <c r="B118" t="s">
        <v>1037</v>
      </c>
      <c r="C118" s="84">
        <v>5036</v>
      </c>
      <c r="D118" s="102">
        <v>1.3519191314158701E-2</v>
      </c>
      <c r="E118" s="79">
        <v>1.6946286888971301E-2</v>
      </c>
      <c r="F118" s="79">
        <v>0.42506197978529098</v>
      </c>
      <c r="G118" s="79">
        <v>0.89813936408249395</v>
      </c>
      <c r="H118" s="79">
        <v>1</v>
      </c>
      <c r="I118" s="102">
        <v>1.22740674843908E-2</v>
      </c>
      <c r="J118" s="79">
        <v>1.6967135740663199E-2</v>
      </c>
      <c r="K118" s="79">
        <v>0.46948428409954901</v>
      </c>
      <c r="L118" s="79">
        <v>0.80241685035737897</v>
      </c>
      <c r="M118" s="79">
        <v>1</v>
      </c>
      <c r="N118" s="102">
        <v>3.5453575597178197E-2</v>
      </c>
      <c r="O118" s="79">
        <v>1.6761307674488801E-2</v>
      </c>
      <c r="P118" s="79">
        <v>3.4486857252094799E-2</v>
      </c>
      <c r="Q118" s="79">
        <v>7.4898379724421302E-2</v>
      </c>
      <c r="R118" s="79">
        <v>1</v>
      </c>
      <c r="S118" s="102">
        <v>5.2166003558891401E-2</v>
      </c>
      <c r="T118" s="79">
        <v>1.6755812182366801E-2</v>
      </c>
      <c r="U118" s="79">
        <v>1.86590435227433E-3</v>
      </c>
      <c r="V118" s="79">
        <v>7.3851447961512098E-3</v>
      </c>
      <c r="W118" s="79">
        <v>1</v>
      </c>
    </row>
    <row r="119" spans="2:23" x14ac:dyDescent="0.2">
      <c r="B119" t="s">
        <v>3267</v>
      </c>
      <c r="C119" s="84">
        <v>5036</v>
      </c>
      <c r="D119" s="102">
        <v>-3.9604490558820003E-2</v>
      </c>
      <c r="E119" s="79">
        <v>5.04497276320496E-2</v>
      </c>
      <c r="F119" s="79">
        <v>0.43286010329284902</v>
      </c>
      <c r="G119" s="79">
        <v>0.90303573273163296</v>
      </c>
      <c r="H119" s="79">
        <v>1</v>
      </c>
      <c r="I119" s="102">
        <v>6.6496295473374101E-2</v>
      </c>
      <c r="J119" s="79">
        <v>4.7830979963890997E-2</v>
      </c>
      <c r="K119" s="79">
        <v>0.165162015736004</v>
      </c>
      <c r="L119" s="79">
        <v>0.60822707534084997</v>
      </c>
      <c r="M119" s="79">
        <v>1</v>
      </c>
      <c r="N119" s="102">
        <v>1.5536000787769099E-2</v>
      </c>
      <c r="O119" s="79">
        <v>4.5674683373598798E-2</v>
      </c>
      <c r="P119" s="79">
        <v>0.73391026422164396</v>
      </c>
      <c r="Q119" s="79">
        <v>0.82170785696726101</v>
      </c>
      <c r="R119" s="79">
        <v>1</v>
      </c>
      <c r="S119" s="102">
        <v>6.8977295123265295E-2</v>
      </c>
      <c r="T119" s="79">
        <v>4.8144316243617202E-2</v>
      </c>
      <c r="U119" s="79">
        <v>0.15264974681645899</v>
      </c>
      <c r="V119" s="79">
        <v>0.24769029799528899</v>
      </c>
      <c r="W119" s="79">
        <v>1</v>
      </c>
    </row>
    <row r="120" spans="2:23" x14ac:dyDescent="0.2">
      <c r="B120" t="s">
        <v>3191</v>
      </c>
      <c r="C120" s="84">
        <v>5036</v>
      </c>
      <c r="D120" s="102">
        <v>-3.54639908093628E-2</v>
      </c>
      <c r="E120" s="79">
        <v>1.42644462649492E-2</v>
      </c>
      <c r="F120" s="79">
        <v>1.29456414403771E-2</v>
      </c>
      <c r="G120" s="79">
        <v>0.509998060465089</v>
      </c>
      <c r="H120" s="79">
        <v>1</v>
      </c>
      <c r="I120" s="102">
        <v>1.4505264856323301E-2</v>
      </c>
      <c r="J120" s="79">
        <v>1.4217987372278701E-2</v>
      </c>
      <c r="K120" s="79">
        <v>0.30768285709091803</v>
      </c>
      <c r="L120" s="79">
        <v>0.712776365212754</v>
      </c>
      <c r="M120" s="79">
        <v>1</v>
      </c>
      <c r="N120" s="107">
        <v>0.101333908266987</v>
      </c>
      <c r="O120" s="81">
        <v>1.40021341405268E-2</v>
      </c>
      <c r="P120" s="81">
        <v>5.3141416394153098E-13</v>
      </c>
      <c r="Q120" s="81">
        <v>4.1114651191864702E-11</v>
      </c>
      <c r="R120" s="81">
        <v>9.0021559371695399E-10</v>
      </c>
      <c r="S120" s="102">
        <v>5.4904694302593697E-2</v>
      </c>
      <c r="T120" s="79">
        <v>1.40533064392614E-2</v>
      </c>
      <c r="U120" s="79">
        <v>9.4776951699698407E-5</v>
      </c>
      <c r="V120" s="79">
        <v>6.8320066459271996E-4</v>
      </c>
      <c r="W120" s="79">
        <v>0.160552156179289</v>
      </c>
    </row>
    <row r="121" spans="2:23" x14ac:dyDescent="0.2">
      <c r="B121" t="s">
        <v>3196</v>
      </c>
      <c r="C121" s="84">
        <v>5036</v>
      </c>
      <c r="D121" s="102">
        <v>-4.7978357011665099E-2</v>
      </c>
      <c r="E121" s="79">
        <v>1.41851390923722E-2</v>
      </c>
      <c r="F121" s="79">
        <v>7.2449957942537604E-4</v>
      </c>
      <c r="G121" s="79">
        <v>0.153412785943323</v>
      </c>
      <c r="H121" s="79">
        <v>1</v>
      </c>
      <c r="I121" s="102">
        <v>-6.1295129575004697E-3</v>
      </c>
      <c r="J121" s="79">
        <v>1.4146196341349501E-2</v>
      </c>
      <c r="K121" s="79">
        <v>0.66481808883518301</v>
      </c>
      <c r="L121" s="79">
        <v>0.88747190109282903</v>
      </c>
      <c r="M121" s="79">
        <v>1</v>
      </c>
      <c r="N121" s="107">
        <v>0.102998734735036</v>
      </c>
      <c r="O121" s="81">
        <v>1.39289808271895E-2</v>
      </c>
      <c r="P121" s="81">
        <v>1.6643688515076699E-13</v>
      </c>
      <c r="Q121" s="81">
        <v>1.56635601914111E-11</v>
      </c>
      <c r="R121" s="81">
        <v>2.8194408344539899E-10</v>
      </c>
      <c r="S121" s="102">
        <v>5.4498438777889499E-2</v>
      </c>
      <c r="T121" s="79">
        <v>1.39809534923574E-2</v>
      </c>
      <c r="U121" s="79">
        <v>9.8288196641821903E-5</v>
      </c>
      <c r="V121" s="79">
        <v>7.05509343691722E-4</v>
      </c>
      <c r="W121" s="79">
        <v>0.166500205111246</v>
      </c>
    </row>
    <row r="122" spans="2:23" x14ac:dyDescent="0.2">
      <c r="B122" s="51" t="s">
        <v>2232</v>
      </c>
      <c r="C122" s="84"/>
      <c r="D122" s="102"/>
      <c r="E122" s="79"/>
      <c r="F122" s="79"/>
      <c r="G122" s="79"/>
      <c r="H122" s="79"/>
      <c r="I122" s="102"/>
      <c r="J122" s="79"/>
      <c r="K122" s="79"/>
      <c r="L122" s="79"/>
      <c r="M122" s="79"/>
      <c r="N122" s="102"/>
      <c r="O122" s="79"/>
      <c r="P122" s="79"/>
      <c r="Q122" s="79"/>
      <c r="R122" s="79"/>
      <c r="S122" s="102"/>
      <c r="T122" s="79"/>
      <c r="U122" s="79"/>
      <c r="V122" s="79"/>
      <c r="W122" s="79"/>
    </row>
    <row r="123" spans="2:23" x14ac:dyDescent="0.2">
      <c r="B123" t="s">
        <v>3750</v>
      </c>
      <c r="C123" s="84">
        <v>5021</v>
      </c>
      <c r="D123" s="102">
        <v>1.0281403305402512</v>
      </c>
      <c r="E123" s="79">
        <v>6.3263713017117806E-2</v>
      </c>
      <c r="F123" s="79">
        <v>0.660903267647036</v>
      </c>
      <c r="G123" s="79">
        <v>0.95861142314177605</v>
      </c>
      <c r="H123" s="79">
        <v>1</v>
      </c>
      <c r="I123" s="102">
        <v>1.0718308228701638</v>
      </c>
      <c r="J123" s="79">
        <v>6.2663197020939906E-2</v>
      </c>
      <c r="K123" s="79">
        <v>0.268293399781658</v>
      </c>
      <c r="L123" s="79">
        <v>0.68528643711745596</v>
      </c>
      <c r="M123" s="79">
        <v>1</v>
      </c>
      <c r="N123" s="102">
        <v>1.0971200729449584</v>
      </c>
      <c r="O123" s="79">
        <v>6.3301463220758594E-2</v>
      </c>
      <c r="P123" s="79">
        <v>0.143127968003704</v>
      </c>
      <c r="Q123" s="79">
        <v>0.23135379560904101</v>
      </c>
      <c r="R123" s="79">
        <v>1</v>
      </c>
      <c r="S123" s="102">
        <v>1.1383591845789274</v>
      </c>
      <c r="T123" s="79">
        <v>6.2888829515234806E-2</v>
      </c>
      <c r="U123" s="79">
        <v>3.9342443938680499E-2</v>
      </c>
      <c r="V123" s="79">
        <v>8.5553401838414297E-2</v>
      </c>
      <c r="W123" s="79">
        <v>1</v>
      </c>
    </row>
    <row r="124" spans="2:23" x14ac:dyDescent="0.2">
      <c r="B124" t="s">
        <v>1055</v>
      </c>
      <c r="C124" s="84">
        <v>4985</v>
      </c>
      <c r="D124" s="102">
        <v>5.7784598418638301E-3</v>
      </c>
      <c r="E124" s="79">
        <v>8.1784771131805396E-3</v>
      </c>
      <c r="F124" s="79">
        <v>0.47996808239025901</v>
      </c>
      <c r="G124" s="79">
        <v>0.913557226482133</v>
      </c>
      <c r="H124" s="79">
        <v>1</v>
      </c>
      <c r="I124" s="102">
        <v>1.13336868109148E-2</v>
      </c>
      <c r="J124" s="79">
        <v>8.3508717012409795E-3</v>
      </c>
      <c r="K124" s="79">
        <v>0.17493509036173599</v>
      </c>
      <c r="L124" s="79">
        <v>0.61396896490869202</v>
      </c>
      <c r="M124" s="79">
        <v>1</v>
      </c>
      <c r="N124" s="102">
        <v>-2.6456471507647399E-2</v>
      </c>
      <c r="O124" s="79">
        <v>8.1807121108597794E-3</v>
      </c>
      <c r="P124" s="79">
        <v>1.2490193586446601E-3</v>
      </c>
      <c r="Q124" s="79">
        <v>5.2632805809553597E-3</v>
      </c>
      <c r="R124" s="79">
        <v>1</v>
      </c>
      <c r="S124" s="102">
        <v>-1.3566235522709901E-2</v>
      </c>
      <c r="T124" s="79">
        <v>8.3242437160176708E-3</v>
      </c>
      <c r="U124" s="79">
        <v>0.10337959094983799</v>
      </c>
      <c r="V124" s="79">
        <v>0.18016978093521199</v>
      </c>
      <c r="W124" s="79">
        <v>1</v>
      </c>
    </row>
    <row r="125" spans="2:23" x14ac:dyDescent="0.2">
      <c r="B125" t="s">
        <v>1049</v>
      </c>
      <c r="C125" s="84">
        <v>5004</v>
      </c>
      <c r="D125" s="102">
        <v>6.5484907525181499E-3</v>
      </c>
      <c r="E125" s="79">
        <v>7.8031175499342197E-3</v>
      </c>
      <c r="F125" s="79">
        <v>0.40138920886659002</v>
      </c>
      <c r="G125" s="79">
        <v>0.89461055933914202</v>
      </c>
      <c r="H125" s="79">
        <v>1</v>
      </c>
      <c r="I125" s="102">
        <v>-1.46457307096091E-2</v>
      </c>
      <c r="J125" s="79">
        <v>7.8005652336183501E-3</v>
      </c>
      <c r="K125" s="79">
        <v>6.0504875428769797E-2</v>
      </c>
      <c r="L125" s="79">
        <v>0.42529153102214101</v>
      </c>
      <c r="M125" s="79">
        <v>1</v>
      </c>
      <c r="N125" s="102">
        <v>-1.06535312407601E-2</v>
      </c>
      <c r="O125" s="79">
        <v>7.7262119235730299E-3</v>
      </c>
      <c r="P125" s="79">
        <v>0.16799320361323999</v>
      </c>
      <c r="Q125" s="79">
        <v>0.26277053270621298</v>
      </c>
      <c r="R125" s="79">
        <v>1</v>
      </c>
      <c r="S125" s="102">
        <v>-1.8091935890895101E-2</v>
      </c>
      <c r="T125" s="79">
        <v>7.7231773736950301E-3</v>
      </c>
      <c r="U125" s="79">
        <v>1.91915102398167E-2</v>
      </c>
      <c r="V125" s="79">
        <v>4.7322297447233597E-2</v>
      </c>
      <c r="W125" s="79">
        <v>1</v>
      </c>
    </row>
    <row r="126" spans="2:23" x14ac:dyDescent="0.2">
      <c r="B126" t="s">
        <v>3751</v>
      </c>
      <c r="C126" s="84">
        <v>5013</v>
      </c>
      <c r="D126" s="102">
        <v>0.80311420742855144</v>
      </c>
      <c r="E126" s="79">
        <v>0.134406979064117</v>
      </c>
      <c r="F126" s="79">
        <v>0.102826650114499</v>
      </c>
      <c r="G126" s="79">
        <v>0.80073593795741704</v>
      </c>
      <c r="H126" s="79">
        <v>1</v>
      </c>
      <c r="I126" s="102">
        <v>0.89018586087976403</v>
      </c>
      <c r="J126" s="79">
        <v>0.133793456911355</v>
      </c>
      <c r="K126" s="79">
        <v>0.38460805547142202</v>
      </c>
      <c r="L126" s="79">
        <v>0.75782823609722505</v>
      </c>
      <c r="M126" s="79">
        <v>1</v>
      </c>
      <c r="N126" s="102">
        <v>1.4313939093503651</v>
      </c>
      <c r="O126" s="79">
        <v>0.13524603310793001</v>
      </c>
      <c r="P126" s="79">
        <v>8.0058164961128893E-3</v>
      </c>
      <c r="Q126" s="79">
        <v>2.3463413744663E-2</v>
      </c>
      <c r="R126" s="79">
        <v>1</v>
      </c>
      <c r="S126" s="102">
        <v>1.1647919156391346</v>
      </c>
      <c r="T126" s="79">
        <v>0.13706616632891699</v>
      </c>
      <c r="U126" s="79">
        <v>0.265746612508929</v>
      </c>
      <c r="V126" s="79">
        <v>0.37577192119376102</v>
      </c>
      <c r="W126" s="79">
        <v>1</v>
      </c>
    </row>
    <row r="127" spans="2:23" x14ac:dyDescent="0.2">
      <c r="B127" t="s">
        <v>3752</v>
      </c>
      <c r="C127" s="84">
        <v>4433</v>
      </c>
      <c r="D127" s="102">
        <v>0.83395608097607299</v>
      </c>
      <c r="E127" s="79">
        <v>0.111151292743059</v>
      </c>
      <c r="F127" s="79">
        <v>0.102347051401646</v>
      </c>
      <c r="G127" s="79">
        <v>0.80073593795741704</v>
      </c>
      <c r="H127" s="79">
        <v>1</v>
      </c>
      <c r="I127" s="102">
        <v>0.95988958839321392</v>
      </c>
      <c r="J127" s="79">
        <v>0.10734847164821</v>
      </c>
      <c r="K127" s="79">
        <v>0.70294581311955395</v>
      </c>
      <c r="L127" s="79">
        <v>0.90623303456965298</v>
      </c>
      <c r="M127" s="79">
        <v>1</v>
      </c>
      <c r="N127" s="102">
        <v>1.3317360790779831</v>
      </c>
      <c r="O127" s="79">
        <v>0.10897317855452</v>
      </c>
      <c r="P127" s="79">
        <v>8.5652706602677899E-3</v>
      </c>
      <c r="Q127" s="79">
        <v>2.47071436952838E-2</v>
      </c>
      <c r="R127" s="79">
        <v>1</v>
      </c>
      <c r="S127" s="102">
        <v>1.2245041615190415</v>
      </c>
      <c r="T127" s="79">
        <v>0.10886030802841901</v>
      </c>
      <c r="U127" s="79">
        <v>6.2813009918940496E-2</v>
      </c>
      <c r="V127" s="79">
        <v>0.122024356425098</v>
      </c>
      <c r="W127" s="79">
        <v>1</v>
      </c>
    </row>
    <row r="128" spans="2:23" x14ac:dyDescent="0.2">
      <c r="B128" t="s">
        <v>3753</v>
      </c>
      <c r="C128" s="84">
        <v>4432</v>
      </c>
      <c r="D128" s="102">
        <v>0.71816776300377383</v>
      </c>
      <c r="E128" s="79">
        <v>0.177738045949319</v>
      </c>
      <c r="F128" s="79">
        <v>6.2520782741723402E-2</v>
      </c>
      <c r="G128" s="79">
        <v>0.72211647124377798</v>
      </c>
      <c r="H128" s="79">
        <v>1</v>
      </c>
      <c r="I128" s="102">
        <v>0.84882170370093846</v>
      </c>
      <c r="J128" s="79">
        <v>0.17148344413917099</v>
      </c>
      <c r="K128" s="79">
        <v>0.33916666930476003</v>
      </c>
      <c r="L128" s="79">
        <v>0.73284226760492799</v>
      </c>
      <c r="M128" s="79">
        <v>1</v>
      </c>
      <c r="N128" s="102">
        <v>1.3834770486879653</v>
      </c>
      <c r="O128" s="79">
        <v>0.173885330589716</v>
      </c>
      <c r="P128" s="79">
        <v>6.1936917645665099E-2</v>
      </c>
      <c r="Q128" s="79">
        <v>0.121296113863303</v>
      </c>
      <c r="R128" s="79">
        <v>1</v>
      </c>
      <c r="S128" s="102">
        <v>1.3801517509536056</v>
      </c>
      <c r="T128" s="79">
        <v>0.17974710081062201</v>
      </c>
      <c r="U128" s="79">
        <v>7.3055776780777307E-2</v>
      </c>
      <c r="V128" s="79">
        <v>0.136898767551589</v>
      </c>
      <c r="W128" s="79">
        <v>1</v>
      </c>
    </row>
    <row r="129" spans="2:25" x14ac:dyDescent="0.2">
      <c r="B129" t="s">
        <v>3754</v>
      </c>
      <c r="C129" s="84">
        <v>5014</v>
      </c>
      <c r="D129" s="102">
        <v>0.91506125370538927</v>
      </c>
      <c r="E129" s="79">
        <v>0.135182318699826</v>
      </c>
      <c r="F129" s="79">
        <v>0.51142120403149405</v>
      </c>
      <c r="G129" s="79">
        <v>0.91752655785263504</v>
      </c>
      <c r="H129" s="79">
        <v>1</v>
      </c>
      <c r="I129" s="102">
        <v>0.81409650474685347</v>
      </c>
      <c r="J129" s="79">
        <v>0.13447189132352</v>
      </c>
      <c r="K129" s="79">
        <v>0.126137580576103</v>
      </c>
      <c r="L129" s="79">
        <v>0.55552266356551805</v>
      </c>
      <c r="M129" s="79">
        <v>1</v>
      </c>
      <c r="N129" s="102">
        <v>1.4001608453665051</v>
      </c>
      <c r="O129" s="79">
        <v>0.136297812120343</v>
      </c>
      <c r="P129" s="79">
        <v>1.3530292713361499E-2</v>
      </c>
      <c r="Q129" s="79">
        <v>3.5480365102839598E-2</v>
      </c>
      <c r="R129" s="79">
        <v>1</v>
      </c>
      <c r="S129" s="102">
        <v>1.1667147074759476</v>
      </c>
      <c r="T129" s="79">
        <v>0.13360633403508501</v>
      </c>
      <c r="U129" s="79">
        <v>0.248469032575346</v>
      </c>
      <c r="V129" s="79">
        <v>0.35852345926970702</v>
      </c>
      <c r="W129" s="79">
        <v>1</v>
      </c>
    </row>
    <row r="130" spans="2:25" x14ac:dyDescent="0.2">
      <c r="B130" t="s">
        <v>3755</v>
      </c>
      <c r="C130" s="84">
        <v>5021</v>
      </c>
      <c r="D130" s="102">
        <v>0.89301636521811079</v>
      </c>
      <c r="E130" s="79">
        <v>0.101054131504064</v>
      </c>
      <c r="F130" s="79">
        <v>0.26284136724143697</v>
      </c>
      <c r="G130" s="79">
        <v>0.85990749347533801</v>
      </c>
      <c r="H130" s="79">
        <v>1</v>
      </c>
      <c r="I130" s="102">
        <v>0.97047149165589253</v>
      </c>
      <c r="J130" s="79">
        <v>9.72502806472864E-2</v>
      </c>
      <c r="K130" s="79">
        <v>0.75792455672091397</v>
      </c>
      <c r="L130" s="79">
        <v>0.92506376263470302</v>
      </c>
      <c r="M130" s="79">
        <v>1</v>
      </c>
      <c r="N130" s="102">
        <v>1.3572037003331705</v>
      </c>
      <c r="O130" s="79">
        <v>9.9682853360401294E-2</v>
      </c>
      <c r="P130" s="79">
        <v>2.18411963368393E-3</v>
      </c>
      <c r="Q130" s="79">
        <v>7.9911418130898006E-3</v>
      </c>
      <c r="R130" s="79">
        <v>1</v>
      </c>
      <c r="S130" s="102">
        <v>1.1638602796276054</v>
      </c>
      <c r="T130" s="79">
        <v>9.9965329578748194E-2</v>
      </c>
      <c r="U130" s="79">
        <v>0.12902716679825699</v>
      </c>
      <c r="V130" s="79">
        <v>0.216407941144799</v>
      </c>
      <c r="W130" s="79">
        <v>1</v>
      </c>
    </row>
    <row r="131" spans="2:25" x14ac:dyDescent="0.2">
      <c r="B131" t="s">
        <v>3758</v>
      </c>
      <c r="C131" s="84">
        <v>5020</v>
      </c>
      <c r="D131" s="102">
        <v>1.0942406970687506</v>
      </c>
      <c r="E131" s="79">
        <v>6.15102461056828E-2</v>
      </c>
      <c r="F131" s="79">
        <v>0.14315088734614101</v>
      </c>
      <c r="G131" s="79">
        <v>0.80938271582532695</v>
      </c>
      <c r="H131" s="79">
        <v>1</v>
      </c>
      <c r="I131" s="102">
        <v>0.99647078368212294</v>
      </c>
      <c r="J131" s="79">
        <v>6.0818424442725998E-2</v>
      </c>
      <c r="K131" s="79">
        <v>0.95364398228465497</v>
      </c>
      <c r="L131" s="79">
        <v>0.99421745281696505</v>
      </c>
      <c r="M131" s="79">
        <v>1</v>
      </c>
      <c r="N131" s="102">
        <v>0.83220737755426466</v>
      </c>
      <c r="O131" s="79">
        <v>5.9834940684059999E-2</v>
      </c>
      <c r="P131" s="79">
        <v>2.14294269249304E-3</v>
      </c>
      <c r="Q131" s="79">
        <v>7.8916193936591494E-3</v>
      </c>
      <c r="R131" s="79">
        <v>1</v>
      </c>
      <c r="S131" s="102">
        <v>0.8451754970853923</v>
      </c>
      <c r="T131" s="79">
        <v>6.0698681817366699E-2</v>
      </c>
      <c r="U131" s="79">
        <v>5.58422062279911E-3</v>
      </c>
      <c r="V131" s="79">
        <v>1.7615772318476199E-2</v>
      </c>
      <c r="W131" s="79">
        <v>1</v>
      </c>
    </row>
    <row r="132" spans="2:25" x14ac:dyDescent="0.2">
      <c r="B132" t="s">
        <v>3759</v>
      </c>
      <c r="C132" s="84">
        <v>5024</v>
      </c>
      <c r="D132" s="102">
        <v>0.98848664529250352</v>
      </c>
      <c r="E132" s="79">
        <v>8.0975969854132995E-2</v>
      </c>
      <c r="F132" s="79">
        <v>0.88628449662136699</v>
      </c>
      <c r="G132" s="79">
        <v>0.99362338620020496</v>
      </c>
      <c r="H132" s="79">
        <v>1</v>
      </c>
      <c r="I132" s="102">
        <v>1.0725760828361532</v>
      </c>
      <c r="J132" s="79">
        <v>7.98459043608859E-2</v>
      </c>
      <c r="K132" s="79">
        <v>0.380225128365274</v>
      </c>
      <c r="L132" s="79">
        <v>0.75782823609722505</v>
      </c>
      <c r="M132" s="79">
        <v>1</v>
      </c>
      <c r="N132" s="102">
        <v>0.99177574813805214</v>
      </c>
      <c r="O132" s="79">
        <v>8.0856013654619099E-2</v>
      </c>
      <c r="P132" s="79">
        <v>0.91864923910641905</v>
      </c>
      <c r="Q132" s="79">
        <v>0.94601325899469502</v>
      </c>
      <c r="R132" s="79">
        <v>1</v>
      </c>
      <c r="S132" s="102">
        <v>0.99238925573549597</v>
      </c>
      <c r="T132" s="79">
        <v>8.0335111771040996E-2</v>
      </c>
      <c r="U132" s="79">
        <v>0.92423554994449797</v>
      </c>
      <c r="V132" s="79">
        <v>0.94715972268964299</v>
      </c>
      <c r="W132" s="79">
        <v>1</v>
      </c>
    </row>
    <row r="133" spans="2:25" x14ac:dyDescent="0.2">
      <c r="B133" t="s">
        <v>3760</v>
      </c>
      <c r="C133" s="84">
        <v>4695</v>
      </c>
      <c r="D133" s="102">
        <v>0.90509562120890574</v>
      </c>
      <c r="E133" s="79">
        <v>7.2243424359754504E-2</v>
      </c>
      <c r="F133" s="79">
        <v>0.167506720420041</v>
      </c>
      <c r="G133" s="79">
        <v>0.81796927009920195</v>
      </c>
      <c r="H133" s="79">
        <v>1</v>
      </c>
      <c r="I133" s="102">
        <v>1.0072418201555036</v>
      </c>
      <c r="J133" s="79">
        <v>7.0222421809590402E-2</v>
      </c>
      <c r="K133" s="79">
        <v>0.91815720465483597</v>
      </c>
      <c r="L133" s="79">
        <v>0.98193837767293402</v>
      </c>
      <c r="M133" s="79">
        <v>1</v>
      </c>
      <c r="N133" s="107">
        <v>1.4191094817209886</v>
      </c>
      <c r="O133" s="81">
        <v>7.0858100171543606E-2</v>
      </c>
      <c r="P133" s="81">
        <v>7.8176109017789404E-7</v>
      </c>
      <c r="Q133" s="81">
        <v>1.0032600657282999E-5</v>
      </c>
      <c r="R133" s="81">
        <v>1.3243032867613501E-3</v>
      </c>
      <c r="S133" s="102">
        <v>1.3221131308307361</v>
      </c>
      <c r="T133" s="79">
        <v>7.0856020858009794E-2</v>
      </c>
      <c r="U133" s="79">
        <v>8.1201207354528903E-5</v>
      </c>
      <c r="V133" s="79">
        <v>6.1408413061862495E-4</v>
      </c>
      <c r="W133" s="79">
        <v>0.13755484525857201</v>
      </c>
    </row>
    <row r="134" spans="2:25" x14ac:dyDescent="0.2">
      <c r="B134" t="s">
        <v>3761</v>
      </c>
      <c r="C134" s="84">
        <v>4485</v>
      </c>
      <c r="D134" s="102">
        <v>0.95486248924375128</v>
      </c>
      <c r="E134" s="79">
        <v>0.18269072042870799</v>
      </c>
      <c r="F134" s="79">
        <v>0.80040701050476204</v>
      </c>
      <c r="G134" s="79">
        <v>0.99362338620020496</v>
      </c>
      <c r="H134" s="79">
        <v>1</v>
      </c>
      <c r="I134" s="102">
        <v>1.0087979171957637</v>
      </c>
      <c r="J134" s="79">
        <v>0.18339831220291999</v>
      </c>
      <c r="K134" s="79">
        <v>0.96190604828287196</v>
      </c>
      <c r="L134" s="79">
        <v>0.99551534580938295</v>
      </c>
      <c r="M134" s="79">
        <v>1</v>
      </c>
      <c r="N134" s="102">
        <v>0.94367868026729618</v>
      </c>
      <c r="O134" s="79">
        <v>0.18060456071469599</v>
      </c>
      <c r="P134" s="79">
        <v>0.74822932394274699</v>
      </c>
      <c r="Q134" s="79">
        <v>0.828973495591245</v>
      </c>
      <c r="R134" s="79">
        <v>1</v>
      </c>
      <c r="S134" s="102">
        <v>1.1685712945125253</v>
      </c>
      <c r="T134" s="79">
        <v>0.18112813490853999</v>
      </c>
      <c r="U134" s="79">
        <v>0.38975346422923701</v>
      </c>
      <c r="V134" s="79">
        <v>0.50787874492640595</v>
      </c>
      <c r="W134" s="79">
        <v>1</v>
      </c>
      <c r="Y134">
        <f>COUNTIF(W14:W1706, "&lt;=.05")</f>
        <v>173</v>
      </c>
    </row>
    <row r="135" spans="2:25" x14ac:dyDescent="0.2">
      <c r="B135" t="s">
        <v>1050</v>
      </c>
      <c r="C135" s="84">
        <v>5020</v>
      </c>
      <c r="D135" s="102">
        <v>-3.7857894079404699E-3</v>
      </c>
      <c r="E135" s="79">
        <v>5.7583953751989001E-3</v>
      </c>
      <c r="F135" s="79">
        <v>0.51103782089336602</v>
      </c>
      <c r="G135" s="79">
        <v>0.91752655785263504</v>
      </c>
      <c r="H135" s="79">
        <v>1</v>
      </c>
      <c r="I135" s="102">
        <v>-2.66685562513955E-3</v>
      </c>
      <c r="J135" s="79">
        <v>5.9434065170972401E-3</v>
      </c>
      <c r="K135" s="79">
        <v>0.65372894805673099</v>
      </c>
      <c r="L135" s="79">
        <v>0.88374695918109603</v>
      </c>
      <c r="M135" s="79">
        <v>1</v>
      </c>
      <c r="N135" s="102">
        <v>6.8115700944054204E-3</v>
      </c>
      <c r="O135" s="79">
        <v>5.7418963660197204E-3</v>
      </c>
      <c r="P135" s="79">
        <v>0.23576342214500401</v>
      </c>
      <c r="Q135" s="79">
        <v>0.34429589406347999</v>
      </c>
      <c r="R135" s="79">
        <v>1</v>
      </c>
      <c r="S135" s="102">
        <v>-8.8211942210758201E-3</v>
      </c>
      <c r="T135" s="79">
        <v>5.85182416392677E-3</v>
      </c>
      <c r="U135" s="79">
        <v>0.13198496855227601</v>
      </c>
      <c r="V135" s="79">
        <v>0.21984516885698699</v>
      </c>
      <c r="W135" s="79">
        <v>1</v>
      </c>
    </row>
    <row r="136" spans="2:25" x14ac:dyDescent="0.2">
      <c r="B136" t="s">
        <v>1051</v>
      </c>
      <c r="C136" s="84">
        <v>4972</v>
      </c>
      <c r="D136" s="102">
        <v>1.13687123083384E-2</v>
      </c>
      <c r="E136" s="79">
        <v>9.2411999257240498E-3</v>
      </c>
      <c r="F136" s="79">
        <v>0.21877408902787501</v>
      </c>
      <c r="G136" s="79">
        <v>0.84071215771938901</v>
      </c>
      <c r="H136" s="79">
        <v>1</v>
      </c>
      <c r="I136" s="102">
        <v>4.0936110639419598E-3</v>
      </c>
      <c r="J136" s="79">
        <v>9.4346603540563304E-3</v>
      </c>
      <c r="K136" s="79">
        <v>0.66441676906228897</v>
      </c>
      <c r="L136" s="79">
        <v>0.88747190109282903</v>
      </c>
      <c r="M136" s="79">
        <v>1</v>
      </c>
      <c r="N136" s="102">
        <v>-2.8990570808702799E-2</v>
      </c>
      <c r="O136" s="79">
        <v>9.22594977415306E-3</v>
      </c>
      <c r="P136" s="79">
        <v>1.70307526311385E-3</v>
      </c>
      <c r="Q136" s="79">
        <v>6.7093244086392197E-3</v>
      </c>
      <c r="R136" s="79">
        <v>1</v>
      </c>
      <c r="S136" s="102">
        <v>-2.8812464174138599E-2</v>
      </c>
      <c r="T136" s="79">
        <v>9.3256798564364998E-3</v>
      </c>
      <c r="U136" s="79">
        <v>2.0334530440452199E-3</v>
      </c>
      <c r="V136" s="79">
        <v>7.8798801072499092E-3</v>
      </c>
      <c r="W136" s="79">
        <v>1</v>
      </c>
    </row>
    <row r="137" spans="2:25" x14ac:dyDescent="0.2">
      <c r="B137" t="s">
        <v>3746</v>
      </c>
      <c r="C137" s="84">
        <v>3356</v>
      </c>
      <c r="D137" s="102">
        <v>1.018450582956749</v>
      </c>
      <c r="E137" s="79">
        <v>5.3821280625414997E-2</v>
      </c>
      <c r="F137" s="79">
        <v>0.73409159891918696</v>
      </c>
      <c r="G137" s="79">
        <v>0.97686658960652195</v>
      </c>
      <c r="H137" s="79">
        <v>1</v>
      </c>
      <c r="I137" s="102">
        <v>1.0399998155219581</v>
      </c>
      <c r="J137" s="79">
        <v>5.3689960124836698E-2</v>
      </c>
      <c r="K137" s="79">
        <v>0.46508438650545803</v>
      </c>
      <c r="L137" s="79">
        <v>0.799032058493933</v>
      </c>
      <c r="M137" s="79">
        <v>1</v>
      </c>
      <c r="N137" s="102">
        <v>0.97163616594734514</v>
      </c>
      <c r="O137" s="79">
        <v>5.3049265348456803E-2</v>
      </c>
      <c r="P137" s="79">
        <v>0.58754378541168295</v>
      </c>
      <c r="Q137" s="79">
        <v>0.69214128823879795</v>
      </c>
      <c r="R137" s="79">
        <v>1</v>
      </c>
      <c r="S137" s="102">
        <v>0.97222569955965399</v>
      </c>
      <c r="T137" s="79">
        <v>5.27536767091649E-2</v>
      </c>
      <c r="U137" s="79">
        <v>0.59338301834851903</v>
      </c>
      <c r="V137" s="79">
        <v>0.68333843173513997</v>
      </c>
      <c r="W137" s="79">
        <v>1</v>
      </c>
    </row>
    <row r="138" spans="2:25" x14ac:dyDescent="0.2">
      <c r="B138" t="s">
        <v>1052</v>
      </c>
      <c r="C138" s="84">
        <v>4998</v>
      </c>
      <c r="D138" s="102">
        <v>-9.3059760792507298E-3</v>
      </c>
      <c r="E138" s="79">
        <v>1.11728848694309E-2</v>
      </c>
      <c r="F138" s="79">
        <v>0.40497184536721198</v>
      </c>
      <c r="G138" s="79">
        <v>0.89461055933914202</v>
      </c>
      <c r="H138" s="79">
        <v>1</v>
      </c>
      <c r="I138" s="102">
        <v>1.4016814935152101E-2</v>
      </c>
      <c r="J138" s="79">
        <v>1.13874199543591E-2</v>
      </c>
      <c r="K138" s="79">
        <v>0.21845981350118501</v>
      </c>
      <c r="L138" s="79">
        <v>0.65175197558902398</v>
      </c>
      <c r="M138" s="79">
        <v>1</v>
      </c>
      <c r="N138" s="102">
        <v>-3.6259701014171E-3</v>
      </c>
      <c r="O138" s="79">
        <v>1.1142435642372699E-2</v>
      </c>
      <c r="P138" s="79">
        <v>0.74488816621743104</v>
      </c>
      <c r="Q138" s="79">
        <v>0.82797936586110799</v>
      </c>
      <c r="R138" s="79">
        <v>1</v>
      </c>
      <c r="S138" s="102">
        <v>1.0319706078991299E-2</v>
      </c>
      <c r="T138" s="79">
        <v>1.12168314697993E-2</v>
      </c>
      <c r="U138" s="79">
        <v>0.35764160406450901</v>
      </c>
      <c r="V138" s="79">
        <v>0.47521834253756701</v>
      </c>
      <c r="W138" s="79">
        <v>1</v>
      </c>
    </row>
    <row r="139" spans="2:25" x14ac:dyDescent="0.2">
      <c r="B139" t="s">
        <v>3748</v>
      </c>
      <c r="C139" s="84">
        <v>3356</v>
      </c>
      <c r="D139" s="102">
        <v>1.004607344681409</v>
      </c>
      <c r="E139" s="79">
        <v>7.7030064948005794E-2</v>
      </c>
      <c r="F139" s="79">
        <v>0.95241454299099704</v>
      </c>
      <c r="G139" s="79">
        <v>0.99840985319461195</v>
      </c>
      <c r="H139" s="79">
        <v>1</v>
      </c>
      <c r="I139" s="102">
        <v>0.93764933547452345</v>
      </c>
      <c r="J139" s="79">
        <v>7.7279575841051495E-2</v>
      </c>
      <c r="K139" s="79">
        <v>0.40480564291965998</v>
      </c>
      <c r="L139" s="79">
        <v>0.76876766715908496</v>
      </c>
      <c r="M139" s="79">
        <v>1</v>
      </c>
      <c r="N139" s="102">
        <v>0.74542564522347821</v>
      </c>
      <c r="O139" s="79">
        <v>7.6953929589394801E-2</v>
      </c>
      <c r="P139" s="79">
        <v>1.3461031719058899E-4</v>
      </c>
      <c r="Q139" s="79">
        <v>8.80424236760069E-4</v>
      </c>
      <c r="R139" s="79">
        <v>0.228029877320858</v>
      </c>
      <c r="S139" s="102">
        <v>0.72051088681528597</v>
      </c>
      <c r="T139" s="79">
        <v>7.9013238621567797E-2</v>
      </c>
      <c r="U139" s="79">
        <v>3.3450673428025001E-5</v>
      </c>
      <c r="V139" s="79">
        <v>3.18345172961092E-4</v>
      </c>
      <c r="W139" s="79">
        <v>5.6665440787074299E-2</v>
      </c>
    </row>
    <row r="140" spans="2:25" x14ac:dyDescent="0.2">
      <c r="B140" t="s">
        <v>3747</v>
      </c>
      <c r="C140" s="84">
        <v>3356</v>
      </c>
      <c r="D140" s="102">
        <v>1.0069268823588562</v>
      </c>
      <c r="E140" s="79">
        <v>7.7017120240991194E-2</v>
      </c>
      <c r="F140" s="79">
        <v>0.92858168503013905</v>
      </c>
      <c r="G140" s="79">
        <v>0.99840985319461195</v>
      </c>
      <c r="H140" s="79">
        <v>1</v>
      </c>
      <c r="I140" s="102">
        <v>0.91357390333134059</v>
      </c>
      <c r="J140" s="79">
        <v>7.5907388368722795E-2</v>
      </c>
      <c r="K140" s="79">
        <v>0.233729589294419</v>
      </c>
      <c r="L140" s="79">
        <v>0.66141104862732303</v>
      </c>
      <c r="M140" s="79">
        <v>1</v>
      </c>
      <c r="N140" s="102">
        <v>0.88429424925777345</v>
      </c>
      <c r="O140" s="79">
        <v>7.5838978903651003E-2</v>
      </c>
      <c r="P140" s="79">
        <v>0.10493162590727501</v>
      </c>
      <c r="Q140" s="79">
        <v>0.18101239744085901</v>
      </c>
      <c r="R140" s="79">
        <v>1</v>
      </c>
      <c r="S140" s="102">
        <v>0.87033377173827864</v>
      </c>
      <c r="T140" s="79">
        <v>7.4785918057364204E-2</v>
      </c>
      <c r="U140" s="79">
        <v>6.3309165356243605E-2</v>
      </c>
      <c r="V140" s="79">
        <v>0.122566544129688</v>
      </c>
      <c r="W140" s="79">
        <v>1</v>
      </c>
    </row>
    <row r="141" spans="2:25" x14ac:dyDescent="0.2">
      <c r="B141" t="s">
        <v>1053</v>
      </c>
      <c r="C141" s="84">
        <v>5009</v>
      </c>
      <c r="D141" s="102">
        <v>1.51141572629825E-2</v>
      </c>
      <c r="E141" s="79">
        <v>9.7671224171332494E-3</v>
      </c>
      <c r="F141" s="79">
        <v>0.121948870409232</v>
      </c>
      <c r="G141" s="79">
        <v>0.80938271582532695</v>
      </c>
      <c r="H141" s="79">
        <v>1</v>
      </c>
      <c r="I141" s="102">
        <v>-8.5859810322308702E-3</v>
      </c>
      <c r="J141" s="79">
        <v>1.01430531773723E-2</v>
      </c>
      <c r="K141" s="79">
        <v>0.39739618562701401</v>
      </c>
      <c r="L141" s="79">
        <v>0.76325299144236003</v>
      </c>
      <c r="M141" s="79">
        <v>1</v>
      </c>
      <c r="N141" s="102">
        <v>-3.5588954900389297E-2</v>
      </c>
      <c r="O141" s="79">
        <v>9.8119848891158705E-3</v>
      </c>
      <c r="P141" s="79">
        <v>2.9534652877515998E-4</v>
      </c>
      <c r="Q141" s="79">
        <v>1.6621827898509001E-3</v>
      </c>
      <c r="R141" s="79">
        <v>0.50031701974512099</v>
      </c>
      <c r="S141" s="107">
        <v>-4.5702570751118297E-2</v>
      </c>
      <c r="T141" s="81">
        <v>9.9058506345428704E-3</v>
      </c>
      <c r="U141" s="81">
        <v>4.2621230912654502E-6</v>
      </c>
      <c r="V141" s="81">
        <v>6.0166970971697298E-5</v>
      </c>
      <c r="W141" s="81">
        <v>7.2200365166036704E-3</v>
      </c>
    </row>
    <row r="142" spans="2:25" x14ac:dyDescent="0.2">
      <c r="B142" t="s">
        <v>3749</v>
      </c>
      <c r="C142" s="84">
        <v>3356</v>
      </c>
      <c r="D142" s="102">
        <v>1.1741648809369154</v>
      </c>
      <c r="E142" s="79">
        <v>8.0072626717952303E-2</v>
      </c>
      <c r="F142" s="79">
        <v>4.4947643766741097E-2</v>
      </c>
      <c r="G142" s="79">
        <v>0.68219720695512798</v>
      </c>
      <c r="H142" s="79">
        <v>1</v>
      </c>
      <c r="I142" s="102">
        <v>0.92692323624897111</v>
      </c>
      <c r="J142" s="79">
        <v>8.0545888322783796E-2</v>
      </c>
      <c r="K142" s="79">
        <v>0.34612718079826199</v>
      </c>
      <c r="L142" s="79">
        <v>0.74109458643718196</v>
      </c>
      <c r="M142" s="79">
        <v>1</v>
      </c>
      <c r="N142" s="102">
        <v>0.90441739241462016</v>
      </c>
      <c r="O142" s="79">
        <v>8.0266889920499296E-2</v>
      </c>
      <c r="P142" s="79">
        <v>0.21070535159728901</v>
      </c>
      <c r="Q142" s="79">
        <v>0.31490719720796601</v>
      </c>
      <c r="R142" s="79">
        <v>1</v>
      </c>
      <c r="S142" s="102">
        <v>0.89692747909599202</v>
      </c>
      <c r="T142" s="79">
        <v>8.1300384187077204E-2</v>
      </c>
      <c r="U142" s="79">
        <v>0.18089501568785199</v>
      </c>
      <c r="V142" s="79">
        <v>0.27985037130157198</v>
      </c>
      <c r="W142" s="79">
        <v>1</v>
      </c>
    </row>
    <row r="143" spans="2:25" x14ac:dyDescent="0.2">
      <c r="B143" t="s">
        <v>1054</v>
      </c>
      <c r="C143" s="84">
        <v>5013</v>
      </c>
      <c r="D143" s="102">
        <v>2.2106669276812801E-2</v>
      </c>
      <c r="E143" s="79">
        <v>1.37862892615968E-2</v>
      </c>
      <c r="F143" s="79">
        <v>0.108909521593419</v>
      </c>
      <c r="G143" s="79">
        <v>0.80938271582532695</v>
      </c>
      <c r="H143" s="79">
        <v>1</v>
      </c>
      <c r="I143" s="102">
        <v>9.61357097864746E-3</v>
      </c>
      <c r="J143" s="79">
        <v>1.41199411968647E-2</v>
      </c>
      <c r="K143" s="79">
        <v>0.49600935671311802</v>
      </c>
      <c r="L143" s="79">
        <v>0.81806688763786795</v>
      </c>
      <c r="M143" s="79">
        <v>1</v>
      </c>
      <c r="N143" s="107">
        <v>-6.0792639252937403E-2</v>
      </c>
      <c r="O143" s="81">
        <v>1.37680244483178E-2</v>
      </c>
      <c r="P143" s="81">
        <v>1.03792938266857E-5</v>
      </c>
      <c r="Q143" s="81">
        <v>1.01633085216217E-4</v>
      </c>
      <c r="R143" s="81">
        <v>1.7582523742405601E-2</v>
      </c>
      <c r="S143" s="107">
        <v>-5.82049382722961E-2</v>
      </c>
      <c r="T143" s="81">
        <v>1.3899198246041701E-2</v>
      </c>
      <c r="U143" s="81">
        <v>2.8877617838307501E-5</v>
      </c>
      <c r="V143" s="81">
        <v>2.8276696311036403E-4</v>
      </c>
      <c r="W143" s="81">
        <v>4.89186846180929E-2</v>
      </c>
    </row>
    <row r="144" spans="2:25" x14ac:dyDescent="0.2">
      <c r="B144" t="s">
        <v>1174</v>
      </c>
      <c r="C144" s="84">
        <v>5007</v>
      </c>
      <c r="D144" s="102">
        <v>-8.7959514093802708E-3</v>
      </c>
      <c r="E144" s="79">
        <v>6.8264189486569801E-3</v>
      </c>
      <c r="F144" s="79">
        <v>0.197797088860304</v>
      </c>
      <c r="G144" s="79">
        <v>0.83003013605610498</v>
      </c>
      <c r="H144" s="79">
        <v>1</v>
      </c>
      <c r="I144" s="102">
        <v>-1.4005523904767199E-2</v>
      </c>
      <c r="J144" s="79">
        <v>7.0214924223749101E-3</v>
      </c>
      <c r="K144" s="79">
        <v>4.6281385774762901E-2</v>
      </c>
      <c r="L144" s="79">
        <v>0.40114376697029003</v>
      </c>
      <c r="M144" s="79">
        <v>1</v>
      </c>
      <c r="N144" s="102">
        <v>6.6401343010667703E-3</v>
      </c>
      <c r="O144" s="79">
        <v>6.8200476009757502E-3</v>
      </c>
      <c r="P144" s="79">
        <v>0.33042517027865298</v>
      </c>
      <c r="Q144" s="79">
        <v>0.44743424336693699</v>
      </c>
      <c r="R144" s="79">
        <v>1</v>
      </c>
      <c r="S144" s="102">
        <v>-7.2513098818311698E-3</v>
      </c>
      <c r="T144" s="79">
        <v>6.9196053828351201E-3</v>
      </c>
      <c r="U144" s="79">
        <v>0.29485746629193499</v>
      </c>
      <c r="V144" s="79">
        <v>0.409416842539785</v>
      </c>
      <c r="W144" s="79">
        <v>1</v>
      </c>
    </row>
    <row r="145" spans="2:23" x14ac:dyDescent="0.2">
      <c r="B145" t="s">
        <v>1056</v>
      </c>
      <c r="C145" s="84">
        <v>5010</v>
      </c>
      <c r="D145" s="102">
        <v>1.42928393252983E-2</v>
      </c>
      <c r="E145" s="79">
        <v>9.76012857394872E-3</v>
      </c>
      <c r="F145" s="79">
        <v>0.143223601489819</v>
      </c>
      <c r="G145" s="79">
        <v>0.80938271582532695</v>
      </c>
      <c r="H145" s="79">
        <v>1</v>
      </c>
      <c r="I145" s="102">
        <v>-1.7080093537066299E-2</v>
      </c>
      <c r="J145" s="79">
        <v>9.9575598958727505E-3</v>
      </c>
      <c r="K145" s="79">
        <v>8.64237383973014E-2</v>
      </c>
      <c r="L145" s="79">
        <v>0.49128125115781401</v>
      </c>
      <c r="M145" s="79">
        <v>1</v>
      </c>
      <c r="N145" s="102">
        <v>-9.3198697943633006E-3</v>
      </c>
      <c r="O145" s="79">
        <v>9.7283914602234994E-3</v>
      </c>
      <c r="P145" s="79">
        <v>0.33816230866316699</v>
      </c>
      <c r="Q145" s="79">
        <v>0.454279897601431</v>
      </c>
      <c r="R145" s="79">
        <v>1</v>
      </c>
      <c r="S145" s="102">
        <v>6.6461565915359698E-3</v>
      </c>
      <c r="T145" s="79">
        <v>9.8337224697038397E-3</v>
      </c>
      <c r="U145" s="79">
        <v>0.49920072922570202</v>
      </c>
      <c r="V145" s="79">
        <v>0.60663273695002795</v>
      </c>
      <c r="W145" s="79">
        <v>1</v>
      </c>
    </row>
    <row r="146" spans="2:23" x14ac:dyDescent="0.2">
      <c r="B146" t="s">
        <v>1057</v>
      </c>
      <c r="C146" s="84">
        <v>5018</v>
      </c>
      <c r="D146" s="102">
        <v>-1.2611678192495201E-3</v>
      </c>
      <c r="E146" s="79">
        <v>1.18791273358403E-2</v>
      </c>
      <c r="F146" s="79">
        <v>0.91545598024433605</v>
      </c>
      <c r="G146" s="79">
        <v>0.99533029194181499</v>
      </c>
      <c r="H146" s="79">
        <v>1</v>
      </c>
      <c r="I146" s="102">
        <v>-1.2931914764753199E-2</v>
      </c>
      <c r="J146" s="79">
        <v>1.1980357705132999E-2</v>
      </c>
      <c r="K146" s="79">
        <v>0.28046624988597602</v>
      </c>
      <c r="L146" s="79">
        <v>0.69537030386512999</v>
      </c>
      <c r="M146" s="79">
        <v>1</v>
      </c>
      <c r="N146" s="102">
        <v>-1.12909291132726E-2</v>
      </c>
      <c r="O146" s="79">
        <v>1.1835834455609E-2</v>
      </c>
      <c r="P146" s="79">
        <v>0.34016591232809701</v>
      </c>
      <c r="Q146" s="79">
        <v>0.45660939420269098</v>
      </c>
      <c r="R146" s="79">
        <v>1</v>
      </c>
      <c r="S146" s="102">
        <v>1.31900353179479E-4</v>
      </c>
      <c r="T146" s="79">
        <v>1.1890578765987101E-2</v>
      </c>
      <c r="U146" s="79">
        <v>0.99114995645442905</v>
      </c>
      <c r="V146" s="79">
        <v>0.99408573467956696</v>
      </c>
      <c r="W146" s="79">
        <v>1</v>
      </c>
    </row>
    <row r="147" spans="2:23" x14ac:dyDescent="0.2">
      <c r="B147" t="s">
        <v>3756</v>
      </c>
      <c r="C147" s="84">
        <v>5022</v>
      </c>
      <c r="D147" s="102">
        <v>1.0276189467289756</v>
      </c>
      <c r="E147" s="79">
        <v>6.6161760193654898E-2</v>
      </c>
      <c r="F147" s="79">
        <v>0.68049697788168695</v>
      </c>
      <c r="G147" s="79">
        <v>0.96670198527320195</v>
      </c>
      <c r="H147" s="79">
        <v>1</v>
      </c>
      <c r="I147" s="102">
        <v>0.99181725551658173</v>
      </c>
      <c r="J147" s="79">
        <v>6.4754850065400493E-2</v>
      </c>
      <c r="K147" s="79">
        <v>0.89903156871805601</v>
      </c>
      <c r="L147" s="79">
        <v>0.98103349543168095</v>
      </c>
      <c r="M147" s="79">
        <v>1</v>
      </c>
      <c r="N147" s="102">
        <v>0.96463274501156204</v>
      </c>
      <c r="O147" s="79">
        <v>6.5721763875949399E-2</v>
      </c>
      <c r="P147" s="79">
        <v>0.58377236739470995</v>
      </c>
      <c r="Q147" s="79">
        <v>0.68961672968384802</v>
      </c>
      <c r="R147" s="79">
        <v>1</v>
      </c>
      <c r="S147" s="102">
        <v>1.0476315497436335</v>
      </c>
      <c r="T147" s="79">
        <v>6.6065406851000999E-2</v>
      </c>
      <c r="U147" s="79">
        <v>0.48122633213437499</v>
      </c>
      <c r="V147" s="79">
        <v>0.59436620974892096</v>
      </c>
      <c r="W147" s="79">
        <v>1</v>
      </c>
    </row>
    <row r="148" spans="2:23" x14ac:dyDescent="0.2">
      <c r="B148" t="s">
        <v>3757</v>
      </c>
      <c r="C148" s="84">
        <v>5025</v>
      </c>
      <c r="D148" s="102">
        <v>1.0069980535871592</v>
      </c>
      <c r="E148" s="79">
        <v>5.6382519054873799E-2</v>
      </c>
      <c r="F148" s="79">
        <v>0.901564562576053</v>
      </c>
      <c r="G148" s="79">
        <v>0.99533029194181499</v>
      </c>
      <c r="H148" s="79">
        <v>1</v>
      </c>
      <c r="I148" s="102">
        <v>0.96404982380691473</v>
      </c>
      <c r="J148" s="79">
        <v>5.5905499254966198E-2</v>
      </c>
      <c r="K148" s="79">
        <v>0.51253456121438601</v>
      </c>
      <c r="L148" s="79">
        <v>0.82746883238231095</v>
      </c>
      <c r="M148" s="79">
        <v>1</v>
      </c>
      <c r="N148" s="102">
        <v>1.0106732594771393</v>
      </c>
      <c r="O148" s="79">
        <v>5.61101820081185E-2</v>
      </c>
      <c r="P148" s="79">
        <v>0.84992690647310098</v>
      </c>
      <c r="Q148" s="79">
        <v>0.89761607204827498</v>
      </c>
      <c r="R148" s="79">
        <v>1</v>
      </c>
      <c r="S148" s="102">
        <v>0.97318288964154143</v>
      </c>
      <c r="T148" s="79">
        <v>5.5975589283462197E-2</v>
      </c>
      <c r="U148" s="79">
        <v>0.62723174753338196</v>
      </c>
      <c r="V148" s="79">
        <v>0.70741050620609103</v>
      </c>
      <c r="W148" s="79">
        <v>1</v>
      </c>
    </row>
    <row r="149" spans="2:23" x14ac:dyDescent="0.2">
      <c r="B149" s="51" t="s">
        <v>2248</v>
      </c>
      <c r="C149" s="84"/>
      <c r="D149" s="102"/>
      <c r="E149" s="79"/>
      <c r="F149" s="79"/>
      <c r="G149" s="79"/>
      <c r="H149" s="79"/>
      <c r="I149" s="102"/>
      <c r="J149" s="79"/>
      <c r="K149" s="79"/>
      <c r="L149" s="79"/>
      <c r="M149" s="79"/>
      <c r="N149" s="102"/>
      <c r="O149" s="79"/>
      <c r="P149" s="79"/>
      <c r="Q149" s="79"/>
      <c r="R149" s="79"/>
      <c r="S149" s="102"/>
      <c r="T149" s="79"/>
      <c r="U149" s="79"/>
      <c r="V149" s="79"/>
      <c r="W149" s="79"/>
    </row>
    <row r="150" spans="2:23" x14ac:dyDescent="0.2">
      <c r="B150" t="s">
        <v>851</v>
      </c>
      <c r="C150" s="84">
        <v>5032</v>
      </c>
      <c r="D150" s="102">
        <v>1.09089281836289E-2</v>
      </c>
      <c r="E150" s="79">
        <v>1.44259930273983E-2</v>
      </c>
      <c r="F150" s="79">
        <v>0.44956804819560903</v>
      </c>
      <c r="G150" s="79">
        <v>0.90900414379806505</v>
      </c>
      <c r="H150" s="79">
        <v>1</v>
      </c>
      <c r="I150" s="102">
        <v>1.35238105207204E-2</v>
      </c>
      <c r="J150" s="79">
        <v>1.43236082976726E-2</v>
      </c>
      <c r="K150" s="79">
        <v>0.34513718122735998</v>
      </c>
      <c r="L150" s="79">
        <v>0.741016964510961</v>
      </c>
      <c r="M150" s="79">
        <v>1</v>
      </c>
      <c r="N150" s="102">
        <v>-7.9714280409173797E-3</v>
      </c>
      <c r="O150" s="79">
        <v>1.42082058255659E-2</v>
      </c>
      <c r="P150" s="79">
        <v>0.57479514690670996</v>
      </c>
      <c r="Q150" s="79">
        <v>0.68331726136308502</v>
      </c>
      <c r="R150" s="79">
        <v>1</v>
      </c>
      <c r="S150" s="102">
        <v>1.2300910411797501E-2</v>
      </c>
      <c r="T150" s="79">
        <v>1.4201069757657199E-2</v>
      </c>
      <c r="U150" s="79">
        <v>0.38642801358097301</v>
      </c>
      <c r="V150" s="79">
        <v>0.50509957948006801</v>
      </c>
      <c r="W150" s="79">
        <v>1</v>
      </c>
    </row>
    <row r="151" spans="2:23" x14ac:dyDescent="0.2">
      <c r="B151" t="s">
        <v>850</v>
      </c>
      <c r="C151" s="84">
        <v>5032</v>
      </c>
      <c r="D151" s="102">
        <v>-3.3593416784634001E-3</v>
      </c>
      <c r="E151" s="79">
        <v>1.42587196620106E-2</v>
      </c>
      <c r="F151" s="79">
        <v>0.81375389013027999</v>
      </c>
      <c r="G151" s="79">
        <v>0.99362338620020496</v>
      </c>
      <c r="H151" s="79">
        <v>1</v>
      </c>
      <c r="I151" s="102">
        <v>2.10351893193895E-2</v>
      </c>
      <c r="J151" s="79">
        <v>1.41799470241969E-2</v>
      </c>
      <c r="K151" s="79">
        <v>0.13802329911582101</v>
      </c>
      <c r="L151" s="79">
        <v>0.583070994269827</v>
      </c>
      <c r="M151" s="79">
        <v>1</v>
      </c>
      <c r="N151" s="102">
        <v>2.3619854524045299E-2</v>
      </c>
      <c r="O151" s="79">
        <v>1.40553395131358E-2</v>
      </c>
      <c r="P151" s="79">
        <v>9.2928335452587593E-2</v>
      </c>
      <c r="Q151" s="79">
        <v>0.16466589985008701</v>
      </c>
      <c r="R151" s="79">
        <v>1</v>
      </c>
      <c r="S151" s="102">
        <v>1.53558968992255E-2</v>
      </c>
      <c r="T151" s="79">
        <v>1.40488832754515E-2</v>
      </c>
      <c r="U151" s="79">
        <v>0.27443502159366001</v>
      </c>
      <c r="V151" s="79">
        <v>0.38644466049847098</v>
      </c>
      <c r="W151" s="79">
        <v>1</v>
      </c>
    </row>
    <row r="152" spans="2:23" x14ac:dyDescent="0.2">
      <c r="B152" t="s">
        <v>831</v>
      </c>
      <c r="C152" s="84">
        <v>5032</v>
      </c>
      <c r="D152" s="102">
        <v>-3.1327971886335499E-3</v>
      </c>
      <c r="E152" s="79">
        <v>1.42877845398078E-2</v>
      </c>
      <c r="F152" s="79">
        <v>0.82645393332808503</v>
      </c>
      <c r="G152" s="79">
        <v>0.99362338620020496</v>
      </c>
      <c r="H152" s="79">
        <v>1</v>
      </c>
      <c r="I152" s="102">
        <v>2.4243906038247599E-2</v>
      </c>
      <c r="J152" s="79">
        <v>1.4194488098995E-2</v>
      </c>
      <c r="K152" s="79">
        <v>8.7707802993081396E-2</v>
      </c>
      <c r="L152" s="79">
        <v>0.49361135637966702</v>
      </c>
      <c r="M152" s="79">
        <v>1</v>
      </c>
      <c r="N152" s="102">
        <v>1.23236579429702E-2</v>
      </c>
      <c r="O152" s="79">
        <v>1.40795369167389E-2</v>
      </c>
      <c r="P152" s="79">
        <v>0.38146241174745399</v>
      </c>
      <c r="Q152" s="79">
        <v>0.49899407374531801</v>
      </c>
      <c r="R152" s="79">
        <v>1</v>
      </c>
      <c r="S152" s="102">
        <v>4.1947918139548599E-3</v>
      </c>
      <c r="T152" s="79">
        <v>1.40725436384334E-2</v>
      </c>
      <c r="U152" s="79">
        <v>0.76565287215355704</v>
      </c>
      <c r="V152" s="79">
        <v>0.82089618065071202</v>
      </c>
      <c r="W152" s="79">
        <v>1</v>
      </c>
    </row>
    <row r="153" spans="2:23" x14ac:dyDescent="0.2">
      <c r="B153" t="s">
        <v>832</v>
      </c>
      <c r="C153" s="84">
        <v>5032</v>
      </c>
      <c r="D153" s="102">
        <v>-9.5781629328250198E-3</v>
      </c>
      <c r="E153" s="79">
        <v>1.4292193221383699E-2</v>
      </c>
      <c r="F153" s="79">
        <v>0.502784147875735</v>
      </c>
      <c r="G153" s="79">
        <v>0.91752655785263504</v>
      </c>
      <c r="H153" s="79">
        <v>1</v>
      </c>
      <c r="I153" s="102">
        <v>6.4984864723606299E-4</v>
      </c>
      <c r="J153" s="79">
        <v>1.42045303435436E-2</v>
      </c>
      <c r="K153" s="79">
        <v>0.96351199589441305</v>
      </c>
      <c r="L153" s="79">
        <v>0.99551534580938295</v>
      </c>
      <c r="M153" s="79">
        <v>1</v>
      </c>
      <c r="N153" s="102">
        <v>1.84881807599055E-2</v>
      </c>
      <c r="O153" s="79">
        <v>1.4082960129748801E-2</v>
      </c>
      <c r="P153" s="79">
        <v>0.18931407331606401</v>
      </c>
      <c r="Q153" s="79">
        <v>0.287363835302341</v>
      </c>
      <c r="R153" s="79">
        <v>1</v>
      </c>
      <c r="S153" s="102">
        <v>2.2022943974856601E-2</v>
      </c>
      <c r="T153" s="79">
        <v>1.4072778360713301E-2</v>
      </c>
      <c r="U153" s="79">
        <v>0.11766733108577</v>
      </c>
      <c r="V153" s="79">
        <v>0.20053164875180499</v>
      </c>
      <c r="W153" s="79">
        <v>1</v>
      </c>
    </row>
    <row r="154" spans="2:23" x14ac:dyDescent="0.2">
      <c r="B154" t="s">
        <v>833</v>
      </c>
      <c r="C154" s="84">
        <v>5032</v>
      </c>
      <c r="D154" s="102">
        <v>6.1776479500279301E-3</v>
      </c>
      <c r="E154" s="79">
        <v>1.44602210166405E-2</v>
      </c>
      <c r="F154" s="79">
        <v>0.66924146269659601</v>
      </c>
      <c r="G154" s="79">
        <v>0.96329994356686</v>
      </c>
      <c r="H154" s="79">
        <v>1</v>
      </c>
      <c r="I154" s="102">
        <v>1.96464120595716E-2</v>
      </c>
      <c r="J154" s="79">
        <v>1.43525124557108E-2</v>
      </c>
      <c r="K154" s="79">
        <v>0.17111521496884699</v>
      </c>
      <c r="L154" s="79">
        <v>0.61396896490869202</v>
      </c>
      <c r="M154" s="79">
        <v>1</v>
      </c>
      <c r="N154" s="102">
        <v>1.4932663870109801E-2</v>
      </c>
      <c r="O154" s="79">
        <v>1.42373319206913E-2</v>
      </c>
      <c r="P154" s="79">
        <v>0.29430841702311</v>
      </c>
      <c r="Q154" s="79">
        <v>0.407652051052452</v>
      </c>
      <c r="R154" s="79">
        <v>1</v>
      </c>
      <c r="S154" s="102">
        <v>4.3966421768080403E-2</v>
      </c>
      <c r="T154" s="79">
        <v>1.4219479652991701E-2</v>
      </c>
      <c r="U154" s="79">
        <v>2.0002542781523002E-3</v>
      </c>
      <c r="V154" s="79">
        <v>7.7716301541054999E-3</v>
      </c>
      <c r="W154" s="79">
        <v>1</v>
      </c>
    </row>
    <row r="155" spans="2:23" x14ac:dyDescent="0.2">
      <c r="B155" t="s">
        <v>834</v>
      </c>
      <c r="C155" s="84">
        <v>5032</v>
      </c>
      <c r="D155" s="102">
        <v>1.4936522238558901E-2</v>
      </c>
      <c r="E155" s="79">
        <v>1.44238027054248E-2</v>
      </c>
      <c r="F155" s="79">
        <v>0.30046860835350803</v>
      </c>
      <c r="G155" s="79">
        <v>0.87874159579827504</v>
      </c>
      <c r="H155" s="79">
        <v>1</v>
      </c>
      <c r="I155" s="102">
        <v>2.26650744162093E-2</v>
      </c>
      <c r="J155" s="79">
        <v>1.43147894044654E-2</v>
      </c>
      <c r="K155" s="79">
        <v>0.113417132157193</v>
      </c>
      <c r="L155" s="79">
        <v>0.54427371635774802</v>
      </c>
      <c r="M155" s="79">
        <v>1</v>
      </c>
      <c r="N155" s="102">
        <v>8.4408194552394698E-3</v>
      </c>
      <c r="O155" s="79">
        <v>1.4200776148001901E-2</v>
      </c>
      <c r="P155" s="79">
        <v>0.55228050148498697</v>
      </c>
      <c r="Q155" s="79">
        <v>0.66304973034412995</v>
      </c>
      <c r="R155" s="79">
        <v>1</v>
      </c>
      <c r="S155" s="102">
        <v>7.4365202023793401E-3</v>
      </c>
      <c r="T155" s="79">
        <v>1.41965748829826E-2</v>
      </c>
      <c r="U155" s="79">
        <v>0.60042612447440502</v>
      </c>
      <c r="V155" s="79">
        <v>0.68817446201599597</v>
      </c>
      <c r="W155" s="79">
        <v>1</v>
      </c>
    </row>
    <row r="156" spans="2:23" x14ac:dyDescent="0.2">
      <c r="B156" t="s">
        <v>835</v>
      </c>
      <c r="C156" s="84">
        <v>5032</v>
      </c>
      <c r="D156" s="102">
        <v>8.2282104422045903E-3</v>
      </c>
      <c r="E156" s="79">
        <v>1.44483133874108E-2</v>
      </c>
      <c r="F156" s="79">
        <v>0.56904933985320705</v>
      </c>
      <c r="G156" s="79">
        <v>0.93167796111031398</v>
      </c>
      <c r="H156" s="79">
        <v>1</v>
      </c>
      <c r="I156" s="102">
        <v>1.12860089652144E-2</v>
      </c>
      <c r="J156" s="79">
        <v>1.4345527342437599E-2</v>
      </c>
      <c r="K156" s="79">
        <v>0.431483095522879</v>
      </c>
      <c r="L156" s="79">
        <v>0.78717760775841095</v>
      </c>
      <c r="M156" s="79">
        <v>1</v>
      </c>
      <c r="N156" s="102">
        <v>-2.33580305925623E-2</v>
      </c>
      <c r="O156" s="79">
        <v>1.42269987111359E-2</v>
      </c>
      <c r="P156" s="79">
        <v>0.10069828231243801</v>
      </c>
      <c r="Q156" s="79">
        <v>0.17513643761526701</v>
      </c>
      <c r="R156" s="79">
        <v>1</v>
      </c>
      <c r="S156" s="102">
        <v>-1.4303475785567199E-2</v>
      </c>
      <c r="T156" s="79">
        <v>1.42224953856326E-2</v>
      </c>
      <c r="U156" s="79">
        <v>0.31461594417398397</v>
      </c>
      <c r="V156" s="79">
        <v>0.42974545663431302</v>
      </c>
      <c r="W156" s="79">
        <v>1</v>
      </c>
    </row>
    <row r="157" spans="2:23" x14ac:dyDescent="0.2">
      <c r="B157" t="s">
        <v>836</v>
      </c>
      <c r="C157" s="84">
        <v>5032</v>
      </c>
      <c r="D157" s="102">
        <v>2.6065373743257899E-3</v>
      </c>
      <c r="E157" s="79">
        <v>1.446809713451E-2</v>
      </c>
      <c r="F157" s="79">
        <v>0.85703657006933598</v>
      </c>
      <c r="G157" s="79">
        <v>0.99362338620020496</v>
      </c>
      <c r="H157" s="79">
        <v>1</v>
      </c>
      <c r="I157" s="102">
        <v>2.3765587571307999E-2</v>
      </c>
      <c r="J157" s="79">
        <v>1.43811412379531E-2</v>
      </c>
      <c r="K157" s="79">
        <v>9.8489635663574104E-2</v>
      </c>
      <c r="L157" s="79">
        <v>0.51533423575627901</v>
      </c>
      <c r="M157" s="79">
        <v>1</v>
      </c>
      <c r="N157" s="102">
        <v>2.6452477005083401E-2</v>
      </c>
      <c r="O157" s="79">
        <v>1.4253781250983401E-2</v>
      </c>
      <c r="P157" s="79">
        <v>6.3541846409045893E-2</v>
      </c>
      <c r="Q157" s="79">
        <v>0.123298840569214</v>
      </c>
      <c r="R157" s="79">
        <v>1</v>
      </c>
      <c r="S157" s="102">
        <v>1.2103112014001599E-2</v>
      </c>
      <c r="T157" s="79">
        <v>1.4249862598363699E-2</v>
      </c>
      <c r="U157" s="79">
        <v>0.395730293818435</v>
      </c>
      <c r="V157" s="79">
        <v>0.514085212981924</v>
      </c>
      <c r="W157" s="79">
        <v>1</v>
      </c>
    </row>
    <row r="158" spans="2:23" x14ac:dyDescent="0.2">
      <c r="B158" t="s">
        <v>837</v>
      </c>
      <c r="C158" s="84">
        <v>5032</v>
      </c>
      <c r="D158" s="102">
        <v>1.1577478757298599E-2</v>
      </c>
      <c r="E158" s="79">
        <v>1.43937006339146E-2</v>
      </c>
      <c r="F158" s="79">
        <v>0.421236778566773</v>
      </c>
      <c r="G158" s="79">
        <v>0.89561567502544503</v>
      </c>
      <c r="H158" s="79">
        <v>1</v>
      </c>
      <c r="I158" s="102">
        <v>-1.38571630019092E-3</v>
      </c>
      <c r="J158" s="79">
        <v>1.4279082504501101E-2</v>
      </c>
      <c r="K158" s="79">
        <v>0.92269438361594802</v>
      </c>
      <c r="L158" s="79">
        <v>0.98193837767293402</v>
      </c>
      <c r="M158" s="79">
        <v>1</v>
      </c>
      <c r="N158" s="102">
        <v>-1.09341702704413E-2</v>
      </c>
      <c r="O158" s="79">
        <v>1.4163149763084901E-2</v>
      </c>
      <c r="P158" s="79">
        <v>0.44014165724952697</v>
      </c>
      <c r="Q158" s="79">
        <v>0.55810662616810702</v>
      </c>
      <c r="R158" s="79">
        <v>1</v>
      </c>
      <c r="S158" s="102">
        <v>-1.6216077948685301E-3</v>
      </c>
      <c r="T158" s="79">
        <v>1.416145007541E-2</v>
      </c>
      <c r="U158" s="79">
        <v>0.90883921417966296</v>
      </c>
      <c r="V158" s="79">
        <v>0.93648030950142902</v>
      </c>
      <c r="W158" s="79">
        <v>1</v>
      </c>
    </row>
    <row r="159" spans="2:23" x14ac:dyDescent="0.2">
      <c r="B159" t="s">
        <v>766</v>
      </c>
      <c r="C159" s="84">
        <v>5025</v>
      </c>
      <c r="D159" s="102">
        <v>-2.0134477819225099E-2</v>
      </c>
      <c r="E159" s="79">
        <v>1.45741569193167E-2</v>
      </c>
      <c r="F159" s="79">
        <v>0.16718661154432199</v>
      </c>
      <c r="G159" s="79">
        <v>0.81796927009920195</v>
      </c>
      <c r="H159" s="79">
        <v>1</v>
      </c>
      <c r="I159" s="102">
        <v>4.1562227683452002E-3</v>
      </c>
      <c r="J159" s="79">
        <v>1.4501874643473699E-2</v>
      </c>
      <c r="K159" s="79">
        <v>0.774432663515635</v>
      </c>
      <c r="L159" s="79">
        <v>0.92861868293626904</v>
      </c>
      <c r="M159" s="79">
        <v>1</v>
      </c>
      <c r="N159" s="102">
        <v>3.9765963317997997E-2</v>
      </c>
      <c r="O159" s="79">
        <v>1.4338833957966E-2</v>
      </c>
      <c r="P159" s="79">
        <v>5.5718913055311896E-3</v>
      </c>
      <c r="Q159" s="79">
        <v>1.7479229391796001E-2</v>
      </c>
      <c r="R159" s="79">
        <v>1</v>
      </c>
      <c r="S159" s="102">
        <v>3.6014320184921497E-2</v>
      </c>
      <c r="T159" s="79">
        <v>1.43311571858948E-2</v>
      </c>
      <c r="U159" s="79">
        <v>1.2005224028926099E-2</v>
      </c>
      <c r="V159" s="79">
        <v>3.2435166674642399E-2</v>
      </c>
      <c r="W159" s="79">
        <v>1</v>
      </c>
    </row>
    <row r="160" spans="2:23" x14ac:dyDescent="0.2">
      <c r="B160" t="s">
        <v>767</v>
      </c>
      <c r="C160" s="84">
        <v>5025</v>
      </c>
      <c r="D160" s="102">
        <v>7.2828897571960696E-3</v>
      </c>
      <c r="E160" s="79">
        <v>1.4532330752363799E-2</v>
      </c>
      <c r="F160" s="79">
        <v>0.61628880056082602</v>
      </c>
      <c r="G160" s="79">
        <v>0.951216817242591</v>
      </c>
      <c r="H160" s="79">
        <v>1</v>
      </c>
      <c r="I160" s="102">
        <v>2.7624101495971401E-2</v>
      </c>
      <c r="J160" s="79">
        <v>1.4453518784103E-2</v>
      </c>
      <c r="K160" s="79">
        <v>5.6037395355902998E-2</v>
      </c>
      <c r="L160" s="79">
        <v>0.418182148603082</v>
      </c>
      <c r="M160" s="79">
        <v>1</v>
      </c>
      <c r="N160" s="102">
        <v>2.3325824712031099E-2</v>
      </c>
      <c r="O160" s="79">
        <v>1.43191408455179E-2</v>
      </c>
      <c r="P160" s="79">
        <v>0.10338299940668</v>
      </c>
      <c r="Q160" s="79">
        <v>0.17943729610134801</v>
      </c>
      <c r="R160" s="79">
        <v>1</v>
      </c>
      <c r="S160" s="102">
        <v>2.1417953881007899E-2</v>
      </c>
      <c r="T160" s="79">
        <v>1.4306067105475301E-2</v>
      </c>
      <c r="U160" s="79">
        <v>0.134430146711008</v>
      </c>
      <c r="V160" s="79">
        <v>0.22238737160981201</v>
      </c>
      <c r="W160" s="79">
        <v>1</v>
      </c>
    </row>
    <row r="161" spans="2:23" x14ac:dyDescent="0.2">
      <c r="B161" t="s">
        <v>768</v>
      </c>
      <c r="C161" s="84">
        <v>5025</v>
      </c>
      <c r="D161" s="102">
        <v>2.7834292201325401E-2</v>
      </c>
      <c r="E161" s="79">
        <v>1.4558264510474799E-2</v>
      </c>
      <c r="F161" s="79">
        <v>5.5949501864269197E-2</v>
      </c>
      <c r="G161" s="79">
        <v>0.71261997111332298</v>
      </c>
      <c r="H161" s="79">
        <v>1</v>
      </c>
      <c r="I161" s="102">
        <v>1.32685457078347E-2</v>
      </c>
      <c r="J161" s="79">
        <v>1.44797967000133E-2</v>
      </c>
      <c r="K161" s="79">
        <v>0.35953479841848701</v>
      </c>
      <c r="L161" s="79">
        <v>0.74593451887386297</v>
      </c>
      <c r="M161" s="79">
        <v>1</v>
      </c>
      <c r="N161" s="102">
        <v>1.47205850982826E-2</v>
      </c>
      <c r="O161" s="79">
        <v>1.43438280645633E-2</v>
      </c>
      <c r="P161" s="79">
        <v>0.30482272415477901</v>
      </c>
      <c r="Q161" s="79">
        <v>0.42049649407019202</v>
      </c>
      <c r="R161" s="79">
        <v>1</v>
      </c>
      <c r="S161" s="102">
        <v>-2.0223489073693899E-3</v>
      </c>
      <c r="T161" s="79">
        <v>1.43364898219366E-2</v>
      </c>
      <c r="U161" s="79">
        <v>0.88782657115460395</v>
      </c>
      <c r="V161" s="79">
        <v>0.91874050796328599</v>
      </c>
      <c r="W161" s="79">
        <v>1</v>
      </c>
    </row>
    <row r="162" spans="2:23" x14ac:dyDescent="0.2">
      <c r="B162" t="s">
        <v>769</v>
      </c>
      <c r="C162" s="84">
        <v>5025</v>
      </c>
      <c r="D162" s="102">
        <v>2.3872047425236399E-2</v>
      </c>
      <c r="E162" s="79">
        <v>1.4513539017479701E-2</v>
      </c>
      <c r="F162" s="79">
        <v>0.100078579968829</v>
      </c>
      <c r="G162" s="79">
        <v>0.79221081526727299</v>
      </c>
      <c r="H162" s="79">
        <v>1</v>
      </c>
      <c r="I162" s="102">
        <v>1.8419671853728999E-2</v>
      </c>
      <c r="J162" s="79">
        <v>1.4429102574002799E-2</v>
      </c>
      <c r="K162" s="79">
        <v>0.20182448597247801</v>
      </c>
      <c r="L162" s="79">
        <v>0.64310547644134297</v>
      </c>
      <c r="M162" s="79">
        <v>1</v>
      </c>
      <c r="N162" s="102">
        <v>-4.2118984340431204E-3</v>
      </c>
      <c r="O162" s="79">
        <v>1.4289965489412601E-2</v>
      </c>
      <c r="P162" s="79">
        <v>0.76820252181585702</v>
      </c>
      <c r="Q162" s="79">
        <v>0.84192765831788996</v>
      </c>
      <c r="R162" s="79">
        <v>1</v>
      </c>
      <c r="S162" s="102">
        <v>7.6743746346433503E-3</v>
      </c>
      <c r="T162" s="79">
        <v>1.42828691255866E-2</v>
      </c>
      <c r="U162" s="79">
        <v>0.59107836324663399</v>
      </c>
      <c r="V162" s="79">
        <v>0.68225342490349306</v>
      </c>
      <c r="W162" s="79">
        <v>1</v>
      </c>
    </row>
    <row r="163" spans="2:23" x14ac:dyDescent="0.2">
      <c r="B163" t="s">
        <v>770</v>
      </c>
      <c r="C163" s="84">
        <v>5025</v>
      </c>
      <c r="D163" s="102">
        <v>2.1009773825668598E-2</v>
      </c>
      <c r="E163" s="79">
        <v>1.44279195755478E-2</v>
      </c>
      <c r="F163" s="79">
        <v>0.145403129941615</v>
      </c>
      <c r="G163" s="79">
        <v>0.80938271582532695</v>
      </c>
      <c r="H163" s="79">
        <v>1</v>
      </c>
      <c r="I163" s="102">
        <v>1.30376860890083E-2</v>
      </c>
      <c r="J163" s="79">
        <v>1.4333335331393899E-2</v>
      </c>
      <c r="K163" s="79">
        <v>0.36307416190687902</v>
      </c>
      <c r="L163" s="79">
        <v>0.74593451887386297</v>
      </c>
      <c r="M163" s="79">
        <v>1</v>
      </c>
      <c r="N163" s="102">
        <v>2.7265167724758702E-3</v>
      </c>
      <c r="O163" s="79">
        <v>1.4195379192064801E-2</v>
      </c>
      <c r="P163" s="79">
        <v>0.847694591813837</v>
      </c>
      <c r="Q163" s="79">
        <v>0.89693606404287296</v>
      </c>
      <c r="R163" s="79">
        <v>1</v>
      </c>
      <c r="S163" s="102">
        <v>1.8372376511824599E-2</v>
      </c>
      <c r="T163" s="79">
        <v>1.4191195145496001E-2</v>
      </c>
      <c r="U163" s="79">
        <v>0.19550685524157599</v>
      </c>
      <c r="V163" s="79">
        <v>0.29596837603148302</v>
      </c>
      <c r="W163" s="79">
        <v>1</v>
      </c>
    </row>
    <row r="164" spans="2:23" x14ac:dyDescent="0.2">
      <c r="B164" t="s">
        <v>771</v>
      </c>
      <c r="C164" s="84">
        <v>5025</v>
      </c>
      <c r="D164" s="102">
        <v>9.6432004726075393E-3</v>
      </c>
      <c r="E164" s="79">
        <v>1.4446139947695899E-2</v>
      </c>
      <c r="F164" s="79">
        <v>0.50446827951339901</v>
      </c>
      <c r="G164" s="79">
        <v>0.91752655785263504</v>
      </c>
      <c r="H164" s="79">
        <v>1</v>
      </c>
      <c r="I164" s="102">
        <v>1.6380802769389802E-2</v>
      </c>
      <c r="J164" s="79">
        <v>1.43638103672864E-2</v>
      </c>
      <c r="K164" s="79">
        <v>0.25417099021053702</v>
      </c>
      <c r="L164" s="79">
        <v>0.68025543872958705</v>
      </c>
      <c r="M164" s="79">
        <v>1</v>
      </c>
      <c r="N164" s="102">
        <v>1.2328440308351001E-2</v>
      </c>
      <c r="O164" s="79">
        <v>1.4222554212948E-2</v>
      </c>
      <c r="P164" s="79">
        <v>0.386084520542605</v>
      </c>
      <c r="Q164" s="79">
        <v>0.50309782907628697</v>
      </c>
      <c r="R164" s="79">
        <v>1</v>
      </c>
      <c r="S164" s="102">
        <v>1.4402094128233499E-2</v>
      </c>
      <c r="T164" s="79">
        <v>1.42156068748254E-2</v>
      </c>
      <c r="U164" s="79">
        <v>0.31105710653135699</v>
      </c>
      <c r="V164" s="79">
        <v>0.42631936768941697</v>
      </c>
      <c r="W164" s="79">
        <v>1</v>
      </c>
    </row>
    <row r="165" spans="2:23" x14ac:dyDescent="0.2">
      <c r="B165" t="s">
        <v>3591</v>
      </c>
      <c r="C165" s="84">
        <v>5045</v>
      </c>
      <c r="D165" s="102">
        <v>0.96446830343136969</v>
      </c>
      <c r="E165" s="79">
        <v>3.37567094652634E-2</v>
      </c>
      <c r="F165" s="79">
        <v>0.283838232159148</v>
      </c>
      <c r="G165" s="79">
        <v>0.86861170490914397</v>
      </c>
      <c r="H165" s="79">
        <v>1</v>
      </c>
      <c r="I165" s="102">
        <v>1.083609347502887</v>
      </c>
      <c r="J165" s="79">
        <v>3.3598858507934502E-2</v>
      </c>
      <c r="K165" s="79">
        <v>1.6853581419336801E-2</v>
      </c>
      <c r="L165" s="79">
        <v>0.26192630205831702</v>
      </c>
      <c r="M165" s="79">
        <v>1</v>
      </c>
      <c r="N165" s="102">
        <v>1.1334055790456441</v>
      </c>
      <c r="O165" s="79">
        <v>3.3461404565782497E-2</v>
      </c>
      <c r="P165" s="79">
        <v>1.8225098221815499E-4</v>
      </c>
      <c r="Q165" s="79">
        <v>1.1145601584027201E-3</v>
      </c>
      <c r="R165" s="79">
        <v>0.30873316387755501</v>
      </c>
      <c r="S165" s="102">
        <v>1.1389732670918522</v>
      </c>
      <c r="T165" s="79">
        <v>3.34391533499728E-2</v>
      </c>
      <c r="U165" s="79">
        <v>9.9641761769878897E-5</v>
      </c>
      <c r="V165" s="79">
        <v>7.0921489259737297E-4</v>
      </c>
      <c r="W165" s="79">
        <v>0.168793144438175</v>
      </c>
    </row>
    <row r="166" spans="2:23" x14ac:dyDescent="0.2">
      <c r="B166" t="s">
        <v>3590</v>
      </c>
      <c r="C166" s="84">
        <v>5046</v>
      </c>
      <c r="D166" s="102">
        <v>1.0891053351093294</v>
      </c>
      <c r="E166" s="79">
        <v>6.58763578861985E-2</v>
      </c>
      <c r="F166" s="79">
        <v>0.19507588543756799</v>
      </c>
      <c r="G166" s="79">
        <v>0.83003013605610498</v>
      </c>
      <c r="H166" s="79">
        <v>1</v>
      </c>
      <c r="I166" s="102">
        <v>0.99955743921476525</v>
      </c>
      <c r="J166" s="79">
        <v>6.5084938171814197E-2</v>
      </c>
      <c r="K166" s="79">
        <v>0.99457343181555702</v>
      </c>
      <c r="L166" s="79">
        <v>0.99763484948745695</v>
      </c>
      <c r="M166" s="79">
        <v>1</v>
      </c>
      <c r="N166" s="102">
        <v>1.0197946547261512</v>
      </c>
      <c r="O166" s="79">
        <v>6.4831062353461394E-2</v>
      </c>
      <c r="P166" s="79">
        <v>0.76238977598860902</v>
      </c>
      <c r="Q166" s="79">
        <v>0.83808454284536305</v>
      </c>
      <c r="R166" s="79">
        <v>1</v>
      </c>
      <c r="S166" s="102">
        <v>0.96265185209616044</v>
      </c>
      <c r="T166" s="79">
        <v>6.4277302500163197E-2</v>
      </c>
      <c r="U166" s="79">
        <v>0.55373293713503102</v>
      </c>
      <c r="V166" s="79">
        <v>0.65154332297156503</v>
      </c>
      <c r="W166" s="79">
        <v>1</v>
      </c>
    </row>
    <row r="167" spans="2:23" x14ac:dyDescent="0.2">
      <c r="B167" t="s">
        <v>824</v>
      </c>
      <c r="C167" s="84">
        <v>1117</v>
      </c>
      <c r="D167" s="102">
        <v>2.07016775729096E-2</v>
      </c>
      <c r="E167" s="79">
        <v>2.9999348558515101E-2</v>
      </c>
      <c r="F167" s="79">
        <v>0.49029637280283</v>
      </c>
      <c r="G167" s="79">
        <v>0.91678121217168596</v>
      </c>
      <c r="H167" s="79">
        <v>1</v>
      </c>
      <c r="I167" s="102">
        <v>4.4832134839673798E-3</v>
      </c>
      <c r="J167" s="79">
        <v>2.9931893472028199E-2</v>
      </c>
      <c r="K167" s="79">
        <v>0.88096624885327801</v>
      </c>
      <c r="L167" s="79">
        <v>0.97367036309529298</v>
      </c>
      <c r="M167" s="79">
        <v>1</v>
      </c>
      <c r="N167" s="102">
        <v>-3.2846546835859698E-2</v>
      </c>
      <c r="O167" s="79">
        <v>2.9943463602511499E-2</v>
      </c>
      <c r="P167" s="79">
        <v>0.27290395272613099</v>
      </c>
      <c r="Q167" s="79">
        <v>0.38667948339879299</v>
      </c>
      <c r="R167" s="79">
        <v>1</v>
      </c>
      <c r="S167" s="102">
        <v>-3.3565954696948702E-2</v>
      </c>
      <c r="T167" s="79">
        <v>2.9388735258001099E-2</v>
      </c>
      <c r="U167" s="79">
        <v>0.253648731958803</v>
      </c>
      <c r="V167" s="79">
        <v>0.363520263907117</v>
      </c>
      <c r="W167" s="79">
        <v>1</v>
      </c>
    </row>
    <row r="168" spans="2:23" x14ac:dyDescent="0.2">
      <c r="B168" t="s">
        <v>849</v>
      </c>
      <c r="C168" s="84">
        <v>4700</v>
      </c>
      <c r="D168" s="102">
        <v>-1.9502097450324999E-2</v>
      </c>
      <c r="E168" s="79">
        <v>1.4928498708295599E-2</v>
      </c>
      <c r="F168" s="79">
        <v>0.19149636536885201</v>
      </c>
      <c r="G168" s="79">
        <v>0.83003013605610498</v>
      </c>
      <c r="H168" s="79">
        <v>1</v>
      </c>
      <c r="I168" s="102">
        <v>-2.2190508519392201E-4</v>
      </c>
      <c r="J168" s="79">
        <v>1.4905958648518999E-2</v>
      </c>
      <c r="K168" s="79">
        <v>0.98812301119819701</v>
      </c>
      <c r="L168" s="79">
        <v>0.99701625429185703</v>
      </c>
      <c r="M168" s="79">
        <v>1</v>
      </c>
      <c r="N168" s="102">
        <v>-4.6185363014133202E-2</v>
      </c>
      <c r="O168" s="79">
        <v>1.47632410738547E-2</v>
      </c>
      <c r="P168" s="79">
        <v>1.7691760381835001E-3</v>
      </c>
      <c r="Q168" s="79">
        <v>6.8896188705352803E-3</v>
      </c>
      <c r="R168" s="79">
        <v>1</v>
      </c>
      <c r="S168" s="102">
        <v>-2.5826161522427699E-2</v>
      </c>
      <c r="T168" s="79">
        <v>1.4681501094116501E-2</v>
      </c>
      <c r="U168" s="79">
        <v>7.8631516041720403E-2</v>
      </c>
      <c r="V168" s="79">
        <v>0.14509998711838201</v>
      </c>
      <c r="W168" s="79">
        <v>1</v>
      </c>
    </row>
    <row r="169" spans="2:23" x14ac:dyDescent="0.2">
      <c r="B169" t="s">
        <v>852</v>
      </c>
      <c r="C169" s="84">
        <v>4700</v>
      </c>
      <c r="D169" s="102">
        <v>-1.2518331492662099E-2</v>
      </c>
      <c r="E169" s="79">
        <v>1.47893860823958E-2</v>
      </c>
      <c r="F169" s="79">
        <v>0.39735244523927099</v>
      </c>
      <c r="G169" s="79">
        <v>0.89461055933914202</v>
      </c>
      <c r="H169" s="79">
        <v>1</v>
      </c>
      <c r="I169" s="102">
        <v>4.5656827526738199E-2</v>
      </c>
      <c r="J169" s="79">
        <v>1.47566925900666E-2</v>
      </c>
      <c r="K169" s="79">
        <v>1.9872142377094998E-3</v>
      </c>
      <c r="L169" s="79">
        <v>0.113986182531366</v>
      </c>
      <c r="M169" s="79">
        <v>1</v>
      </c>
      <c r="N169" s="102">
        <v>5.2802863130328601E-2</v>
      </c>
      <c r="O169" s="79">
        <v>1.46191223818071E-2</v>
      </c>
      <c r="P169" s="79">
        <v>3.0730214257747101E-4</v>
      </c>
      <c r="Q169" s="79">
        <v>1.7180522426608401E-3</v>
      </c>
      <c r="R169" s="79">
        <v>0.52056982952623598</v>
      </c>
      <c r="S169" s="102">
        <v>2.6295233821539098E-2</v>
      </c>
      <c r="T169" s="79">
        <v>1.45465765228651E-2</v>
      </c>
      <c r="U169" s="79">
        <v>7.07272097078957E-2</v>
      </c>
      <c r="V169" s="79">
        <v>0.13356955768692899</v>
      </c>
      <c r="W169" s="79">
        <v>1</v>
      </c>
    </row>
    <row r="170" spans="2:23" x14ac:dyDescent="0.2">
      <c r="B170" t="s">
        <v>772</v>
      </c>
      <c r="C170" s="84">
        <v>4700</v>
      </c>
      <c r="D170" s="102">
        <v>-2.5947619923151501E-2</v>
      </c>
      <c r="E170" s="79">
        <v>1.4920211309055799E-2</v>
      </c>
      <c r="F170" s="79">
        <v>8.2089474874986801E-2</v>
      </c>
      <c r="G170" s="79">
        <v>0.74241584429676799</v>
      </c>
      <c r="H170" s="79">
        <v>1</v>
      </c>
      <c r="I170" s="102">
        <v>-2.6228357154314801E-2</v>
      </c>
      <c r="J170" s="79">
        <v>1.4889830779306701E-2</v>
      </c>
      <c r="K170" s="79">
        <v>7.8225852320204903E-2</v>
      </c>
      <c r="L170" s="79">
        <v>0.46824944816405301</v>
      </c>
      <c r="M170" s="79">
        <v>1</v>
      </c>
      <c r="N170" s="102">
        <v>-3.9594292102157397E-2</v>
      </c>
      <c r="O170" s="79">
        <v>1.47633305687955E-2</v>
      </c>
      <c r="P170" s="79">
        <v>7.3475750845581602E-3</v>
      </c>
      <c r="Q170" s="79">
        <v>2.17601262119607E-2</v>
      </c>
      <c r="R170" s="79">
        <v>1</v>
      </c>
      <c r="S170" s="102">
        <v>-1.81182558219809E-2</v>
      </c>
      <c r="T170" s="79">
        <v>1.46754858657382E-2</v>
      </c>
      <c r="U170" s="79">
        <v>0.217049183352958</v>
      </c>
      <c r="V170" s="79">
        <v>0.32168094190718399</v>
      </c>
      <c r="W170" s="79">
        <v>1</v>
      </c>
    </row>
    <row r="171" spans="2:23" x14ac:dyDescent="0.2">
      <c r="B171" t="s">
        <v>773</v>
      </c>
      <c r="C171" s="84">
        <v>4700</v>
      </c>
      <c r="D171" s="102">
        <v>1.5603859724687801E-3</v>
      </c>
      <c r="E171" s="79">
        <v>1.4794910975208299E-2</v>
      </c>
      <c r="F171" s="79">
        <v>0.91600940090749094</v>
      </c>
      <c r="G171" s="79">
        <v>0.99533029194181499</v>
      </c>
      <c r="H171" s="79">
        <v>1</v>
      </c>
      <c r="I171" s="102">
        <v>4.7241625447606198E-2</v>
      </c>
      <c r="J171" s="79">
        <v>1.47588031353549E-2</v>
      </c>
      <c r="K171" s="79">
        <v>1.3796178702997501E-3</v>
      </c>
      <c r="L171" s="79">
        <v>0.111289174870847</v>
      </c>
      <c r="M171" s="79">
        <v>1</v>
      </c>
      <c r="N171" s="102">
        <v>4.5532753248875402E-2</v>
      </c>
      <c r="O171" s="79">
        <v>1.4629696519152999E-2</v>
      </c>
      <c r="P171" s="79">
        <v>1.86781429335253E-3</v>
      </c>
      <c r="Q171" s="79">
        <v>7.0943439751999697E-3</v>
      </c>
      <c r="R171" s="79">
        <v>1</v>
      </c>
      <c r="S171" s="102">
        <v>2.6882856580003001E-2</v>
      </c>
      <c r="T171" s="79">
        <v>1.45498930098717E-2</v>
      </c>
      <c r="U171" s="79">
        <v>6.4722032577375799E-2</v>
      </c>
      <c r="V171" s="79">
        <v>0.124686232966459</v>
      </c>
      <c r="W171" s="79">
        <v>1</v>
      </c>
    </row>
    <row r="172" spans="2:23" x14ac:dyDescent="0.2">
      <c r="B172" t="s">
        <v>774</v>
      </c>
      <c r="C172" s="84">
        <v>4699</v>
      </c>
      <c r="D172" s="102">
        <v>-1.59872353491399E-2</v>
      </c>
      <c r="E172" s="79">
        <v>1.4853935380368799E-2</v>
      </c>
      <c r="F172" s="79">
        <v>0.28185419821569402</v>
      </c>
      <c r="G172" s="79">
        <v>0.86861170490914397</v>
      </c>
      <c r="H172" s="79">
        <v>1</v>
      </c>
      <c r="I172" s="102">
        <v>2.0056500226301E-2</v>
      </c>
      <c r="J172" s="79">
        <v>1.48276992110404E-2</v>
      </c>
      <c r="K172" s="79">
        <v>0.17624217371424</v>
      </c>
      <c r="L172" s="79">
        <v>0.61396896490869202</v>
      </c>
      <c r="M172" s="79">
        <v>1</v>
      </c>
      <c r="N172" s="102">
        <v>4.1632292291331398E-2</v>
      </c>
      <c r="O172" s="79">
        <v>1.46930488153035E-2</v>
      </c>
      <c r="P172" s="79">
        <v>4.6257880048457796E-3</v>
      </c>
      <c r="Q172" s="79">
        <v>1.50116568586375E-2</v>
      </c>
      <c r="R172" s="79">
        <v>1</v>
      </c>
      <c r="S172" s="102">
        <v>1.6791318197771399E-2</v>
      </c>
      <c r="T172" s="79">
        <v>1.46068031310355E-2</v>
      </c>
      <c r="U172" s="79">
        <v>0.25039067008120502</v>
      </c>
      <c r="V172" s="79">
        <v>0.36013388116772799</v>
      </c>
      <c r="W172" s="79">
        <v>1</v>
      </c>
    </row>
    <row r="173" spans="2:23" x14ac:dyDescent="0.2">
      <c r="B173" t="s">
        <v>775</v>
      </c>
      <c r="C173" s="84">
        <v>4699</v>
      </c>
      <c r="D173" s="102">
        <v>-1.9505284430123601E-2</v>
      </c>
      <c r="E173" s="79">
        <v>1.4869104762137699E-2</v>
      </c>
      <c r="F173" s="79">
        <v>0.18965585241928501</v>
      </c>
      <c r="G173" s="79">
        <v>0.83003013605610498</v>
      </c>
      <c r="H173" s="79">
        <v>1</v>
      </c>
      <c r="I173" s="102">
        <v>4.6451762604676698E-2</v>
      </c>
      <c r="J173" s="79">
        <v>1.48359317281652E-2</v>
      </c>
      <c r="K173" s="79">
        <v>1.7533834661990701E-3</v>
      </c>
      <c r="L173" s="79">
        <v>0.113986182531366</v>
      </c>
      <c r="M173" s="79">
        <v>1</v>
      </c>
      <c r="N173" s="102">
        <v>5.2339129368135999E-2</v>
      </c>
      <c r="O173" s="79">
        <v>1.4700138047077401E-2</v>
      </c>
      <c r="P173" s="79">
        <v>3.74125905473464E-4</v>
      </c>
      <c r="Q173" s="79">
        <v>2.02482199320143E-3</v>
      </c>
      <c r="R173" s="79">
        <v>0.63376928387204801</v>
      </c>
      <c r="S173" s="102">
        <v>2.38298104552453E-2</v>
      </c>
      <c r="T173" s="79">
        <v>1.4622257070052901E-2</v>
      </c>
      <c r="U173" s="79">
        <v>0.103237676348791</v>
      </c>
      <c r="V173" s="79">
        <v>0.18010774843960001</v>
      </c>
      <c r="W173" s="79">
        <v>1</v>
      </c>
    </row>
    <row r="174" spans="2:23" x14ac:dyDescent="0.2">
      <c r="B174" t="s">
        <v>776</v>
      </c>
      <c r="C174" s="84">
        <v>4699</v>
      </c>
      <c r="D174" s="102">
        <v>-3.5564233671411599E-3</v>
      </c>
      <c r="E174" s="79">
        <v>1.4949374698782599E-2</v>
      </c>
      <c r="F174" s="79">
        <v>0.81197153252296395</v>
      </c>
      <c r="G174" s="79">
        <v>0.99362338620020496</v>
      </c>
      <c r="H174" s="79">
        <v>1</v>
      </c>
      <c r="I174" s="102">
        <v>-1.56786466604881E-3</v>
      </c>
      <c r="J174" s="79">
        <v>1.4923768299967799E-2</v>
      </c>
      <c r="K174" s="79">
        <v>0.91633448045215804</v>
      </c>
      <c r="L174" s="79">
        <v>0.98193837767293402</v>
      </c>
      <c r="M174" s="79">
        <v>1</v>
      </c>
      <c r="N174" s="102">
        <v>-4.5199497669948602E-2</v>
      </c>
      <c r="O174" s="79">
        <v>1.47827302144271E-2</v>
      </c>
      <c r="P174" s="79">
        <v>2.2448500640185201E-3</v>
      </c>
      <c r="Q174" s="79">
        <v>8.1746811462778107E-3</v>
      </c>
      <c r="R174" s="79">
        <v>1</v>
      </c>
      <c r="S174" s="102">
        <v>-3.72422222851879E-2</v>
      </c>
      <c r="T174" s="79">
        <v>1.46892544955563E-2</v>
      </c>
      <c r="U174" s="79">
        <v>1.1268749460238999E-2</v>
      </c>
      <c r="V174" s="79">
        <v>3.1039449732755901E-2</v>
      </c>
      <c r="W174" s="79">
        <v>1</v>
      </c>
    </row>
    <row r="175" spans="2:23" x14ac:dyDescent="0.2">
      <c r="B175" t="s">
        <v>777</v>
      </c>
      <c r="C175" s="84">
        <v>4699</v>
      </c>
      <c r="D175" s="102">
        <v>-1.78883014363517E-2</v>
      </c>
      <c r="E175" s="79">
        <v>1.48663178184128E-2</v>
      </c>
      <c r="F175" s="79">
        <v>0.22893491423843501</v>
      </c>
      <c r="G175" s="79">
        <v>0.84491447651396301</v>
      </c>
      <c r="H175" s="79">
        <v>1</v>
      </c>
      <c r="I175" s="102">
        <v>2.47425571477147E-2</v>
      </c>
      <c r="J175" s="79">
        <v>1.4836288964893401E-2</v>
      </c>
      <c r="K175" s="79">
        <v>9.5447419554458596E-2</v>
      </c>
      <c r="L175" s="79">
        <v>0.51214458025897003</v>
      </c>
      <c r="M175" s="79">
        <v>1</v>
      </c>
      <c r="N175" s="102">
        <v>-2.4254229697646901E-2</v>
      </c>
      <c r="O175" s="79">
        <v>1.4713991704188399E-2</v>
      </c>
      <c r="P175" s="79">
        <v>9.9347988080634303E-2</v>
      </c>
      <c r="Q175" s="79">
        <v>0.17332182472563801</v>
      </c>
      <c r="R175" s="79">
        <v>1</v>
      </c>
      <c r="S175" s="102">
        <v>-3.9885301235960801E-3</v>
      </c>
      <c r="T175" s="79">
        <v>1.4619062428369601E-2</v>
      </c>
      <c r="U175" s="79">
        <v>0.78499641531689901</v>
      </c>
      <c r="V175" s="79">
        <v>0.83792307973965197</v>
      </c>
      <c r="W175" s="79">
        <v>1</v>
      </c>
    </row>
    <row r="176" spans="2:23" x14ac:dyDescent="0.2">
      <c r="B176" t="s">
        <v>2251</v>
      </c>
      <c r="C176" s="84">
        <v>2630</v>
      </c>
      <c r="D176" s="102">
        <v>1.0285324110256397</v>
      </c>
      <c r="E176" s="79">
        <v>4.6394076218403503E-2</v>
      </c>
      <c r="F176" s="79">
        <v>0.54425525432143995</v>
      </c>
      <c r="G176" s="79">
        <v>0.95767440062337605</v>
      </c>
      <c r="H176" s="79">
        <v>1</v>
      </c>
      <c r="I176" s="102">
        <v>1.0192250060404675</v>
      </c>
      <c r="J176" s="79">
        <v>4.6009543232870501E-2</v>
      </c>
      <c r="K176" s="79">
        <v>0.67896022870873496</v>
      </c>
      <c r="L176" s="79">
        <v>0.99629532610271199</v>
      </c>
      <c r="M176" s="79">
        <v>1</v>
      </c>
      <c r="N176" s="102">
        <v>1.00475909807932</v>
      </c>
      <c r="O176" s="79">
        <v>1.34314184758595E-2</v>
      </c>
      <c r="P176" s="79">
        <v>0.72374327662481597</v>
      </c>
      <c r="Q176" s="79">
        <v>0.81409104289670498</v>
      </c>
      <c r="R176" s="79">
        <v>1</v>
      </c>
      <c r="S176" s="102">
        <v>1.0118935626195831</v>
      </c>
      <c r="T176" s="79">
        <v>1.34432022451491E-2</v>
      </c>
      <c r="U176" s="79">
        <v>0.37917901510570801</v>
      </c>
      <c r="V176" s="79">
        <v>0.49715886345903199</v>
      </c>
      <c r="W176" s="79">
        <v>1</v>
      </c>
    </row>
    <row r="177" spans="2:23" x14ac:dyDescent="0.2">
      <c r="B177" t="s">
        <v>102</v>
      </c>
      <c r="C177" s="84">
        <v>4121</v>
      </c>
      <c r="D177" s="102">
        <v>-6.07769793546282E-3</v>
      </c>
      <c r="E177" s="79">
        <v>1.35100835935362E-2</v>
      </c>
      <c r="F177" s="79">
        <v>0.65283348316484602</v>
      </c>
      <c r="G177" s="79">
        <v>0.95767440062337605</v>
      </c>
      <c r="H177" s="79">
        <v>1</v>
      </c>
      <c r="I177" s="102">
        <v>-3.0194655466952498E-4</v>
      </c>
      <c r="J177" s="79">
        <v>1.3624414941227301E-2</v>
      </c>
      <c r="K177" s="79">
        <v>0.98231969900246696</v>
      </c>
      <c r="L177" s="79">
        <v>0.99629532610271199</v>
      </c>
      <c r="M177" s="79">
        <v>1</v>
      </c>
      <c r="N177" s="102">
        <v>4.7478093739246399E-3</v>
      </c>
      <c r="O177" s="79">
        <v>1.34314184758595E-2</v>
      </c>
      <c r="P177" s="79">
        <v>0.72374327662481597</v>
      </c>
      <c r="Q177" s="79">
        <v>0.81409104289670498</v>
      </c>
      <c r="R177" s="79">
        <v>1</v>
      </c>
      <c r="S177" s="102">
        <v>1.1823390056874701E-2</v>
      </c>
      <c r="T177" s="79">
        <v>1.34432022451491E-2</v>
      </c>
      <c r="U177" s="79">
        <v>0.37917901510570801</v>
      </c>
      <c r="V177" s="79">
        <v>0.49715886345903199</v>
      </c>
      <c r="W177" s="79">
        <v>1</v>
      </c>
    </row>
    <row r="178" spans="2:23" x14ac:dyDescent="0.2">
      <c r="B178" t="s">
        <v>2252</v>
      </c>
      <c r="C178" s="84">
        <v>5037</v>
      </c>
      <c r="D178" s="102">
        <v>0.98456452536274119</v>
      </c>
      <c r="E178" s="79">
        <v>4.17784475581367E-2</v>
      </c>
      <c r="F178" s="79">
        <v>0.70963874687337003</v>
      </c>
      <c r="G178" s="79">
        <v>0.97160036230239</v>
      </c>
      <c r="H178" s="79">
        <v>1</v>
      </c>
      <c r="I178" s="102">
        <v>1.0102570463398144</v>
      </c>
      <c r="J178" s="79">
        <v>4.1735192576154399E-2</v>
      </c>
      <c r="K178" s="79">
        <v>0.80683348562873303</v>
      </c>
      <c r="L178" s="79">
        <v>0.94195446220197998</v>
      </c>
      <c r="M178" s="79">
        <v>1</v>
      </c>
      <c r="N178" s="102">
        <v>1.0363651769991491</v>
      </c>
      <c r="O178" s="79">
        <v>4.1179120077392897E-2</v>
      </c>
      <c r="P178" s="79">
        <v>0.38571223549119199</v>
      </c>
      <c r="Q178" s="79">
        <v>0.50299963581376395</v>
      </c>
      <c r="R178" s="79">
        <v>1</v>
      </c>
      <c r="S178" s="102">
        <v>1.0832385553244495</v>
      </c>
      <c r="T178" s="79">
        <v>4.1189141519835597E-2</v>
      </c>
      <c r="U178" s="79">
        <v>5.2237393927805E-2</v>
      </c>
      <c r="V178" s="79">
        <v>0.105849456116868</v>
      </c>
      <c r="W178" s="79">
        <v>1</v>
      </c>
    </row>
    <row r="179" spans="2:23" x14ac:dyDescent="0.2">
      <c r="B179" t="s">
        <v>2253</v>
      </c>
      <c r="C179" s="84">
        <v>5037</v>
      </c>
      <c r="D179" s="102">
        <v>1.028812223811236</v>
      </c>
      <c r="E179" s="79">
        <v>5.2301538067989699E-2</v>
      </c>
      <c r="F179" s="79">
        <v>0.58706107471631197</v>
      </c>
      <c r="G179" s="79">
        <v>0.93838695059676502</v>
      </c>
      <c r="H179" s="79">
        <v>1</v>
      </c>
      <c r="I179" s="102">
        <v>1.0081182510332776</v>
      </c>
      <c r="J179" s="79">
        <v>5.1377364770992598E-2</v>
      </c>
      <c r="K179" s="79">
        <v>0.87494988992525902</v>
      </c>
      <c r="L179" s="79">
        <v>0.97184003146923903</v>
      </c>
      <c r="M179" s="79">
        <v>1</v>
      </c>
      <c r="N179" s="102">
        <v>0.99288050356452862</v>
      </c>
      <c r="O179" s="79">
        <v>5.1321810816822598E-2</v>
      </c>
      <c r="P179" s="79">
        <v>0.88927725184688899</v>
      </c>
      <c r="Q179" s="79">
        <v>0.92532903232716801</v>
      </c>
      <c r="R179" s="79">
        <v>1</v>
      </c>
      <c r="S179" s="102">
        <v>1.0336097976566299</v>
      </c>
      <c r="T179" s="79">
        <v>5.10862938753084E-2</v>
      </c>
      <c r="U179" s="79">
        <v>0.5175749225156</v>
      </c>
      <c r="V179" s="79">
        <v>0.62303093998707304</v>
      </c>
      <c r="W179" s="79">
        <v>1</v>
      </c>
    </row>
    <row r="180" spans="2:23" x14ac:dyDescent="0.2">
      <c r="B180" t="s">
        <v>103</v>
      </c>
      <c r="C180" s="84">
        <v>200</v>
      </c>
      <c r="D180" s="102">
        <v>-3.3961879649563299E-2</v>
      </c>
      <c r="E180" s="79">
        <v>7.1860850349060507E-2</v>
      </c>
      <c r="F180" s="79">
        <v>0.63709626449336298</v>
      </c>
      <c r="G180" s="79">
        <v>0.95767440062337605</v>
      </c>
      <c r="H180" s="79">
        <v>1</v>
      </c>
      <c r="I180" s="102">
        <v>6.4065917825987001E-2</v>
      </c>
      <c r="J180" s="79">
        <v>7.5765711989817297E-2</v>
      </c>
      <c r="K180" s="79">
        <v>0.39891297623474797</v>
      </c>
      <c r="L180" s="79">
        <v>0.76356901891713402</v>
      </c>
      <c r="M180" s="79">
        <v>1</v>
      </c>
      <c r="N180" s="102">
        <v>7.7628858061914094E-2</v>
      </c>
      <c r="O180" s="79">
        <v>7.5504976083795902E-2</v>
      </c>
      <c r="P180" s="79">
        <v>0.30530515440553502</v>
      </c>
      <c r="Q180" s="79">
        <v>0.420579267245551</v>
      </c>
      <c r="R180" s="79">
        <v>1</v>
      </c>
      <c r="S180" s="102">
        <v>0.19796452483924201</v>
      </c>
      <c r="T180" s="79">
        <v>7.7524550173574194E-2</v>
      </c>
      <c r="U180" s="79">
        <v>1.1511763410428401E-2</v>
      </c>
      <c r="V180" s="79">
        <v>3.1606040870770999E-2</v>
      </c>
      <c r="W180" s="79">
        <v>1</v>
      </c>
    </row>
    <row r="181" spans="2:23" x14ac:dyDescent="0.2">
      <c r="B181" t="s">
        <v>2254</v>
      </c>
      <c r="C181" s="84">
        <v>5037</v>
      </c>
      <c r="D181" s="102">
        <v>0.99537296227097605</v>
      </c>
      <c r="E181" s="79">
        <v>4.5279259522028097E-2</v>
      </c>
      <c r="F181" s="79">
        <v>0.91841850917540202</v>
      </c>
      <c r="G181" s="79">
        <v>0.99605333311574995</v>
      </c>
      <c r="H181" s="79">
        <v>1</v>
      </c>
      <c r="I181" s="102">
        <v>1.0297828228504602</v>
      </c>
      <c r="J181" s="79">
        <v>4.4925649137149498E-2</v>
      </c>
      <c r="K181" s="79">
        <v>0.51359156103332604</v>
      </c>
      <c r="L181" s="79">
        <v>0.82746883238231095</v>
      </c>
      <c r="M181" s="79">
        <v>1</v>
      </c>
      <c r="N181" s="102">
        <v>0.9727971907776285</v>
      </c>
      <c r="O181" s="79">
        <v>4.45373484299737E-2</v>
      </c>
      <c r="P181" s="79">
        <v>0.53575311917962298</v>
      </c>
      <c r="Q181" s="79">
        <v>0.64872464895659898</v>
      </c>
      <c r="R181" s="79">
        <v>1</v>
      </c>
      <c r="S181" s="102">
        <v>1.0506431670848531</v>
      </c>
      <c r="T181" s="79">
        <v>4.4476329580415502E-2</v>
      </c>
      <c r="U181" s="79">
        <v>0.26667177586316199</v>
      </c>
      <c r="V181" s="79">
        <v>0.37645165692683003</v>
      </c>
      <c r="W181" s="79">
        <v>1</v>
      </c>
    </row>
    <row r="182" spans="2:23" x14ac:dyDescent="0.2">
      <c r="B182" t="s">
        <v>104</v>
      </c>
      <c r="C182" s="84">
        <v>148</v>
      </c>
      <c r="D182" s="102">
        <v>-9.7468483171273101E-2</v>
      </c>
      <c r="E182" s="79">
        <v>8.2092592147822094E-2</v>
      </c>
      <c r="F182" s="79">
        <v>0.23726094758574101</v>
      </c>
      <c r="G182" s="79">
        <v>0.85383558790471104</v>
      </c>
      <c r="H182" s="79">
        <v>1</v>
      </c>
      <c r="I182" s="102">
        <v>-3.4881087190706997E-2</v>
      </c>
      <c r="J182" s="79">
        <v>8.7644387842406302E-2</v>
      </c>
      <c r="K182" s="79">
        <v>0.691286884521913</v>
      </c>
      <c r="L182" s="79">
        <v>0.89941626910915595</v>
      </c>
      <c r="M182" s="79">
        <v>1</v>
      </c>
      <c r="N182" s="102">
        <v>4.8262389764145902E-2</v>
      </c>
      <c r="O182" s="79">
        <v>9.0149580651634906E-2</v>
      </c>
      <c r="P182" s="79">
        <v>0.59330275983111203</v>
      </c>
      <c r="Q182" s="79">
        <v>0.69747041995413195</v>
      </c>
      <c r="R182" s="79">
        <v>1</v>
      </c>
      <c r="S182" s="102">
        <v>-3.0914060481805499E-3</v>
      </c>
      <c r="T182" s="79">
        <v>9.2710856493157107E-2</v>
      </c>
      <c r="U182" s="79">
        <v>0.97345049378301296</v>
      </c>
      <c r="V182" s="79">
        <v>0.98214719265540396</v>
      </c>
      <c r="W182" s="79">
        <v>1</v>
      </c>
    </row>
    <row r="183" spans="2:23" x14ac:dyDescent="0.2">
      <c r="B183" t="s">
        <v>796</v>
      </c>
      <c r="C183" s="84">
        <v>3639</v>
      </c>
      <c r="D183" s="102">
        <v>-2.1074790561503999E-2</v>
      </c>
      <c r="E183" s="79">
        <v>1.7144074960830001E-2</v>
      </c>
      <c r="F183" s="79">
        <v>0.21905705342840801</v>
      </c>
      <c r="G183" s="79">
        <v>0.84071215771938901</v>
      </c>
      <c r="H183" s="79">
        <v>1</v>
      </c>
      <c r="I183" s="102">
        <v>-1.1728248857699399E-2</v>
      </c>
      <c r="J183" s="79">
        <v>1.7061858175411102E-2</v>
      </c>
      <c r="K183" s="79">
        <v>0.491883425288344</v>
      </c>
      <c r="L183" s="79">
        <v>0.81451663972478505</v>
      </c>
      <c r="M183" s="79">
        <v>1</v>
      </c>
      <c r="N183" s="102">
        <v>-4.4109341642924703E-2</v>
      </c>
      <c r="O183" s="79">
        <v>1.6909290348805301E-2</v>
      </c>
      <c r="P183" s="79">
        <v>9.1337455755238703E-3</v>
      </c>
      <c r="Q183" s="79">
        <v>2.59776692998991E-2</v>
      </c>
      <c r="R183" s="79">
        <v>1</v>
      </c>
      <c r="S183" s="102">
        <v>-5.4799469828995799E-2</v>
      </c>
      <c r="T183" s="79">
        <v>1.6831126189298599E-2</v>
      </c>
      <c r="U183" s="79">
        <v>1.1422210123977E-3</v>
      </c>
      <c r="V183" s="79">
        <v>5.01275231865726E-3</v>
      </c>
      <c r="W183" s="79">
        <v>1</v>
      </c>
    </row>
    <row r="184" spans="2:23" x14ac:dyDescent="0.2">
      <c r="B184" t="s">
        <v>797</v>
      </c>
      <c r="C184" s="84">
        <v>3222</v>
      </c>
      <c r="D184" s="102">
        <v>1.76727670899543E-2</v>
      </c>
      <c r="E184" s="79">
        <v>1.8339487873613398E-2</v>
      </c>
      <c r="F184" s="79">
        <v>0.33530026750792302</v>
      </c>
      <c r="G184" s="79">
        <v>0.887497895560034</v>
      </c>
      <c r="H184" s="79">
        <v>1</v>
      </c>
      <c r="I184" s="102">
        <v>-2.6448330141188501E-2</v>
      </c>
      <c r="J184" s="79">
        <v>1.8013536494474802E-2</v>
      </c>
      <c r="K184" s="79">
        <v>0.14214141205620001</v>
      </c>
      <c r="L184" s="79">
        <v>0.59040772609061598</v>
      </c>
      <c r="M184" s="79">
        <v>1</v>
      </c>
      <c r="N184" s="102">
        <v>-2.1760884840606499E-2</v>
      </c>
      <c r="O184" s="79">
        <v>1.80951536032091E-2</v>
      </c>
      <c r="P184" s="79">
        <v>0.22923246044266701</v>
      </c>
      <c r="Q184" s="79">
        <v>0.33649894973126299</v>
      </c>
      <c r="R184" s="79">
        <v>1</v>
      </c>
      <c r="S184" s="102">
        <v>-3.4550632853406302E-2</v>
      </c>
      <c r="T184" s="79">
        <v>1.79339216793163E-2</v>
      </c>
      <c r="U184" s="79">
        <v>5.41290104221097E-2</v>
      </c>
      <c r="V184" s="79">
        <v>0.109283744727216</v>
      </c>
      <c r="W184" s="79">
        <v>1</v>
      </c>
    </row>
    <row r="185" spans="2:23" x14ac:dyDescent="0.2">
      <c r="B185" t="s">
        <v>798</v>
      </c>
      <c r="C185" s="84">
        <v>3564</v>
      </c>
      <c r="D185" s="102">
        <v>9.5813066232728998E-3</v>
      </c>
      <c r="E185" s="79">
        <v>1.7281807524367001E-2</v>
      </c>
      <c r="F185" s="79">
        <v>0.57933268049295406</v>
      </c>
      <c r="G185" s="79">
        <v>0.937334824025849</v>
      </c>
      <c r="H185" s="79">
        <v>1</v>
      </c>
      <c r="I185" s="102">
        <v>-8.8566842823265199E-3</v>
      </c>
      <c r="J185" s="79">
        <v>1.7356577326895401E-2</v>
      </c>
      <c r="K185" s="79">
        <v>0.60989185346642605</v>
      </c>
      <c r="L185" s="79">
        <v>0.87455910458575803</v>
      </c>
      <c r="M185" s="79">
        <v>1</v>
      </c>
      <c r="N185" s="102">
        <v>-4.5259707979148397E-2</v>
      </c>
      <c r="O185" s="79">
        <v>1.7234363711470801E-2</v>
      </c>
      <c r="P185" s="79">
        <v>8.6767573455395E-3</v>
      </c>
      <c r="Q185" s="79">
        <v>2.4954884453894599E-2</v>
      </c>
      <c r="R185" s="79">
        <v>1</v>
      </c>
      <c r="S185" s="102">
        <v>-2.8308065676660402E-2</v>
      </c>
      <c r="T185" s="79">
        <v>1.6966147554707701E-2</v>
      </c>
      <c r="U185" s="79">
        <v>9.5313935081583506E-2</v>
      </c>
      <c r="V185" s="79">
        <v>0.169069953956233</v>
      </c>
      <c r="W185" s="79">
        <v>1</v>
      </c>
    </row>
    <row r="186" spans="2:23" x14ac:dyDescent="0.2">
      <c r="B186" t="s">
        <v>799</v>
      </c>
      <c r="C186" s="84">
        <v>3685</v>
      </c>
      <c r="D186" s="102">
        <v>-1.93683795366013E-2</v>
      </c>
      <c r="E186" s="79">
        <v>1.68483290327348E-2</v>
      </c>
      <c r="F186" s="79">
        <v>0.25039482872888802</v>
      </c>
      <c r="G186" s="79">
        <v>0.85990749347533801</v>
      </c>
      <c r="H186" s="79">
        <v>1</v>
      </c>
      <c r="I186" s="102">
        <v>-2.7650136865068099E-2</v>
      </c>
      <c r="J186" s="79">
        <v>1.67186588589038E-2</v>
      </c>
      <c r="K186" s="79">
        <v>9.8243745759092796E-2</v>
      </c>
      <c r="L186" s="79">
        <v>0.51533423575627901</v>
      </c>
      <c r="M186" s="79">
        <v>1</v>
      </c>
      <c r="N186" s="102">
        <v>-2.7425244128112199E-2</v>
      </c>
      <c r="O186" s="79">
        <v>1.6655738736309E-2</v>
      </c>
      <c r="P186" s="79">
        <v>9.9727180332744803E-2</v>
      </c>
      <c r="Q186" s="79">
        <v>0.17380436572394001</v>
      </c>
      <c r="R186" s="79">
        <v>1</v>
      </c>
      <c r="S186" s="102">
        <v>-2.21094497035032E-2</v>
      </c>
      <c r="T186" s="79">
        <v>1.6585203325779101E-2</v>
      </c>
      <c r="U186" s="79">
        <v>0.18258743168059199</v>
      </c>
      <c r="V186" s="79">
        <v>0.28169682082597702</v>
      </c>
      <c r="W186" s="79">
        <v>1</v>
      </c>
    </row>
    <row r="187" spans="2:23" x14ac:dyDescent="0.2">
      <c r="B187" t="s">
        <v>800</v>
      </c>
      <c r="C187" s="84">
        <v>3226</v>
      </c>
      <c r="D187" s="102">
        <v>1.1941286494526899E-2</v>
      </c>
      <c r="E187" s="79">
        <v>1.80376856967823E-2</v>
      </c>
      <c r="F187" s="79">
        <v>0.50801201068406698</v>
      </c>
      <c r="G187" s="79">
        <v>0.91752655785263504</v>
      </c>
      <c r="H187" s="79">
        <v>1</v>
      </c>
      <c r="I187" s="102">
        <v>-1.4483785752659299E-3</v>
      </c>
      <c r="J187" s="79">
        <v>1.7820971670957399E-2</v>
      </c>
      <c r="K187" s="79">
        <v>0.93522987441126604</v>
      </c>
      <c r="L187" s="79">
        <v>0.98647534698174599</v>
      </c>
      <c r="M187" s="79">
        <v>1</v>
      </c>
      <c r="N187" s="102">
        <v>-9.7290943774261292E-3</v>
      </c>
      <c r="O187" s="79">
        <v>1.7833380595348801E-2</v>
      </c>
      <c r="P187" s="79">
        <v>0.58541400043899205</v>
      </c>
      <c r="Q187" s="79">
        <v>0.69059283895797496</v>
      </c>
      <c r="R187" s="79">
        <v>1</v>
      </c>
      <c r="S187" s="102">
        <v>1.6885519052090001E-2</v>
      </c>
      <c r="T187" s="79">
        <v>1.7709218999691401E-2</v>
      </c>
      <c r="U187" s="79">
        <v>0.34042363571761503</v>
      </c>
      <c r="V187" s="79">
        <v>0.45840829801720201</v>
      </c>
      <c r="W187" s="79">
        <v>1</v>
      </c>
    </row>
    <row r="188" spans="2:23" x14ac:dyDescent="0.2">
      <c r="B188" t="s">
        <v>801</v>
      </c>
      <c r="C188" s="84">
        <v>3585</v>
      </c>
      <c r="D188" s="102">
        <v>3.3552785507972698E-4</v>
      </c>
      <c r="E188" s="79">
        <v>1.7197965577325201E-2</v>
      </c>
      <c r="F188" s="79">
        <v>0.984435796297642</v>
      </c>
      <c r="G188" s="79">
        <v>0.99881358178002599</v>
      </c>
      <c r="H188" s="79">
        <v>1</v>
      </c>
      <c r="I188" s="102">
        <v>-2.67698022260674E-2</v>
      </c>
      <c r="J188" s="79">
        <v>1.73014822095491E-2</v>
      </c>
      <c r="K188" s="79">
        <v>0.12191287820780999</v>
      </c>
      <c r="L188" s="79">
        <v>0.55552266356551805</v>
      </c>
      <c r="M188" s="79">
        <v>1</v>
      </c>
      <c r="N188" s="102">
        <v>-4.6171907091603799E-2</v>
      </c>
      <c r="O188" s="79">
        <v>1.7126925233883001E-2</v>
      </c>
      <c r="P188" s="79">
        <v>7.0603777089531502E-3</v>
      </c>
      <c r="Q188" s="79">
        <v>2.11986801685893E-2</v>
      </c>
      <c r="R188" s="79">
        <v>1</v>
      </c>
      <c r="S188" s="102">
        <v>-7.8877552117816094E-3</v>
      </c>
      <c r="T188" s="79">
        <v>1.6975346208169199E-2</v>
      </c>
      <c r="U188" s="79">
        <v>0.64221065026205104</v>
      </c>
      <c r="V188" s="79">
        <v>0.71584296924146695</v>
      </c>
      <c r="W188" s="79">
        <v>1</v>
      </c>
    </row>
    <row r="189" spans="2:23" x14ac:dyDescent="0.2">
      <c r="B189" t="s">
        <v>802</v>
      </c>
      <c r="C189" s="84">
        <v>3694</v>
      </c>
      <c r="D189" s="102">
        <v>-9.8391811196466804E-3</v>
      </c>
      <c r="E189" s="79">
        <v>1.6915353848715599E-2</v>
      </c>
      <c r="F189" s="79">
        <v>0.56082845815640103</v>
      </c>
      <c r="G189" s="79">
        <v>0.93167796111031398</v>
      </c>
      <c r="H189" s="79">
        <v>1</v>
      </c>
      <c r="I189" s="102">
        <v>-2.41436397327831E-2</v>
      </c>
      <c r="J189" s="79">
        <v>1.6773603826733399E-2</v>
      </c>
      <c r="K189" s="79">
        <v>0.150141760907333</v>
      </c>
      <c r="L189" s="79">
        <v>0.592867466146905</v>
      </c>
      <c r="M189" s="79">
        <v>1</v>
      </c>
      <c r="N189" s="102">
        <v>-9.2747286723877508E-3</v>
      </c>
      <c r="O189" s="79">
        <v>1.6720220952372199E-2</v>
      </c>
      <c r="P189" s="79">
        <v>0.57913761753600501</v>
      </c>
      <c r="Q189" s="79">
        <v>0.685097153705302</v>
      </c>
      <c r="R189" s="79">
        <v>1</v>
      </c>
      <c r="S189" s="102">
        <v>2.65238965008943E-3</v>
      </c>
      <c r="T189" s="79">
        <v>1.6642520017460902E-2</v>
      </c>
      <c r="U189" s="79">
        <v>0.87338409618332402</v>
      </c>
      <c r="V189" s="79">
        <v>0.90990938433859203</v>
      </c>
      <c r="W189" s="79">
        <v>1</v>
      </c>
    </row>
    <row r="190" spans="2:23" x14ac:dyDescent="0.2">
      <c r="B190" t="s">
        <v>803</v>
      </c>
      <c r="C190" s="84">
        <v>3259</v>
      </c>
      <c r="D190" s="102">
        <v>1.8457057607271999E-2</v>
      </c>
      <c r="E190" s="79">
        <v>1.8209804989312701E-2</v>
      </c>
      <c r="F190" s="79">
        <v>0.31086380862323498</v>
      </c>
      <c r="G190" s="79">
        <v>0.88730162874475904</v>
      </c>
      <c r="H190" s="79">
        <v>1</v>
      </c>
      <c r="I190" s="102">
        <v>-1.9769043146737601E-2</v>
      </c>
      <c r="J190" s="79">
        <v>1.7938108668338001E-2</v>
      </c>
      <c r="K190" s="79">
        <v>0.27051818102320002</v>
      </c>
      <c r="L190" s="79">
        <v>0.68891110924834398</v>
      </c>
      <c r="M190" s="79">
        <v>1</v>
      </c>
      <c r="N190" s="102">
        <v>-1.14033572253779E-2</v>
      </c>
      <c r="O190" s="79">
        <v>1.7944336397647399E-2</v>
      </c>
      <c r="P190" s="79">
        <v>0.52515970341175999</v>
      </c>
      <c r="Q190" s="79">
        <v>0.63772081546919102</v>
      </c>
      <c r="R190" s="79">
        <v>1</v>
      </c>
      <c r="S190" s="102">
        <v>9.20317029140485E-3</v>
      </c>
      <c r="T190" s="79">
        <v>1.78395237063276E-2</v>
      </c>
      <c r="U190" s="79">
        <v>0.60597093084319997</v>
      </c>
      <c r="V190" s="79">
        <v>0.69265503161159303</v>
      </c>
      <c r="W190" s="79">
        <v>1</v>
      </c>
    </row>
    <row r="191" spans="2:23" x14ac:dyDescent="0.2">
      <c r="B191" t="s">
        <v>804</v>
      </c>
      <c r="C191" s="84">
        <v>3580</v>
      </c>
      <c r="D191" s="102">
        <v>1.3032063992763699E-2</v>
      </c>
      <c r="E191" s="79">
        <v>1.6990339825038399E-2</v>
      </c>
      <c r="F191" s="79">
        <v>0.443115775645397</v>
      </c>
      <c r="G191" s="79">
        <v>0.90581448957043498</v>
      </c>
      <c r="H191" s="79">
        <v>1</v>
      </c>
      <c r="I191" s="102">
        <v>-2.2282153870666E-2</v>
      </c>
      <c r="J191" s="79">
        <v>1.7033439789269699E-2</v>
      </c>
      <c r="K191" s="79">
        <v>0.19090961354974101</v>
      </c>
      <c r="L191" s="79">
        <v>0.63287844491831902</v>
      </c>
      <c r="M191" s="79">
        <v>1</v>
      </c>
      <c r="N191" s="102">
        <v>-2.9770882628233901E-2</v>
      </c>
      <c r="O191" s="79">
        <v>1.6943040006693801E-2</v>
      </c>
      <c r="P191" s="79">
        <v>7.8983942891773101E-2</v>
      </c>
      <c r="Q191" s="79">
        <v>0.144803895301584</v>
      </c>
      <c r="R191" s="79">
        <v>1</v>
      </c>
      <c r="S191" s="102">
        <v>4.6031795333654401E-3</v>
      </c>
      <c r="T191" s="79">
        <v>1.67602251753311E-2</v>
      </c>
      <c r="U191" s="79">
        <v>0.78360182222800301</v>
      </c>
      <c r="V191" s="79">
        <v>0.83696184543142305</v>
      </c>
      <c r="W191" s="79">
        <v>1</v>
      </c>
    </row>
    <row r="192" spans="2:23" x14ac:dyDescent="0.2">
      <c r="B192" t="s">
        <v>794</v>
      </c>
      <c r="C192" s="84">
        <v>5031</v>
      </c>
      <c r="D192" s="102">
        <v>-8.7617583019262302E-3</v>
      </c>
      <c r="E192" s="79">
        <v>1.4425491795704E-2</v>
      </c>
      <c r="F192" s="79">
        <v>0.54362962932078596</v>
      </c>
      <c r="G192" s="79">
        <v>0.92553627343659495</v>
      </c>
      <c r="H192" s="79">
        <v>1</v>
      </c>
      <c r="I192" s="102">
        <v>4.1809854635662697E-2</v>
      </c>
      <c r="J192" s="79">
        <v>1.42926891967188E-2</v>
      </c>
      <c r="K192" s="79">
        <v>3.4596989122085702E-3</v>
      </c>
      <c r="L192" s="79">
        <v>0.140536071937475</v>
      </c>
      <c r="M192" s="79">
        <v>1</v>
      </c>
      <c r="N192" s="107">
        <v>6.0974613124422698E-2</v>
      </c>
      <c r="O192" s="81">
        <v>1.41696592884865E-2</v>
      </c>
      <c r="P192" s="81">
        <v>1.72070236094306E-5</v>
      </c>
      <c r="Q192" s="81">
        <v>1.5272520834093599E-4</v>
      </c>
      <c r="R192" s="81">
        <v>2.9148697994375399E-2</v>
      </c>
      <c r="S192" s="102">
        <v>5.2053129467897197E-2</v>
      </c>
      <c r="T192" s="79">
        <v>1.41644163756972E-2</v>
      </c>
      <c r="U192" s="79">
        <v>2.40771565073459E-4</v>
      </c>
      <c r="V192" s="79">
        <v>1.45666796869443E-3</v>
      </c>
      <c r="W192" s="79">
        <v>0.40786703123444001</v>
      </c>
    </row>
    <row r="193" spans="2:23" x14ac:dyDescent="0.2">
      <c r="B193" t="s">
        <v>795</v>
      </c>
      <c r="C193" s="84">
        <v>5025</v>
      </c>
      <c r="D193" s="102">
        <v>1.6837372973895499E-2</v>
      </c>
      <c r="E193" s="79">
        <v>1.4435728752591701E-2</v>
      </c>
      <c r="F193" s="79">
        <v>0.24352455101163001</v>
      </c>
      <c r="G193" s="79">
        <v>0.85990749347533801</v>
      </c>
      <c r="H193" s="79">
        <v>1</v>
      </c>
      <c r="I193" s="102">
        <v>3.9864430003545497E-2</v>
      </c>
      <c r="J193" s="79">
        <v>1.4357146717948599E-2</v>
      </c>
      <c r="K193" s="79">
        <v>5.5147083661206903E-3</v>
      </c>
      <c r="L193" s="79">
        <v>0.143721784187822</v>
      </c>
      <c r="M193" s="79">
        <v>1</v>
      </c>
      <c r="N193" s="102">
        <v>5.3710899704433601E-2</v>
      </c>
      <c r="O193" s="79">
        <v>1.42176685960132E-2</v>
      </c>
      <c r="P193" s="79">
        <v>1.6021120764934699E-4</v>
      </c>
      <c r="Q193" s="79">
        <v>9.9778597705144794E-4</v>
      </c>
      <c r="R193" s="79">
        <v>0.271397785757994</v>
      </c>
      <c r="S193" s="102">
        <v>4.9568620412060303E-2</v>
      </c>
      <c r="T193" s="79">
        <v>1.41972214669408E-2</v>
      </c>
      <c r="U193" s="79">
        <v>4.8488799177389801E-4</v>
      </c>
      <c r="V193" s="79">
        <v>2.58301967944963E-3</v>
      </c>
      <c r="W193" s="79">
        <v>0.82140025806498296</v>
      </c>
    </row>
    <row r="194" spans="2:23" x14ac:dyDescent="0.2">
      <c r="B194" t="s">
        <v>805</v>
      </c>
      <c r="C194" s="84">
        <v>4846</v>
      </c>
      <c r="D194" s="102">
        <v>6.5083153707123998E-3</v>
      </c>
      <c r="E194" s="79">
        <v>1.44181288084718E-2</v>
      </c>
      <c r="F194" s="79">
        <v>0.65172412800044499</v>
      </c>
      <c r="G194" s="79">
        <v>0.95767440062337605</v>
      </c>
      <c r="H194" s="79">
        <v>1</v>
      </c>
      <c r="I194" s="102">
        <v>-2.52544266466261E-2</v>
      </c>
      <c r="J194" s="79">
        <v>1.42520874788322E-2</v>
      </c>
      <c r="K194" s="79">
        <v>7.64660530469181E-2</v>
      </c>
      <c r="L194" s="79">
        <v>0.46226633181563198</v>
      </c>
      <c r="M194" s="79">
        <v>1</v>
      </c>
      <c r="N194" s="102">
        <v>-2.6381860127716501E-2</v>
      </c>
      <c r="O194" s="79">
        <v>1.41617228706037E-2</v>
      </c>
      <c r="P194" s="79">
        <v>6.2541385694215801E-2</v>
      </c>
      <c r="Q194" s="79">
        <v>0.12191611894821799</v>
      </c>
      <c r="R194" s="79">
        <v>1</v>
      </c>
      <c r="S194" s="102">
        <v>-9.4748158687135708E-3</v>
      </c>
      <c r="T194" s="79">
        <v>1.4156653955388499E-2</v>
      </c>
      <c r="U194" s="79">
        <v>0.50334894351770099</v>
      </c>
      <c r="V194" s="79">
        <v>0.61036013623406304</v>
      </c>
      <c r="W194" s="79">
        <v>1</v>
      </c>
    </row>
    <row r="195" spans="2:23" x14ac:dyDescent="0.2">
      <c r="B195" t="s">
        <v>814</v>
      </c>
      <c r="C195" s="84">
        <v>4546</v>
      </c>
      <c r="D195" s="102">
        <v>5.9898375959024103E-3</v>
      </c>
      <c r="E195" s="79">
        <v>1.52105838084558E-2</v>
      </c>
      <c r="F195" s="79">
        <v>0.69375293248564296</v>
      </c>
      <c r="G195" s="79">
        <v>0.969323693033459</v>
      </c>
      <c r="H195" s="79">
        <v>1</v>
      </c>
      <c r="I195" s="102">
        <v>-2.8570150243053798E-2</v>
      </c>
      <c r="J195" s="79">
        <v>1.5156340924910699E-2</v>
      </c>
      <c r="K195" s="79">
        <v>5.9494975623062399E-2</v>
      </c>
      <c r="L195" s="79">
        <v>0.42388828942846402</v>
      </c>
      <c r="M195" s="79">
        <v>1</v>
      </c>
      <c r="N195" s="107">
        <v>-6.3463262193242803E-2</v>
      </c>
      <c r="O195" s="81">
        <v>1.49673145609083E-2</v>
      </c>
      <c r="P195" s="81">
        <v>2.2817432423321101E-5</v>
      </c>
      <c r="Q195" s="81">
        <v>1.9326365262553E-4</v>
      </c>
      <c r="R195" s="81">
        <v>3.8652730525105899E-2</v>
      </c>
      <c r="S195" s="102">
        <v>-3.2023373623172799E-2</v>
      </c>
      <c r="T195" s="79">
        <v>1.4912445091538599E-2</v>
      </c>
      <c r="U195" s="79">
        <v>3.1816208978199798E-2</v>
      </c>
      <c r="V195" s="79">
        <v>7.2539243619206495E-2</v>
      </c>
      <c r="W195" s="79">
        <v>1</v>
      </c>
    </row>
    <row r="196" spans="2:23" x14ac:dyDescent="0.2">
      <c r="B196" t="s">
        <v>815</v>
      </c>
      <c r="C196" s="84">
        <v>4555</v>
      </c>
      <c r="D196" s="102">
        <v>-1.3707711539173001E-2</v>
      </c>
      <c r="E196" s="79">
        <v>1.5277973290334401E-2</v>
      </c>
      <c r="F196" s="79">
        <v>0.36965159979135898</v>
      </c>
      <c r="G196" s="79">
        <v>0.89461055933914202</v>
      </c>
      <c r="H196" s="79">
        <v>1</v>
      </c>
      <c r="I196" s="102">
        <v>-3.0010284321636601E-2</v>
      </c>
      <c r="J196" s="79">
        <v>1.51984713951828E-2</v>
      </c>
      <c r="K196" s="79">
        <v>4.8382876191294E-2</v>
      </c>
      <c r="L196" s="79">
        <v>0.40114376697029003</v>
      </c>
      <c r="M196" s="79">
        <v>1</v>
      </c>
      <c r="N196" s="102">
        <v>-5.5594801824790797E-2</v>
      </c>
      <c r="O196" s="79">
        <v>1.50359467290524E-2</v>
      </c>
      <c r="P196" s="79">
        <v>2.2049879715081101E-4</v>
      </c>
      <c r="Q196" s="79">
        <v>1.3060313369701901E-3</v>
      </c>
      <c r="R196" s="79">
        <v>0.37352496237347399</v>
      </c>
      <c r="S196" s="102">
        <v>-4.9747395044021099E-2</v>
      </c>
      <c r="T196" s="79">
        <v>1.49435215172792E-2</v>
      </c>
      <c r="U196" s="79">
        <v>8.7888987278788005E-4</v>
      </c>
      <c r="V196" s="79">
        <v>4.0790121767196397E-3</v>
      </c>
      <c r="W196" s="79">
        <v>1</v>
      </c>
    </row>
    <row r="197" spans="2:23" x14ac:dyDescent="0.2">
      <c r="B197" t="s">
        <v>816</v>
      </c>
      <c r="C197" s="84">
        <v>3417</v>
      </c>
      <c r="D197" s="102">
        <v>3.1561350275229397E-2</v>
      </c>
      <c r="E197" s="79">
        <v>1.7719900484157301E-2</v>
      </c>
      <c r="F197" s="79">
        <v>7.4987502813166296E-2</v>
      </c>
      <c r="G197" s="79">
        <v>0.73538141425839998</v>
      </c>
      <c r="H197" s="79">
        <v>1</v>
      </c>
      <c r="I197" s="102">
        <v>-4.1752285822265096E-3</v>
      </c>
      <c r="J197" s="79">
        <v>1.7384027794075E-2</v>
      </c>
      <c r="K197" s="79">
        <v>0.81020913642809</v>
      </c>
      <c r="L197" s="79">
        <v>0.94394379443547805</v>
      </c>
      <c r="M197" s="79">
        <v>1</v>
      </c>
      <c r="N197" s="102">
        <v>-2.7342496806821801E-2</v>
      </c>
      <c r="O197" s="79">
        <v>1.7293741946492899E-2</v>
      </c>
      <c r="P197" s="79">
        <v>0.113961840031833</v>
      </c>
      <c r="Q197" s="79">
        <v>0.19285849851541001</v>
      </c>
      <c r="R197" s="79">
        <v>1</v>
      </c>
      <c r="S197" s="102">
        <v>-7.2956205955611404E-3</v>
      </c>
      <c r="T197" s="79">
        <v>1.69165781104182E-2</v>
      </c>
      <c r="U197" s="79">
        <v>0.66630098066395704</v>
      </c>
      <c r="V197" s="79">
        <v>0.735797823497225</v>
      </c>
      <c r="W197" s="79">
        <v>1</v>
      </c>
    </row>
    <row r="198" spans="2:23" x14ac:dyDescent="0.2">
      <c r="B198" t="s">
        <v>817</v>
      </c>
      <c r="C198" s="84">
        <v>3729</v>
      </c>
      <c r="D198" s="102">
        <v>1.29070271443383E-2</v>
      </c>
      <c r="E198" s="79">
        <v>1.6853945954427001E-2</v>
      </c>
      <c r="F198" s="79">
        <v>0.443836640174538</v>
      </c>
      <c r="G198" s="79">
        <v>0.90585454030803303</v>
      </c>
      <c r="H198" s="79">
        <v>1</v>
      </c>
      <c r="I198" s="102">
        <v>1.1698342905437E-2</v>
      </c>
      <c r="J198" s="79">
        <v>1.6702966329365101E-2</v>
      </c>
      <c r="K198" s="79">
        <v>0.48374065262081101</v>
      </c>
      <c r="L198" s="79">
        <v>0.80894043982196895</v>
      </c>
      <c r="M198" s="79">
        <v>1</v>
      </c>
      <c r="N198" s="102">
        <v>-3.9541247257457598E-2</v>
      </c>
      <c r="O198" s="79">
        <v>1.6657538492151701E-2</v>
      </c>
      <c r="P198" s="79">
        <v>1.7661086582533101E-2</v>
      </c>
      <c r="Q198" s="79">
        <v>4.4118632513844701E-2</v>
      </c>
      <c r="R198" s="79">
        <v>1</v>
      </c>
      <c r="S198" s="102">
        <v>-2.1794284247476201E-3</v>
      </c>
      <c r="T198" s="79">
        <v>1.6467519888700499E-2</v>
      </c>
      <c r="U198" s="79">
        <v>0.89471752829542595</v>
      </c>
      <c r="V198" s="79">
        <v>0.92417773959295901</v>
      </c>
      <c r="W198" s="79">
        <v>1</v>
      </c>
    </row>
    <row r="199" spans="2:23" x14ac:dyDescent="0.2">
      <c r="B199" t="s">
        <v>818</v>
      </c>
      <c r="C199" s="84">
        <v>3687</v>
      </c>
      <c r="D199" s="102">
        <v>1.8475454705209199E-2</v>
      </c>
      <c r="E199" s="79">
        <v>1.6900913654396901E-2</v>
      </c>
      <c r="F199" s="79">
        <v>0.27439805623832902</v>
      </c>
      <c r="G199" s="79">
        <v>0.86861170490914397</v>
      </c>
      <c r="H199" s="79">
        <v>1</v>
      </c>
      <c r="I199" s="102">
        <v>5.0663592792008199E-3</v>
      </c>
      <c r="J199" s="79">
        <v>1.6753402167920001E-2</v>
      </c>
      <c r="K199" s="79">
        <v>0.76235995029444203</v>
      </c>
      <c r="L199" s="79">
        <v>0.92637153989923704</v>
      </c>
      <c r="M199" s="79">
        <v>1</v>
      </c>
      <c r="N199" s="102">
        <v>-3.5278749976394602E-2</v>
      </c>
      <c r="O199" s="79">
        <v>1.6708135261040001E-2</v>
      </c>
      <c r="P199" s="79">
        <v>3.48039648505062E-2</v>
      </c>
      <c r="Q199" s="79">
        <v>7.5201424051986598E-2</v>
      </c>
      <c r="R199" s="79">
        <v>1</v>
      </c>
      <c r="S199" s="102">
        <v>1.0751419018878901E-3</v>
      </c>
      <c r="T199" s="79">
        <v>1.65107647680817E-2</v>
      </c>
      <c r="U199" s="79">
        <v>0.948084212095889</v>
      </c>
      <c r="V199" s="79">
        <v>0.96330158296873503</v>
      </c>
      <c r="W199" s="79">
        <v>1</v>
      </c>
    </row>
    <row r="200" spans="2:23" x14ac:dyDescent="0.2">
      <c r="B200" t="s">
        <v>819</v>
      </c>
      <c r="C200" s="84">
        <v>3642</v>
      </c>
      <c r="D200" s="102">
        <v>3.0273292468185799E-2</v>
      </c>
      <c r="E200" s="79">
        <v>1.7012002503193999E-2</v>
      </c>
      <c r="F200" s="79">
        <v>7.5241821653770594E-2</v>
      </c>
      <c r="G200" s="79">
        <v>0.73538141425839998</v>
      </c>
      <c r="H200" s="79">
        <v>1</v>
      </c>
      <c r="I200" s="102">
        <v>-4.4040430987558101E-4</v>
      </c>
      <c r="J200" s="79">
        <v>1.6878738753580001E-2</v>
      </c>
      <c r="K200" s="79">
        <v>0.97918531103159201</v>
      </c>
      <c r="L200" s="79">
        <v>0.99629532610271199</v>
      </c>
      <c r="M200" s="79">
        <v>1</v>
      </c>
      <c r="N200" s="102">
        <v>-2.82115582623104E-2</v>
      </c>
      <c r="O200" s="79">
        <v>1.6845529773861698E-2</v>
      </c>
      <c r="P200" s="79">
        <v>9.4081143787054802E-2</v>
      </c>
      <c r="Q200" s="79">
        <v>0.16601401830757401</v>
      </c>
      <c r="R200" s="79">
        <v>1</v>
      </c>
      <c r="S200" s="102">
        <v>9.25259536252406E-3</v>
      </c>
      <c r="T200" s="79">
        <v>1.6588718155705201E-2</v>
      </c>
      <c r="U200" s="79">
        <v>0.57704280905916505</v>
      </c>
      <c r="V200" s="79">
        <v>0.67090632707359399</v>
      </c>
      <c r="W200" s="79">
        <v>1</v>
      </c>
    </row>
    <row r="201" spans="2:23" x14ac:dyDescent="0.2">
      <c r="B201" t="s">
        <v>820</v>
      </c>
      <c r="C201" s="84">
        <v>1227</v>
      </c>
      <c r="D201" s="102">
        <v>2.9456866217391801E-2</v>
      </c>
      <c r="E201" s="79">
        <v>2.9935839814464099E-2</v>
      </c>
      <c r="F201" s="79">
        <v>0.32531476994310199</v>
      </c>
      <c r="G201" s="79">
        <v>0.88730162874475904</v>
      </c>
      <c r="H201" s="79">
        <v>1</v>
      </c>
      <c r="I201" s="102">
        <v>-2.04159220161961E-2</v>
      </c>
      <c r="J201" s="79">
        <v>2.8998458110116001E-2</v>
      </c>
      <c r="K201" s="79">
        <v>0.48155510586049599</v>
      </c>
      <c r="L201" s="79">
        <v>0.80894043982196895</v>
      </c>
      <c r="M201" s="79">
        <v>1</v>
      </c>
      <c r="N201" s="102">
        <v>-1.8859908784993801E-2</v>
      </c>
      <c r="O201" s="79">
        <v>2.9075640819649699E-2</v>
      </c>
      <c r="P201" s="79">
        <v>0.51668878461387902</v>
      </c>
      <c r="Q201" s="79">
        <v>0.63100066955859502</v>
      </c>
      <c r="R201" s="79">
        <v>1</v>
      </c>
      <c r="S201" s="102">
        <v>-1.76906490216392E-2</v>
      </c>
      <c r="T201" s="79">
        <v>2.8922086556222401E-2</v>
      </c>
      <c r="U201" s="79">
        <v>0.54087649078910105</v>
      </c>
      <c r="V201" s="79">
        <v>0.64162799397530601</v>
      </c>
      <c r="W201" s="79">
        <v>1</v>
      </c>
    </row>
    <row r="202" spans="2:23" x14ac:dyDescent="0.2">
      <c r="B202" t="s">
        <v>806</v>
      </c>
      <c r="C202" s="84">
        <v>4924</v>
      </c>
      <c r="D202" s="102">
        <v>5.4240724170376599E-3</v>
      </c>
      <c r="E202" s="79">
        <v>1.45889656368683E-2</v>
      </c>
      <c r="F202" s="79">
        <v>0.710064190144162</v>
      </c>
      <c r="G202" s="79">
        <v>0.97160036230239</v>
      </c>
      <c r="H202" s="79">
        <v>1</v>
      </c>
      <c r="I202" s="102">
        <v>-1.4224551753075699E-2</v>
      </c>
      <c r="J202" s="79">
        <v>1.4442558715173101E-2</v>
      </c>
      <c r="K202" s="79">
        <v>0.32472315887500802</v>
      </c>
      <c r="L202" s="79">
        <v>0.71688335035341899</v>
      </c>
      <c r="M202" s="79">
        <v>1</v>
      </c>
      <c r="N202" s="102">
        <v>-4.7808597082598499E-2</v>
      </c>
      <c r="O202" s="79">
        <v>1.42933361299501E-2</v>
      </c>
      <c r="P202" s="79">
        <v>8.3000207838660996E-4</v>
      </c>
      <c r="Q202" s="79">
        <v>3.7907576599143398E-3</v>
      </c>
      <c r="R202" s="79">
        <v>1</v>
      </c>
      <c r="S202" s="102">
        <v>-1.49123984073588E-2</v>
      </c>
      <c r="T202" s="79">
        <v>1.43086822297291E-2</v>
      </c>
      <c r="U202" s="79">
        <v>0.29737766953942402</v>
      </c>
      <c r="V202" s="79">
        <v>0.41156680735276502</v>
      </c>
      <c r="W202" s="79">
        <v>1</v>
      </c>
    </row>
    <row r="203" spans="2:23" x14ac:dyDescent="0.2">
      <c r="B203" t="s">
        <v>807</v>
      </c>
      <c r="C203" s="84">
        <v>4917</v>
      </c>
      <c r="D203" s="102">
        <v>-5.09912338488502E-6</v>
      </c>
      <c r="E203" s="79">
        <v>1.4691097315139E-2</v>
      </c>
      <c r="F203" s="79">
        <v>0.999723077806843</v>
      </c>
      <c r="G203" s="79">
        <v>0.99983508610455496</v>
      </c>
      <c r="H203" s="79">
        <v>1</v>
      </c>
      <c r="I203" s="102">
        <v>-2.87229994659443E-2</v>
      </c>
      <c r="J203" s="79">
        <v>1.4513319694970399E-2</v>
      </c>
      <c r="K203" s="79">
        <v>4.7868147429958097E-2</v>
      </c>
      <c r="L203" s="79">
        <v>0.40114376697029003</v>
      </c>
      <c r="M203" s="79">
        <v>1</v>
      </c>
      <c r="N203" s="102">
        <v>-3.1237454859047699E-2</v>
      </c>
      <c r="O203" s="79">
        <v>1.43828476706672E-2</v>
      </c>
      <c r="P203" s="79">
        <v>2.9918074903928699E-2</v>
      </c>
      <c r="Q203" s="79">
        <v>6.7302528697672004E-2</v>
      </c>
      <c r="R203" s="79">
        <v>1</v>
      </c>
      <c r="S203" s="102">
        <v>-1.9837085598149101E-2</v>
      </c>
      <c r="T203" s="79">
        <v>1.4396787310241599E-2</v>
      </c>
      <c r="U203" s="79">
        <v>0.16830715526192</v>
      </c>
      <c r="V203" s="79">
        <v>0.26546771044105399</v>
      </c>
      <c r="W203" s="79">
        <v>1</v>
      </c>
    </row>
    <row r="204" spans="2:23" x14ac:dyDescent="0.2">
      <c r="B204" t="s">
        <v>808</v>
      </c>
      <c r="C204" s="84">
        <v>4934</v>
      </c>
      <c r="D204" s="102">
        <v>7.5698576523344496E-3</v>
      </c>
      <c r="E204" s="79">
        <v>1.45249899195847E-2</v>
      </c>
      <c r="F204" s="79">
        <v>0.602279714155321</v>
      </c>
      <c r="G204" s="79">
        <v>0.94340566501007395</v>
      </c>
      <c r="H204" s="79">
        <v>1</v>
      </c>
      <c r="I204" s="102">
        <v>-2.3582645250479199E-2</v>
      </c>
      <c r="J204" s="79">
        <v>1.44190230166776E-2</v>
      </c>
      <c r="K204" s="79">
        <v>0.102009363323881</v>
      </c>
      <c r="L204" s="79">
        <v>0.52523970051870705</v>
      </c>
      <c r="M204" s="79">
        <v>1</v>
      </c>
      <c r="N204" s="102">
        <v>-3.9682286247547098E-2</v>
      </c>
      <c r="O204" s="79">
        <v>1.42759025960959E-2</v>
      </c>
      <c r="P204" s="79">
        <v>5.4637708374320497E-3</v>
      </c>
      <c r="Q204" s="79">
        <v>1.7267962310839401E-2</v>
      </c>
      <c r="R204" s="79">
        <v>1</v>
      </c>
      <c r="S204" s="102">
        <v>-2.4538711184485501E-2</v>
      </c>
      <c r="T204" s="79">
        <v>1.42671491634347E-2</v>
      </c>
      <c r="U204" s="79">
        <v>8.5510277656894701E-2</v>
      </c>
      <c r="V204" s="79">
        <v>0.15532817065433399</v>
      </c>
      <c r="W204" s="79">
        <v>1</v>
      </c>
    </row>
    <row r="205" spans="2:23" x14ac:dyDescent="0.2">
      <c r="B205" t="s">
        <v>809</v>
      </c>
      <c r="C205" s="84">
        <v>4961</v>
      </c>
      <c r="D205" s="102">
        <v>1.76080482924535E-3</v>
      </c>
      <c r="E205" s="79">
        <v>1.46468546858143E-2</v>
      </c>
      <c r="F205" s="79">
        <v>0.90431624585921799</v>
      </c>
      <c r="G205" s="79">
        <v>0.99533029194181499</v>
      </c>
      <c r="H205" s="79">
        <v>1</v>
      </c>
      <c r="I205" s="102">
        <v>-1.6350545210961701E-2</v>
      </c>
      <c r="J205" s="79">
        <v>1.4527083267599E-2</v>
      </c>
      <c r="K205" s="79">
        <v>0.26042752123088603</v>
      </c>
      <c r="L205" s="79">
        <v>0.68025543872958705</v>
      </c>
      <c r="M205" s="79">
        <v>1</v>
      </c>
      <c r="N205" s="102">
        <v>-4.6107131205469401E-2</v>
      </c>
      <c r="O205" s="79">
        <v>1.43678786624514E-2</v>
      </c>
      <c r="P205" s="79">
        <v>1.34092913101913E-3</v>
      </c>
      <c r="Q205" s="79">
        <v>5.5538727333653004E-3</v>
      </c>
      <c r="R205" s="79">
        <v>1</v>
      </c>
      <c r="S205" s="102">
        <v>-2.7364375890349301E-2</v>
      </c>
      <c r="T205" s="79">
        <v>1.43702410166062E-2</v>
      </c>
      <c r="U205" s="79">
        <v>5.6941237209764198E-2</v>
      </c>
      <c r="V205" s="79">
        <v>0.113395524416591</v>
      </c>
      <c r="W205" s="79">
        <v>1</v>
      </c>
    </row>
    <row r="206" spans="2:23" x14ac:dyDescent="0.2">
      <c r="B206" t="s">
        <v>810</v>
      </c>
      <c r="C206" s="84">
        <v>4979</v>
      </c>
      <c r="D206" s="102">
        <v>9.3128982255425794E-3</v>
      </c>
      <c r="E206" s="79">
        <v>1.4553449565924199E-2</v>
      </c>
      <c r="F206" s="79">
        <v>0.52226270917892803</v>
      </c>
      <c r="G206" s="79">
        <v>0.91901439037128496</v>
      </c>
      <c r="H206" s="79">
        <v>1</v>
      </c>
      <c r="I206" s="102">
        <v>-8.4726497048081394E-3</v>
      </c>
      <c r="J206" s="79">
        <v>1.44251797504703E-2</v>
      </c>
      <c r="K206" s="79">
        <v>0.55699696175098301</v>
      </c>
      <c r="L206" s="79">
        <v>0.85855582639323502</v>
      </c>
      <c r="M206" s="79">
        <v>1</v>
      </c>
      <c r="N206" s="102">
        <v>-2.5501537294308499E-2</v>
      </c>
      <c r="O206" s="79">
        <v>1.429963811682E-2</v>
      </c>
      <c r="P206" s="79">
        <v>7.4592498693317896E-2</v>
      </c>
      <c r="Q206" s="79">
        <v>0.140283626779137</v>
      </c>
      <c r="R206" s="79">
        <v>1</v>
      </c>
      <c r="S206" s="102">
        <v>-8.1511316602144307E-3</v>
      </c>
      <c r="T206" s="79">
        <v>1.42811423121658E-2</v>
      </c>
      <c r="U206" s="79">
        <v>0.56818898005724305</v>
      </c>
      <c r="V206" s="79">
        <v>0.66243092375565704</v>
      </c>
      <c r="W206" s="79">
        <v>1</v>
      </c>
    </row>
    <row r="207" spans="2:23" x14ac:dyDescent="0.2">
      <c r="B207" t="s">
        <v>811</v>
      </c>
      <c r="C207" s="84">
        <v>4689</v>
      </c>
      <c r="D207" s="102">
        <v>1.34295986418888E-2</v>
      </c>
      <c r="E207" s="79">
        <v>1.48931554206711E-2</v>
      </c>
      <c r="F207" s="79">
        <v>0.36724952771817099</v>
      </c>
      <c r="G207" s="79">
        <v>0.89461055933914202</v>
      </c>
      <c r="H207" s="79">
        <v>1</v>
      </c>
      <c r="I207" s="102">
        <v>-3.4181860593361098E-2</v>
      </c>
      <c r="J207" s="79">
        <v>1.48102175563024E-2</v>
      </c>
      <c r="K207" s="79">
        <v>2.10460272133445E-2</v>
      </c>
      <c r="L207" s="79">
        <v>0.29518425217525601</v>
      </c>
      <c r="M207" s="79">
        <v>1</v>
      </c>
      <c r="N207" s="102">
        <v>-4.24027186071246E-2</v>
      </c>
      <c r="O207" s="79">
        <v>1.4640365202745901E-2</v>
      </c>
      <c r="P207" s="79">
        <v>3.7946775160239E-3</v>
      </c>
      <c r="Q207" s="79">
        <v>1.2729076657711899E-2</v>
      </c>
      <c r="R207" s="79">
        <v>1</v>
      </c>
      <c r="S207" s="102">
        <v>-3.3638163353608197E-2</v>
      </c>
      <c r="T207" s="79">
        <v>1.45820283967885E-2</v>
      </c>
      <c r="U207" s="79">
        <v>2.11109630277054E-2</v>
      </c>
      <c r="V207" s="79">
        <v>5.10885305270471E-2</v>
      </c>
      <c r="W207" s="79">
        <v>1</v>
      </c>
    </row>
    <row r="208" spans="2:23" x14ac:dyDescent="0.2">
      <c r="B208" t="s">
        <v>812</v>
      </c>
      <c r="C208" s="84">
        <v>4644</v>
      </c>
      <c r="D208" s="102">
        <v>6.1345283262226203E-3</v>
      </c>
      <c r="E208" s="79">
        <v>1.5098289065789E-2</v>
      </c>
      <c r="F208" s="79">
        <v>0.68453760398988395</v>
      </c>
      <c r="G208" s="79">
        <v>0.96670198527320195</v>
      </c>
      <c r="H208" s="79">
        <v>1</v>
      </c>
      <c r="I208" s="102">
        <v>-3.64028953948256E-2</v>
      </c>
      <c r="J208" s="79">
        <v>1.49472609090101E-2</v>
      </c>
      <c r="K208" s="79">
        <v>1.49150285675807E-2</v>
      </c>
      <c r="L208" s="79">
        <v>0.23613138685496901</v>
      </c>
      <c r="M208" s="79">
        <v>1</v>
      </c>
      <c r="N208" s="102">
        <v>-5.2476306954383503E-2</v>
      </c>
      <c r="O208" s="79">
        <v>1.47929387096511E-2</v>
      </c>
      <c r="P208" s="79">
        <v>3.93212366622271E-4</v>
      </c>
      <c r="Q208" s="79">
        <v>2.1079169273991402E-3</v>
      </c>
      <c r="R208" s="79">
        <v>0.66610174905812702</v>
      </c>
      <c r="S208" s="102">
        <v>-4.3122821699812401E-2</v>
      </c>
      <c r="T208" s="79">
        <v>1.4673200210229101E-2</v>
      </c>
      <c r="U208" s="79">
        <v>3.31145028197923E-3</v>
      </c>
      <c r="V208" s="79">
        <v>1.16623633631452E-2</v>
      </c>
      <c r="W208" s="79">
        <v>1</v>
      </c>
    </row>
    <row r="209" spans="2:23" x14ac:dyDescent="0.2">
      <c r="B209" t="s">
        <v>813</v>
      </c>
      <c r="C209" s="84">
        <v>4508</v>
      </c>
      <c r="D209" s="102">
        <v>9.9242107905416002E-3</v>
      </c>
      <c r="E209" s="79">
        <v>1.5236360678805299E-2</v>
      </c>
      <c r="F209" s="79">
        <v>0.51485580112806295</v>
      </c>
      <c r="G209" s="79">
        <v>0.91752655785263504</v>
      </c>
      <c r="H209" s="79">
        <v>1</v>
      </c>
      <c r="I209" s="102">
        <v>-4.31424652975336E-2</v>
      </c>
      <c r="J209" s="79">
        <v>1.5144808014722899E-2</v>
      </c>
      <c r="K209" s="79">
        <v>4.4119476917200504E-3</v>
      </c>
      <c r="L209" s="79">
        <v>0.14219550134109499</v>
      </c>
      <c r="M209" s="79">
        <v>1</v>
      </c>
      <c r="N209" s="102">
        <v>-5.2696168831253998E-2</v>
      </c>
      <c r="O209" s="79">
        <v>1.49540250962593E-2</v>
      </c>
      <c r="P209" s="79">
        <v>4.29815083541742E-4</v>
      </c>
      <c r="Q209" s="79">
        <v>2.25420046910127E-3</v>
      </c>
      <c r="R209" s="79">
        <v>0.72810675151971105</v>
      </c>
      <c r="S209" s="102">
        <v>-4.1141665211474297E-2</v>
      </c>
      <c r="T209" s="79">
        <v>1.49380921366121E-2</v>
      </c>
      <c r="U209" s="79">
        <v>5.9099586164287699E-3</v>
      </c>
      <c r="V209" s="79">
        <v>1.84177281363E-2</v>
      </c>
      <c r="W209" s="79">
        <v>1</v>
      </c>
    </row>
    <row r="210" spans="2:23" x14ac:dyDescent="0.2">
      <c r="B210" t="s">
        <v>778</v>
      </c>
      <c r="C210" s="84">
        <v>4537</v>
      </c>
      <c r="D210" s="102">
        <v>-1.68777300001462E-2</v>
      </c>
      <c r="E210" s="79">
        <v>1.50595506075857E-2</v>
      </c>
      <c r="F210" s="79">
        <v>0.26246774634437398</v>
      </c>
      <c r="G210" s="79">
        <v>0.85990749347533801</v>
      </c>
      <c r="H210" s="79">
        <v>1</v>
      </c>
      <c r="I210" s="102">
        <v>-1.03890723941006E-2</v>
      </c>
      <c r="J210" s="79">
        <v>1.48251776635427E-2</v>
      </c>
      <c r="K210" s="79">
        <v>0.48348659417658002</v>
      </c>
      <c r="L210" s="79">
        <v>0.80894043982196895</v>
      </c>
      <c r="M210" s="79">
        <v>1</v>
      </c>
      <c r="N210" s="102">
        <v>-3.9710961561717301E-2</v>
      </c>
      <c r="O210" s="79">
        <v>1.4783880358647901E-2</v>
      </c>
      <c r="P210" s="79">
        <v>7.2589245445646997E-3</v>
      </c>
      <c r="Q210" s="79">
        <v>2.1535233237290001E-2</v>
      </c>
      <c r="R210" s="79">
        <v>1</v>
      </c>
      <c r="S210" s="102">
        <v>-2.1017503440793998E-2</v>
      </c>
      <c r="T210" s="79">
        <v>1.4750185904616899E-2</v>
      </c>
      <c r="U210" s="79">
        <v>0.15426438027946399</v>
      </c>
      <c r="V210" s="79">
        <v>0.249592989678522</v>
      </c>
      <c r="W210" s="79">
        <v>1</v>
      </c>
    </row>
    <row r="211" spans="2:23" x14ac:dyDescent="0.2">
      <c r="B211" t="s">
        <v>779</v>
      </c>
      <c r="C211" s="84">
        <v>4841</v>
      </c>
      <c r="D211" s="102">
        <v>-4.0998572267003401E-3</v>
      </c>
      <c r="E211" s="79">
        <v>1.4652168461509201E-2</v>
      </c>
      <c r="F211" s="79">
        <v>0.77963498352461702</v>
      </c>
      <c r="G211" s="79">
        <v>0.98707149633086799</v>
      </c>
      <c r="H211" s="79">
        <v>1</v>
      </c>
      <c r="I211" s="102">
        <v>3.3497332664886E-4</v>
      </c>
      <c r="J211" s="79">
        <v>1.4481211021146899E-2</v>
      </c>
      <c r="K211" s="79">
        <v>0.98154642993363095</v>
      </c>
      <c r="L211" s="79">
        <v>0.99629532610271199</v>
      </c>
      <c r="M211" s="79">
        <v>1</v>
      </c>
      <c r="N211" s="102">
        <v>-2.9194820697967899E-2</v>
      </c>
      <c r="O211" s="79">
        <v>1.4403514677844601E-2</v>
      </c>
      <c r="P211" s="79">
        <v>4.2733217694426999E-2</v>
      </c>
      <c r="Q211" s="79">
        <v>8.92602598944012E-2</v>
      </c>
      <c r="R211" s="79">
        <v>1</v>
      </c>
      <c r="S211" s="102">
        <v>-1.23581072255383E-2</v>
      </c>
      <c r="T211" s="79">
        <v>1.4349637184424099E-2</v>
      </c>
      <c r="U211" s="79">
        <v>0.38916931486352901</v>
      </c>
      <c r="V211" s="79">
        <v>0.50787874492640595</v>
      </c>
      <c r="W211" s="79">
        <v>1</v>
      </c>
    </row>
    <row r="212" spans="2:23" x14ac:dyDescent="0.2">
      <c r="B212" t="s">
        <v>780</v>
      </c>
      <c r="C212" s="84">
        <v>4855</v>
      </c>
      <c r="D212" s="102">
        <v>-9.2864502398392907E-3</v>
      </c>
      <c r="E212" s="79">
        <v>1.4653476576004E-2</v>
      </c>
      <c r="F212" s="79">
        <v>0.52628563674713502</v>
      </c>
      <c r="G212" s="79">
        <v>0.92176676956083303</v>
      </c>
      <c r="H212" s="79">
        <v>1</v>
      </c>
      <c r="I212" s="102">
        <v>-8.0919612011329002E-3</v>
      </c>
      <c r="J212" s="79">
        <v>1.45049111882976E-2</v>
      </c>
      <c r="K212" s="79">
        <v>0.57695785565559499</v>
      </c>
      <c r="L212" s="79">
        <v>0.86249050978055197</v>
      </c>
      <c r="M212" s="79">
        <v>1</v>
      </c>
      <c r="N212" s="102">
        <v>-3.71560043063087E-2</v>
      </c>
      <c r="O212" s="79">
        <v>1.4425879244566101E-2</v>
      </c>
      <c r="P212" s="79">
        <v>1.00383639463967E-2</v>
      </c>
      <c r="Q212" s="79">
        <v>2.78314051148871E-2</v>
      </c>
      <c r="R212" s="79">
        <v>1</v>
      </c>
      <c r="S212" s="102">
        <v>-1.04294479086765E-2</v>
      </c>
      <c r="T212" s="79">
        <v>1.43677379860638E-2</v>
      </c>
      <c r="U212" s="79">
        <v>0.46794365730857201</v>
      </c>
      <c r="V212" s="79">
        <v>0.58115583246387204</v>
      </c>
      <c r="W212" s="79">
        <v>1</v>
      </c>
    </row>
    <row r="213" spans="2:23" x14ac:dyDescent="0.2">
      <c r="B213" t="s">
        <v>781</v>
      </c>
      <c r="C213" s="84">
        <v>4793</v>
      </c>
      <c r="D213" s="102">
        <v>-2.2227997239473701E-2</v>
      </c>
      <c r="E213" s="79">
        <v>1.46927639254894E-2</v>
      </c>
      <c r="F213" s="79">
        <v>0.13038316817655901</v>
      </c>
      <c r="G213" s="79">
        <v>0.80938271582532695</v>
      </c>
      <c r="H213" s="79">
        <v>1</v>
      </c>
      <c r="I213" s="102">
        <v>-1.6642583195444899E-2</v>
      </c>
      <c r="J213" s="79">
        <v>1.4544534973390699E-2</v>
      </c>
      <c r="K213" s="79">
        <v>0.25257741806350498</v>
      </c>
      <c r="L213" s="79">
        <v>0.68025543872958705</v>
      </c>
      <c r="M213" s="79">
        <v>1</v>
      </c>
      <c r="N213" s="102">
        <v>-3.0551424924935702E-2</v>
      </c>
      <c r="O213" s="79">
        <v>1.44666798013867E-2</v>
      </c>
      <c r="P213" s="79">
        <v>3.4751348497240202E-2</v>
      </c>
      <c r="Q213" s="79">
        <v>7.5183632636430298E-2</v>
      </c>
      <c r="R213" s="79">
        <v>1</v>
      </c>
      <c r="S213" s="102">
        <v>-9.1474728787569806E-3</v>
      </c>
      <c r="T213" s="79">
        <v>1.4434232826405701E-2</v>
      </c>
      <c r="U213" s="79">
        <v>0.52628440568277801</v>
      </c>
      <c r="V213" s="79">
        <v>0.62916427891787297</v>
      </c>
      <c r="W213" s="79">
        <v>1</v>
      </c>
    </row>
    <row r="214" spans="2:23" x14ac:dyDescent="0.2">
      <c r="B214" t="s">
        <v>782</v>
      </c>
      <c r="C214" s="84">
        <v>4845</v>
      </c>
      <c r="D214" s="102">
        <v>-1.25733260652281E-2</v>
      </c>
      <c r="E214" s="79">
        <v>1.46131618365106E-2</v>
      </c>
      <c r="F214" s="79">
        <v>0.38960526157942899</v>
      </c>
      <c r="G214" s="79">
        <v>0.89461055933914202</v>
      </c>
      <c r="H214" s="79">
        <v>1</v>
      </c>
      <c r="I214" s="102">
        <v>-6.55176183959587E-3</v>
      </c>
      <c r="J214" s="79">
        <v>1.4493108863431199E-2</v>
      </c>
      <c r="K214" s="79">
        <v>0.65124574097893495</v>
      </c>
      <c r="L214" s="79">
        <v>0.88374695918109603</v>
      </c>
      <c r="M214" s="79">
        <v>1</v>
      </c>
      <c r="N214" s="102">
        <v>-2.9208684779169901E-2</v>
      </c>
      <c r="O214" s="79">
        <v>1.4402506744423499E-2</v>
      </c>
      <c r="P214" s="79">
        <v>4.2612248637071297E-2</v>
      </c>
      <c r="Q214" s="79">
        <v>8.9117468137282496E-2</v>
      </c>
      <c r="R214" s="79">
        <v>1</v>
      </c>
      <c r="S214" s="102">
        <v>-7.0627340639262898E-3</v>
      </c>
      <c r="T214" s="79">
        <v>1.43243992392167E-2</v>
      </c>
      <c r="U214" s="79">
        <v>0.62199530678831505</v>
      </c>
      <c r="V214" s="79">
        <v>0.70321698824944101</v>
      </c>
      <c r="W214" s="79">
        <v>1</v>
      </c>
    </row>
    <row r="215" spans="2:23" x14ac:dyDescent="0.2">
      <c r="B215" t="s">
        <v>783</v>
      </c>
      <c r="C215" s="84">
        <v>4898</v>
      </c>
      <c r="D215" s="102">
        <v>-1.0415554305631E-2</v>
      </c>
      <c r="E215" s="79">
        <v>1.45674305569541E-2</v>
      </c>
      <c r="F215" s="79">
        <v>0.47465000499655702</v>
      </c>
      <c r="G215" s="79">
        <v>0.91151047511105199</v>
      </c>
      <c r="H215" s="79">
        <v>1</v>
      </c>
      <c r="I215" s="102">
        <v>-1.52947431009416E-2</v>
      </c>
      <c r="J215" s="79">
        <v>1.4432322421828901E-2</v>
      </c>
      <c r="K215" s="79">
        <v>0.28930803451253101</v>
      </c>
      <c r="L215" s="79">
        <v>0.70313889593145995</v>
      </c>
      <c r="M215" s="79">
        <v>1</v>
      </c>
      <c r="N215" s="102">
        <v>-2.8406724669918199E-2</v>
      </c>
      <c r="O215" s="79">
        <v>1.43790761203025E-2</v>
      </c>
      <c r="P215" s="79">
        <v>4.8260940809010403E-2</v>
      </c>
      <c r="Q215" s="79">
        <v>9.8380305331484494E-2</v>
      </c>
      <c r="R215" s="79">
        <v>1</v>
      </c>
      <c r="S215" s="102">
        <v>-2.42328440239E-2</v>
      </c>
      <c r="T215" s="79">
        <v>1.4281095921588501E-2</v>
      </c>
      <c r="U215" s="79">
        <v>8.9789271089598693E-2</v>
      </c>
      <c r="V215" s="79">
        <v>0.16095558224950299</v>
      </c>
      <c r="W215" s="79">
        <v>1</v>
      </c>
    </row>
    <row r="216" spans="2:23" x14ac:dyDescent="0.2">
      <c r="B216" t="s">
        <v>784</v>
      </c>
      <c r="C216" s="84">
        <v>4759</v>
      </c>
      <c r="D216" s="102">
        <v>-1.9145200792143002E-2</v>
      </c>
      <c r="E216" s="79">
        <v>1.4745435851209099E-2</v>
      </c>
      <c r="F216" s="79">
        <v>0.194226549946448</v>
      </c>
      <c r="G216" s="79">
        <v>0.83003013605610498</v>
      </c>
      <c r="H216" s="79">
        <v>1</v>
      </c>
      <c r="I216" s="102">
        <v>-1.84641118707644E-2</v>
      </c>
      <c r="J216" s="79">
        <v>1.46604235582242E-2</v>
      </c>
      <c r="K216" s="79">
        <v>0.20793777745397399</v>
      </c>
      <c r="L216" s="79">
        <v>0.64803390121802296</v>
      </c>
      <c r="M216" s="79">
        <v>1</v>
      </c>
      <c r="N216" s="107">
        <v>-6.5425808291424303E-2</v>
      </c>
      <c r="O216" s="81">
        <v>1.4545986412744899E-2</v>
      </c>
      <c r="P216" s="81">
        <v>7.0500126020505603E-6</v>
      </c>
      <c r="Q216" s="81">
        <v>7.3268229128059195E-5</v>
      </c>
      <c r="R216" s="81">
        <v>1.19427213478736E-2</v>
      </c>
      <c r="S216" s="102">
        <v>-2.9332517065519599E-2</v>
      </c>
      <c r="T216" s="79">
        <v>1.4501987826729301E-2</v>
      </c>
      <c r="U216" s="79">
        <v>4.31721364139677E-2</v>
      </c>
      <c r="V216" s="79">
        <v>9.1130935932567395E-2</v>
      </c>
      <c r="W216" s="79">
        <v>1</v>
      </c>
    </row>
    <row r="217" spans="2:23" x14ac:dyDescent="0.2">
      <c r="B217" t="s">
        <v>785</v>
      </c>
      <c r="C217" s="84">
        <v>4784</v>
      </c>
      <c r="D217" s="102">
        <v>-2.18690164494569E-2</v>
      </c>
      <c r="E217" s="79">
        <v>1.46750993471523E-2</v>
      </c>
      <c r="F217" s="79">
        <v>0.136234626931515</v>
      </c>
      <c r="G217" s="79">
        <v>0.80938271582532695</v>
      </c>
      <c r="H217" s="79">
        <v>1</v>
      </c>
      <c r="I217" s="102">
        <v>-1.1874420382653199E-2</v>
      </c>
      <c r="J217" s="79">
        <v>1.46148711951926E-2</v>
      </c>
      <c r="K217" s="79">
        <v>0.41655179825521899</v>
      </c>
      <c r="L217" s="79">
        <v>0.77457601124515996</v>
      </c>
      <c r="M217" s="79">
        <v>1</v>
      </c>
      <c r="N217" s="102">
        <v>-4.5563992507150701E-2</v>
      </c>
      <c r="O217" s="79">
        <v>1.44762648300525E-2</v>
      </c>
      <c r="P217" s="79">
        <v>1.65692161973297E-3</v>
      </c>
      <c r="Q217" s="79">
        <v>6.5644532205651404E-3</v>
      </c>
      <c r="R217" s="79">
        <v>1</v>
      </c>
      <c r="S217" s="102">
        <v>-1.8641142990845301E-2</v>
      </c>
      <c r="T217" s="79">
        <v>1.44259011633206E-2</v>
      </c>
      <c r="U217" s="79">
        <v>0.19635075106049099</v>
      </c>
      <c r="V217" s="79">
        <v>0.29698051097899297</v>
      </c>
      <c r="W217" s="79">
        <v>1</v>
      </c>
    </row>
    <row r="218" spans="2:23" x14ac:dyDescent="0.2">
      <c r="B218" t="s">
        <v>786</v>
      </c>
      <c r="C218" s="84">
        <v>4477</v>
      </c>
      <c r="D218" s="102">
        <v>-1.321761966282E-2</v>
      </c>
      <c r="E218" s="79">
        <v>1.5330776632350201E-2</v>
      </c>
      <c r="F218" s="79">
        <v>0.38865000766337399</v>
      </c>
      <c r="G218" s="79">
        <v>0.89461055933914202</v>
      </c>
      <c r="H218" s="79">
        <v>1</v>
      </c>
      <c r="I218" s="102">
        <v>-2.5213753872211302E-2</v>
      </c>
      <c r="J218" s="79">
        <v>1.5260323185389999E-2</v>
      </c>
      <c r="K218" s="79">
        <v>9.85645173465374E-2</v>
      </c>
      <c r="L218" s="79">
        <v>0.51533423575627901</v>
      </c>
      <c r="M218" s="79">
        <v>1</v>
      </c>
      <c r="N218" s="102">
        <v>-4.78201006673874E-2</v>
      </c>
      <c r="O218" s="79">
        <v>1.51516049568393E-2</v>
      </c>
      <c r="P218" s="79">
        <v>1.6107417461987601E-3</v>
      </c>
      <c r="Q218" s="79">
        <v>6.4364172257595003E-3</v>
      </c>
      <c r="R218" s="79">
        <v>1</v>
      </c>
      <c r="S218" s="102">
        <v>-2.6604886272317101E-2</v>
      </c>
      <c r="T218" s="79">
        <v>1.50360004403686E-2</v>
      </c>
      <c r="U218" s="79">
        <v>7.6902227716503305E-2</v>
      </c>
      <c r="V218" s="79">
        <v>0.142380074856502</v>
      </c>
      <c r="W218" s="79">
        <v>1</v>
      </c>
    </row>
    <row r="219" spans="2:23" x14ac:dyDescent="0.2">
      <c r="B219" t="s">
        <v>787</v>
      </c>
      <c r="C219" s="84">
        <v>4522</v>
      </c>
      <c r="D219" s="102">
        <v>4.7544971137359702E-3</v>
      </c>
      <c r="E219" s="79">
        <v>1.5151484446876501E-2</v>
      </c>
      <c r="F219" s="79">
        <v>0.75369127930609703</v>
      </c>
      <c r="G219" s="79">
        <v>0.98006352001698205</v>
      </c>
      <c r="H219" s="79">
        <v>1</v>
      </c>
      <c r="I219" s="102">
        <v>-7.3653553626148701E-3</v>
      </c>
      <c r="J219" s="79">
        <v>1.5126641880168001E-2</v>
      </c>
      <c r="K219" s="79">
        <v>0.62634720234369001</v>
      </c>
      <c r="L219" s="79">
        <v>0.87748013759880805</v>
      </c>
      <c r="M219" s="79">
        <v>1</v>
      </c>
      <c r="N219" s="102">
        <v>-4.05477806378702E-2</v>
      </c>
      <c r="O219" s="79">
        <v>1.4991190029566E-2</v>
      </c>
      <c r="P219" s="79">
        <v>6.8607966972366501E-3</v>
      </c>
      <c r="Q219" s="79">
        <v>2.07539100091409E-2</v>
      </c>
      <c r="R219" s="79">
        <v>1</v>
      </c>
      <c r="S219" s="102">
        <v>-1.2942063011559301E-2</v>
      </c>
      <c r="T219" s="79">
        <v>1.4879329606020999E-2</v>
      </c>
      <c r="U219" s="79">
        <v>0.38446180204999503</v>
      </c>
      <c r="V219" s="79">
        <v>0.503306253997443</v>
      </c>
      <c r="W219" s="79">
        <v>1</v>
      </c>
    </row>
    <row r="220" spans="2:23" x14ac:dyDescent="0.2">
      <c r="B220" t="s">
        <v>788</v>
      </c>
      <c r="C220" s="84">
        <v>4538</v>
      </c>
      <c r="D220" s="102">
        <v>7.0376952528896104E-3</v>
      </c>
      <c r="E220" s="79">
        <v>1.5196081727594801E-2</v>
      </c>
      <c r="F220" s="79">
        <v>0.64329865049732204</v>
      </c>
      <c r="G220" s="79">
        <v>0.95767440062337605</v>
      </c>
      <c r="H220" s="79">
        <v>1</v>
      </c>
      <c r="I220" s="102">
        <v>-1.3009538776667801E-2</v>
      </c>
      <c r="J220" s="79">
        <v>1.51363465206934E-2</v>
      </c>
      <c r="K220" s="79">
        <v>0.39012049234490698</v>
      </c>
      <c r="L220" s="79">
        <v>0.76088358311707605</v>
      </c>
      <c r="M220" s="79">
        <v>1</v>
      </c>
      <c r="N220" s="107">
        <v>-6.5862311067316506E-2</v>
      </c>
      <c r="O220" s="81">
        <v>1.49736632704219E-2</v>
      </c>
      <c r="P220" s="81">
        <v>1.11728390951429E-5</v>
      </c>
      <c r="Q220" s="81">
        <v>1.06931013712837E-4</v>
      </c>
      <c r="R220" s="81">
        <v>1.8926789427172099E-2</v>
      </c>
      <c r="S220" s="102">
        <v>-2.1526620574138199E-2</v>
      </c>
      <c r="T220" s="79">
        <v>1.49306244084388E-2</v>
      </c>
      <c r="U220" s="79">
        <v>0.14944174676472299</v>
      </c>
      <c r="V220" s="79">
        <v>0.24352634072100099</v>
      </c>
      <c r="W220" s="79">
        <v>1</v>
      </c>
    </row>
    <row r="221" spans="2:23" x14ac:dyDescent="0.2">
      <c r="B221" t="s">
        <v>789</v>
      </c>
      <c r="C221" s="84">
        <v>3438</v>
      </c>
      <c r="D221" s="102">
        <v>-1.5167838186849201E-2</v>
      </c>
      <c r="E221" s="79">
        <v>1.75751172415607E-2</v>
      </c>
      <c r="F221" s="79">
        <v>0.38818204584217297</v>
      </c>
      <c r="G221" s="79">
        <v>0.89461055933914202</v>
      </c>
      <c r="H221" s="79">
        <v>1</v>
      </c>
      <c r="I221" s="102">
        <v>-4.8514957067115503E-3</v>
      </c>
      <c r="J221" s="79">
        <v>1.7303805853992299E-2</v>
      </c>
      <c r="K221" s="79">
        <v>0.77920939372011</v>
      </c>
      <c r="L221" s="79">
        <v>0.92863930730510702</v>
      </c>
      <c r="M221" s="79">
        <v>1</v>
      </c>
      <c r="N221" s="102">
        <v>-4.1709119314982397E-2</v>
      </c>
      <c r="O221" s="79">
        <v>1.73275496988506E-2</v>
      </c>
      <c r="P221" s="79">
        <v>1.61324952675116E-2</v>
      </c>
      <c r="Q221" s="79">
        <v>4.0983123992764298E-2</v>
      </c>
      <c r="R221" s="79">
        <v>1</v>
      </c>
      <c r="S221" s="102">
        <v>-1.5812522770798702E-2</v>
      </c>
      <c r="T221" s="79">
        <v>1.6881933751475901E-2</v>
      </c>
      <c r="U221" s="79">
        <v>0.34900296692683103</v>
      </c>
      <c r="V221" s="79">
        <v>0.467360494841148</v>
      </c>
      <c r="W221" s="79">
        <v>1</v>
      </c>
    </row>
    <row r="222" spans="2:23" x14ac:dyDescent="0.2">
      <c r="B222" t="s">
        <v>790</v>
      </c>
      <c r="C222" s="84">
        <v>3672</v>
      </c>
      <c r="D222" s="102">
        <v>2.7807557926801899E-3</v>
      </c>
      <c r="E222" s="79">
        <v>1.6848350790793699E-2</v>
      </c>
      <c r="F222" s="79">
        <v>0.86891753314291098</v>
      </c>
      <c r="G222" s="79">
        <v>0.99362338620020496</v>
      </c>
      <c r="H222" s="79">
        <v>1</v>
      </c>
      <c r="I222" s="102">
        <v>1.1232948304123301E-2</v>
      </c>
      <c r="J222" s="79">
        <v>1.6839226622571601E-2</v>
      </c>
      <c r="K222" s="79">
        <v>0.50477417941361902</v>
      </c>
      <c r="L222" s="79">
        <v>0.82233649204368997</v>
      </c>
      <c r="M222" s="79">
        <v>1</v>
      </c>
      <c r="N222" s="102">
        <v>-1.88373785489639E-2</v>
      </c>
      <c r="O222" s="79">
        <v>1.6799520085691001E-2</v>
      </c>
      <c r="P222" s="79">
        <v>0.262238731652148</v>
      </c>
      <c r="Q222" s="79">
        <v>0.37487967208332401</v>
      </c>
      <c r="R222" s="79">
        <v>1</v>
      </c>
      <c r="S222" s="102">
        <v>1.2252470494920901E-2</v>
      </c>
      <c r="T222" s="79">
        <v>1.6550161390930299E-2</v>
      </c>
      <c r="U222" s="79">
        <v>0.45915138411823397</v>
      </c>
      <c r="V222" s="79">
        <v>0.57360062293236602</v>
      </c>
      <c r="W222" s="79">
        <v>1</v>
      </c>
    </row>
    <row r="223" spans="2:23" x14ac:dyDescent="0.2">
      <c r="B223" t="s">
        <v>791</v>
      </c>
      <c r="C223" s="84">
        <v>3678</v>
      </c>
      <c r="D223" s="102">
        <v>-6.1477819996335397E-3</v>
      </c>
      <c r="E223" s="79">
        <v>1.6918856809688201E-2</v>
      </c>
      <c r="F223" s="79">
        <v>0.71635184493937698</v>
      </c>
      <c r="G223" s="79">
        <v>0.97160036230239</v>
      </c>
      <c r="H223" s="79">
        <v>1</v>
      </c>
      <c r="I223" s="102">
        <v>5.8685468139488802E-3</v>
      </c>
      <c r="J223" s="79">
        <v>1.6878833972271499E-2</v>
      </c>
      <c r="K223" s="79">
        <v>0.728097147210374</v>
      </c>
      <c r="L223" s="79">
        <v>0.91807633415835099</v>
      </c>
      <c r="M223" s="79">
        <v>1</v>
      </c>
      <c r="N223" s="102">
        <v>-4.0711647551526398E-2</v>
      </c>
      <c r="O223" s="79">
        <v>1.67918064390782E-2</v>
      </c>
      <c r="P223" s="79">
        <v>1.5380965458793101E-2</v>
      </c>
      <c r="Q223" s="79">
        <v>3.9537716976017503E-2</v>
      </c>
      <c r="R223" s="79">
        <v>1</v>
      </c>
      <c r="S223" s="102">
        <v>2.2725740299953802E-3</v>
      </c>
      <c r="T223" s="79">
        <v>1.6563493708409201E-2</v>
      </c>
      <c r="U223" s="79">
        <v>0.89087790576349302</v>
      </c>
      <c r="V223" s="79">
        <v>0.92077313750052303</v>
      </c>
      <c r="W223" s="79">
        <v>1</v>
      </c>
    </row>
    <row r="224" spans="2:23" x14ac:dyDescent="0.2">
      <c r="B224" t="s">
        <v>792</v>
      </c>
      <c r="C224" s="84">
        <v>3659</v>
      </c>
      <c r="D224" s="102">
        <v>-2.6322679330316799E-3</v>
      </c>
      <c r="E224" s="79">
        <v>1.6895474205548999E-2</v>
      </c>
      <c r="F224" s="79">
        <v>0.87620225103428495</v>
      </c>
      <c r="G224" s="79">
        <v>0.99362338620020496</v>
      </c>
      <c r="H224" s="79">
        <v>1</v>
      </c>
      <c r="I224" s="102">
        <v>-1.17909699137812E-4</v>
      </c>
      <c r="J224" s="79">
        <v>1.68210717964681E-2</v>
      </c>
      <c r="K224" s="79">
        <v>0.99440758799647</v>
      </c>
      <c r="L224" s="79">
        <v>0.99763484948745695</v>
      </c>
      <c r="M224" s="79">
        <v>1</v>
      </c>
      <c r="N224" s="102">
        <v>-3.6701746942315497E-2</v>
      </c>
      <c r="O224" s="79">
        <v>1.6770850121312401E-2</v>
      </c>
      <c r="P224" s="79">
        <v>2.8707647099926101E-2</v>
      </c>
      <c r="Q224" s="79">
        <v>6.5014377255715003E-2</v>
      </c>
      <c r="R224" s="79">
        <v>1</v>
      </c>
      <c r="S224" s="102">
        <v>9.4907097412371497E-3</v>
      </c>
      <c r="T224" s="79">
        <v>1.65454493450478E-2</v>
      </c>
      <c r="U224" s="79">
        <v>0.56626830149548701</v>
      </c>
      <c r="V224" s="79">
        <v>0.66148980826584303</v>
      </c>
      <c r="W224" s="79">
        <v>1</v>
      </c>
    </row>
    <row r="225" spans="2:23" x14ac:dyDescent="0.2">
      <c r="B225" t="s">
        <v>793</v>
      </c>
      <c r="C225" s="84">
        <v>1230</v>
      </c>
      <c r="D225" s="102">
        <v>1.85647515987769E-2</v>
      </c>
      <c r="E225" s="79">
        <v>2.9827292793868899E-2</v>
      </c>
      <c r="F225" s="79">
        <v>0.53379283954830603</v>
      </c>
      <c r="G225" s="79">
        <v>0.92176676956083303</v>
      </c>
      <c r="H225" s="79">
        <v>1</v>
      </c>
      <c r="I225" s="102">
        <v>-1.77939169681939E-2</v>
      </c>
      <c r="J225" s="79">
        <v>2.9265733312589699E-2</v>
      </c>
      <c r="K225" s="79">
        <v>0.54330732074633303</v>
      </c>
      <c r="L225" s="79">
        <v>0.85027603254876005</v>
      </c>
      <c r="M225" s="79">
        <v>1</v>
      </c>
      <c r="N225" s="102">
        <v>-7.0009464932347595E-2</v>
      </c>
      <c r="O225" s="79">
        <v>2.9197209956905001E-2</v>
      </c>
      <c r="P225" s="79">
        <v>1.6646068533304501E-2</v>
      </c>
      <c r="Q225" s="79">
        <v>4.1961964427705098E-2</v>
      </c>
      <c r="R225" s="79">
        <v>1</v>
      </c>
      <c r="S225" s="102">
        <v>-1.8407900746113901E-2</v>
      </c>
      <c r="T225" s="79">
        <v>2.9150061443042101E-2</v>
      </c>
      <c r="U225" s="79">
        <v>0.52784674297228895</v>
      </c>
      <c r="V225" s="79">
        <v>0.62992010866264103</v>
      </c>
      <c r="W225" s="79">
        <v>1</v>
      </c>
    </row>
    <row r="226" spans="2:23" x14ac:dyDescent="0.2">
      <c r="B226" t="s">
        <v>825</v>
      </c>
      <c r="C226" s="84">
        <v>5033</v>
      </c>
      <c r="D226" s="102">
        <v>-1.61490479428433E-2</v>
      </c>
      <c r="E226" s="79">
        <v>1.4683795529446399E-2</v>
      </c>
      <c r="F226" s="79">
        <v>0.27148141532361297</v>
      </c>
      <c r="G226" s="79">
        <v>0.86771607086452895</v>
      </c>
      <c r="H226" s="79">
        <v>1</v>
      </c>
      <c r="I226" s="102">
        <v>3.31205043108301E-3</v>
      </c>
      <c r="J226" s="79">
        <v>1.46330378038887E-2</v>
      </c>
      <c r="K226" s="79">
        <v>0.82094670380588897</v>
      </c>
      <c r="L226" s="79">
        <v>0.94998686769083596</v>
      </c>
      <c r="M226" s="79">
        <v>1</v>
      </c>
      <c r="N226" s="102">
        <v>4.01937843095714E-2</v>
      </c>
      <c r="O226" s="79">
        <v>1.44753009066472E-2</v>
      </c>
      <c r="P226" s="79">
        <v>5.5133312274542297E-3</v>
      </c>
      <c r="Q226" s="79">
        <v>1.7392147298524101E-2</v>
      </c>
      <c r="R226" s="79">
        <v>1</v>
      </c>
      <c r="S226" s="102">
        <v>4.3452592934113299E-2</v>
      </c>
      <c r="T226" s="79">
        <v>1.44619601791545E-2</v>
      </c>
      <c r="U226" s="79">
        <v>2.6735789127175602E-3</v>
      </c>
      <c r="V226" s="79">
        <v>9.6837754017346008E-3</v>
      </c>
      <c r="W226" s="79">
        <v>1</v>
      </c>
    </row>
    <row r="227" spans="2:23" x14ac:dyDescent="0.2">
      <c r="B227" t="s">
        <v>826</v>
      </c>
      <c r="C227" s="84">
        <v>5033</v>
      </c>
      <c r="D227" s="102">
        <v>-5.9009414439566699E-3</v>
      </c>
      <c r="E227" s="79">
        <v>1.4376188992113501E-2</v>
      </c>
      <c r="F227" s="79">
        <v>0.68148231954843896</v>
      </c>
      <c r="G227" s="79">
        <v>0.96670198527320195</v>
      </c>
      <c r="H227" s="79">
        <v>1</v>
      </c>
      <c r="I227" s="102">
        <v>4.1682617525507198E-2</v>
      </c>
      <c r="J227" s="79">
        <v>1.42576281891482E-2</v>
      </c>
      <c r="K227" s="79">
        <v>3.4773824261667701E-3</v>
      </c>
      <c r="L227" s="79">
        <v>0.140536071937475</v>
      </c>
      <c r="M227" s="79">
        <v>1</v>
      </c>
      <c r="N227" s="102">
        <v>1.5278510317654899E-2</v>
      </c>
      <c r="O227" s="79">
        <v>1.41505323248862E-2</v>
      </c>
      <c r="P227" s="79">
        <v>0.280325219444236</v>
      </c>
      <c r="Q227" s="79">
        <v>0.392131231823729</v>
      </c>
      <c r="R227" s="79">
        <v>1</v>
      </c>
      <c r="S227" s="102">
        <v>4.9200154910315097E-2</v>
      </c>
      <c r="T227" s="79">
        <v>1.41291665991403E-2</v>
      </c>
      <c r="U227" s="79">
        <v>5.0185558637529505E-4</v>
      </c>
      <c r="V227" s="79">
        <v>2.6484216925848898E-3</v>
      </c>
      <c r="W227" s="79">
        <v>0.85014336331975005</v>
      </c>
    </row>
    <row r="228" spans="2:23" x14ac:dyDescent="0.2">
      <c r="B228" t="s">
        <v>827</v>
      </c>
      <c r="C228" s="84">
        <v>5033</v>
      </c>
      <c r="D228" s="102">
        <v>2.0270790945793901E-3</v>
      </c>
      <c r="E228" s="79">
        <v>1.4192176028755501E-2</v>
      </c>
      <c r="F228" s="79">
        <v>0.88642983889421301</v>
      </c>
      <c r="G228" s="79">
        <v>0.99362338620020496</v>
      </c>
      <c r="H228" s="79">
        <v>1</v>
      </c>
      <c r="I228" s="102">
        <v>3.7886714234744098E-4</v>
      </c>
      <c r="J228" s="79">
        <v>1.4092654477703401E-2</v>
      </c>
      <c r="K228" s="79">
        <v>0.97855337340207704</v>
      </c>
      <c r="L228" s="79">
        <v>0.99629532610271199</v>
      </c>
      <c r="M228" s="79">
        <v>1</v>
      </c>
      <c r="N228" s="102">
        <v>3.4866400758874899E-2</v>
      </c>
      <c r="O228" s="79">
        <v>1.39624552139547E-2</v>
      </c>
      <c r="P228" s="79">
        <v>1.2552959681258099E-2</v>
      </c>
      <c r="Q228" s="79">
        <v>3.3540557886516102E-2</v>
      </c>
      <c r="R228" s="79">
        <v>1</v>
      </c>
      <c r="S228" s="102">
        <v>1.9625900908552499E-2</v>
      </c>
      <c r="T228" s="79">
        <v>1.3964750346435399E-2</v>
      </c>
      <c r="U228" s="79">
        <v>0.159970776483357</v>
      </c>
      <c r="V228" s="79">
        <v>0.25541045745787599</v>
      </c>
      <c r="W228" s="79">
        <v>1</v>
      </c>
    </row>
    <row r="229" spans="2:23" x14ac:dyDescent="0.2">
      <c r="B229" t="s">
        <v>828</v>
      </c>
      <c r="C229" s="84">
        <v>5033</v>
      </c>
      <c r="D229" s="102">
        <v>-1.7342634141829402E-2</v>
      </c>
      <c r="E229" s="79">
        <v>1.4290534152478799E-2</v>
      </c>
      <c r="F229" s="79">
        <v>0.224971859790743</v>
      </c>
      <c r="G229" s="79">
        <v>0.84071215771938901</v>
      </c>
      <c r="H229" s="79">
        <v>1</v>
      </c>
      <c r="I229" s="102">
        <v>8.8780526702675108E-3</v>
      </c>
      <c r="J229" s="79">
        <v>1.4189487472342201E-2</v>
      </c>
      <c r="K229" s="79">
        <v>0.53155756004758703</v>
      </c>
      <c r="L229" s="79">
        <v>0.83997995029907901</v>
      </c>
      <c r="M229" s="79">
        <v>1</v>
      </c>
      <c r="N229" s="102">
        <v>2.1431423186981099E-2</v>
      </c>
      <c r="O229" s="79">
        <v>1.4069072352923701E-2</v>
      </c>
      <c r="P229" s="79">
        <v>0.12775283324144501</v>
      </c>
      <c r="Q229" s="79">
        <v>0.21113492635220299</v>
      </c>
      <c r="R229" s="79">
        <v>1</v>
      </c>
      <c r="S229" s="102">
        <v>1.08114520702167E-2</v>
      </c>
      <c r="T229" s="79">
        <v>1.40658131771849E-2</v>
      </c>
      <c r="U229" s="79">
        <v>0.44215056859253699</v>
      </c>
      <c r="V229" s="79">
        <v>0.55854068843829796</v>
      </c>
      <c r="W229" s="79">
        <v>1</v>
      </c>
    </row>
    <row r="230" spans="2:23" x14ac:dyDescent="0.2">
      <c r="B230" t="s">
        <v>829</v>
      </c>
      <c r="C230" s="84">
        <v>5033</v>
      </c>
      <c r="D230" s="102">
        <v>2.37717302239897E-2</v>
      </c>
      <c r="E230" s="79">
        <v>1.4592289295626599E-2</v>
      </c>
      <c r="F230" s="79">
        <v>0.10336889203352601</v>
      </c>
      <c r="G230" s="79">
        <v>0.80073593795741704</v>
      </c>
      <c r="H230" s="79">
        <v>1</v>
      </c>
      <c r="I230" s="102">
        <v>2.5771170882495802E-2</v>
      </c>
      <c r="J230" s="79">
        <v>1.45104045783663E-2</v>
      </c>
      <c r="K230" s="79">
        <v>7.5793626168707703E-2</v>
      </c>
      <c r="L230" s="79">
        <v>0.46226633181563198</v>
      </c>
      <c r="M230" s="79">
        <v>1</v>
      </c>
      <c r="N230" s="102">
        <v>4.6540325912399698E-2</v>
      </c>
      <c r="O230" s="79">
        <v>1.43697573902693E-2</v>
      </c>
      <c r="P230" s="79">
        <v>1.2091978776710901E-3</v>
      </c>
      <c r="Q230" s="79">
        <v>5.1209530119370704E-3</v>
      </c>
      <c r="R230" s="79">
        <v>1</v>
      </c>
      <c r="S230" s="102">
        <v>2.6549057779608001E-2</v>
      </c>
      <c r="T230" s="79">
        <v>1.43716395270049E-2</v>
      </c>
      <c r="U230" s="79">
        <v>6.4765866020699295E-2</v>
      </c>
      <c r="V230" s="79">
        <v>0.124686232966459</v>
      </c>
      <c r="W230" s="79">
        <v>1</v>
      </c>
    </row>
    <row r="231" spans="2:23" x14ac:dyDescent="0.2">
      <c r="B231" t="s">
        <v>830</v>
      </c>
      <c r="C231" s="84">
        <v>5033</v>
      </c>
      <c r="D231" s="102">
        <v>-2.99912109118524E-2</v>
      </c>
      <c r="E231" s="79">
        <v>1.4102214588194901E-2</v>
      </c>
      <c r="F231" s="79">
        <v>3.3495835590904799E-2</v>
      </c>
      <c r="G231" s="79">
        <v>0.63046606101102998</v>
      </c>
      <c r="H231" s="79">
        <v>1</v>
      </c>
      <c r="I231" s="102">
        <v>3.03910679794159E-2</v>
      </c>
      <c r="J231" s="79">
        <v>1.4034169716687901E-2</v>
      </c>
      <c r="K231" s="79">
        <v>3.0399065433596301E-2</v>
      </c>
      <c r="L231" s="79">
        <v>0.33657527349354299</v>
      </c>
      <c r="M231" s="79">
        <v>1</v>
      </c>
      <c r="N231" s="102">
        <v>4.7970283234650003E-2</v>
      </c>
      <c r="O231" s="79">
        <v>1.3895492048906799E-2</v>
      </c>
      <c r="P231" s="79">
        <v>5.6085239861489405E-4</v>
      </c>
      <c r="Q231" s="79">
        <v>2.7943645978048002E-3</v>
      </c>
      <c r="R231" s="79">
        <v>0.95008396325363098</v>
      </c>
      <c r="S231" s="102">
        <v>5.4620165060278301E-2</v>
      </c>
      <c r="T231" s="79">
        <v>1.38774332050482E-2</v>
      </c>
      <c r="U231" s="79">
        <v>8.4073281253557898E-5</v>
      </c>
      <c r="V231" s="79">
        <v>6.3297839308234301E-4</v>
      </c>
      <c r="W231" s="79">
        <v>0.14242013844352699</v>
      </c>
    </row>
    <row r="232" spans="2:23" x14ac:dyDescent="0.2">
      <c r="B232" t="s">
        <v>821</v>
      </c>
      <c r="C232" s="84">
        <v>5033</v>
      </c>
      <c r="D232" s="102">
        <v>-1.32022825201031E-2</v>
      </c>
      <c r="E232" s="79">
        <v>1.41015756734268E-2</v>
      </c>
      <c r="F232" s="79">
        <v>0.34920401033638998</v>
      </c>
      <c r="G232" s="79">
        <v>0.89461055933914202</v>
      </c>
      <c r="H232" s="79">
        <v>1</v>
      </c>
      <c r="I232" s="102">
        <v>1.39028824505082E-2</v>
      </c>
      <c r="J232" s="79">
        <v>1.4003643263227899E-2</v>
      </c>
      <c r="K232" s="79">
        <v>0.32085703864723902</v>
      </c>
      <c r="L232" s="79">
        <v>0.71493966280838095</v>
      </c>
      <c r="M232" s="79">
        <v>1</v>
      </c>
      <c r="N232" s="102">
        <v>4.7980287824290299E-2</v>
      </c>
      <c r="O232" s="79">
        <v>1.3866139887977601E-2</v>
      </c>
      <c r="P232" s="79">
        <v>5.4452253897800803E-4</v>
      </c>
      <c r="Q232" s="79">
        <v>2.7515570876157302E-3</v>
      </c>
      <c r="R232" s="79">
        <v>0.92242118102874604</v>
      </c>
      <c r="S232" s="102">
        <v>3.6218088849172998E-2</v>
      </c>
      <c r="T232" s="79">
        <v>1.3868482569298299E-2</v>
      </c>
      <c r="U232" s="79">
        <v>9.0423722570782197E-3</v>
      </c>
      <c r="V232" s="79">
        <v>2.6229072951182399E-2</v>
      </c>
      <c r="W232" s="79">
        <v>1</v>
      </c>
    </row>
    <row r="233" spans="2:23" x14ac:dyDescent="0.2">
      <c r="B233" t="s">
        <v>838</v>
      </c>
      <c r="C233" s="84">
        <v>4173</v>
      </c>
      <c r="D233" s="102">
        <v>-2.4109349138496301E-3</v>
      </c>
      <c r="E233" s="79">
        <v>1.5918277545989599E-2</v>
      </c>
      <c r="F233" s="79">
        <v>0.879623085923669</v>
      </c>
      <c r="G233" s="79">
        <v>0.99362338620020496</v>
      </c>
      <c r="H233" s="79">
        <v>1</v>
      </c>
      <c r="I233" s="102">
        <v>2.7146240366617599E-2</v>
      </c>
      <c r="J233" s="79">
        <v>1.5843801914018601E-2</v>
      </c>
      <c r="K233" s="79">
        <v>8.6726743320539604E-2</v>
      </c>
      <c r="L233" s="79">
        <v>0.49135486015048202</v>
      </c>
      <c r="M233" s="79">
        <v>1</v>
      </c>
      <c r="N233" s="102">
        <v>2.8362198879571102E-2</v>
      </c>
      <c r="O233" s="79">
        <v>1.55959459675339E-2</v>
      </c>
      <c r="P233" s="79">
        <v>6.9057571746943006E-2</v>
      </c>
      <c r="Q233" s="79">
        <v>0.13203558300149101</v>
      </c>
      <c r="R233" s="79">
        <v>1</v>
      </c>
      <c r="S233" s="102">
        <v>1.3941218773250001E-2</v>
      </c>
      <c r="T233" s="79">
        <v>1.5736118698094E-2</v>
      </c>
      <c r="U233" s="79">
        <v>0.37570704444930503</v>
      </c>
      <c r="V233" s="79">
        <v>0.49375309022274799</v>
      </c>
      <c r="W233" s="79">
        <v>1</v>
      </c>
    </row>
    <row r="234" spans="2:23" x14ac:dyDescent="0.2">
      <c r="B234" t="s">
        <v>845</v>
      </c>
      <c r="C234" s="84">
        <v>2859</v>
      </c>
      <c r="D234" s="102">
        <v>-3.80364249290657E-3</v>
      </c>
      <c r="E234" s="79">
        <v>1.9448694418898401E-2</v>
      </c>
      <c r="F234" s="79">
        <v>0.84495894084131795</v>
      </c>
      <c r="G234" s="79">
        <v>0.99362338620020496</v>
      </c>
      <c r="H234" s="79">
        <v>1</v>
      </c>
      <c r="I234" s="102">
        <v>6.6849663469052895E-4</v>
      </c>
      <c r="J234" s="79">
        <v>1.9103497758416601E-2</v>
      </c>
      <c r="K234" s="79">
        <v>0.972087553145906</v>
      </c>
      <c r="L234" s="79">
        <v>0.99619861768249496</v>
      </c>
      <c r="M234" s="79">
        <v>1</v>
      </c>
      <c r="N234" s="102">
        <v>2.0752736261330201E-2</v>
      </c>
      <c r="O234" s="79">
        <v>1.89466994266759E-2</v>
      </c>
      <c r="P234" s="79">
        <v>0.27347177154101199</v>
      </c>
      <c r="Q234" s="79">
        <v>0.386695476619762</v>
      </c>
      <c r="R234" s="79">
        <v>1</v>
      </c>
      <c r="S234" s="102">
        <v>1.2889956506374299E-2</v>
      </c>
      <c r="T234" s="79">
        <v>1.8628118439850998E-2</v>
      </c>
      <c r="U234" s="79">
        <v>0.489020367846213</v>
      </c>
      <c r="V234" s="79">
        <v>0.59898807167858603</v>
      </c>
      <c r="W234" s="79">
        <v>1</v>
      </c>
    </row>
    <row r="235" spans="2:23" x14ac:dyDescent="0.2">
      <c r="B235" t="s">
        <v>846</v>
      </c>
      <c r="C235" s="84">
        <v>3124</v>
      </c>
      <c r="D235" s="102">
        <v>-3.5983057589026701E-2</v>
      </c>
      <c r="E235" s="79">
        <v>1.8367502239827801E-2</v>
      </c>
      <c r="F235" s="79">
        <v>5.01949565193568E-2</v>
      </c>
      <c r="G235" s="79">
        <v>0.70184175957025496</v>
      </c>
      <c r="H235" s="79">
        <v>1</v>
      </c>
      <c r="I235" s="102">
        <v>-1.36137891887159E-2</v>
      </c>
      <c r="J235" s="79">
        <v>1.8243720095485701E-2</v>
      </c>
      <c r="K235" s="79">
        <v>0.455592302403933</v>
      </c>
      <c r="L235" s="79">
        <v>0.79746066051088205</v>
      </c>
      <c r="M235" s="79">
        <v>1</v>
      </c>
      <c r="N235" s="102">
        <v>6.7120589163532599E-2</v>
      </c>
      <c r="O235" s="79">
        <v>1.81753528047633E-2</v>
      </c>
      <c r="P235" s="79">
        <v>2.25485935667582E-4</v>
      </c>
      <c r="Q235" s="79">
        <v>1.32458789905023E-3</v>
      </c>
      <c r="R235" s="79">
        <v>0.38197317502088401</v>
      </c>
      <c r="S235" s="102">
        <v>-5.52821108323308E-4</v>
      </c>
      <c r="T235" s="79">
        <v>1.7976174631681701E-2</v>
      </c>
      <c r="U235" s="79">
        <v>0.97546850681663</v>
      </c>
      <c r="V235" s="79">
        <v>0.98359741104010201</v>
      </c>
      <c r="W235" s="79">
        <v>1</v>
      </c>
    </row>
    <row r="236" spans="2:23" x14ac:dyDescent="0.2">
      <c r="B236" t="s">
        <v>847</v>
      </c>
      <c r="C236" s="84">
        <v>3007</v>
      </c>
      <c r="D236" s="102">
        <v>-2.6768034515447701E-2</v>
      </c>
      <c r="E236" s="79">
        <v>1.8586353767393701E-2</v>
      </c>
      <c r="F236" s="79">
        <v>0.149916194726851</v>
      </c>
      <c r="G236" s="79">
        <v>0.80938271582532695</v>
      </c>
      <c r="H236" s="79">
        <v>1</v>
      </c>
      <c r="I236" s="102">
        <v>7.8135135411680906E-3</v>
      </c>
      <c r="J236" s="79">
        <v>1.8613692694256199E-2</v>
      </c>
      <c r="K236" s="79">
        <v>0.67468198592345596</v>
      </c>
      <c r="L236" s="79">
        <v>0.89220240761462499</v>
      </c>
      <c r="M236" s="79">
        <v>1</v>
      </c>
      <c r="N236" s="102">
        <v>5.8358639467720401E-2</v>
      </c>
      <c r="O236" s="79">
        <v>1.8599449628509498E-2</v>
      </c>
      <c r="P236" s="79">
        <v>1.71966097200671E-3</v>
      </c>
      <c r="Q236" s="79">
        <v>6.7277267588438001E-3</v>
      </c>
      <c r="R236" s="79">
        <v>1</v>
      </c>
      <c r="S236" s="102">
        <v>-3.31429261456346E-3</v>
      </c>
      <c r="T236" s="79">
        <v>1.8205987347577699E-2</v>
      </c>
      <c r="U236" s="79">
        <v>0.85556047364908905</v>
      </c>
      <c r="V236" s="79">
        <v>0.89619683228415803</v>
      </c>
      <c r="W236" s="79">
        <v>1</v>
      </c>
    </row>
    <row r="237" spans="2:23" x14ac:dyDescent="0.2">
      <c r="B237" t="s">
        <v>848</v>
      </c>
      <c r="C237" s="84">
        <v>2943</v>
      </c>
      <c r="D237" s="102">
        <v>-1.41953246198848E-2</v>
      </c>
      <c r="E237" s="79">
        <v>1.8821171131217299E-2</v>
      </c>
      <c r="F237" s="79">
        <v>0.45077719682768103</v>
      </c>
      <c r="G237" s="79">
        <v>0.90900414379806505</v>
      </c>
      <c r="H237" s="79">
        <v>1</v>
      </c>
      <c r="I237" s="102">
        <v>3.6107376819785701E-2</v>
      </c>
      <c r="J237" s="79">
        <v>1.8690972197544099E-2</v>
      </c>
      <c r="K237" s="79">
        <v>5.3479647782979402E-2</v>
      </c>
      <c r="L237" s="79">
        <v>0.413834727810937</v>
      </c>
      <c r="M237" s="79">
        <v>1</v>
      </c>
      <c r="N237" s="102">
        <v>4.2801392150948199E-2</v>
      </c>
      <c r="O237" s="79">
        <v>1.86925918403253E-2</v>
      </c>
      <c r="P237" s="79">
        <v>2.2106614687661001E-2</v>
      </c>
      <c r="Q237" s="79">
        <v>5.22566992928351E-2</v>
      </c>
      <c r="R237" s="79">
        <v>1</v>
      </c>
      <c r="S237" s="102">
        <v>2.10558348708688E-2</v>
      </c>
      <c r="T237" s="79">
        <v>1.8348499170179101E-2</v>
      </c>
      <c r="U237" s="79">
        <v>0.25124791569280702</v>
      </c>
      <c r="V237" s="79">
        <v>0.36099573298016602</v>
      </c>
      <c r="W237" s="79">
        <v>1</v>
      </c>
    </row>
    <row r="238" spans="2:23" x14ac:dyDescent="0.2">
      <c r="B238" t="s">
        <v>839</v>
      </c>
      <c r="C238" s="84">
        <v>4345</v>
      </c>
      <c r="D238" s="102">
        <v>1.54196368679621E-2</v>
      </c>
      <c r="E238" s="79">
        <v>1.5695301712364301E-2</v>
      </c>
      <c r="F238" s="79">
        <v>0.32594410323642797</v>
      </c>
      <c r="G238" s="79">
        <v>0.88730162874475904</v>
      </c>
      <c r="H238" s="79">
        <v>1</v>
      </c>
      <c r="I238" s="102">
        <v>4.4312202354804597E-2</v>
      </c>
      <c r="J238" s="79">
        <v>1.5543476279690801E-2</v>
      </c>
      <c r="K238" s="79">
        <v>4.3827865911008302E-3</v>
      </c>
      <c r="L238" s="79">
        <v>0.14219550134109499</v>
      </c>
      <c r="M238" s="79">
        <v>1</v>
      </c>
      <c r="N238" s="102">
        <v>5.4602153378786301E-2</v>
      </c>
      <c r="O238" s="79">
        <v>1.5313738479365201E-2</v>
      </c>
      <c r="P238" s="79">
        <v>3.6738595309372403E-4</v>
      </c>
      <c r="Q238" s="79">
        <v>1.9955208171640601E-3</v>
      </c>
      <c r="R238" s="79">
        <v>0.62235180454076899</v>
      </c>
      <c r="S238" s="102">
        <v>3.1319278157162199E-2</v>
      </c>
      <c r="T238" s="79">
        <v>1.540019948498E-2</v>
      </c>
      <c r="U238" s="79">
        <v>4.2049072761753299E-2</v>
      </c>
      <c r="V238" s="79">
        <v>8.9374064314190801E-2</v>
      </c>
      <c r="W238" s="79">
        <v>1</v>
      </c>
    </row>
    <row r="239" spans="2:23" x14ac:dyDescent="0.2">
      <c r="B239" t="s">
        <v>840</v>
      </c>
      <c r="C239" s="84">
        <v>4145</v>
      </c>
      <c r="D239" s="102">
        <v>-1.1331241666096E-2</v>
      </c>
      <c r="E239" s="79">
        <v>1.5940251411734999E-2</v>
      </c>
      <c r="F239" s="79">
        <v>0.47721597422624601</v>
      </c>
      <c r="G239" s="79">
        <v>0.91339947432389301</v>
      </c>
      <c r="H239" s="79">
        <v>1</v>
      </c>
      <c r="I239" s="102">
        <v>4.0837281601688202E-2</v>
      </c>
      <c r="J239" s="79">
        <v>1.5803169342981101E-2</v>
      </c>
      <c r="K239" s="79">
        <v>9.8002141197556392E-3</v>
      </c>
      <c r="L239" s="79">
        <v>0.193041426963559</v>
      </c>
      <c r="M239" s="79">
        <v>1</v>
      </c>
      <c r="N239" s="102">
        <v>5.5237312012025197E-2</v>
      </c>
      <c r="O239" s="79">
        <v>1.5599103205191599E-2</v>
      </c>
      <c r="P239" s="79">
        <v>4.0327869905207097E-4</v>
      </c>
      <c r="Q239" s="79">
        <v>2.1417959168598798E-3</v>
      </c>
      <c r="R239" s="79">
        <v>0.68315411619420796</v>
      </c>
      <c r="S239" s="102">
        <v>4.9996958638156598E-2</v>
      </c>
      <c r="T239" s="79">
        <v>1.55887075011985E-2</v>
      </c>
      <c r="U239" s="79">
        <v>1.35111613464845E-3</v>
      </c>
      <c r="V239" s="79">
        <v>5.7077075613328502E-3</v>
      </c>
      <c r="W239" s="79">
        <v>1</v>
      </c>
    </row>
    <row r="240" spans="2:23" x14ac:dyDescent="0.2">
      <c r="B240" t="s">
        <v>841</v>
      </c>
      <c r="C240" s="84">
        <v>3871</v>
      </c>
      <c r="D240" s="102">
        <v>-2.2673266573133701E-2</v>
      </c>
      <c r="E240" s="79">
        <v>1.65262223029407E-2</v>
      </c>
      <c r="F240" s="79">
        <v>0.17016430091374801</v>
      </c>
      <c r="G240" s="79">
        <v>0.81796927009920195</v>
      </c>
      <c r="H240" s="79">
        <v>1</v>
      </c>
      <c r="I240" s="102">
        <v>5.1881048778571498E-2</v>
      </c>
      <c r="J240" s="79">
        <v>1.6498398922358298E-2</v>
      </c>
      <c r="K240" s="79">
        <v>1.6771638223637101E-3</v>
      </c>
      <c r="L240" s="79">
        <v>0.113986182531366</v>
      </c>
      <c r="M240" s="79">
        <v>1</v>
      </c>
      <c r="N240" s="102">
        <v>5.79351899770809E-2</v>
      </c>
      <c r="O240" s="79">
        <v>1.62769936520776E-2</v>
      </c>
      <c r="P240" s="79">
        <v>3.7673857302223399E-4</v>
      </c>
      <c r="Q240" s="79">
        <v>2.0324686073237702E-3</v>
      </c>
      <c r="R240" s="79">
        <v>0.63819514269966504</v>
      </c>
      <c r="S240" s="102">
        <v>5.7552555678244202E-2</v>
      </c>
      <c r="T240" s="79">
        <v>1.62471294558252E-2</v>
      </c>
      <c r="U240" s="79">
        <v>4.0182275406850602E-4</v>
      </c>
      <c r="V240" s="79">
        <v>2.1957669206195099E-3</v>
      </c>
      <c r="W240" s="79">
        <v>0.68068774539204902</v>
      </c>
    </row>
    <row r="241" spans="2:23" x14ac:dyDescent="0.2">
      <c r="B241" t="s">
        <v>844</v>
      </c>
      <c r="C241" s="84">
        <v>1621</v>
      </c>
      <c r="D241" s="102">
        <v>-5.7145810549383497E-3</v>
      </c>
      <c r="E241" s="79">
        <v>2.62001932762214E-2</v>
      </c>
      <c r="F241" s="79">
        <v>0.82737027536112795</v>
      </c>
      <c r="G241" s="79">
        <v>0.99362338620020496</v>
      </c>
      <c r="H241" s="79">
        <v>1</v>
      </c>
      <c r="I241" s="102">
        <v>3.9458258870668603E-2</v>
      </c>
      <c r="J241" s="79">
        <v>2.5363671600315999E-2</v>
      </c>
      <c r="K241" s="79">
        <v>0.11998723182109999</v>
      </c>
      <c r="L241" s="79">
        <v>0.55552266356551805</v>
      </c>
      <c r="M241" s="79">
        <v>1</v>
      </c>
      <c r="N241" s="102">
        <v>2.6323869945088198E-2</v>
      </c>
      <c r="O241" s="79">
        <v>2.5522183502089901E-2</v>
      </c>
      <c r="P241" s="79">
        <v>0.302508742516441</v>
      </c>
      <c r="Q241" s="79">
        <v>0.41764450678309001</v>
      </c>
      <c r="R241" s="79">
        <v>1</v>
      </c>
      <c r="S241" s="102">
        <v>3.7613688324879303E-2</v>
      </c>
      <c r="T241" s="79">
        <v>2.50337427188141E-2</v>
      </c>
      <c r="U241" s="79">
        <v>0.13316914809251701</v>
      </c>
      <c r="V241" s="79">
        <v>0.22073242355061001</v>
      </c>
      <c r="W241" s="79">
        <v>1</v>
      </c>
    </row>
    <row r="242" spans="2:23" x14ac:dyDescent="0.2">
      <c r="B242" t="s">
        <v>3235</v>
      </c>
      <c r="C242" s="84">
        <v>1303</v>
      </c>
      <c r="D242" s="102">
        <v>2.6830611206280899E-2</v>
      </c>
      <c r="E242" s="79">
        <v>2.5139530383142601E-2</v>
      </c>
      <c r="F242" s="79">
        <v>0.286062696807099</v>
      </c>
      <c r="G242" s="79">
        <v>0.86861170490914397</v>
      </c>
      <c r="H242" s="79">
        <v>1</v>
      </c>
      <c r="I242" s="102">
        <v>-3.0960573122031501E-2</v>
      </c>
      <c r="J242" s="79">
        <v>2.5335498572018798E-2</v>
      </c>
      <c r="K242" s="79">
        <v>0.22194197930861401</v>
      </c>
      <c r="L242" s="79">
        <v>0.65304481397729397</v>
      </c>
      <c r="M242" s="79">
        <v>1</v>
      </c>
      <c r="N242" s="102">
        <v>1.360374384767E-2</v>
      </c>
      <c r="O242" s="79">
        <v>2.5683083498965899E-2</v>
      </c>
      <c r="P242" s="79">
        <v>0.59643169962559495</v>
      </c>
      <c r="Q242" s="79">
        <v>0.69824139541517505</v>
      </c>
      <c r="R242" s="79">
        <v>1</v>
      </c>
      <c r="S242" s="102">
        <v>1.2899820266571899E-2</v>
      </c>
      <c r="T242" s="79">
        <v>2.46819570119623E-2</v>
      </c>
      <c r="U242" s="79">
        <v>0.60131921848355496</v>
      </c>
      <c r="V242" s="79">
        <v>0.68873208662010998</v>
      </c>
      <c r="W242" s="79">
        <v>1</v>
      </c>
    </row>
    <row r="243" spans="2:23" x14ac:dyDescent="0.2">
      <c r="B243" t="s">
        <v>842</v>
      </c>
      <c r="C243" s="84">
        <v>718</v>
      </c>
      <c r="D243" s="102">
        <v>-6.1925648630199698E-2</v>
      </c>
      <c r="E243" s="79">
        <v>3.8779512084298598E-2</v>
      </c>
      <c r="F243" s="79">
        <v>0.11074761716499799</v>
      </c>
      <c r="G243" s="79">
        <v>0.80938271582532695</v>
      </c>
      <c r="H243" s="79">
        <v>1</v>
      </c>
      <c r="I243" s="102">
        <v>-5.4123221391855995E-4</v>
      </c>
      <c r="J243" s="79">
        <v>3.8461307490254899E-2</v>
      </c>
      <c r="K243" s="79">
        <v>0.98877645053737895</v>
      </c>
      <c r="L243" s="79">
        <v>0.99701625429185703</v>
      </c>
      <c r="M243" s="79">
        <v>1</v>
      </c>
      <c r="N243" s="102">
        <v>5.1947200436890002E-2</v>
      </c>
      <c r="O243" s="79">
        <v>3.9514595505298997E-2</v>
      </c>
      <c r="P243" s="79">
        <v>0.18906560130849501</v>
      </c>
      <c r="Q243" s="79">
        <v>0.28724406153954302</v>
      </c>
      <c r="R243" s="79">
        <v>1</v>
      </c>
      <c r="S243" s="102">
        <v>6.9323277772990202E-2</v>
      </c>
      <c r="T243" s="79">
        <v>3.7715674193944997E-2</v>
      </c>
      <c r="U243" s="79">
        <v>6.6477956092954801E-2</v>
      </c>
      <c r="V243" s="79">
        <v>0.12710345104002899</v>
      </c>
      <c r="W243" s="79">
        <v>1</v>
      </c>
    </row>
    <row r="244" spans="2:23" x14ac:dyDescent="0.2">
      <c r="B244" t="s">
        <v>843</v>
      </c>
      <c r="C244" s="84">
        <v>706</v>
      </c>
      <c r="D244" s="102">
        <v>-4.3215748495022403E-2</v>
      </c>
      <c r="E244" s="79">
        <v>3.8940695968681299E-2</v>
      </c>
      <c r="F244" s="79">
        <v>0.26748277500730899</v>
      </c>
      <c r="G244" s="79">
        <v>0.85990749347533801</v>
      </c>
      <c r="H244" s="79">
        <v>1</v>
      </c>
      <c r="I244" s="102">
        <v>-3.6033131997392602E-3</v>
      </c>
      <c r="J244" s="79">
        <v>3.9090681419573101E-2</v>
      </c>
      <c r="K244" s="79">
        <v>0.92658546497538397</v>
      </c>
      <c r="L244" s="79">
        <v>0.98193837767293402</v>
      </c>
      <c r="M244" s="79">
        <v>1</v>
      </c>
      <c r="N244" s="102">
        <v>0.10398227037215001</v>
      </c>
      <c r="O244" s="79">
        <v>3.9815718952051403E-2</v>
      </c>
      <c r="P244" s="79">
        <v>9.2161703678314295E-3</v>
      </c>
      <c r="Q244" s="79">
        <v>2.6107345490144599E-2</v>
      </c>
      <c r="R244" s="79">
        <v>1</v>
      </c>
      <c r="S244" s="102">
        <v>1.9807790072402999E-2</v>
      </c>
      <c r="T244" s="79">
        <v>3.7937909990205999E-2</v>
      </c>
      <c r="U244" s="79">
        <v>0.60176840904249296</v>
      </c>
      <c r="V244" s="79">
        <v>0.68878086818782702</v>
      </c>
      <c r="W244" s="79">
        <v>1</v>
      </c>
    </row>
    <row r="245" spans="2:23" x14ac:dyDescent="0.2">
      <c r="B245" t="s">
        <v>3236</v>
      </c>
      <c r="C245" s="84">
        <v>696</v>
      </c>
      <c r="D245" s="102">
        <v>-7.0670200050070395E-2</v>
      </c>
      <c r="E245" s="79">
        <v>3.7899677833308602E-2</v>
      </c>
      <c r="F245" s="79">
        <v>6.2662999570741104E-2</v>
      </c>
      <c r="G245" s="79">
        <v>0.72211647124377798</v>
      </c>
      <c r="H245" s="79">
        <v>1</v>
      </c>
      <c r="I245" s="102">
        <v>4.8115375305152502E-2</v>
      </c>
      <c r="J245" s="79">
        <v>3.8730908727548197E-2</v>
      </c>
      <c r="K245" s="79">
        <v>0.21455504365776201</v>
      </c>
      <c r="L245" s="79">
        <v>0.65135527590725595</v>
      </c>
      <c r="M245" s="79">
        <v>1</v>
      </c>
      <c r="N245" s="102">
        <v>0.123363954058838</v>
      </c>
      <c r="O245" s="79">
        <v>4.0296693219168199E-2</v>
      </c>
      <c r="P245" s="79">
        <v>2.2913294176822199E-3</v>
      </c>
      <c r="Q245" s="79">
        <v>8.31158893694579E-3</v>
      </c>
      <c r="R245" s="79">
        <v>1</v>
      </c>
      <c r="S245" s="102">
        <v>6.6200741588329906E-2</v>
      </c>
      <c r="T245" s="79">
        <v>3.8756783900836297E-2</v>
      </c>
      <c r="U245" s="79">
        <v>8.8073729901486097E-2</v>
      </c>
      <c r="V245" s="79">
        <v>0.15841580907007399</v>
      </c>
      <c r="W245" s="79">
        <v>1</v>
      </c>
    </row>
    <row r="246" spans="2:23" x14ac:dyDescent="0.2">
      <c r="B246" t="s">
        <v>822</v>
      </c>
      <c r="C246" s="84">
        <v>5029</v>
      </c>
      <c r="D246" s="102">
        <v>3.9067576232253703E-5</v>
      </c>
      <c r="E246" s="79">
        <v>1.45295452686044E-2</v>
      </c>
      <c r="F246" s="79">
        <v>0.99785473053664298</v>
      </c>
      <c r="G246" s="79">
        <v>0.99962502278478604</v>
      </c>
      <c r="H246" s="79">
        <v>1</v>
      </c>
      <c r="I246" s="102">
        <v>-2.43952992329819E-2</v>
      </c>
      <c r="J246" s="79">
        <v>1.44776983897791E-2</v>
      </c>
      <c r="K246" s="79">
        <v>9.2047717660291697E-2</v>
      </c>
      <c r="L246" s="79">
        <v>0.50540479746627598</v>
      </c>
      <c r="M246" s="79">
        <v>1</v>
      </c>
      <c r="N246" s="102">
        <v>3.3353682001842501E-2</v>
      </c>
      <c r="O246" s="79">
        <v>1.4332014052917799E-2</v>
      </c>
      <c r="P246" s="79">
        <v>1.9994490960236502E-2</v>
      </c>
      <c r="Q246" s="79">
        <v>4.8677108361830201E-2</v>
      </c>
      <c r="R246" s="79">
        <v>1</v>
      </c>
      <c r="S246" s="102">
        <v>-2.05804034301422E-2</v>
      </c>
      <c r="T246" s="79">
        <v>1.4323074626833E-2</v>
      </c>
      <c r="U246" s="79">
        <v>0.15081889584243099</v>
      </c>
      <c r="V246" s="79">
        <v>0.24542479304234199</v>
      </c>
      <c r="W246" s="79">
        <v>1</v>
      </c>
    </row>
    <row r="247" spans="2:23" x14ac:dyDescent="0.2">
      <c r="B247" t="s">
        <v>823</v>
      </c>
      <c r="C247" s="84">
        <v>5029</v>
      </c>
      <c r="D247" s="102">
        <v>1.2018944119270399E-2</v>
      </c>
      <c r="E247" s="79">
        <v>1.44269358114012E-2</v>
      </c>
      <c r="F247" s="79">
        <v>0.40483608775416102</v>
      </c>
      <c r="G247" s="79">
        <v>0.89461055933914202</v>
      </c>
      <c r="H247" s="79">
        <v>1</v>
      </c>
      <c r="I247" s="102">
        <v>-5.0333102825303897E-3</v>
      </c>
      <c r="J247" s="79">
        <v>1.4493241799971799E-2</v>
      </c>
      <c r="K247" s="79">
        <v>0.72839114115042702</v>
      </c>
      <c r="L247" s="79">
        <v>0.91807633415835099</v>
      </c>
      <c r="M247" s="79">
        <v>1</v>
      </c>
      <c r="N247" s="102">
        <v>1.98329297172893E-2</v>
      </c>
      <c r="O247" s="79">
        <v>1.42765925000823E-2</v>
      </c>
      <c r="P247" s="79">
        <v>0.16483991588033101</v>
      </c>
      <c r="Q247" s="79">
        <v>0.25903415352623399</v>
      </c>
      <c r="R247" s="79">
        <v>1</v>
      </c>
      <c r="S247" s="102">
        <v>-9.2901965934890206E-3</v>
      </c>
      <c r="T247" s="79">
        <v>1.43104218945551E-2</v>
      </c>
      <c r="U247" s="79">
        <v>0.51624609051802794</v>
      </c>
      <c r="V247" s="79">
        <v>0.621992089144765</v>
      </c>
      <c r="W247" s="79">
        <v>1</v>
      </c>
    </row>
    <row r="248" spans="2:23" x14ac:dyDescent="0.2">
      <c r="B248" t="s">
        <v>93</v>
      </c>
      <c r="C248" s="84">
        <v>4884</v>
      </c>
      <c r="D248" s="102">
        <v>-6.4541371368005704E-3</v>
      </c>
      <c r="E248" s="79">
        <v>1.2354624385610099E-2</v>
      </c>
      <c r="F248" s="79">
        <v>0.60141637278939897</v>
      </c>
      <c r="G248" s="79">
        <v>0.94340566501007395</v>
      </c>
      <c r="H248" s="79">
        <v>1</v>
      </c>
      <c r="I248" s="102">
        <v>4.69612075199806E-3</v>
      </c>
      <c r="J248" s="79">
        <v>1.24399697952941E-2</v>
      </c>
      <c r="K248" s="79">
        <v>0.70581961124098302</v>
      </c>
      <c r="L248" s="79">
        <v>0.90817903987414805</v>
      </c>
      <c r="M248" s="79">
        <v>1</v>
      </c>
      <c r="N248" s="102">
        <v>-2.1749869325205499E-2</v>
      </c>
      <c r="O248" s="79">
        <v>1.22387957912311E-2</v>
      </c>
      <c r="P248" s="79">
        <v>7.5623836279511594E-2</v>
      </c>
      <c r="Q248" s="79">
        <v>0.14139821043873399</v>
      </c>
      <c r="R248" s="79">
        <v>1</v>
      </c>
      <c r="S248" s="102">
        <v>-2.0703718802982399E-2</v>
      </c>
      <c r="T248" s="79">
        <v>1.2304269334416199E-2</v>
      </c>
      <c r="U248" s="79">
        <v>9.2520271088543396E-2</v>
      </c>
      <c r="V248" s="79">
        <v>0.16532630719830399</v>
      </c>
      <c r="W248" s="79">
        <v>1</v>
      </c>
    </row>
    <row r="249" spans="2:23" x14ac:dyDescent="0.2">
      <c r="B249" t="s">
        <v>94</v>
      </c>
      <c r="C249" s="84">
        <v>4738</v>
      </c>
      <c r="D249" s="102">
        <v>5.5389072417282104E-3</v>
      </c>
      <c r="E249" s="79">
        <v>1.36269707475997E-2</v>
      </c>
      <c r="F249" s="79">
        <v>0.68442053856218199</v>
      </c>
      <c r="G249" s="79">
        <v>0.96670198527320195</v>
      </c>
      <c r="H249" s="79">
        <v>1</v>
      </c>
      <c r="I249" s="102">
        <v>1.15185402158016E-2</v>
      </c>
      <c r="J249" s="79">
        <v>1.3735119075320001E-2</v>
      </c>
      <c r="K249" s="79">
        <v>0.40172927117316098</v>
      </c>
      <c r="L249" s="79">
        <v>0.76636192045870999</v>
      </c>
      <c r="M249" s="79">
        <v>1</v>
      </c>
      <c r="N249" s="107">
        <v>5.8800866978583E-2</v>
      </c>
      <c r="O249" s="81">
        <v>1.3555066502794999E-2</v>
      </c>
      <c r="P249" s="81">
        <v>1.47151201128301E-5</v>
      </c>
      <c r="Q249" s="81">
        <v>1.3621537415920299E-4</v>
      </c>
      <c r="R249" s="81">
        <v>2.49274134711342E-2</v>
      </c>
      <c r="S249" s="102">
        <v>3.7051563212286899E-2</v>
      </c>
      <c r="T249" s="79">
        <v>1.3607894891004399E-2</v>
      </c>
      <c r="U249" s="79">
        <v>6.4992734519980803E-3</v>
      </c>
      <c r="V249" s="79">
        <v>1.9766192509308299E-2</v>
      </c>
      <c r="W249" s="79">
        <v>1</v>
      </c>
    </row>
    <row r="250" spans="2:23" x14ac:dyDescent="0.2">
      <c r="B250" t="s">
        <v>95</v>
      </c>
      <c r="C250" s="84">
        <v>4658</v>
      </c>
      <c r="D250" s="102">
        <v>-2.3676363127809398E-3</v>
      </c>
      <c r="E250" s="79">
        <v>1.428059455536E-2</v>
      </c>
      <c r="F250" s="79">
        <v>0.868326552204151</v>
      </c>
      <c r="G250" s="79">
        <v>0.99362338620020496</v>
      </c>
      <c r="H250" s="79">
        <v>1</v>
      </c>
      <c r="I250" s="102">
        <v>1.6225351280966301E-2</v>
      </c>
      <c r="J250" s="79">
        <v>1.43359009894958E-2</v>
      </c>
      <c r="K250" s="79">
        <v>0.25777891098794098</v>
      </c>
      <c r="L250" s="79">
        <v>0.68025543872958705</v>
      </c>
      <c r="M250" s="79">
        <v>1</v>
      </c>
      <c r="N250" s="102">
        <v>4.3750134385772601E-3</v>
      </c>
      <c r="O250" s="79">
        <v>1.4274820968616399E-2</v>
      </c>
      <c r="P250" s="79">
        <v>0.75924978623627604</v>
      </c>
      <c r="Q250" s="79">
        <v>0.83517476485990405</v>
      </c>
      <c r="R250" s="79">
        <v>1</v>
      </c>
      <c r="S250" s="102">
        <v>9.6927734327629904E-3</v>
      </c>
      <c r="T250" s="79">
        <v>1.4253999068286199E-2</v>
      </c>
      <c r="U250" s="79">
        <v>0.496536748747546</v>
      </c>
      <c r="V250" s="79">
        <v>0.60382860902967905</v>
      </c>
      <c r="W250" s="79">
        <v>1</v>
      </c>
    </row>
    <row r="251" spans="2:23" x14ac:dyDescent="0.2">
      <c r="B251" t="s">
        <v>96</v>
      </c>
      <c r="C251" s="84">
        <v>4650</v>
      </c>
      <c r="D251" s="102">
        <v>5.1403950502101996E-3</v>
      </c>
      <c r="E251" s="79">
        <v>1.4336460533435401E-2</v>
      </c>
      <c r="F251" s="79">
        <v>0.71994582407640195</v>
      </c>
      <c r="G251" s="79">
        <v>0.97160036230239</v>
      </c>
      <c r="H251" s="79">
        <v>1</v>
      </c>
      <c r="I251" s="102">
        <v>5.9768691944820001E-3</v>
      </c>
      <c r="J251" s="79">
        <v>1.43573742696705E-2</v>
      </c>
      <c r="K251" s="79">
        <v>0.67721578358871104</v>
      </c>
      <c r="L251" s="79">
        <v>0.8940422852919</v>
      </c>
      <c r="M251" s="79">
        <v>1</v>
      </c>
      <c r="N251" s="102">
        <v>4.1948569601208498E-2</v>
      </c>
      <c r="O251" s="79">
        <v>1.42092793333714E-2</v>
      </c>
      <c r="P251" s="79">
        <v>3.1716367358101401E-3</v>
      </c>
      <c r="Q251" s="79">
        <v>1.0876017470571601E-2</v>
      </c>
      <c r="R251" s="79">
        <v>1</v>
      </c>
      <c r="S251" s="102">
        <v>1.4990888662478399E-2</v>
      </c>
      <c r="T251" s="79">
        <v>1.4234498556289801E-2</v>
      </c>
      <c r="U251" s="79">
        <v>0.29233447360832099</v>
      </c>
      <c r="V251" s="79">
        <v>0.40658012996099802</v>
      </c>
      <c r="W251" s="79">
        <v>1</v>
      </c>
    </row>
    <row r="252" spans="2:23" x14ac:dyDescent="0.2">
      <c r="B252" t="s">
        <v>97</v>
      </c>
      <c r="C252" s="84">
        <v>4664</v>
      </c>
      <c r="D252" s="102">
        <v>1.08113969078704E-2</v>
      </c>
      <c r="E252" s="79">
        <v>1.48100238148251E-2</v>
      </c>
      <c r="F252" s="79">
        <v>0.46542390065454797</v>
      </c>
      <c r="G252" s="79">
        <v>0.91151047511105199</v>
      </c>
      <c r="H252" s="79">
        <v>1</v>
      </c>
      <c r="I252" s="102">
        <v>1.1754559603801701E-2</v>
      </c>
      <c r="J252" s="79">
        <v>1.47866156212768E-2</v>
      </c>
      <c r="K252" s="79">
        <v>0.42668561319090498</v>
      </c>
      <c r="L252" s="79">
        <v>0.78225415205877602</v>
      </c>
      <c r="M252" s="79">
        <v>1</v>
      </c>
      <c r="N252" s="102">
        <v>2.6451919886709099E-2</v>
      </c>
      <c r="O252" s="79">
        <v>1.46607035926044E-2</v>
      </c>
      <c r="P252" s="79">
        <v>7.12533362187803E-2</v>
      </c>
      <c r="Q252" s="79">
        <v>0.135774073739723</v>
      </c>
      <c r="R252" s="79">
        <v>1</v>
      </c>
      <c r="S252" s="102">
        <v>-2.08289212373544E-2</v>
      </c>
      <c r="T252" s="79">
        <v>1.4630841106410501E-2</v>
      </c>
      <c r="U252" s="79">
        <v>0.154620550427607</v>
      </c>
      <c r="V252" s="79">
        <v>0.249653809565207</v>
      </c>
      <c r="W252" s="79">
        <v>1</v>
      </c>
    </row>
    <row r="253" spans="2:23" x14ac:dyDescent="0.2">
      <c r="B253" t="s">
        <v>98</v>
      </c>
      <c r="C253" s="84">
        <v>4129</v>
      </c>
      <c r="D253" s="102">
        <v>1.3426636576564999E-2</v>
      </c>
      <c r="E253" s="79">
        <v>1.1718768838999199E-2</v>
      </c>
      <c r="F253" s="79">
        <v>0.25197168947405701</v>
      </c>
      <c r="G253" s="79">
        <v>0.85990749347533801</v>
      </c>
      <c r="H253" s="79">
        <v>1</v>
      </c>
      <c r="I253" s="102">
        <v>1.22647787340734E-2</v>
      </c>
      <c r="J253" s="79">
        <v>1.1748486975775199E-2</v>
      </c>
      <c r="K253" s="79">
        <v>0.29657270666021002</v>
      </c>
      <c r="L253" s="79">
        <v>0.70592340946629695</v>
      </c>
      <c r="M253" s="79">
        <v>1</v>
      </c>
      <c r="N253" s="102">
        <v>1.2319631822578E-2</v>
      </c>
      <c r="O253" s="79">
        <v>1.1609343719031299E-2</v>
      </c>
      <c r="P253" s="79">
        <v>0.28867025987214001</v>
      </c>
      <c r="Q253" s="79">
        <v>0.40115456950238298</v>
      </c>
      <c r="R253" s="79">
        <v>1</v>
      </c>
      <c r="S253" s="102">
        <v>1.5419685441708301E-2</v>
      </c>
      <c r="T253" s="79">
        <v>1.15638290594887E-2</v>
      </c>
      <c r="U253" s="79">
        <v>0.18246196990788799</v>
      </c>
      <c r="V253" s="79">
        <v>0.28169682082597702</v>
      </c>
      <c r="W253" s="79">
        <v>1</v>
      </c>
    </row>
    <row r="254" spans="2:23" x14ac:dyDescent="0.2">
      <c r="B254" t="s">
        <v>99</v>
      </c>
      <c r="C254" s="84">
        <v>2742</v>
      </c>
      <c r="D254" s="102">
        <v>-3.2550952558427302E-3</v>
      </c>
      <c r="E254" s="79">
        <v>1.93834435321418E-2</v>
      </c>
      <c r="F254" s="79">
        <v>0.86664958237107903</v>
      </c>
      <c r="G254" s="79">
        <v>0.99362338620020496</v>
      </c>
      <c r="H254" s="79">
        <v>1</v>
      </c>
      <c r="I254" s="102">
        <v>-3.6598323747751498E-4</v>
      </c>
      <c r="J254" s="79">
        <v>1.9284532434366699E-2</v>
      </c>
      <c r="K254" s="79">
        <v>0.98485999411657799</v>
      </c>
      <c r="L254" s="79">
        <v>0.99629532610271199</v>
      </c>
      <c r="M254" s="79">
        <v>1</v>
      </c>
      <c r="N254" s="102">
        <v>2.29113500916092E-2</v>
      </c>
      <c r="O254" s="79">
        <v>1.8795244564463399E-2</v>
      </c>
      <c r="P254" s="79">
        <v>0.222951951309558</v>
      </c>
      <c r="Q254" s="79">
        <v>0.32927153658325597</v>
      </c>
      <c r="R254" s="79">
        <v>1</v>
      </c>
      <c r="S254" s="102">
        <v>1.4667520649427699E-3</v>
      </c>
      <c r="T254" s="79">
        <v>1.8898733789703401E-2</v>
      </c>
      <c r="U254" s="79">
        <v>0.93814315769275503</v>
      </c>
      <c r="V254" s="79">
        <v>0.95678176347472998</v>
      </c>
      <c r="W254" s="79">
        <v>1</v>
      </c>
    </row>
    <row r="255" spans="2:23" x14ac:dyDescent="0.2">
      <c r="B255" t="s">
        <v>100</v>
      </c>
      <c r="C255" s="84">
        <v>2784</v>
      </c>
      <c r="D255" s="102">
        <v>-1.90882299066331E-2</v>
      </c>
      <c r="E255" s="79">
        <v>1.9537537946454801E-2</v>
      </c>
      <c r="F255" s="79">
        <v>0.32865351278678601</v>
      </c>
      <c r="G255" s="79">
        <v>0.88730162874475904</v>
      </c>
      <c r="H255" s="79">
        <v>1</v>
      </c>
      <c r="I255" s="102">
        <v>4.1788193327899098E-2</v>
      </c>
      <c r="J255" s="79">
        <v>1.94688887909375E-2</v>
      </c>
      <c r="K255" s="79">
        <v>3.1927615576030098E-2</v>
      </c>
      <c r="L255" s="79">
        <v>0.34116449862822301</v>
      </c>
      <c r="M255" s="79">
        <v>1</v>
      </c>
      <c r="N255" s="102">
        <v>2.9959917344636901E-2</v>
      </c>
      <c r="O255" s="79">
        <v>1.9058601699699501E-2</v>
      </c>
      <c r="P255" s="79">
        <v>0.11606765288710599</v>
      </c>
      <c r="Q255" s="79">
        <v>0.195640401980853</v>
      </c>
      <c r="R255" s="79">
        <v>1</v>
      </c>
      <c r="S255" s="102">
        <v>9.8033059766319992E-3</v>
      </c>
      <c r="T255" s="79">
        <v>1.9137569591534301E-2</v>
      </c>
      <c r="U255" s="79">
        <v>0.608513943036044</v>
      </c>
      <c r="V255" s="79">
        <v>0.69462440667322001</v>
      </c>
      <c r="W255" s="79">
        <v>1</v>
      </c>
    </row>
    <row r="256" spans="2:23" x14ac:dyDescent="0.2">
      <c r="B256" t="s">
        <v>101</v>
      </c>
      <c r="C256" s="84">
        <v>2939</v>
      </c>
      <c r="D256" s="102">
        <v>-1.6391317689697E-2</v>
      </c>
      <c r="E256" s="79">
        <v>1.6993415110851801E-2</v>
      </c>
      <c r="F256" s="79">
        <v>0.334858419872192</v>
      </c>
      <c r="G256" s="79">
        <v>0.887497895560034</v>
      </c>
      <c r="H256" s="79">
        <v>1</v>
      </c>
      <c r="I256" s="102">
        <v>4.9189446978209596E-3</v>
      </c>
      <c r="J256" s="79">
        <v>1.71411164231536E-2</v>
      </c>
      <c r="K256" s="79">
        <v>0.77416022593982203</v>
      </c>
      <c r="L256" s="79">
        <v>0.92861868293626904</v>
      </c>
      <c r="M256" s="79">
        <v>1</v>
      </c>
      <c r="N256" s="102">
        <v>5.2851212863111202E-2</v>
      </c>
      <c r="O256" s="79">
        <v>1.6919525982356701E-2</v>
      </c>
      <c r="P256" s="79">
        <v>1.80616196291184E-3</v>
      </c>
      <c r="Q256" s="79">
        <v>6.9673154635377403E-3</v>
      </c>
      <c r="R256" s="79">
        <v>1</v>
      </c>
      <c r="S256" s="102">
        <v>2.58043892055216E-2</v>
      </c>
      <c r="T256" s="79">
        <v>1.6717080467357801E-2</v>
      </c>
      <c r="U256" s="79">
        <v>0.122811599913466</v>
      </c>
      <c r="V256" s="79">
        <v>0.20783501523817299</v>
      </c>
      <c r="W256" s="79">
        <v>1</v>
      </c>
    </row>
    <row r="257" spans="2:23" x14ac:dyDescent="0.2">
      <c r="B257" t="s">
        <v>3598</v>
      </c>
      <c r="C257" s="84">
        <v>5037</v>
      </c>
      <c r="D257" s="102">
        <v>1.0218714835773675</v>
      </c>
      <c r="E257" s="79">
        <v>3.4775397163093698E-2</v>
      </c>
      <c r="F257" s="79">
        <v>0.53383906908850298</v>
      </c>
      <c r="G257" s="79">
        <v>0.92176676956083303</v>
      </c>
      <c r="H257" s="79">
        <v>1</v>
      </c>
      <c r="I257" s="102">
        <v>1.0168913622692013</v>
      </c>
      <c r="J257" s="79">
        <v>3.4445557854659303E-2</v>
      </c>
      <c r="K257" s="79">
        <v>0.62676652264006805</v>
      </c>
      <c r="L257" s="79">
        <v>0.87748013759880805</v>
      </c>
      <c r="M257" s="79">
        <v>1</v>
      </c>
      <c r="N257" s="102">
        <v>1.1343035285617644</v>
      </c>
      <c r="O257" s="79">
        <v>3.4220113914144597E-2</v>
      </c>
      <c r="P257" s="79">
        <v>2.30871499015212E-4</v>
      </c>
      <c r="Q257" s="79">
        <v>1.3486079976957599E-3</v>
      </c>
      <c r="R257" s="79">
        <v>0.39109631933176903</v>
      </c>
      <c r="S257" s="102">
        <v>1.0197691292563296</v>
      </c>
      <c r="T257" s="79">
        <v>3.4017200939831703E-2</v>
      </c>
      <c r="U257" s="79">
        <v>0.56496593761604896</v>
      </c>
      <c r="V257" s="79">
        <v>0.66094771983534994</v>
      </c>
      <c r="W257" s="79">
        <v>1</v>
      </c>
    </row>
    <row r="258" spans="2:23" x14ac:dyDescent="0.2">
      <c r="B258" t="s">
        <v>3594</v>
      </c>
      <c r="C258" s="84">
        <v>5018</v>
      </c>
      <c r="D258" s="102">
        <v>1.0504066036101161</v>
      </c>
      <c r="E258" s="79">
        <v>8.3347897796683695E-2</v>
      </c>
      <c r="F258" s="79">
        <v>0.55517399074827001</v>
      </c>
      <c r="G258" s="79">
        <v>0.93167796111031398</v>
      </c>
      <c r="H258" s="79">
        <v>1</v>
      </c>
      <c r="I258" s="102">
        <v>1.0803331928682305</v>
      </c>
      <c r="J258" s="79">
        <v>8.3002236420967102E-2</v>
      </c>
      <c r="K258" s="79">
        <v>0.35188831950015498</v>
      </c>
      <c r="L258" s="79">
        <v>0.74233974250717605</v>
      </c>
      <c r="M258" s="79">
        <v>1</v>
      </c>
      <c r="N258" s="102">
        <v>1.1643687781123475</v>
      </c>
      <c r="O258" s="79">
        <v>8.1771899340923201E-2</v>
      </c>
      <c r="P258" s="79">
        <v>6.2741389164346004E-2</v>
      </c>
      <c r="Q258" s="79">
        <v>0.12216541752230101</v>
      </c>
      <c r="R258" s="79">
        <v>1</v>
      </c>
      <c r="S258" s="102">
        <v>1.06988579819701</v>
      </c>
      <c r="T258" s="79">
        <v>8.2128442905426299E-2</v>
      </c>
      <c r="U258" s="79">
        <v>0.41078360446930501</v>
      </c>
      <c r="V258" s="79">
        <v>0.52877463979559503</v>
      </c>
      <c r="W258" s="79">
        <v>1</v>
      </c>
    </row>
    <row r="259" spans="2:23" x14ac:dyDescent="0.2">
      <c r="B259" t="s">
        <v>3595</v>
      </c>
      <c r="C259" s="84">
        <v>5018</v>
      </c>
      <c r="D259" s="102">
        <v>0.99397667027788139</v>
      </c>
      <c r="E259" s="79">
        <v>2.98068573823413E-2</v>
      </c>
      <c r="F259" s="79">
        <v>0.83937756994301205</v>
      </c>
      <c r="G259" s="79">
        <v>0.99362338620020496</v>
      </c>
      <c r="H259" s="79">
        <v>1</v>
      </c>
      <c r="I259" s="102">
        <v>1.0150992970352386</v>
      </c>
      <c r="J259" s="79">
        <v>2.95551539307226E-2</v>
      </c>
      <c r="K259" s="79">
        <v>0.61210794956474301</v>
      </c>
      <c r="L259" s="79">
        <v>0.87455910458575803</v>
      </c>
      <c r="M259" s="79">
        <v>1</v>
      </c>
      <c r="N259" s="102">
        <v>1.0062848875097508</v>
      </c>
      <c r="O259" s="79">
        <v>2.9338811220772899E-2</v>
      </c>
      <c r="P259" s="79">
        <v>0.83090020489629401</v>
      </c>
      <c r="Q259" s="79">
        <v>0.88413627330045397</v>
      </c>
      <c r="R259" s="79">
        <v>1</v>
      </c>
      <c r="S259" s="102">
        <v>1.0365877749478538</v>
      </c>
      <c r="T259" s="79">
        <v>2.9383460597980599E-2</v>
      </c>
      <c r="U259" s="79">
        <v>0.221350765247083</v>
      </c>
      <c r="V259" s="79">
        <v>0.32748314089830499</v>
      </c>
      <c r="W259" s="79">
        <v>1</v>
      </c>
    </row>
    <row r="260" spans="2:23" x14ac:dyDescent="0.2">
      <c r="B260" t="s">
        <v>3585</v>
      </c>
      <c r="C260" s="84">
        <v>4749</v>
      </c>
      <c r="D260" s="102">
        <v>0.97579428172662031</v>
      </c>
      <c r="E260" s="79">
        <v>3.7676071135050997E-2</v>
      </c>
      <c r="F260" s="79">
        <v>0.51545144554866695</v>
      </c>
      <c r="G260" s="79">
        <v>0.91752655785263504</v>
      </c>
      <c r="H260" s="79">
        <v>1</v>
      </c>
      <c r="I260" s="102">
        <v>1.1112570554903232</v>
      </c>
      <c r="J260" s="79">
        <v>3.7658466017748499E-2</v>
      </c>
      <c r="K260" s="79">
        <v>5.0900546216926697E-3</v>
      </c>
      <c r="L260" s="79">
        <v>0.143721784187822</v>
      </c>
      <c r="M260" s="79">
        <v>1</v>
      </c>
      <c r="N260" s="102">
        <v>1.1313548240220181</v>
      </c>
      <c r="O260" s="79">
        <v>3.7314652553087801E-2</v>
      </c>
      <c r="P260" s="79">
        <v>9.41537848965961E-4</v>
      </c>
      <c r="Q260" s="79">
        <v>4.1862601473709703E-3</v>
      </c>
      <c r="R260" s="79">
        <v>1</v>
      </c>
      <c r="S260" s="102">
        <v>1.1487251701582559</v>
      </c>
      <c r="T260" s="79">
        <v>3.7261633351057803E-2</v>
      </c>
      <c r="U260" s="79">
        <v>1.9838815624581601E-4</v>
      </c>
      <c r="V260" s="79">
        <v>1.2493291326409401E-3</v>
      </c>
      <c r="W260" s="79">
        <v>0.33606953668041201</v>
      </c>
    </row>
    <row r="261" spans="2:23" x14ac:dyDescent="0.2">
      <c r="B261" t="s">
        <v>3586</v>
      </c>
      <c r="C261" s="84">
        <v>4970</v>
      </c>
      <c r="D261" s="102">
        <v>0.97645051063571764</v>
      </c>
      <c r="E261" s="79">
        <v>5.7535069424080897E-2</v>
      </c>
      <c r="F261" s="79">
        <v>0.67872529294319295</v>
      </c>
      <c r="G261" s="79">
        <v>0.96670198527320195</v>
      </c>
      <c r="H261" s="79">
        <v>1</v>
      </c>
      <c r="I261" s="102">
        <v>1.0549938480250678</v>
      </c>
      <c r="J261" s="79">
        <v>5.7503011630751902E-2</v>
      </c>
      <c r="K261" s="79">
        <v>0.35185687614993599</v>
      </c>
      <c r="L261" s="79">
        <v>0.74233974250717605</v>
      </c>
      <c r="M261" s="79">
        <v>1</v>
      </c>
      <c r="N261" s="102">
        <v>1.1294711716040304</v>
      </c>
      <c r="O261" s="79">
        <v>5.6115668749046901E-2</v>
      </c>
      <c r="P261" s="79">
        <v>3.0035839253506499E-2</v>
      </c>
      <c r="Q261" s="79">
        <v>6.7302528697672004E-2</v>
      </c>
      <c r="R261" s="79">
        <v>1</v>
      </c>
      <c r="S261" s="102">
        <v>1.1231698084274364</v>
      </c>
      <c r="T261" s="79">
        <v>5.6706494757516199E-2</v>
      </c>
      <c r="U261" s="79">
        <v>4.0525500442446898E-2</v>
      </c>
      <c r="V261" s="79">
        <v>8.7215185170907497E-2</v>
      </c>
      <c r="W261" s="79">
        <v>1</v>
      </c>
    </row>
    <row r="262" spans="2:23" x14ac:dyDescent="0.2">
      <c r="B262" t="s">
        <v>3589</v>
      </c>
      <c r="C262" s="84">
        <v>4823</v>
      </c>
      <c r="D262" s="102">
        <v>1.0866114552678132</v>
      </c>
      <c r="E262" s="79">
        <v>7.9843186931994201E-2</v>
      </c>
      <c r="F262" s="79">
        <v>0.29818175552881998</v>
      </c>
      <c r="G262" s="79">
        <v>0.87846938063621105</v>
      </c>
      <c r="H262" s="79">
        <v>1</v>
      </c>
      <c r="I262" s="102">
        <v>1.1070432371987478</v>
      </c>
      <c r="J262" s="79">
        <v>7.8783087239611499E-2</v>
      </c>
      <c r="K262" s="79">
        <v>0.19677523051555501</v>
      </c>
      <c r="L262" s="79">
        <v>0.639802764862476</v>
      </c>
      <c r="M262" s="79">
        <v>1</v>
      </c>
      <c r="N262" s="102">
        <v>1.0971595557672067</v>
      </c>
      <c r="O262" s="79">
        <v>7.7655216491861703E-2</v>
      </c>
      <c r="P262" s="79">
        <v>0.23245636084181001</v>
      </c>
      <c r="Q262" s="79">
        <v>0.340052742025929</v>
      </c>
      <c r="R262" s="79">
        <v>1</v>
      </c>
      <c r="S262" s="102">
        <v>1.0116160670249221</v>
      </c>
      <c r="T262" s="79">
        <v>7.7969370661332499E-2</v>
      </c>
      <c r="U262" s="79">
        <v>0.88224507700321997</v>
      </c>
      <c r="V262" s="79">
        <v>0.91632321302480402</v>
      </c>
      <c r="W262" s="79">
        <v>1</v>
      </c>
    </row>
    <row r="263" spans="2:23" x14ac:dyDescent="0.2">
      <c r="B263" t="s">
        <v>3587</v>
      </c>
      <c r="C263" s="84">
        <v>5040</v>
      </c>
      <c r="D263" s="102">
        <v>0.94940420814700555</v>
      </c>
      <c r="E263" s="79">
        <v>5.9258848891855703E-2</v>
      </c>
      <c r="F263" s="79">
        <v>0.380939321537479</v>
      </c>
      <c r="G263" s="79">
        <v>0.89461055933914202</v>
      </c>
      <c r="H263" s="79">
        <v>1</v>
      </c>
      <c r="I263" s="102">
        <v>1.0934272681251813</v>
      </c>
      <c r="J263" s="79">
        <v>5.8586185674236298E-2</v>
      </c>
      <c r="K263" s="79">
        <v>0.12737360635888301</v>
      </c>
      <c r="L263" s="79">
        <v>0.55552266356551805</v>
      </c>
      <c r="M263" s="79">
        <v>1</v>
      </c>
      <c r="N263" s="102">
        <v>1.1651053111598821</v>
      </c>
      <c r="O263" s="79">
        <v>5.8748026676733497E-2</v>
      </c>
      <c r="P263" s="79">
        <v>9.2916202493968196E-3</v>
      </c>
      <c r="Q263" s="79">
        <v>2.6233341170796998E-2</v>
      </c>
      <c r="R263" s="79">
        <v>1</v>
      </c>
      <c r="S263" s="102">
        <v>1.0837429392177012</v>
      </c>
      <c r="T263" s="79">
        <v>5.7818056241807102E-2</v>
      </c>
      <c r="U263" s="79">
        <v>0.164247362754878</v>
      </c>
      <c r="V263" s="79">
        <v>0.26027598924860901</v>
      </c>
      <c r="W263" s="79">
        <v>1</v>
      </c>
    </row>
    <row r="264" spans="2:23" x14ac:dyDescent="0.2">
      <c r="B264" t="s">
        <v>3588</v>
      </c>
      <c r="C264" s="84">
        <v>4856</v>
      </c>
      <c r="D264" s="102">
        <v>1.0222902162090275</v>
      </c>
      <c r="E264" s="79">
        <v>5.3723258151480199E-2</v>
      </c>
      <c r="F264" s="79">
        <v>0.68154810775275998</v>
      </c>
      <c r="G264" s="79">
        <v>0.96670198527320195</v>
      </c>
      <c r="H264" s="79">
        <v>1</v>
      </c>
      <c r="I264" s="102">
        <v>1.1616111790301147</v>
      </c>
      <c r="J264" s="79">
        <v>5.3800046333572202E-2</v>
      </c>
      <c r="K264" s="79">
        <v>5.3604913854445203E-3</v>
      </c>
      <c r="L264" s="79">
        <v>0.143721784187822</v>
      </c>
      <c r="M264" s="79">
        <v>1</v>
      </c>
      <c r="N264" s="102">
        <v>1.0291405692424396</v>
      </c>
      <c r="O264" s="79">
        <v>5.3056527662963003E-2</v>
      </c>
      <c r="P264" s="79">
        <v>0.58824163461531198</v>
      </c>
      <c r="Q264" s="79">
        <v>0.69248181309127099</v>
      </c>
      <c r="R264" s="79">
        <v>1</v>
      </c>
      <c r="S264" s="102">
        <v>1.0611323353281166</v>
      </c>
      <c r="T264" s="79">
        <v>5.2522658525202097E-2</v>
      </c>
      <c r="U264" s="79">
        <v>0.25858876155989102</v>
      </c>
      <c r="V264" s="79">
        <v>0.36872841926132599</v>
      </c>
      <c r="W264" s="79">
        <v>1</v>
      </c>
    </row>
    <row r="265" spans="2:23" x14ac:dyDescent="0.2">
      <c r="B265" t="s">
        <v>3597</v>
      </c>
      <c r="C265" s="84">
        <v>5037</v>
      </c>
      <c r="D265" s="102">
        <v>1.0048487973029225</v>
      </c>
      <c r="E265" s="79">
        <v>3.2504934522229502E-2</v>
      </c>
      <c r="F265" s="79">
        <v>0.88170306340917803</v>
      </c>
      <c r="G265" s="79">
        <v>0.99362338620020496</v>
      </c>
      <c r="H265" s="79">
        <v>1</v>
      </c>
      <c r="I265" s="102">
        <v>1.1051678695297267</v>
      </c>
      <c r="J265" s="79">
        <v>3.2388029698351098E-2</v>
      </c>
      <c r="K265" s="79">
        <v>2.01864549937484E-3</v>
      </c>
      <c r="L265" s="79">
        <v>0.113986182531366</v>
      </c>
      <c r="M265" s="79">
        <v>1</v>
      </c>
      <c r="N265" s="102">
        <v>1.1234453359610557</v>
      </c>
      <c r="O265" s="79">
        <v>3.2051859931959199E-2</v>
      </c>
      <c r="P265" s="79">
        <v>2.8164829370051699E-4</v>
      </c>
      <c r="Q265" s="79">
        <v>1.6002338435844E-3</v>
      </c>
      <c r="R265" s="79">
        <v>0.477112209528676</v>
      </c>
      <c r="S265" s="102">
        <v>1.1061920242058636</v>
      </c>
      <c r="T265" s="79">
        <v>3.20573459068186E-2</v>
      </c>
      <c r="U265" s="79">
        <v>1.64269222765891E-3</v>
      </c>
      <c r="V265" s="79">
        <v>6.72154742428549E-3</v>
      </c>
      <c r="W265" s="79">
        <v>1</v>
      </c>
    </row>
    <row r="266" spans="2:23" x14ac:dyDescent="0.2">
      <c r="B266" t="s">
        <v>3592</v>
      </c>
      <c r="C266" s="84">
        <v>5018</v>
      </c>
      <c r="D266" s="102">
        <v>0.96396328917456164</v>
      </c>
      <c r="E266" s="79">
        <v>3.3758143320113398E-2</v>
      </c>
      <c r="F266" s="79">
        <v>0.27694563710819597</v>
      </c>
      <c r="G266" s="79">
        <v>0.86861170490914397</v>
      </c>
      <c r="H266" s="79">
        <v>1</v>
      </c>
      <c r="I266" s="102">
        <v>0.98184849461964963</v>
      </c>
      <c r="J266" s="79">
        <v>3.3489853372410797E-2</v>
      </c>
      <c r="K266" s="79">
        <v>0.584392780310518</v>
      </c>
      <c r="L266" s="79">
        <v>0.86416823426642797</v>
      </c>
      <c r="M266" s="79">
        <v>1</v>
      </c>
      <c r="N266" s="102">
        <v>1.0169233877045276</v>
      </c>
      <c r="O266" s="79">
        <v>3.3235043347451997E-2</v>
      </c>
      <c r="P266" s="79">
        <v>0.61359929230392196</v>
      </c>
      <c r="Q266" s="79">
        <v>0.71438982897790004</v>
      </c>
      <c r="R266" s="79">
        <v>1</v>
      </c>
      <c r="S266" s="102">
        <v>1.0082407978560926</v>
      </c>
      <c r="T266" s="79">
        <v>3.3355647311674202E-2</v>
      </c>
      <c r="U266" s="79">
        <v>0.80564652451389196</v>
      </c>
      <c r="V266" s="79">
        <v>0.85404581509795596</v>
      </c>
      <c r="W266" s="79">
        <v>1</v>
      </c>
    </row>
    <row r="267" spans="2:23" x14ac:dyDescent="0.2">
      <c r="B267" t="s">
        <v>3593</v>
      </c>
      <c r="C267" s="84">
        <v>4121</v>
      </c>
      <c r="D267" s="102">
        <v>0.96743812743585766</v>
      </c>
      <c r="E267" s="79">
        <v>3.4661326740743202E-2</v>
      </c>
      <c r="F267" s="79">
        <v>0.33954501585629099</v>
      </c>
      <c r="G267" s="79">
        <v>0.88889892785277203</v>
      </c>
      <c r="H267" s="79">
        <v>1</v>
      </c>
      <c r="I267" s="102">
        <v>1.0153062745456567</v>
      </c>
      <c r="J267" s="79">
        <v>3.4374165388850103E-2</v>
      </c>
      <c r="K267" s="79">
        <v>0.65855374728707095</v>
      </c>
      <c r="L267" s="79">
        <v>0.88538892690817295</v>
      </c>
      <c r="M267" s="79">
        <v>1</v>
      </c>
      <c r="N267" s="102">
        <v>1.0110117573867994</v>
      </c>
      <c r="O267" s="79">
        <v>3.4044273324958803E-2</v>
      </c>
      <c r="P267" s="79">
        <v>0.74769051095148598</v>
      </c>
      <c r="Q267" s="79">
        <v>0.82891866855485397</v>
      </c>
      <c r="R267" s="79">
        <v>1</v>
      </c>
      <c r="S267" s="102">
        <v>0.99707578678032216</v>
      </c>
      <c r="T267" s="79">
        <v>3.4084983994627401E-2</v>
      </c>
      <c r="U267" s="79">
        <v>0.931531988951949</v>
      </c>
      <c r="V267" s="79">
        <v>0.95290772299794801</v>
      </c>
      <c r="W267" s="79">
        <v>1</v>
      </c>
    </row>
    <row r="268" spans="2:23" x14ac:dyDescent="0.2">
      <c r="B268" t="s">
        <v>3596</v>
      </c>
      <c r="C268" s="84">
        <v>5037</v>
      </c>
      <c r="D268" s="102">
        <v>1.0591675680365642</v>
      </c>
      <c r="E268" s="79">
        <v>3.04369723856312E-2</v>
      </c>
      <c r="F268" s="79">
        <v>5.8945357205554202E-2</v>
      </c>
      <c r="G268" s="79">
        <v>0.71323882218720602</v>
      </c>
      <c r="H268" s="79">
        <v>1</v>
      </c>
      <c r="I268" s="102">
        <v>1.0389867700931423</v>
      </c>
      <c r="J268" s="79">
        <v>3.02078650699317E-2</v>
      </c>
      <c r="K268" s="79">
        <v>0.205479643660745</v>
      </c>
      <c r="L268" s="79">
        <v>0.64562718647773698</v>
      </c>
      <c r="M268" s="79">
        <v>1</v>
      </c>
      <c r="N268" s="102">
        <v>0.98266086060396696</v>
      </c>
      <c r="O268" s="79">
        <v>2.99316305523472E-2</v>
      </c>
      <c r="P268" s="79">
        <v>0.55896970053813</v>
      </c>
      <c r="Q268" s="79">
        <v>0.67013069547883397</v>
      </c>
      <c r="R268" s="79">
        <v>1</v>
      </c>
      <c r="S268" s="102">
        <v>1.0150072930366021</v>
      </c>
      <c r="T268" s="79">
        <v>3.0019778761841701E-2</v>
      </c>
      <c r="U268" s="79">
        <v>0.61975369866388497</v>
      </c>
      <c r="V268" s="79">
        <v>0.70177992348704599</v>
      </c>
      <c r="W268" s="79">
        <v>1</v>
      </c>
    </row>
    <row r="269" spans="2:23" x14ac:dyDescent="0.2">
      <c r="B269" s="51" t="s">
        <v>2265</v>
      </c>
      <c r="C269" s="84"/>
      <c r="D269" s="102"/>
      <c r="E269" s="79"/>
      <c r="F269" s="79"/>
      <c r="G269" s="79"/>
      <c r="H269" s="79"/>
      <c r="I269" s="102"/>
      <c r="J269" s="79"/>
      <c r="K269" s="79"/>
      <c r="L269" s="79"/>
      <c r="M269" s="79"/>
      <c r="N269" s="102"/>
      <c r="O269" s="79"/>
      <c r="P269" s="79"/>
      <c r="Q269" s="79"/>
      <c r="R269" s="79"/>
      <c r="S269" s="102"/>
      <c r="T269" s="79"/>
      <c r="U269" s="79"/>
      <c r="V269" s="79"/>
      <c r="W269" s="79"/>
    </row>
    <row r="270" spans="2:23" x14ac:dyDescent="0.2">
      <c r="B270" t="s">
        <v>886</v>
      </c>
      <c r="C270" s="84">
        <v>4502</v>
      </c>
      <c r="D270" s="102">
        <v>-3.75942522710774E-3</v>
      </c>
      <c r="E270" s="79">
        <v>1.29349330479538E-2</v>
      </c>
      <c r="F270" s="79">
        <v>0.77134570210586195</v>
      </c>
      <c r="G270" s="79">
        <v>0.98541449424383898</v>
      </c>
      <c r="H270" s="79">
        <v>1</v>
      </c>
      <c r="I270" s="102">
        <v>2.2894003368879E-3</v>
      </c>
      <c r="J270" s="79">
        <v>1.31260757702338E-2</v>
      </c>
      <c r="K270" s="79">
        <v>0.86154945075448197</v>
      </c>
      <c r="L270" s="79">
        <v>0.965254477234188</v>
      </c>
      <c r="M270" s="79">
        <v>1</v>
      </c>
      <c r="N270" s="102">
        <v>-2.2096872650534401E-2</v>
      </c>
      <c r="O270" s="79">
        <v>1.27934527824399E-2</v>
      </c>
      <c r="P270" s="79">
        <v>8.4233934124680998E-2</v>
      </c>
      <c r="Q270" s="79">
        <v>0.153103309449796</v>
      </c>
      <c r="R270" s="79">
        <v>1</v>
      </c>
      <c r="S270" s="102">
        <v>-1.7606013438058999E-2</v>
      </c>
      <c r="T270" s="79">
        <v>1.28197395524233E-2</v>
      </c>
      <c r="U270" s="79">
        <v>0.16974260469372099</v>
      </c>
      <c r="V270" s="79">
        <v>0.26723417504754998</v>
      </c>
      <c r="W270" s="79">
        <v>1</v>
      </c>
    </row>
    <row r="271" spans="2:23" x14ac:dyDescent="0.2">
      <c r="B271" t="s">
        <v>877</v>
      </c>
      <c r="C271" s="84">
        <v>4890</v>
      </c>
      <c r="D271" s="102">
        <v>1.4946963341779E-2</v>
      </c>
      <c r="E271" s="79">
        <v>1.22516443614795E-2</v>
      </c>
      <c r="F271" s="79">
        <v>0.22255572526262199</v>
      </c>
      <c r="G271" s="79">
        <v>0.84071215771938901</v>
      </c>
      <c r="H271" s="79">
        <v>1</v>
      </c>
      <c r="I271" s="102">
        <v>7.0482798308918E-3</v>
      </c>
      <c r="J271" s="79">
        <v>1.2384462325750901E-2</v>
      </c>
      <c r="K271" s="79">
        <v>0.56931030409911099</v>
      </c>
      <c r="L271" s="79">
        <v>0.85878159627519401</v>
      </c>
      <c r="M271" s="79">
        <v>1</v>
      </c>
      <c r="N271" s="102">
        <v>-1.27911176898585E-2</v>
      </c>
      <c r="O271" s="79">
        <v>1.2167010658216701E-2</v>
      </c>
      <c r="P271" s="79">
        <v>0.29320113878457399</v>
      </c>
      <c r="Q271" s="79">
        <v>0.40645067847877903</v>
      </c>
      <c r="R271" s="79">
        <v>1</v>
      </c>
      <c r="S271" s="102">
        <v>-1.31961720677951E-2</v>
      </c>
      <c r="T271" s="79">
        <v>1.22386605959475E-2</v>
      </c>
      <c r="U271" s="79">
        <v>0.28100598818455702</v>
      </c>
      <c r="V271" s="79">
        <v>0.39358399882860001</v>
      </c>
      <c r="W271" s="79">
        <v>1</v>
      </c>
    </row>
    <row r="272" spans="2:23" x14ac:dyDescent="0.2">
      <c r="B272" t="s">
        <v>884</v>
      </c>
      <c r="C272" s="84">
        <v>4442</v>
      </c>
      <c r="D272" s="102">
        <v>-1.7495213153393498E-2</v>
      </c>
      <c r="E272" s="79">
        <v>1.3411656580573601E-2</v>
      </c>
      <c r="F272" s="79">
        <v>0.19216380742452999</v>
      </c>
      <c r="G272" s="79">
        <v>0.83003013605610498</v>
      </c>
      <c r="H272" s="79">
        <v>1</v>
      </c>
      <c r="I272" s="102">
        <v>-2.3482354340382601E-2</v>
      </c>
      <c r="J272" s="79">
        <v>1.35454422023899E-2</v>
      </c>
      <c r="K272" s="79">
        <v>8.3079577706035204E-2</v>
      </c>
      <c r="L272" s="79">
        <v>0.48529932632422002</v>
      </c>
      <c r="M272" s="79">
        <v>1</v>
      </c>
      <c r="N272" s="102">
        <v>6.1095754986153503E-3</v>
      </c>
      <c r="O272" s="79">
        <v>1.3237621931548E-2</v>
      </c>
      <c r="P272" s="79">
        <v>0.64444865168158005</v>
      </c>
      <c r="Q272" s="79">
        <v>0.74214549010781605</v>
      </c>
      <c r="R272" s="79">
        <v>1</v>
      </c>
      <c r="S272" s="102">
        <v>-1.28803336021267E-2</v>
      </c>
      <c r="T272" s="79">
        <v>1.3291666730632701E-2</v>
      </c>
      <c r="U272" s="79">
        <v>0.332588320529077</v>
      </c>
      <c r="V272" s="79">
        <v>0.44928597685506899</v>
      </c>
      <c r="W272" s="79">
        <v>1</v>
      </c>
    </row>
    <row r="273" spans="2:23" x14ac:dyDescent="0.2">
      <c r="B273" t="s">
        <v>885</v>
      </c>
      <c r="C273" s="84">
        <v>4653</v>
      </c>
      <c r="D273" s="102">
        <v>2.4738362403899398E-3</v>
      </c>
      <c r="E273" s="79">
        <v>1.3124132307036299E-2</v>
      </c>
      <c r="F273" s="79">
        <v>0.85049975794035304</v>
      </c>
      <c r="G273" s="79">
        <v>0.99362338620020496</v>
      </c>
      <c r="H273" s="79">
        <v>1</v>
      </c>
      <c r="I273" s="102">
        <v>-9.1414932898904195E-3</v>
      </c>
      <c r="J273" s="79">
        <v>1.32003083138818E-2</v>
      </c>
      <c r="K273" s="79">
        <v>0.48865569622842697</v>
      </c>
      <c r="L273" s="79">
        <v>0.81394567297045795</v>
      </c>
      <c r="M273" s="79">
        <v>1</v>
      </c>
      <c r="N273" s="102">
        <v>-3.0406347047516401E-2</v>
      </c>
      <c r="O273" s="79">
        <v>1.2939478493773001E-2</v>
      </c>
      <c r="P273" s="79">
        <v>1.88361739772108E-2</v>
      </c>
      <c r="Q273" s="79">
        <v>4.6378602786911499E-2</v>
      </c>
      <c r="R273" s="79">
        <v>1</v>
      </c>
      <c r="S273" s="102">
        <v>-1.76507184554409E-2</v>
      </c>
      <c r="T273" s="79">
        <v>1.29944439974335E-2</v>
      </c>
      <c r="U273" s="79">
        <v>0.17444796187571801</v>
      </c>
      <c r="V273" s="79">
        <v>0.27186278511266498</v>
      </c>
      <c r="W273" s="79">
        <v>1</v>
      </c>
    </row>
    <row r="274" spans="2:23" x14ac:dyDescent="0.2">
      <c r="B274" t="s">
        <v>879</v>
      </c>
      <c r="C274" s="84">
        <v>4828</v>
      </c>
      <c r="D274" s="102">
        <v>-6.2554723146260602E-3</v>
      </c>
      <c r="E274" s="79">
        <v>1.3616092866067299E-2</v>
      </c>
      <c r="F274" s="79">
        <v>0.64595741169406895</v>
      </c>
      <c r="G274" s="79">
        <v>0.95767440062337605</v>
      </c>
      <c r="H274" s="79">
        <v>1</v>
      </c>
      <c r="I274" s="102">
        <v>-2.3293846541655599E-2</v>
      </c>
      <c r="J274" s="79">
        <v>1.3724413953329901E-2</v>
      </c>
      <c r="K274" s="79">
        <v>8.9717917849930398E-2</v>
      </c>
      <c r="L274" s="79">
        <v>0.50159126349103</v>
      </c>
      <c r="M274" s="79">
        <v>1</v>
      </c>
      <c r="N274" s="102">
        <v>-1.8888285794935102E-2</v>
      </c>
      <c r="O274" s="79">
        <v>1.3510032824350199E-2</v>
      </c>
      <c r="P274" s="79">
        <v>0.16215595649446801</v>
      </c>
      <c r="Q274" s="79">
        <v>0.25529013968552899</v>
      </c>
      <c r="R274" s="79">
        <v>1</v>
      </c>
      <c r="S274" s="102">
        <v>-3.6164070849452702E-2</v>
      </c>
      <c r="T274" s="79">
        <v>1.35519691461677E-2</v>
      </c>
      <c r="U274" s="79">
        <v>7.6457188230705199E-3</v>
      </c>
      <c r="V274" s="79">
        <v>2.2647175447761701E-2</v>
      </c>
      <c r="W274" s="79">
        <v>1</v>
      </c>
    </row>
    <row r="275" spans="2:23" x14ac:dyDescent="0.2">
      <c r="B275" t="s">
        <v>883</v>
      </c>
      <c r="C275" s="84">
        <v>4795</v>
      </c>
      <c r="D275" s="102">
        <v>-4.7390765304052796E-3</v>
      </c>
      <c r="E275" s="79">
        <v>1.3104261160211199E-2</v>
      </c>
      <c r="F275" s="79">
        <v>0.71763839045194899</v>
      </c>
      <c r="G275" s="79">
        <v>0.97160036230239</v>
      </c>
      <c r="H275" s="79">
        <v>1</v>
      </c>
      <c r="I275" s="102">
        <v>5.4635266286414104E-3</v>
      </c>
      <c r="J275" s="79">
        <v>1.3214739081073901E-2</v>
      </c>
      <c r="K275" s="79">
        <v>0.67930544149964001</v>
      </c>
      <c r="L275" s="79">
        <v>0.8940422852919</v>
      </c>
      <c r="M275" s="79">
        <v>1</v>
      </c>
      <c r="N275" s="102">
        <v>-2.7489440210927502E-2</v>
      </c>
      <c r="O275" s="79">
        <v>1.298006438926E-2</v>
      </c>
      <c r="P275" s="79">
        <v>3.4254638317160697E-2</v>
      </c>
      <c r="Q275" s="79">
        <v>7.4585292171298501E-2</v>
      </c>
      <c r="R275" s="79">
        <v>1</v>
      </c>
      <c r="S275" s="102">
        <v>-2.6078568703919201E-2</v>
      </c>
      <c r="T275" s="79">
        <v>1.30538261738747E-2</v>
      </c>
      <c r="U275" s="79">
        <v>4.5810510967639897E-2</v>
      </c>
      <c r="V275" s="79">
        <v>9.5218411753597507E-2</v>
      </c>
      <c r="W275" s="79">
        <v>1</v>
      </c>
    </row>
    <row r="276" spans="2:23" x14ac:dyDescent="0.2">
      <c r="B276" t="s">
        <v>878</v>
      </c>
      <c r="C276" s="84">
        <v>4898</v>
      </c>
      <c r="D276" s="102">
        <v>8.5319060548515995E-3</v>
      </c>
      <c r="E276" s="79">
        <v>1.2498565458779301E-2</v>
      </c>
      <c r="F276" s="79">
        <v>0.494885963927645</v>
      </c>
      <c r="G276" s="79">
        <v>0.91678121217168596</v>
      </c>
      <c r="H276" s="79">
        <v>1</v>
      </c>
      <c r="I276" s="102">
        <v>-1.28027020656095E-2</v>
      </c>
      <c r="J276" s="79">
        <v>1.2648379296017901E-2</v>
      </c>
      <c r="K276" s="79">
        <v>0.31150935029350901</v>
      </c>
      <c r="L276" s="79">
        <v>0.71287249273680797</v>
      </c>
      <c r="M276" s="79">
        <v>1</v>
      </c>
      <c r="N276" s="102">
        <v>-2.1848846398101199E-2</v>
      </c>
      <c r="O276" s="79">
        <v>1.24196553922469E-2</v>
      </c>
      <c r="P276" s="79">
        <v>7.8628008562951504E-2</v>
      </c>
      <c r="Q276" s="79">
        <v>0.14450136600017399</v>
      </c>
      <c r="R276" s="79">
        <v>1</v>
      </c>
      <c r="S276" s="102">
        <v>-2.2725153693617699E-2</v>
      </c>
      <c r="T276" s="79">
        <v>1.24857631813043E-2</v>
      </c>
      <c r="U276" s="79">
        <v>6.8828832027299003E-2</v>
      </c>
      <c r="V276" s="79">
        <v>0.130420628024882</v>
      </c>
      <c r="W276" s="79">
        <v>1</v>
      </c>
    </row>
    <row r="277" spans="2:23" x14ac:dyDescent="0.2">
      <c r="B277" t="s">
        <v>880</v>
      </c>
      <c r="C277" s="84">
        <v>4500</v>
      </c>
      <c r="D277" s="102">
        <v>-2.1225220600342098E-2</v>
      </c>
      <c r="E277" s="79">
        <v>1.39878100413865E-2</v>
      </c>
      <c r="F277" s="79">
        <v>0.129243487454206</v>
      </c>
      <c r="G277" s="79">
        <v>0.80938271582532695</v>
      </c>
      <c r="H277" s="79">
        <v>1</v>
      </c>
      <c r="I277" s="102">
        <v>4.9510234987316503E-3</v>
      </c>
      <c r="J277" s="79">
        <v>1.41524480248626E-2</v>
      </c>
      <c r="K277" s="79">
        <v>0.72648061493376204</v>
      </c>
      <c r="L277" s="79">
        <v>0.91703290737540499</v>
      </c>
      <c r="M277" s="79">
        <v>1</v>
      </c>
      <c r="N277" s="102">
        <v>-5.3724918039056498E-2</v>
      </c>
      <c r="O277" s="79">
        <v>1.3949417008976599E-2</v>
      </c>
      <c r="P277" s="79">
        <v>1.1931834028251701E-4</v>
      </c>
      <c r="Q277" s="79">
        <v>8.0208439856580905E-4</v>
      </c>
      <c r="R277" s="79">
        <v>0.202125268438584</v>
      </c>
      <c r="S277" s="102">
        <v>-1.00632638657206E-2</v>
      </c>
      <c r="T277" s="79">
        <v>1.3945338389625901E-2</v>
      </c>
      <c r="U277" s="79">
        <v>0.47056903655208898</v>
      </c>
      <c r="V277" s="79">
        <v>0.58356072322052599</v>
      </c>
      <c r="W277" s="79">
        <v>1</v>
      </c>
    </row>
    <row r="278" spans="2:23" x14ac:dyDescent="0.2">
      <c r="B278" t="s">
        <v>882</v>
      </c>
      <c r="C278" s="84">
        <v>4594</v>
      </c>
      <c r="D278" s="102">
        <v>-5.5159421875441801E-3</v>
      </c>
      <c r="E278" s="79">
        <v>1.2424018856832E-2</v>
      </c>
      <c r="F278" s="79">
        <v>0.65709520038482006</v>
      </c>
      <c r="G278" s="79">
        <v>0.95805425431636804</v>
      </c>
      <c r="H278" s="79">
        <v>1</v>
      </c>
      <c r="I278" s="102">
        <v>-1.21832169724521E-2</v>
      </c>
      <c r="J278" s="79">
        <v>1.2622505728166601E-2</v>
      </c>
      <c r="K278" s="79">
        <v>0.33452259358727698</v>
      </c>
      <c r="L278" s="79">
        <v>0.72838209966175704</v>
      </c>
      <c r="M278" s="79">
        <v>1</v>
      </c>
      <c r="N278" s="102">
        <v>-1.16735458981425E-2</v>
      </c>
      <c r="O278" s="79">
        <v>1.2329933016265801E-2</v>
      </c>
      <c r="P278" s="79">
        <v>0.34383845335623098</v>
      </c>
      <c r="Q278" s="79">
        <v>0.46080881327963202</v>
      </c>
      <c r="R278" s="79">
        <v>1</v>
      </c>
      <c r="S278" s="102">
        <v>-1.21348728980446E-2</v>
      </c>
      <c r="T278" s="79">
        <v>1.24238705768248E-2</v>
      </c>
      <c r="U278" s="79">
        <v>0.32877822769085802</v>
      </c>
      <c r="V278" s="79">
        <v>0.44484849657213499</v>
      </c>
      <c r="W278" s="79">
        <v>1</v>
      </c>
    </row>
    <row r="279" spans="2:23" x14ac:dyDescent="0.2">
      <c r="B279" t="s">
        <v>881</v>
      </c>
      <c r="C279" s="84">
        <v>4801</v>
      </c>
      <c r="D279" s="102">
        <v>1.3434347120686699E-2</v>
      </c>
      <c r="E279" s="79">
        <v>1.35773059699943E-2</v>
      </c>
      <c r="F279" s="79">
        <v>0.32249081526031398</v>
      </c>
      <c r="G279" s="79">
        <v>0.88730162874475904</v>
      </c>
      <c r="H279" s="79">
        <v>1</v>
      </c>
      <c r="I279" s="102">
        <v>-1.9705143035229598E-2</v>
      </c>
      <c r="J279" s="79">
        <v>1.37463315421586E-2</v>
      </c>
      <c r="K279" s="79">
        <v>0.15179220785738601</v>
      </c>
      <c r="L279" s="79">
        <v>0.59522222247780499</v>
      </c>
      <c r="M279" s="79">
        <v>1</v>
      </c>
      <c r="N279" s="102">
        <v>-4.3790101601021501E-2</v>
      </c>
      <c r="O279" s="79">
        <v>1.3502383584710301E-2</v>
      </c>
      <c r="P279" s="79">
        <v>1.1915039772411101E-3</v>
      </c>
      <c r="Q279" s="79">
        <v>5.0586660086376998E-3</v>
      </c>
      <c r="R279" s="79">
        <v>1</v>
      </c>
      <c r="S279" s="102">
        <v>-4.5798490695139797E-2</v>
      </c>
      <c r="T279" s="79">
        <v>1.3526342334438999E-2</v>
      </c>
      <c r="U279" s="79">
        <v>7.1593929011777699E-4</v>
      </c>
      <c r="V279" s="79">
        <v>3.4477438937352699E-3</v>
      </c>
      <c r="W279" s="79">
        <v>1</v>
      </c>
    </row>
    <row r="280" spans="2:23" x14ac:dyDescent="0.2">
      <c r="B280" t="s">
        <v>874</v>
      </c>
      <c r="C280" s="84">
        <v>5015</v>
      </c>
      <c r="D280" s="102">
        <v>7.8522719252035404E-4</v>
      </c>
      <c r="E280" s="79">
        <v>1.17458939787116E-2</v>
      </c>
      <c r="F280" s="79">
        <v>0.94670448396548601</v>
      </c>
      <c r="G280" s="79">
        <v>0.99840985319461195</v>
      </c>
      <c r="H280" s="79">
        <v>1</v>
      </c>
      <c r="I280" s="102">
        <v>-6.3324703446610902E-3</v>
      </c>
      <c r="J280" s="79">
        <v>1.19073636677194E-2</v>
      </c>
      <c r="K280" s="79">
        <v>0.59489276787289402</v>
      </c>
      <c r="L280" s="79">
        <v>0.86874857653162296</v>
      </c>
      <c r="M280" s="79">
        <v>1</v>
      </c>
      <c r="N280" s="102">
        <v>-3.9639647691948998E-2</v>
      </c>
      <c r="O280" s="79">
        <v>1.1659843551999401E-2</v>
      </c>
      <c r="P280" s="79">
        <v>6.8306297487362195E-4</v>
      </c>
      <c r="Q280" s="79">
        <v>3.2392976441692799E-3</v>
      </c>
      <c r="R280" s="79">
        <v>1</v>
      </c>
      <c r="S280" s="102">
        <v>-3.0159982117405702E-2</v>
      </c>
      <c r="T280" s="79">
        <v>1.17561712864415E-2</v>
      </c>
      <c r="U280" s="79">
        <v>1.03484130390266E-2</v>
      </c>
      <c r="V280" s="79">
        <v>2.90716611743135E-2</v>
      </c>
      <c r="W280" s="79">
        <v>1</v>
      </c>
    </row>
    <row r="281" spans="2:23" x14ac:dyDescent="0.2">
      <c r="B281" t="s">
        <v>876</v>
      </c>
      <c r="C281" s="84">
        <v>5016</v>
      </c>
      <c r="D281" s="102">
        <v>-2.9696095262421499E-3</v>
      </c>
      <c r="E281" s="79">
        <v>1.12378318373698E-2</v>
      </c>
      <c r="F281" s="79">
        <v>0.79160662572423801</v>
      </c>
      <c r="G281" s="79">
        <v>0.99158613425276598</v>
      </c>
      <c r="H281" s="79">
        <v>1</v>
      </c>
      <c r="I281" s="102">
        <v>-9.3034539775651293E-3</v>
      </c>
      <c r="J281" s="79">
        <v>1.1416082790865201E-2</v>
      </c>
      <c r="K281" s="79">
        <v>0.41517277734777402</v>
      </c>
      <c r="L281" s="79">
        <v>0.77457601124515996</v>
      </c>
      <c r="M281" s="79">
        <v>1</v>
      </c>
      <c r="N281" s="102">
        <v>-3.3824636690911E-2</v>
      </c>
      <c r="O281" s="79">
        <v>1.11636925572109E-2</v>
      </c>
      <c r="P281" s="79">
        <v>2.4693167526081898E-3</v>
      </c>
      <c r="Q281" s="79">
        <v>8.8390240931198304E-3</v>
      </c>
      <c r="R281" s="79">
        <v>1</v>
      </c>
      <c r="S281" s="102">
        <v>-2.6993663928598598E-2</v>
      </c>
      <c r="T281" s="79">
        <v>1.1265939158469501E-2</v>
      </c>
      <c r="U281" s="79">
        <v>1.6637465083886901E-2</v>
      </c>
      <c r="V281" s="79">
        <v>4.25738154865625E-2</v>
      </c>
      <c r="W281" s="79">
        <v>1</v>
      </c>
    </row>
    <row r="282" spans="2:23" x14ac:dyDescent="0.2">
      <c r="B282" t="s">
        <v>875</v>
      </c>
      <c r="C282" s="84">
        <v>5014</v>
      </c>
      <c r="D282" s="102">
        <v>-4.6186998006033297E-3</v>
      </c>
      <c r="E282" s="79">
        <v>1.15988538772888E-2</v>
      </c>
      <c r="F282" s="79">
        <v>0.69050957307030902</v>
      </c>
      <c r="G282" s="79">
        <v>0.96831418681398196</v>
      </c>
      <c r="H282" s="79">
        <v>1</v>
      </c>
      <c r="I282" s="102">
        <v>-1.1129677718006501E-2</v>
      </c>
      <c r="J282" s="79">
        <v>1.1765544118861901E-2</v>
      </c>
      <c r="K282" s="79">
        <v>0.34424521072272501</v>
      </c>
      <c r="L282" s="79">
        <v>0.74003983117296501</v>
      </c>
      <c r="M282" s="79">
        <v>1</v>
      </c>
      <c r="N282" s="102">
        <v>-2.4336296573654301E-2</v>
      </c>
      <c r="O282" s="79">
        <v>1.15193724034646E-2</v>
      </c>
      <c r="P282" s="79">
        <v>3.4714725564640801E-2</v>
      </c>
      <c r="Q282" s="79">
        <v>7.5183632636430298E-2</v>
      </c>
      <c r="R282" s="79">
        <v>1</v>
      </c>
      <c r="S282" s="102">
        <v>-2.3330837645118899E-2</v>
      </c>
      <c r="T282" s="79">
        <v>1.1612206263099001E-2</v>
      </c>
      <c r="U282" s="79">
        <v>4.4606906734478598E-2</v>
      </c>
      <c r="V282" s="79">
        <v>9.3289012355810802E-2</v>
      </c>
      <c r="W282" s="79">
        <v>1</v>
      </c>
    </row>
    <row r="283" spans="2:23" x14ac:dyDescent="0.2">
      <c r="B283" t="s">
        <v>3725</v>
      </c>
      <c r="C283" s="84">
        <v>430</v>
      </c>
      <c r="D283" s="102">
        <v>1.1080025420156006</v>
      </c>
      <c r="E283" s="79">
        <v>0.113055453542036</v>
      </c>
      <c r="F283" s="79">
        <v>0.36432454382240698</v>
      </c>
      <c r="G283" s="79">
        <v>0.89461055933914202</v>
      </c>
      <c r="H283" s="79">
        <v>1</v>
      </c>
      <c r="I283" s="102">
        <v>1.0999696326649302</v>
      </c>
      <c r="J283" s="79">
        <v>0.11013203010097</v>
      </c>
      <c r="K283" s="79">
        <v>0.38694726127728801</v>
      </c>
      <c r="L283" s="79">
        <v>0.75866743125431202</v>
      </c>
      <c r="M283" s="79">
        <v>1</v>
      </c>
      <c r="N283" s="102">
        <v>1.0632158084120475</v>
      </c>
      <c r="O283" s="79">
        <v>0.107194660643496</v>
      </c>
      <c r="P283" s="79">
        <v>0.567430993225855</v>
      </c>
      <c r="Q283" s="79">
        <v>0.67759328106604599</v>
      </c>
      <c r="R283" s="79">
        <v>1</v>
      </c>
      <c r="S283" s="102">
        <v>0.90825672320278894</v>
      </c>
      <c r="T283" s="79">
        <v>0.101607573644508</v>
      </c>
      <c r="U283" s="79">
        <v>0.34360952551512502</v>
      </c>
      <c r="V283" s="79">
        <v>0.46158090987732903</v>
      </c>
      <c r="W283" s="79">
        <v>1</v>
      </c>
    </row>
    <row r="284" spans="2:23" x14ac:dyDescent="0.2">
      <c r="B284" t="s">
        <v>1005</v>
      </c>
      <c r="C284" s="84">
        <v>3553</v>
      </c>
      <c r="D284" s="102">
        <v>-4.9891864727095503E-2</v>
      </c>
      <c r="E284" s="79">
        <v>5.9228048867993703E-2</v>
      </c>
      <c r="F284" s="79">
        <v>0.40034756579210001</v>
      </c>
      <c r="G284" s="79">
        <v>0.89461055933914202</v>
      </c>
      <c r="H284" s="79">
        <v>1</v>
      </c>
      <c r="I284" s="102">
        <v>0.110145074462183</v>
      </c>
      <c r="J284" s="79">
        <v>5.7902131727346699E-2</v>
      </c>
      <c r="K284" s="79">
        <v>5.8243350844885501E-2</v>
      </c>
      <c r="L284" s="79">
        <v>0.42343732805227502</v>
      </c>
      <c r="M284" s="79">
        <v>1</v>
      </c>
      <c r="N284" s="102">
        <v>5.9777617446290397E-3</v>
      </c>
      <c r="O284" s="79">
        <v>6.0253794199175703E-2</v>
      </c>
      <c r="P284" s="79">
        <v>0.92104633450558804</v>
      </c>
      <c r="Q284" s="79">
        <v>0.94675515209494299</v>
      </c>
      <c r="R284" s="79">
        <v>1</v>
      </c>
      <c r="S284" s="102">
        <v>-1.01466101702841E-2</v>
      </c>
      <c r="T284" s="79">
        <v>5.3310226519966197E-2</v>
      </c>
      <c r="U284" s="79">
        <v>0.84919701243499401</v>
      </c>
      <c r="V284" s="79">
        <v>0.89128856199806705</v>
      </c>
      <c r="W284" s="79">
        <v>1</v>
      </c>
    </row>
    <row r="285" spans="2:23" x14ac:dyDescent="0.2">
      <c r="B285" t="s">
        <v>3724</v>
      </c>
      <c r="C285" s="84">
        <v>5027</v>
      </c>
      <c r="D285" s="102">
        <v>1.0187633944823646</v>
      </c>
      <c r="E285" s="79">
        <v>5.2598295027459697E-2</v>
      </c>
      <c r="F285" s="79">
        <v>0.72377011672760405</v>
      </c>
      <c r="G285" s="79">
        <v>0.89461055933914202</v>
      </c>
      <c r="H285" s="79">
        <v>1</v>
      </c>
      <c r="I285" s="102">
        <v>1.066576266916107</v>
      </c>
      <c r="J285" s="79">
        <v>5.21974287859635E-2</v>
      </c>
      <c r="K285" s="79">
        <v>0.21690221794466399</v>
      </c>
      <c r="L285" s="79">
        <v>0.42343732805227502</v>
      </c>
      <c r="M285" s="79">
        <v>1</v>
      </c>
      <c r="N285" s="102">
        <v>1.0059956642168275</v>
      </c>
      <c r="O285" s="79">
        <v>6.0253794199175703E-2</v>
      </c>
      <c r="P285" s="79">
        <v>0.92104633450558804</v>
      </c>
      <c r="Q285" s="79">
        <v>0.94675515209494299</v>
      </c>
      <c r="R285" s="79">
        <v>1</v>
      </c>
      <c r="S285" s="102">
        <v>0.9899046930142662</v>
      </c>
      <c r="T285" s="79">
        <v>5.3310226519966197E-2</v>
      </c>
      <c r="U285" s="79">
        <v>0.84919701243499401</v>
      </c>
      <c r="V285" s="79">
        <v>0.89128856199806705</v>
      </c>
      <c r="W285" s="79">
        <v>1</v>
      </c>
    </row>
    <row r="286" spans="2:23" x14ac:dyDescent="0.2">
      <c r="B286" t="s">
        <v>3726</v>
      </c>
      <c r="C286" s="84">
        <v>351</v>
      </c>
      <c r="D286" s="102">
        <v>0.91229101301802107</v>
      </c>
      <c r="E286" s="79">
        <v>0.125449716143923</v>
      </c>
      <c r="F286" s="79">
        <v>0.464328876533112</v>
      </c>
      <c r="G286" s="79">
        <v>0.91151047511105199</v>
      </c>
      <c r="H286" s="79">
        <v>1</v>
      </c>
      <c r="I286" s="102">
        <v>1.1154529601390621</v>
      </c>
      <c r="J286" s="79">
        <v>0.120420444646896</v>
      </c>
      <c r="K286" s="79">
        <v>0.364234585465181</v>
      </c>
      <c r="L286" s="79">
        <v>0.74593451887386297</v>
      </c>
      <c r="M286" s="79">
        <v>1</v>
      </c>
      <c r="N286" s="102">
        <v>0.99854252206234895</v>
      </c>
      <c r="O286" s="79">
        <v>0.11823956685303701</v>
      </c>
      <c r="P286" s="79">
        <v>0.99015796541999201</v>
      </c>
      <c r="Q286" s="79">
        <v>0.99191460285125199</v>
      </c>
      <c r="R286" s="79">
        <v>1</v>
      </c>
      <c r="S286" s="102">
        <v>0.9044297336885021</v>
      </c>
      <c r="T286" s="79">
        <v>0.10939450760972699</v>
      </c>
      <c r="U286" s="79">
        <v>0.358492036572441</v>
      </c>
      <c r="V286" s="79">
        <v>0.47537048132360499</v>
      </c>
      <c r="W286" s="79">
        <v>1</v>
      </c>
    </row>
    <row r="287" spans="2:23" x14ac:dyDescent="0.2">
      <c r="B287" t="s">
        <v>867</v>
      </c>
      <c r="C287" s="84">
        <v>4958</v>
      </c>
      <c r="D287" s="102">
        <v>-5.0765580272647002E-3</v>
      </c>
      <c r="E287" s="79">
        <v>1.4607923326198501E-2</v>
      </c>
      <c r="F287" s="79">
        <v>0.72821616714397297</v>
      </c>
      <c r="G287" s="79">
        <v>0.97286923276174297</v>
      </c>
      <c r="H287" s="79">
        <v>1</v>
      </c>
      <c r="I287" s="102">
        <v>9.1528798307734093E-3</v>
      </c>
      <c r="J287" s="79">
        <v>1.4458929051789001E-2</v>
      </c>
      <c r="K287" s="79">
        <v>0.52674926623043095</v>
      </c>
      <c r="L287" s="79">
        <v>0.83741543994435796</v>
      </c>
      <c r="M287" s="79">
        <v>1</v>
      </c>
      <c r="N287" s="102">
        <v>4.7513575555180598E-2</v>
      </c>
      <c r="O287" s="79">
        <v>1.43128068408803E-2</v>
      </c>
      <c r="P287" s="79">
        <v>9.0852996597660203E-4</v>
      </c>
      <c r="Q287" s="79">
        <v>4.09321745309671E-3</v>
      </c>
      <c r="R287" s="79">
        <v>1</v>
      </c>
      <c r="S287" s="102">
        <v>2.0717220417900799E-2</v>
      </c>
      <c r="T287" s="79">
        <v>1.43127112417077E-2</v>
      </c>
      <c r="U287" s="79">
        <v>0.14783529028216699</v>
      </c>
      <c r="V287" s="79">
        <v>0.241730677353273</v>
      </c>
      <c r="W287" s="79">
        <v>1</v>
      </c>
    </row>
    <row r="288" spans="2:23" x14ac:dyDescent="0.2">
      <c r="B288" t="s">
        <v>868</v>
      </c>
      <c r="C288" s="84">
        <v>4933</v>
      </c>
      <c r="D288" s="102">
        <v>-6.5919265750875597E-3</v>
      </c>
      <c r="E288" s="79">
        <v>1.4686905210260099E-2</v>
      </c>
      <c r="F288" s="79">
        <v>0.65357540891794497</v>
      </c>
      <c r="G288" s="79">
        <v>0.95767440062337605</v>
      </c>
      <c r="H288" s="79">
        <v>1</v>
      </c>
      <c r="I288" s="102">
        <v>-8.05110526093172E-3</v>
      </c>
      <c r="J288" s="79">
        <v>1.45398909427634E-2</v>
      </c>
      <c r="K288" s="79">
        <v>0.57979448172953796</v>
      </c>
      <c r="L288" s="79">
        <v>0.86322748372014602</v>
      </c>
      <c r="M288" s="79">
        <v>1</v>
      </c>
      <c r="N288" s="102">
        <v>5.3394255802917102E-2</v>
      </c>
      <c r="O288" s="79">
        <v>1.4374457770769801E-2</v>
      </c>
      <c r="P288" s="79">
        <v>2.0604627011471801E-4</v>
      </c>
      <c r="Q288" s="79">
        <v>1.24214370667022E-3</v>
      </c>
      <c r="R288" s="79">
        <v>0.34904238157433198</v>
      </c>
      <c r="S288" s="102">
        <v>4.1625269003887098E-2</v>
      </c>
      <c r="T288" s="79">
        <v>1.43580733681174E-2</v>
      </c>
      <c r="U288" s="79">
        <v>3.7605197994906902E-3</v>
      </c>
      <c r="V288" s="79">
        <v>1.2831742165128199E-2</v>
      </c>
      <c r="W288" s="79">
        <v>1</v>
      </c>
    </row>
    <row r="289" spans="2:23" x14ac:dyDescent="0.2">
      <c r="B289" t="s">
        <v>869</v>
      </c>
      <c r="C289" s="84">
        <v>4960</v>
      </c>
      <c r="D289" s="102">
        <v>-1.7514533182852701E-2</v>
      </c>
      <c r="E289" s="79">
        <v>1.4628620520556501E-2</v>
      </c>
      <c r="F289" s="79">
        <v>0.23125835406471701</v>
      </c>
      <c r="G289" s="79">
        <v>0.84807819515730298</v>
      </c>
      <c r="H289" s="79">
        <v>1</v>
      </c>
      <c r="I289" s="102">
        <v>5.4567561624270103E-3</v>
      </c>
      <c r="J289" s="79">
        <v>1.4494457396615999E-2</v>
      </c>
      <c r="K289" s="79">
        <v>0.70658333008812702</v>
      </c>
      <c r="L289" s="79">
        <v>0.90817903987414805</v>
      </c>
      <c r="M289" s="79">
        <v>1</v>
      </c>
      <c r="N289" s="107">
        <v>6.01818832720067E-2</v>
      </c>
      <c r="O289" s="81">
        <v>1.4314546832396999E-2</v>
      </c>
      <c r="P289" s="81">
        <v>2.6686939206638201E-5</v>
      </c>
      <c r="Q289" s="81">
        <v>2.1630466514854099E-4</v>
      </c>
      <c r="R289" s="81">
        <v>4.5207675016045099E-2</v>
      </c>
      <c r="S289" s="102">
        <v>5.0247236806453599E-2</v>
      </c>
      <c r="T289" s="79">
        <v>1.4307237272433901E-2</v>
      </c>
      <c r="U289" s="79">
        <v>4.4893474534569002E-4</v>
      </c>
      <c r="V289" s="79">
        <v>2.41427129719238E-3</v>
      </c>
      <c r="W289" s="79">
        <v>0.76049545861559897</v>
      </c>
    </row>
    <row r="290" spans="2:23" x14ac:dyDescent="0.2">
      <c r="B290" t="s">
        <v>870</v>
      </c>
      <c r="C290" s="84">
        <v>4897</v>
      </c>
      <c r="D290" s="102">
        <v>-1.46297422278678E-2</v>
      </c>
      <c r="E290" s="79">
        <v>1.46795475274919E-2</v>
      </c>
      <c r="F290" s="79">
        <v>0.31900774807358001</v>
      </c>
      <c r="G290" s="79">
        <v>0.88730162874475904</v>
      </c>
      <c r="H290" s="79">
        <v>1</v>
      </c>
      <c r="I290" s="102">
        <v>5.8562026171767399E-3</v>
      </c>
      <c r="J290" s="79">
        <v>1.4609122927290099E-2</v>
      </c>
      <c r="K290" s="79">
        <v>0.68854262697716595</v>
      </c>
      <c r="L290" s="79">
        <v>0.89851781201337899</v>
      </c>
      <c r="M290" s="79">
        <v>1</v>
      </c>
      <c r="N290" s="102">
        <v>3.9284017083728001E-2</v>
      </c>
      <c r="O290" s="79">
        <v>1.44394249497777E-2</v>
      </c>
      <c r="P290" s="79">
        <v>6.5409197561502302E-3</v>
      </c>
      <c r="Q290" s="79">
        <v>1.9964537057510799E-2</v>
      </c>
      <c r="R290" s="79">
        <v>1</v>
      </c>
      <c r="S290" s="102">
        <v>3.0144653017454101E-2</v>
      </c>
      <c r="T290" s="79">
        <v>1.43913942056276E-2</v>
      </c>
      <c r="U290" s="79">
        <v>3.6258856431921303E-2</v>
      </c>
      <c r="V290" s="79">
        <v>8.0501314280045394E-2</v>
      </c>
      <c r="W290" s="79">
        <v>1</v>
      </c>
    </row>
    <row r="291" spans="2:23" x14ac:dyDescent="0.2">
      <c r="B291" t="s">
        <v>871</v>
      </c>
      <c r="C291" s="84">
        <v>4974</v>
      </c>
      <c r="D291" s="102">
        <v>-5.7023383552712902E-3</v>
      </c>
      <c r="E291" s="79">
        <v>1.45650835473481E-2</v>
      </c>
      <c r="F291" s="79">
        <v>0.69544024708284302</v>
      </c>
      <c r="G291" s="79">
        <v>0.969323693033459</v>
      </c>
      <c r="H291" s="79">
        <v>1</v>
      </c>
      <c r="I291" s="102">
        <v>1.06178879521569E-2</v>
      </c>
      <c r="J291" s="79">
        <v>1.44071895951159E-2</v>
      </c>
      <c r="K291" s="79">
        <v>0.46116948861463303</v>
      </c>
      <c r="L291" s="79">
        <v>0.799032058493933</v>
      </c>
      <c r="M291" s="79">
        <v>1</v>
      </c>
      <c r="N291" s="102">
        <v>1.7645823162644899E-2</v>
      </c>
      <c r="O291" s="79">
        <v>1.4262461473241299E-2</v>
      </c>
      <c r="P291" s="79">
        <v>0.21606882126072499</v>
      </c>
      <c r="Q291" s="79">
        <v>0.321352575255196</v>
      </c>
      <c r="R291" s="79">
        <v>1</v>
      </c>
      <c r="S291" s="102">
        <v>5.5165431614767196E-3</v>
      </c>
      <c r="T291" s="79">
        <v>1.4262032729766E-2</v>
      </c>
      <c r="U291" s="79">
        <v>0.69892281108910903</v>
      </c>
      <c r="V291" s="79">
        <v>0.76419908779533496</v>
      </c>
      <c r="W291" s="79">
        <v>1</v>
      </c>
    </row>
    <row r="292" spans="2:23" x14ac:dyDescent="0.2">
      <c r="B292" t="s">
        <v>872</v>
      </c>
      <c r="C292" s="84">
        <v>4978</v>
      </c>
      <c r="D292" s="102">
        <v>1.39221937502678E-2</v>
      </c>
      <c r="E292" s="79">
        <v>1.4579615608114899E-2</v>
      </c>
      <c r="F292" s="79">
        <v>0.33967393626475401</v>
      </c>
      <c r="G292" s="79">
        <v>0.88889892785277203</v>
      </c>
      <c r="H292" s="79">
        <v>1</v>
      </c>
      <c r="I292" s="102">
        <v>6.9467366025952803E-3</v>
      </c>
      <c r="J292" s="79">
        <v>1.4411456695887399E-2</v>
      </c>
      <c r="K292" s="79">
        <v>0.62980879170053905</v>
      </c>
      <c r="L292" s="79">
        <v>0.87748013759880805</v>
      </c>
      <c r="M292" s="79">
        <v>1</v>
      </c>
      <c r="N292" s="102">
        <v>7.5816123011170997E-3</v>
      </c>
      <c r="O292" s="79">
        <v>1.43057704541628E-2</v>
      </c>
      <c r="P292" s="79">
        <v>0.59615925710611795</v>
      </c>
      <c r="Q292" s="79">
        <v>0.69824139541517505</v>
      </c>
      <c r="R292" s="79">
        <v>1</v>
      </c>
      <c r="S292" s="102">
        <v>1.13459173210774E-3</v>
      </c>
      <c r="T292" s="79">
        <v>1.4289205388925599E-2</v>
      </c>
      <c r="U292" s="79">
        <v>0.93671632007002104</v>
      </c>
      <c r="V292" s="79">
        <v>0.95647826775082301</v>
      </c>
      <c r="W292" s="79">
        <v>1</v>
      </c>
    </row>
    <row r="293" spans="2:23" x14ac:dyDescent="0.2">
      <c r="B293" t="s">
        <v>873</v>
      </c>
      <c r="C293" s="84">
        <v>4980</v>
      </c>
      <c r="D293" s="102">
        <v>-1.5675665202093701E-2</v>
      </c>
      <c r="E293" s="79">
        <v>1.4662482747741901E-2</v>
      </c>
      <c r="F293" s="79">
        <v>0.28508124689361702</v>
      </c>
      <c r="G293" s="79">
        <v>0.86861170490914397</v>
      </c>
      <c r="H293" s="79">
        <v>1</v>
      </c>
      <c r="I293" s="102">
        <v>9.6171688262360507E-3</v>
      </c>
      <c r="J293" s="79">
        <v>1.4520641103950099E-2</v>
      </c>
      <c r="K293" s="79">
        <v>0.50780708592754498</v>
      </c>
      <c r="L293" s="79">
        <v>0.823743251554091</v>
      </c>
      <c r="M293" s="79">
        <v>1</v>
      </c>
      <c r="N293" s="102">
        <v>1.52216146987971E-2</v>
      </c>
      <c r="O293" s="79">
        <v>1.4376228621616799E-2</v>
      </c>
      <c r="P293" s="79">
        <v>0.28974636221658701</v>
      </c>
      <c r="Q293" s="79">
        <v>0.40231994884827699</v>
      </c>
      <c r="R293" s="79">
        <v>1</v>
      </c>
      <c r="S293" s="102">
        <v>2.03814948355555E-2</v>
      </c>
      <c r="T293" s="79">
        <v>1.43682265261573E-2</v>
      </c>
      <c r="U293" s="79">
        <v>0.15611109615282101</v>
      </c>
      <c r="V293" s="79">
        <v>0.251169072451153</v>
      </c>
      <c r="W293" s="79">
        <v>1</v>
      </c>
    </row>
    <row r="294" spans="2:23" x14ac:dyDescent="0.2">
      <c r="B294" t="s">
        <v>866</v>
      </c>
      <c r="C294" s="84">
        <v>4975</v>
      </c>
      <c r="D294" s="102">
        <v>-1.42776695750202E-2</v>
      </c>
      <c r="E294" s="79">
        <v>1.46551964056302E-2</v>
      </c>
      <c r="F294" s="79">
        <v>0.32998820903730702</v>
      </c>
      <c r="G294" s="79">
        <v>0.88730162874475904</v>
      </c>
      <c r="H294" s="79">
        <v>1</v>
      </c>
      <c r="I294" s="102">
        <v>1.82365645988651E-2</v>
      </c>
      <c r="J294" s="79">
        <v>1.4521717011401499E-2</v>
      </c>
      <c r="K294" s="79">
        <v>0.20924783384829801</v>
      </c>
      <c r="L294" s="79">
        <v>0.64803390121802296</v>
      </c>
      <c r="M294" s="79">
        <v>1</v>
      </c>
      <c r="N294" s="107">
        <v>6.0611400213015199E-2</v>
      </c>
      <c r="O294" s="81">
        <v>1.4356029701070701E-2</v>
      </c>
      <c r="P294" s="81">
        <v>2.4678874772464199E-5</v>
      </c>
      <c r="Q294" s="81">
        <v>2.0493144051252101E-4</v>
      </c>
      <c r="R294" s="81">
        <v>4.1806013864554403E-2</v>
      </c>
      <c r="S294" s="102">
        <v>4.5130764700142399E-2</v>
      </c>
      <c r="T294" s="79">
        <v>1.43493364554045E-2</v>
      </c>
      <c r="U294" s="79">
        <v>1.67057997723007E-3</v>
      </c>
      <c r="V294" s="79">
        <v>6.8191867022355203E-3</v>
      </c>
      <c r="W294" s="79">
        <v>1</v>
      </c>
    </row>
    <row r="295" spans="2:23" x14ac:dyDescent="0.2">
      <c r="B295" t="s">
        <v>3603</v>
      </c>
      <c r="C295" s="84">
        <v>5020</v>
      </c>
      <c r="D295" s="102">
        <v>1.1083085210587</v>
      </c>
      <c r="E295" s="79">
        <v>9.5176605408479303E-2</v>
      </c>
      <c r="F295" s="79">
        <v>0.27993513069224901</v>
      </c>
      <c r="G295" s="79">
        <v>0.86861170490914397</v>
      </c>
      <c r="H295" s="79">
        <v>1</v>
      </c>
      <c r="I295" s="102">
        <v>1.136849348153091</v>
      </c>
      <c r="J295" s="79">
        <v>9.5183103271048494E-2</v>
      </c>
      <c r="K295" s="79">
        <v>0.17781426626842201</v>
      </c>
      <c r="L295" s="79">
        <v>0.61396896490869202</v>
      </c>
      <c r="M295" s="79">
        <v>1</v>
      </c>
      <c r="N295" s="102">
        <v>1.1342602123798897</v>
      </c>
      <c r="O295" s="79">
        <v>9.4420002011283893E-2</v>
      </c>
      <c r="P295" s="79">
        <v>0.18211931668075099</v>
      </c>
      <c r="Q295" s="79">
        <v>0.28071894673083903</v>
      </c>
      <c r="R295" s="79">
        <v>1</v>
      </c>
      <c r="S295" s="102">
        <v>1.1540696918793745</v>
      </c>
      <c r="T295" s="79">
        <v>9.4113279529674604E-2</v>
      </c>
      <c r="U295" s="79">
        <v>0.12786498518711201</v>
      </c>
      <c r="V295" s="79">
        <v>0.21488421121723</v>
      </c>
      <c r="W295" s="79">
        <v>1</v>
      </c>
    </row>
    <row r="296" spans="2:23" x14ac:dyDescent="0.2">
      <c r="B296" t="s">
        <v>3604</v>
      </c>
      <c r="C296" s="84">
        <v>5020</v>
      </c>
      <c r="D296" s="102">
        <v>1.0120175683059067</v>
      </c>
      <c r="E296" s="79">
        <v>7.1450810050818894E-2</v>
      </c>
      <c r="F296" s="79">
        <v>0.86721978423673096</v>
      </c>
      <c r="G296" s="79">
        <v>0.99362338620020496</v>
      </c>
      <c r="H296" s="79">
        <v>1</v>
      </c>
      <c r="I296" s="102">
        <v>1.1879122955421346</v>
      </c>
      <c r="J296" s="79">
        <v>7.0603009682800602E-2</v>
      </c>
      <c r="K296" s="79">
        <v>1.47299008501281E-2</v>
      </c>
      <c r="L296" s="79">
        <v>0.23613138685496901</v>
      </c>
      <c r="M296" s="79">
        <v>1</v>
      </c>
      <c r="N296" s="107">
        <v>1.538953271202703</v>
      </c>
      <c r="O296" s="81">
        <v>7.0551992799625193E-2</v>
      </c>
      <c r="P296" s="81">
        <v>9.9367660576369005E-10</v>
      </c>
      <c r="Q296" s="81">
        <v>2.6186327985435499E-8</v>
      </c>
      <c r="R296" s="81">
        <v>1.6832881701636901E-6</v>
      </c>
      <c r="S296" s="107">
        <v>1.4767437643527719</v>
      </c>
      <c r="T296" s="81">
        <v>7.1543377197463703E-2</v>
      </c>
      <c r="U296" s="81">
        <v>5.0655237175295399E-8</v>
      </c>
      <c r="V296" s="81">
        <v>1.4544063012703499E-6</v>
      </c>
      <c r="W296" s="81">
        <v>8.5809971774950404E-5</v>
      </c>
    </row>
    <row r="297" spans="2:23" x14ac:dyDescent="0.2">
      <c r="B297" t="s">
        <v>3605</v>
      </c>
      <c r="C297" s="84">
        <v>5020</v>
      </c>
      <c r="D297" s="102">
        <v>1.0912242240540737</v>
      </c>
      <c r="E297" s="79">
        <v>7.8421669300408406E-2</v>
      </c>
      <c r="F297" s="79">
        <v>0.265615944621232</v>
      </c>
      <c r="G297" s="79">
        <v>0.85990749347533801</v>
      </c>
      <c r="H297" s="79">
        <v>1</v>
      </c>
      <c r="I297" s="102">
        <v>1.1451428645022956</v>
      </c>
      <c r="J297" s="79">
        <v>7.8100594314322105E-2</v>
      </c>
      <c r="K297" s="79">
        <v>8.2684416835020605E-2</v>
      </c>
      <c r="L297" s="79">
        <v>0.48466229106755998</v>
      </c>
      <c r="M297" s="79">
        <v>1</v>
      </c>
      <c r="N297" s="102">
        <v>1.3549854625012254</v>
      </c>
      <c r="O297" s="79">
        <v>7.7018285978442805E-2</v>
      </c>
      <c r="P297" s="79">
        <v>8.0000902389838898E-5</v>
      </c>
      <c r="Q297" s="79">
        <v>5.6232999439164799E-4</v>
      </c>
      <c r="R297" s="79">
        <v>0.13552152864838701</v>
      </c>
      <c r="S297" s="102">
        <v>1.3323728957909697</v>
      </c>
      <c r="T297" s="79">
        <v>7.7923814041167994E-2</v>
      </c>
      <c r="U297" s="79">
        <v>2.30876012183123E-4</v>
      </c>
      <c r="V297" s="79">
        <v>1.40684879366263E-3</v>
      </c>
      <c r="W297" s="79">
        <v>0.39110396463821001</v>
      </c>
    </row>
    <row r="298" spans="2:23" x14ac:dyDescent="0.2">
      <c r="B298" t="s">
        <v>2266</v>
      </c>
      <c r="C298" s="84">
        <v>5019</v>
      </c>
      <c r="D298" s="102">
        <v>0.94887369891047324</v>
      </c>
      <c r="E298" s="79">
        <v>6.0159267133378297E-2</v>
      </c>
      <c r="F298" s="79">
        <v>0.38302072160240402</v>
      </c>
      <c r="G298" s="79">
        <v>0.89461055933914202</v>
      </c>
      <c r="H298" s="79">
        <v>1</v>
      </c>
      <c r="I298" s="102">
        <v>1.068828358645443</v>
      </c>
      <c r="J298" s="79">
        <v>5.9997577722026102E-2</v>
      </c>
      <c r="K298" s="79">
        <v>0.26724512924349297</v>
      </c>
      <c r="L298" s="79">
        <v>0.68528643711745596</v>
      </c>
      <c r="M298" s="79">
        <v>1</v>
      </c>
      <c r="N298" s="102">
        <v>1.1264517140444625</v>
      </c>
      <c r="O298" s="79">
        <v>5.9654901946891201E-2</v>
      </c>
      <c r="P298" s="79">
        <v>4.5931310005740002E-2</v>
      </c>
      <c r="Q298" s="79">
        <v>9.46564953159654E-2</v>
      </c>
      <c r="R298" s="79">
        <v>1</v>
      </c>
      <c r="S298" s="102">
        <v>1.1188361025611107</v>
      </c>
      <c r="T298" s="79">
        <v>5.9765089060160599E-2</v>
      </c>
      <c r="U298" s="79">
        <v>6.0266547098810602E-2</v>
      </c>
      <c r="V298" s="79">
        <v>0.11775263066365101</v>
      </c>
      <c r="W298" s="79">
        <v>1</v>
      </c>
    </row>
    <row r="299" spans="2:23" x14ac:dyDescent="0.2">
      <c r="B299" t="s">
        <v>2267</v>
      </c>
      <c r="C299" s="84">
        <v>5019</v>
      </c>
      <c r="D299" s="102">
        <v>1.0116800948215634</v>
      </c>
      <c r="E299" s="79">
        <v>4.35664535051596E-2</v>
      </c>
      <c r="F299" s="79">
        <v>0.78981970708514804</v>
      </c>
      <c r="G299" s="79">
        <v>0.99107746948314102</v>
      </c>
      <c r="H299" s="79">
        <v>1</v>
      </c>
      <c r="I299" s="102">
        <v>1.0148234580794016</v>
      </c>
      <c r="J299" s="79">
        <v>4.3396395051358401E-2</v>
      </c>
      <c r="K299" s="79">
        <v>0.73455267934484902</v>
      </c>
      <c r="L299" s="79">
        <v>0.91967633960533601</v>
      </c>
      <c r="M299" s="79">
        <v>1</v>
      </c>
      <c r="N299" s="102">
        <v>1.0894750690824062</v>
      </c>
      <c r="O299" s="79">
        <v>4.3003460577758598E-2</v>
      </c>
      <c r="P299" s="79">
        <v>4.6286673623053998E-2</v>
      </c>
      <c r="Q299" s="79">
        <v>9.5272934529105097E-2</v>
      </c>
      <c r="R299" s="79">
        <v>1</v>
      </c>
      <c r="S299" s="102">
        <v>1.0855727596086613</v>
      </c>
      <c r="T299" s="79">
        <v>4.30146772284846E-2</v>
      </c>
      <c r="U299" s="79">
        <v>5.6283934224829302E-2</v>
      </c>
      <c r="V299" s="79">
        <v>0.112700927395817</v>
      </c>
      <c r="W299" s="79">
        <v>1</v>
      </c>
    </row>
    <row r="300" spans="2:23" x14ac:dyDescent="0.2">
      <c r="B300" t="s">
        <v>2268</v>
      </c>
      <c r="C300" s="84">
        <v>5019</v>
      </c>
      <c r="D300" s="102">
        <v>0.89460607576746243</v>
      </c>
      <c r="E300" s="79">
        <v>8.0003117853928302E-2</v>
      </c>
      <c r="F300" s="79">
        <v>0.163894176919053</v>
      </c>
      <c r="G300" s="79">
        <v>0.81796927009920195</v>
      </c>
      <c r="H300" s="79">
        <v>1</v>
      </c>
      <c r="I300" s="102">
        <v>1.0671442429810163</v>
      </c>
      <c r="J300" s="79">
        <v>7.9976547897442393E-2</v>
      </c>
      <c r="K300" s="79">
        <v>0.416467468792938</v>
      </c>
      <c r="L300" s="79">
        <v>0.77457601124515996</v>
      </c>
      <c r="M300" s="79">
        <v>1</v>
      </c>
      <c r="N300" s="102">
        <v>0.98843267292507342</v>
      </c>
      <c r="O300" s="79">
        <v>7.8325321366726999E-2</v>
      </c>
      <c r="P300" s="79">
        <v>0.88191353969923503</v>
      </c>
      <c r="Q300" s="79">
        <v>0.92054944753281298</v>
      </c>
      <c r="R300" s="79">
        <v>1</v>
      </c>
      <c r="S300" s="102">
        <v>1.0934309972322984</v>
      </c>
      <c r="T300" s="79">
        <v>7.8770643122650294E-2</v>
      </c>
      <c r="U300" s="79">
        <v>0.25682358639755198</v>
      </c>
      <c r="V300" s="79">
        <v>0.36713852772780903</v>
      </c>
      <c r="W300" s="79">
        <v>1</v>
      </c>
    </row>
    <row r="301" spans="2:23" x14ac:dyDescent="0.2">
      <c r="B301" t="s">
        <v>2269</v>
      </c>
      <c r="C301" s="84">
        <v>5019</v>
      </c>
      <c r="D301" s="102">
        <v>0.99353649159189406</v>
      </c>
      <c r="E301" s="79">
        <v>4.6721297060951898E-2</v>
      </c>
      <c r="F301" s="79">
        <v>0.889615445052647</v>
      </c>
      <c r="G301" s="79">
        <v>0.99362338620020496</v>
      </c>
      <c r="H301" s="79">
        <v>1</v>
      </c>
      <c r="I301" s="102">
        <v>1.0584140449647421</v>
      </c>
      <c r="J301" s="79">
        <v>4.6605865809120801E-2</v>
      </c>
      <c r="K301" s="79">
        <v>0.2231778327957</v>
      </c>
      <c r="L301" s="79">
        <v>0.65304481397729397</v>
      </c>
      <c r="M301" s="79">
        <v>1</v>
      </c>
      <c r="N301" s="102">
        <v>1.0527045975935043</v>
      </c>
      <c r="O301" s="79">
        <v>4.6085704197872501E-2</v>
      </c>
      <c r="P301" s="79">
        <v>0.26506341992735999</v>
      </c>
      <c r="Q301" s="79">
        <v>0.37764292124217702</v>
      </c>
      <c r="R301" s="79">
        <v>1</v>
      </c>
      <c r="S301" s="102">
        <v>1.0326549552574582</v>
      </c>
      <c r="T301" s="79">
        <v>4.5988143086633099E-2</v>
      </c>
      <c r="U301" s="79">
        <v>0.48472326775531599</v>
      </c>
      <c r="V301" s="79">
        <v>0.59552486622929601</v>
      </c>
      <c r="W301" s="79">
        <v>1</v>
      </c>
    </row>
    <row r="302" spans="2:23" x14ac:dyDescent="0.2">
      <c r="B302" t="s">
        <v>2270</v>
      </c>
      <c r="C302" s="84">
        <v>5019</v>
      </c>
      <c r="D302" s="102">
        <v>1.059157901348827</v>
      </c>
      <c r="E302" s="79">
        <v>5.3504383550967698E-2</v>
      </c>
      <c r="F302" s="79">
        <v>0.28273513865312699</v>
      </c>
      <c r="G302" s="79">
        <v>0.86861170490914397</v>
      </c>
      <c r="H302" s="79">
        <v>1</v>
      </c>
      <c r="I302" s="102">
        <v>1.089297668146088</v>
      </c>
      <c r="J302" s="79">
        <v>5.3357117847515699E-2</v>
      </c>
      <c r="K302" s="79">
        <v>0.108927671800828</v>
      </c>
      <c r="L302" s="79">
        <v>0.53622641688935602</v>
      </c>
      <c r="M302" s="79">
        <v>1</v>
      </c>
      <c r="N302" s="102">
        <v>1.0305954556039925</v>
      </c>
      <c r="O302" s="79">
        <v>5.2979876993163699E-2</v>
      </c>
      <c r="P302" s="79">
        <v>0.56946890005058104</v>
      </c>
      <c r="Q302" s="79">
        <v>0.67887425523271205</v>
      </c>
      <c r="R302" s="79">
        <v>1</v>
      </c>
      <c r="S302" s="102">
        <v>1.0589386478453497</v>
      </c>
      <c r="T302" s="79">
        <v>5.2813618853855097E-2</v>
      </c>
      <c r="U302" s="79">
        <v>0.27822069398841198</v>
      </c>
      <c r="V302" s="79">
        <v>0.39112519138287999</v>
      </c>
      <c r="W302" s="79">
        <v>1</v>
      </c>
    </row>
    <row r="303" spans="2:23" x14ac:dyDescent="0.2">
      <c r="B303" t="s">
        <v>2271</v>
      </c>
      <c r="C303" s="84">
        <v>5019</v>
      </c>
      <c r="D303" s="102">
        <v>1.034607614129315</v>
      </c>
      <c r="E303" s="79">
        <v>8.4429218424584895E-2</v>
      </c>
      <c r="F303" s="79">
        <v>0.68697207261043802</v>
      </c>
      <c r="G303" s="79">
        <v>0.96670198527320195</v>
      </c>
      <c r="H303" s="79">
        <v>1</v>
      </c>
      <c r="I303" s="102">
        <v>0.99226138583237533</v>
      </c>
      <c r="J303" s="79">
        <v>8.3676434486053997E-2</v>
      </c>
      <c r="K303" s="79">
        <v>0.92602884567505095</v>
      </c>
      <c r="L303" s="79">
        <v>0.98193837767293402</v>
      </c>
      <c r="M303" s="79">
        <v>1</v>
      </c>
      <c r="N303" s="102">
        <v>1.0744037592057416</v>
      </c>
      <c r="O303" s="79">
        <v>8.3802195178069E-2</v>
      </c>
      <c r="P303" s="79">
        <v>0.39179197058306198</v>
      </c>
      <c r="Q303" s="79">
        <v>0.50935963021312902</v>
      </c>
      <c r="R303" s="79">
        <v>1</v>
      </c>
      <c r="S303" s="102">
        <v>1.0443863688493296</v>
      </c>
      <c r="T303" s="79">
        <v>8.3610033108520096E-2</v>
      </c>
      <c r="U303" s="79">
        <v>0.60346136067669298</v>
      </c>
      <c r="V303" s="79">
        <v>0.69025222483883697</v>
      </c>
      <c r="W303" s="79">
        <v>1</v>
      </c>
    </row>
    <row r="304" spans="2:23" x14ac:dyDescent="0.2">
      <c r="B304" t="s">
        <v>2272</v>
      </c>
      <c r="C304" s="84">
        <v>5019</v>
      </c>
      <c r="D304" s="102">
        <v>1.0496042291533769</v>
      </c>
      <c r="E304" s="79">
        <v>5.7443664150207997E-2</v>
      </c>
      <c r="F304" s="79">
        <v>0.39934373224126302</v>
      </c>
      <c r="G304" s="79">
        <v>0.89461055933914202</v>
      </c>
      <c r="H304" s="79">
        <v>1</v>
      </c>
      <c r="I304" s="102">
        <v>1.0081598529827449</v>
      </c>
      <c r="J304" s="79">
        <v>5.7807349701526602E-2</v>
      </c>
      <c r="K304" s="79">
        <v>0.88819923208488505</v>
      </c>
      <c r="L304" s="79">
        <v>0.97956347601028304</v>
      </c>
      <c r="M304" s="79">
        <v>1</v>
      </c>
      <c r="N304" s="102">
        <v>1.0697796667753638</v>
      </c>
      <c r="O304" s="79">
        <v>5.6070794371622899E-2</v>
      </c>
      <c r="P304" s="79">
        <v>0.22897947637122501</v>
      </c>
      <c r="Q304" s="79">
        <v>0.33641910925659602</v>
      </c>
      <c r="R304" s="79">
        <v>1</v>
      </c>
      <c r="S304" s="102">
        <v>1.0653648397210889</v>
      </c>
      <c r="T304" s="79">
        <v>5.6837460138328702E-2</v>
      </c>
      <c r="U304" s="79">
        <v>0.26527630026216897</v>
      </c>
      <c r="V304" s="79">
        <v>0.37563861355905298</v>
      </c>
      <c r="W304" s="79">
        <v>1</v>
      </c>
    </row>
    <row r="305" spans="2:23" x14ac:dyDescent="0.2">
      <c r="B305" t="s">
        <v>2273</v>
      </c>
      <c r="C305" s="84">
        <v>5019</v>
      </c>
      <c r="D305" s="102">
        <v>1.0386059643774492</v>
      </c>
      <c r="E305" s="79">
        <v>6.6132705562490499E-2</v>
      </c>
      <c r="F305" s="79">
        <v>0.56679464516537603</v>
      </c>
      <c r="G305" s="79">
        <v>0.93167796111031398</v>
      </c>
      <c r="H305" s="79">
        <v>1</v>
      </c>
      <c r="I305" s="102">
        <v>1.0892189507398919</v>
      </c>
      <c r="J305" s="79">
        <v>6.5689827300409204E-2</v>
      </c>
      <c r="K305" s="79">
        <v>0.19326671324401801</v>
      </c>
      <c r="L305" s="79">
        <v>0.63717237752345801</v>
      </c>
      <c r="M305" s="79">
        <v>1</v>
      </c>
      <c r="N305" s="102">
        <v>1.0226911998008679</v>
      </c>
      <c r="O305" s="79">
        <v>6.51006263234917E-2</v>
      </c>
      <c r="P305" s="79">
        <v>0.73034996914611705</v>
      </c>
      <c r="Q305" s="79">
        <v>0.81934625677716699</v>
      </c>
      <c r="R305" s="79">
        <v>1</v>
      </c>
      <c r="S305" s="102">
        <v>0.95317518121695388</v>
      </c>
      <c r="T305" s="79">
        <v>6.5133255628844797E-2</v>
      </c>
      <c r="U305" s="79">
        <v>0.461557905206682</v>
      </c>
      <c r="V305" s="79">
        <v>0.574911096632441</v>
      </c>
      <c r="W305" s="79">
        <v>1</v>
      </c>
    </row>
    <row r="306" spans="2:23" x14ac:dyDescent="0.2">
      <c r="B306" t="s">
        <v>2274</v>
      </c>
      <c r="C306" s="84">
        <v>5019</v>
      </c>
      <c r="D306" s="102">
        <v>0.9925791013294073</v>
      </c>
      <c r="E306" s="79">
        <v>4.7226041864783602E-2</v>
      </c>
      <c r="F306" s="79">
        <v>0.874676118461298</v>
      </c>
      <c r="G306" s="79">
        <v>0.99362338620020496</v>
      </c>
      <c r="H306" s="79">
        <v>1</v>
      </c>
      <c r="I306" s="102">
        <v>0.99623266894124285</v>
      </c>
      <c r="J306" s="79">
        <v>4.7179178953920403E-2</v>
      </c>
      <c r="K306" s="79">
        <v>0.93623538463276101</v>
      </c>
      <c r="L306" s="79">
        <v>0.98657037744749898</v>
      </c>
      <c r="M306" s="79">
        <v>1</v>
      </c>
      <c r="N306" s="102">
        <v>1.0415585045357993</v>
      </c>
      <c r="O306" s="79">
        <v>4.6622082804047803E-2</v>
      </c>
      <c r="P306" s="79">
        <v>0.38246348236741901</v>
      </c>
      <c r="Q306" s="79">
        <v>0.49966936971702502</v>
      </c>
      <c r="R306" s="79">
        <v>1</v>
      </c>
      <c r="S306" s="102">
        <v>0.96455762640346721</v>
      </c>
      <c r="T306" s="79">
        <v>4.6706550224399603E-2</v>
      </c>
      <c r="U306" s="79">
        <v>0.43975635247277201</v>
      </c>
      <c r="V306" s="79">
        <v>0.55634597542111697</v>
      </c>
      <c r="W306" s="79">
        <v>1</v>
      </c>
    </row>
    <row r="307" spans="2:23" x14ac:dyDescent="0.2">
      <c r="B307" t="s">
        <v>3608</v>
      </c>
      <c r="C307" s="84">
        <v>5019</v>
      </c>
      <c r="D307" s="102">
        <v>1.1604154897250876</v>
      </c>
      <c r="E307" s="79">
        <v>0.15265978544245801</v>
      </c>
      <c r="F307" s="79">
        <v>0.329772057735151</v>
      </c>
      <c r="G307" s="79">
        <v>0.88730162874475904</v>
      </c>
      <c r="H307" s="79">
        <v>1</v>
      </c>
      <c r="I307" s="102">
        <v>1.0922185315068058</v>
      </c>
      <c r="J307" s="79">
        <v>0.15435763771340899</v>
      </c>
      <c r="K307" s="79">
        <v>0.56768013125218297</v>
      </c>
      <c r="L307" s="79">
        <v>0.85878159627519401</v>
      </c>
      <c r="M307" s="79">
        <v>1</v>
      </c>
      <c r="N307" s="102">
        <v>0.91102331184674801</v>
      </c>
      <c r="O307" s="79">
        <v>0.14908471521894201</v>
      </c>
      <c r="P307" s="79">
        <v>0.53193211682786101</v>
      </c>
      <c r="Q307" s="79">
        <v>0.64502004717709105</v>
      </c>
      <c r="R307" s="79">
        <v>1</v>
      </c>
      <c r="S307" s="102">
        <v>0.83283016365634088</v>
      </c>
      <c r="T307" s="79">
        <v>0.150667570742538</v>
      </c>
      <c r="U307" s="79">
        <v>0.22470942565104501</v>
      </c>
      <c r="V307" s="79">
        <v>0.33129719083995202</v>
      </c>
      <c r="W307" s="79">
        <v>1</v>
      </c>
    </row>
    <row r="308" spans="2:23" x14ac:dyDescent="0.2">
      <c r="B308" t="s">
        <v>3609</v>
      </c>
      <c r="C308" s="84">
        <v>5019</v>
      </c>
      <c r="D308" s="102">
        <v>1.0228431766686545</v>
      </c>
      <c r="E308" s="79">
        <v>4.1634338534241901E-2</v>
      </c>
      <c r="F308" s="79">
        <v>0.58748156656294803</v>
      </c>
      <c r="G308" s="79">
        <v>0.93838695059676502</v>
      </c>
      <c r="H308" s="79">
        <v>1</v>
      </c>
      <c r="I308" s="102">
        <v>0.94875345165884284</v>
      </c>
      <c r="J308" s="79">
        <v>4.1435029736443203E-2</v>
      </c>
      <c r="K308" s="79">
        <v>0.20422372262355401</v>
      </c>
      <c r="L308" s="79">
        <v>0.64467710008358303</v>
      </c>
      <c r="M308" s="79">
        <v>1</v>
      </c>
      <c r="N308" s="102">
        <v>0.90431637246951069</v>
      </c>
      <c r="O308" s="79">
        <v>4.0968439234689902E-2</v>
      </c>
      <c r="P308" s="79">
        <v>1.4089901533076699E-2</v>
      </c>
      <c r="Q308" s="79">
        <v>3.6694012144663599E-2</v>
      </c>
      <c r="R308" s="79">
        <v>1</v>
      </c>
      <c r="S308" s="102">
        <v>0.89599954557518025</v>
      </c>
      <c r="T308" s="79">
        <v>4.1056628807908099E-2</v>
      </c>
      <c r="U308" s="79">
        <v>7.4789583909313602E-3</v>
      </c>
      <c r="V308" s="79">
        <v>2.2226939498662699E-2</v>
      </c>
      <c r="W308" s="79">
        <v>1</v>
      </c>
    </row>
    <row r="309" spans="2:23" x14ac:dyDescent="0.2">
      <c r="B309" t="s">
        <v>3610</v>
      </c>
      <c r="C309" s="84">
        <v>5019</v>
      </c>
      <c r="D309" s="102">
        <v>0.95246229056675524</v>
      </c>
      <c r="E309" s="79">
        <v>4.9150156546528101E-2</v>
      </c>
      <c r="F309" s="79">
        <v>0.32171580698343799</v>
      </c>
      <c r="G309" s="79">
        <v>0.88730162874475904</v>
      </c>
      <c r="H309" s="79">
        <v>1</v>
      </c>
      <c r="I309" s="102">
        <v>0.95279361963197873</v>
      </c>
      <c r="J309" s="79">
        <v>4.88813199360272E-2</v>
      </c>
      <c r="K309" s="79">
        <v>0.32252971668553598</v>
      </c>
      <c r="L309" s="79">
        <v>0.71535427496459103</v>
      </c>
      <c r="M309" s="79">
        <v>1</v>
      </c>
      <c r="N309" s="102">
        <v>1.0129649653338249</v>
      </c>
      <c r="O309" s="79">
        <v>4.8475053368349202E-2</v>
      </c>
      <c r="P309" s="79">
        <v>0.79044137877487297</v>
      </c>
      <c r="Q309" s="79">
        <v>0.85723924176993305</v>
      </c>
      <c r="R309" s="79">
        <v>1</v>
      </c>
      <c r="S309" s="102">
        <v>0.95203144654723693</v>
      </c>
      <c r="T309" s="79">
        <v>4.8396197951836403E-2</v>
      </c>
      <c r="U309" s="79">
        <v>0.30976051229217999</v>
      </c>
      <c r="V309" s="79">
        <v>0.42526993267922097</v>
      </c>
      <c r="W309" s="79">
        <v>1</v>
      </c>
    </row>
    <row r="310" spans="2:23" x14ac:dyDescent="0.2">
      <c r="B310" t="s">
        <v>3611</v>
      </c>
      <c r="C310" s="84">
        <v>5019</v>
      </c>
      <c r="D310" s="102">
        <v>1.0546148044705883</v>
      </c>
      <c r="E310" s="79">
        <v>4.1448342763173697E-2</v>
      </c>
      <c r="F310" s="79">
        <v>0.19951437280502099</v>
      </c>
      <c r="G310" s="79">
        <v>0.83003013605610498</v>
      </c>
      <c r="H310" s="79">
        <v>1</v>
      </c>
      <c r="I310" s="102">
        <v>1.0348377789632792</v>
      </c>
      <c r="J310" s="79">
        <v>4.1225845581741097E-2</v>
      </c>
      <c r="K310" s="79">
        <v>0.40616547912856599</v>
      </c>
      <c r="L310" s="79">
        <v>0.76962452085435196</v>
      </c>
      <c r="M310" s="79">
        <v>1</v>
      </c>
      <c r="N310" s="102">
        <v>0.9468334948828584</v>
      </c>
      <c r="O310" s="79">
        <v>4.0976039648333899E-2</v>
      </c>
      <c r="P310" s="79">
        <v>0.182444010318184</v>
      </c>
      <c r="Q310" s="79">
        <v>0.28074269319005601</v>
      </c>
      <c r="R310" s="79">
        <v>1</v>
      </c>
      <c r="S310" s="102">
        <v>0.96196622273817101</v>
      </c>
      <c r="T310" s="79">
        <v>4.0888299402752702E-2</v>
      </c>
      <c r="U310" s="79">
        <v>0.34295725781867997</v>
      </c>
      <c r="V310" s="79">
        <v>0.46125846227857997</v>
      </c>
      <c r="W310" s="79">
        <v>1</v>
      </c>
    </row>
    <row r="311" spans="2:23" x14ac:dyDescent="0.2">
      <c r="B311" t="s">
        <v>3612</v>
      </c>
      <c r="C311" s="84">
        <v>5019</v>
      </c>
      <c r="D311" s="102">
        <v>0.96774599464712452</v>
      </c>
      <c r="E311" s="79">
        <v>4.2869773076523898E-2</v>
      </c>
      <c r="F311" s="79">
        <v>0.44440695875193598</v>
      </c>
      <c r="G311" s="79">
        <v>0.90592706152320102</v>
      </c>
      <c r="H311" s="79">
        <v>1</v>
      </c>
      <c r="I311" s="102">
        <v>1.0317183273367021</v>
      </c>
      <c r="J311" s="79">
        <v>4.2595326580713501E-2</v>
      </c>
      <c r="K311" s="79">
        <v>0.46351093816850297</v>
      </c>
      <c r="L311" s="79">
        <v>0.799032058493933</v>
      </c>
      <c r="M311" s="79">
        <v>1</v>
      </c>
      <c r="N311" s="102">
        <v>0.90998050167321032</v>
      </c>
      <c r="O311" s="79">
        <v>4.21332324367127E-2</v>
      </c>
      <c r="P311" s="79">
        <v>2.5162404447583501E-2</v>
      </c>
      <c r="Q311" s="79">
        <v>5.8200379877476102E-2</v>
      </c>
      <c r="R311" s="79">
        <v>1</v>
      </c>
      <c r="S311" s="102">
        <v>0.9652642867333141</v>
      </c>
      <c r="T311" s="79">
        <v>4.2256750506189697E-2</v>
      </c>
      <c r="U311" s="79">
        <v>0.40279954327349499</v>
      </c>
      <c r="V311" s="79">
        <v>0.52007806883025998</v>
      </c>
      <c r="W311" s="79">
        <v>1</v>
      </c>
    </row>
    <row r="312" spans="2:23" x14ac:dyDescent="0.2">
      <c r="B312" t="s">
        <v>3613</v>
      </c>
      <c r="C312" s="84">
        <v>5019</v>
      </c>
      <c r="D312" s="102">
        <v>1.0426955459514526</v>
      </c>
      <c r="E312" s="79">
        <v>5.1681165868753098E-2</v>
      </c>
      <c r="F312" s="79">
        <v>0.41852440672575902</v>
      </c>
      <c r="G312" s="79">
        <v>0.89561567502544503</v>
      </c>
      <c r="H312" s="79">
        <v>1</v>
      </c>
      <c r="I312" s="102">
        <v>1.0233476125344669</v>
      </c>
      <c r="J312" s="79">
        <v>5.1548214695733403E-2</v>
      </c>
      <c r="K312" s="79">
        <v>0.65435444889012795</v>
      </c>
      <c r="L312" s="79">
        <v>0.88374695918109603</v>
      </c>
      <c r="M312" s="79">
        <v>1</v>
      </c>
      <c r="N312" s="102">
        <v>0.91406602418296468</v>
      </c>
      <c r="O312" s="79">
        <v>5.0846463903764301E-2</v>
      </c>
      <c r="P312" s="79">
        <v>7.7205926395966504E-2</v>
      </c>
      <c r="Q312" s="79">
        <v>0.14352869007376401</v>
      </c>
      <c r="R312" s="79">
        <v>1</v>
      </c>
      <c r="S312" s="102">
        <v>0.95566671799108949</v>
      </c>
      <c r="T312" s="79">
        <v>5.10423302550429E-2</v>
      </c>
      <c r="U312" s="79">
        <v>0.37432518436619</v>
      </c>
      <c r="V312" s="79">
        <v>0.49270152472131001</v>
      </c>
      <c r="W312" s="79">
        <v>1</v>
      </c>
    </row>
    <row r="313" spans="2:23" x14ac:dyDescent="0.2">
      <c r="B313" t="s">
        <v>3614</v>
      </c>
      <c r="C313" s="84">
        <v>5019</v>
      </c>
      <c r="D313" s="102">
        <v>1.0812841757068079</v>
      </c>
      <c r="E313" s="79">
        <v>4.39901668974442E-2</v>
      </c>
      <c r="F313" s="79">
        <v>7.5647341799811599E-2</v>
      </c>
      <c r="G313" s="79">
        <v>0.73538141425839998</v>
      </c>
      <c r="H313" s="79">
        <v>1</v>
      </c>
      <c r="I313" s="102">
        <v>1.0432089307250625</v>
      </c>
      <c r="J313" s="79">
        <v>4.3924754673498101E-2</v>
      </c>
      <c r="K313" s="79">
        <v>0.33552542444512401</v>
      </c>
      <c r="L313" s="79">
        <v>0.72869636397724302</v>
      </c>
      <c r="M313" s="79">
        <v>1</v>
      </c>
      <c r="N313" s="102">
        <v>0.9670248181183998</v>
      </c>
      <c r="O313" s="79">
        <v>4.3542000719349098E-2</v>
      </c>
      <c r="P313" s="79">
        <v>0.441248421998021</v>
      </c>
      <c r="Q313" s="79">
        <v>0.55906868127497999</v>
      </c>
      <c r="R313" s="79">
        <v>1</v>
      </c>
      <c r="S313" s="102">
        <v>1.0017941510801387</v>
      </c>
      <c r="T313" s="79">
        <v>4.3488979114285203E-2</v>
      </c>
      <c r="U313" s="79">
        <v>0.96712183314353495</v>
      </c>
      <c r="V313" s="79">
        <v>0.97762067589958102</v>
      </c>
      <c r="W313" s="79">
        <v>1</v>
      </c>
    </row>
    <row r="314" spans="2:23" x14ac:dyDescent="0.2">
      <c r="B314" t="s">
        <v>3615</v>
      </c>
      <c r="C314" s="84">
        <v>5019</v>
      </c>
      <c r="D314" s="102">
        <v>0.98739535091642494</v>
      </c>
      <c r="E314" s="79">
        <v>4.8325314919926698E-2</v>
      </c>
      <c r="F314" s="79">
        <v>0.79294609208630795</v>
      </c>
      <c r="G314" s="79">
        <v>0.99158613425276598</v>
      </c>
      <c r="H314" s="79">
        <v>1</v>
      </c>
      <c r="I314" s="102">
        <v>1.0634559767603571</v>
      </c>
      <c r="J314" s="79">
        <v>4.8266986062226902E-2</v>
      </c>
      <c r="K314" s="79">
        <v>0.20242987709825</v>
      </c>
      <c r="L314" s="79">
        <v>0.64310547644134297</v>
      </c>
      <c r="M314" s="79">
        <v>1</v>
      </c>
      <c r="N314" s="102">
        <v>1.0725469568528325</v>
      </c>
      <c r="O314" s="79">
        <v>4.7914891747000199E-2</v>
      </c>
      <c r="P314" s="79">
        <v>0.143829409545743</v>
      </c>
      <c r="Q314" s="79">
        <v>0.23226598643516599</v>
      </c>
      <c r="R314" s="79">
        <v>1</v>
      </c>
      <c r="S314" s="102">
        <v>1.0855726585903891</v>
      </c>
      <c r="T314" s="79">
        <v>4.8035459556668401E-2</v>
      </c>
      <c r="U314" s="79">
        <v>8.7392954887864596E-2</v>
      </c>
      <c r="V314" s="79">
        <v>0.15766098570824599</v>
      </c>
      <c r="W314" s="79">
        <v>1</v>
      </c>
    </row>
    <row r="315" spans="2:23" x14ac:dyDescent="0.2">
      <c r="B315" t="s">
        <v>3616</v>
      </c>
      <c r="C315" s="84">
        <v>5019</v>
      </c>
      <c r="D315" s="102">
        <v>1.0317643998736503</v>
      </c>
      <c r="E315" s="79">
        <v>5.4730205207064897E-2</v>
      </c>
      <c r="F315" s="79">
        <v>0.56775939897758598</v>
      </c>
      <c r="G315" s="79">
        <v>0.93167796111031398</v>
      </c>
      <c r="H315" s="79">
        <v>1</v>
      </c>
      <c r="I315" s="102">
        <v>1.0146668379949719</v>
      </c>
      <c r="J315" s="79">
        <v>5.4650232904577302E-2</v>
      </c>
      <c r="K315" s="79">
        <v>0.78991005526813596</v>
      </c>
      <c r="L315" s="79">
        <v>0.93431667519995099</v>
      </c>
      <c r="M315" s="79">
        <v>1</v>
      </c>
      <c r="N315" s="102">
        <v>0.94574576985061543</v>
      </c>
      <c r="O315" s="79">
        <v>5.3800192924283202E-2</v>
      </c>
      <c r="P315" s="79">
        <v>0.29981652765237199</v>
      </c>
      <c r="Q315" s="79">
        <v>0.414603426810709</v>
      </c>
      <c r="R315" s="79">
        <v>1</v>
      </c>
      <c r="S315" s="102">
        <v>0.94413391561618765</v>
      </c>
      <c r="T315" s="79">
        <v>5.3890436443511103E-2</v>
      </c>
      <c r="U315" s="79">
        <v>0.28608775913654499</v>
      </c>
      <c r="V315" s="79">
        <v>0.39953228687329501</v>
      </c>
      <c r="W315" s="79">
        <v>1</v>
      </c>
    </row>
    <row r="316" spans="2:23" x14ac:dyDescent="0.2">
      <c r="B316" t="s">
        <v>3617</v>
      </c>
      <c r="C316" s="84">
        <v>5019</v>
      </c>
      <c r="D316" s="102">
        <v>1.0560712467915174</v>
      </c>
      <c r="E316" s="79">
        <v>5.3345919695486001E-2</v>
      </c>
      <c r="F316" s="79">
        <v>0.30646053242811899</v>
      </c>
      <c r="G316" s="79">
        <v>0.88192109714078004</v>
      </c>
      <c r="H316" s="79">
        <v>1</v>
      </c>
      <c r="I316" s="102">
        <v>0.96487432331328993</v>
      </c>
      <c r="J316" s="79">
        <v>5.3545554744576299E-2</v>
      </c>
      <c r="K316" s="79">
        <v>0.50426484849633202</v>
      </c>
      <c r="L316" s="79">
        <v>0.82233649204368997</v>
      </c>
      <c r="M316" s="79">
        <v>1</v>
      </c>
      <c r="N316" s="102">
        <v>0.81896455788025291</v>
      </c>
      <c r="O316" s="79">
        <v>5.24112610811538E-2</v>
      </c>
      <c r="P316" s="79">
        <v>1.3867144889731899E-4</v>
      </c>
      <c r="Q316" s="79">
        <v>8.96600894778849E-4</v>
      </c>
      <c r="R316" s="79">
        <v>0.234909434432058</v>
      </c>
      <c r="S316" s="102">
        <v>0.90446099012651682</v>
      </c>
      <c r="T316" s="79">
        <v>5.2879506939707298E-2</v>
      </c>
      <c r="U316" s="79">
        <v>5.75696478077211E-2</v>
      </c>
      <c r="V316" s="79">
        <v>0.114441136729987</v>
      </c>
      <c r="W316" s="79">
        <v>1</v>
      </c>
    </row>
    <row r="317" spans="2:23" x14ac:dyDescent="0.2">
      <c r="B317" t="s">
        <v>3618</v>
      </c>
      <c r="C317" s="84">
        <v>5019</v>
      </c>
      <c r="D317" s="102">
        <v>1.0031579494178786</v>
      </c>
      <c r="E317" s="79">
        <v>6.19419241421518E-2</v>
      </c>
      <c r="F317" s="79">
        <v>0.95940353789098398</v>
      </c>
      <c r="G317" s="79">
        <v>0.99840985319461195</v>
      </c>
      <c r="H317" s="79">
        <v>1</v>
      </c>
      <c r="I317" s="102">
        <v>0.96739096107778766</v>
      </c>
      <c r="J317" s="79">
        <v>6.1900009048801601E-2</v>
      </c>
      <c r="K317" s="79">
        <v>0.59224711976562705</v>
      </c>
      <c r="L317" s="79">
        <v>0.86712758935434098</v>
      </c>
      <c r="M317" s="79">
        <v>1</v>
      </c>
      <c r="N317" s="102">
        <v>0.90085008349958573</v>
      </c>
      <c r="O317" s="79">
        <v>6.1329488968542602E-2</v>
      </c>
      <c r="P317" s="79">
        <v>8.8652610744133206E-2</v>
      </c>
      <c r="Q317" s="79">
        <v>0.15942412165664699</v>
      </c>
      <c r="R317" s="79">
        <v>1</v>
      </c>
      <c r="S317" s="102">
        <v>0.90728658036317045</v>
      </c>
      <c r="T317" s="79">
        <v>6.1502100387859797E-2</v>
      </c>
      <c r="U317" s="79">
        <v>0.113647377392286</v>
      </c>
      <c r="V317" s="79">
        <v>0.195649041974118</v>
      </c>
      <c r="W317" s="79">
        <v>1</v>
      </c>
    </row>
    <row r="318" spans="2:23" x14ac:dyDescent="0.2">
      <c r="B318" t="s">
        <v>3619</v>
      </c>
      <c r="C318" s="84">
        <v>5019</v>
      </c>
      <c r="D318" s="102">
        <v>1.0268261364085034</v>
      </c>
      <c r="E318" s="79">
        <v>4.7304822299348001E-2</v>
      </c>
      <c r="F318" s="79">
        <v>0.575740112803662</v>
      </c>
      <c r="G318" s="79">
        <v>0.93419899529636297</v>
      </c>
      <c r="H318" s="79">
        <v>1</v>
      </c>
      <c r="I318" s="102">
        <v>0.95061364943631066</v>
      </c>
      <c r="J318" s="79">
        <v>4.6931943731188197E-2</v>
      </c>
      <c r="K318" s="79">
        <v>0.28051185159786601</v>
      </c>
      <c r="L318" s="79">
        <v>0.69537030386512999</v>
      </c>
      <c r="M318" s="79">
        <v>1</v>
      </c>
      <c r="N318" s="102">
        <v>0.89686064818111499</v>
      </c>
      <c r="O318" s="79">
        <v>4.6805245814567402E-2</v>
      </c>
      <c r="P318" s="79">
        <v>2.0034763520867499E-2</v>
      </c>
      <c r="Q318" s="79">
        <v>4.8692811197058199E-2</v>
      </c>
      <c r="R318" s="79">
        <v>1</v>
      </c>
      <c r="S318" s="102">
        <v>0.99639156597485878</v>
      </c>
      <c r="T318" s="79">
        <v>4.6497500205873898E-2</v>
      </c>
      <c r="U318" s="79">
        <v>0.93803069273893502</v>
      </c>
      <c r="V318" s="79">
        <v>0.95678176347472998</v>
      </c>
      <c r="W318" s="79">
        <v>1</v>
      </c>
    </row>
    <row r="319" spans="2:23" x14ac:dyDescent="0.2">
      <c r="B319" t="s">
        <v>3620</v>
      </c>
      <c r="C319" s="84">
        <v>5019</v>
      </c>
      <c r="D319" s="102">
        <v>1.1150969736547145</v>
      </c>
      <c r="E319" s="79">
        <v>0.111489946810644</v>
      </c>
      <c r="F319" s="79">
        <v>0.32849946372198702</v>
      </c>
      <c r="G319" s="79">
        <v>0.88730162874475904</v>
      </c>
      <c r="H319" s="79">
        <v>1</v>
      </c>
      <c r="I319" s="102">
        <v>1.0378413114819771</v>
      </c>
      <c r="J319" s="79">
        <v>0.11176574127061301</v>
      </c>
      <c r="K319" s="79">
        <v>0.73964154063130105</v>
      </c>
      <c r="L319" s="79">
        <v>0.91967633960533601</v>
      </c>
      <c r="M319" s="79">
        <v>1</v>
      </c>
      <c r="N319" s="102">
        <v>0.93012899619127021</v>
      </c>
      <c r="O319" s="79">
        <v>0.10890984733853799</v>
      </c>
      <c r="P319" s="79">
        <v>0.50600968744987895</v>
      </c>
      <c r="Q319" s="79">
        <v>0.622046742046513</v>
      </c>
      <c r="R319" s="79">
        <v>1</v>
      </c>
      <c r="S319" s="102">
        <v>0.85726934611459849</v>
      </c>
      <c r="T319" s="79">
        <v>0.111204044308894</v>
      </c>
      <c r="U319" s="79">
        <v>0.16609228940755799</v>
      </c>
      <c r="V319" s="79">
        <v>0.262482225757943</v>
      </c>
      <c r="W319" s="79">
        <v>1</v>
      </c>
    </row>
    <row r="320" spans="2:23" x14ac:dyDescent="0.2">
      <c r="B320" t="s">
        <v>3621</v>
      </c>
      <c r="C320" s="84">
        <v>5019</v>
      </c>
      <c r="D320" s="102">
        <v>1.0520472628239315</v>
      </c>
      <c r="E320" s="79">
        <v>7.7360544076697402E-2</v>
      </c>
      <c r="F320" s="79">
        <v>0.51191126656228503</v>
      </c>
      <c r="G320" s="79">
        <v>0.91752655785263504</v>
      </c>
      <c r="H320" s="79">
        <v>1</v>
      </c>
      <c r="I320" s="102">
        <v>1.1008458986531382</v>
      </c>
      <c r="J320" s="79">
        <v>7.7019001259192199E-2</v>
      </c>
      <c r="K320" s="79">
        <v>0.212225263373264</v>
      </c>
      <c r="L320" s="79">
        <v>0.64989136810863102</v>
      </c>
      <c r="M320" s="79">
        <v>1</v>
      </c>
      <c r="N320" s="102">
        <v>1.0083543536660327</v>
      </c>
      <c r="O320" s="79">
        <v>7.6076331166338301E-2</v>
      </c>
      <c r="P320" s="79">
        <v>0.91291756729487805</v>
      </c>
      <c r="Q320" s="79">
        <v>0.94355238498933702</v>
      </c>
      <c r="R320" s="79">
        <v>1</v>
      </c>
      <c r="S320" s="102">
        <v>0.99985217224259915</v>
      </c>
      <c r="T320" s="79">
        <v>7.5586374086995894E-2</v>
      </c>
      <c r="U320" s="79">
        <v>0.99843942601470104</v>
      </c>
      <c r="V320" s="79">
        <v>0.99902750315914401</v>
      </c>
      <c r="W320" s="79">
        <v>1</v>
      </c>
    </row>
    <row r="321" spans="2:23" x14ac:dyDescent="0.2">
      <c r="B321" t="s">
        <v>3622</v>
      </c>
      <c r="C321" s="84">
        <v>5018</v>
      </c>
      <c r="D321" s="102">
        <v>1.0116848966078049</v>
      </c>
      <c r="E321" s="79">
        <v>5.48755071230198E-2</v>
      </c>
      <c r="F321" s="79">
        <v>0.83234093832727896</v>
      </c>
      <c r="G321" s="79">
        <v>0.99362338620020496</v>
      </c>
      <c r="H321" s="79">
        <v>1</v>
      </c>
      <c r="I321" s="102">
        <v>0.95318831121660097</v>
      </c>
      <c r="J321" s="79">
        <v>5.4645994390323201E-2</v>
      </c>
      <c r="K321" s="79">
        <v>0.38030517383801599</v>
      </c>
      <c r="L321" s="79">
        <v>0.75782823609722505</v>
      </c>
      <c r="M321" s="79">
        <v>1</v>
      </c>
      <c r="N321" s="102">
        <v>0.8852966922120733</v>
      </c>
      <c r="O321" s="79">
        <v>5.3821430577930901E-2</v>
      </c>
      <c r="P321" s="79">
        <v>2.3596149341725901E-2</v>
      </c>
      <c r="Q321" s="79">
        <v>5.54394965116278E-2</v>
      </c>
      <c r="R321" s="79">
        <v>1</v>
      </c>
      <c r="S321" s="102">
        <v>0.91477513318852466</v>
      </c>
      <c r="T321" s="79">
        <v>5.4102424196181102E-2</v>
      </c>
      <c r="U321" s="79">
        <v>9.9670904056439094E-2</v>
      </c>
      <c r="V321" s="79">
        <v>0.17532971077010201</v>
      </c>
      <c r="W321" s="79">
        <v>1</v>
      </c>
    </row>
    <row r="322" spans="2:23" x14ac:dyDescent="0.2">
      <c r="B322" t="s">
        <v>3623</v>
      </c>
      <c r="C322" s="84">
        <v>5018</v>
      </c>
      <c r="D322" s="102">
        <v>0.9377812253735599</v>
      </c>
      <c r="E322" s="79">
        <v>4.8631786720952502E-2</v>
      </c>
      <c r="F322" s="79">
        <v>0.18652877624846201</v>
      </c>
      <c r="G322" s="79">
        <v>0.83003013605610498</v>
      </c>
      <c r="H322" s="79">
        <v>1</v>
      </c>
      <c r="I322" s="102">
        <v>0.96827908184742295</v>
      </c>
      <c r="J322" s="79">
        <v>4.8714145963470498E-2</v>
      </c>
      <c r="K322" s="79">
        <v>0.50815330453012098</v>
      </c>
      <c r="L322" s="79">
        <v>0.823743251554091</v>
      </c>
      <c r="M322" s="79">
        <v>1</v>
      </c>
      <c r="N322" s="102">
        <v>0.91837092279086585</v>
      </c>
      <c r="O322" s="79">
        <v>4.8131999680115202E-2</v>
      </c>
      <c r="P322" s="79">
        <v>7.6864729942169405E-2</v>
      </c>
      <c r="Q322" s="79">
        <v>0.143086651123115</v>
      </c>
      <c r="R322" s="79">
        <v>1</v>
      </c>
      <c r="S322" s="102">
        <v>0.91759137549387115</v>
      </c>
      <c r="T322" s="79">
        <v>4.8216762862789801E-2</v>
      </c>
      <c r="U322" s="79">
        <v>7.4476228764085897E-2</v>
      </c>
      <c r="V322" s="79">
        <v>0.13894573956647699</v>
      </c>
      <c r="W322" s="79">
        <v>1</v>
      </c>
    </row>
    <row r="323" spans="2:23" x14ac:dyDescent="0.2">
      <c r="B323" t="s">
        <v>3624</v>
      </c>
      <c r="C323" s="84">
        <v>5018</v>
      </c>
      <c r="D323" s="102">
        <v>1.0530675672308736</v>
      </c>
      <c r="E323" s="79">
        <v>5.4060252450298697E-2</v>
      </c>
      <c r="F323" s="79">
        <v>0.33883121101834401</v>
      </c>
      <c r="G323" s="79">
        <v>0.88889892785277203</v>
      </c>
      <c r="H323" s="79">
        <v>1</v>
      </c>
      <c r="I323" s="102">
        <v>0.93447984827281894</v>
      </c>
      <c r="J323" s="79">
        <v>5.3183829048562697E-2</v>
      </c>
      <c r="K323" s="79">
        <v>0.20260332766987299</v>
      </c>
      <c r="L323" s="79">
        <v>0.64310547644134297</v>
      </c>
      <c r="M323" s="79">
        <v>1</v>
      </c>
      <c r="N323" s="102">
        <v>1.0055006975808922</v>
      </c>
      <c r="O323" s="79">
        <v>5.31014290851482E-2</v>
      </c>
      <c r="P323" s="79">
        <v>0.91772119343014802</v>
      </c>
      <c r="Q323" s="79">
        <v>0.945632421940797</v>
      </c>
      <c r="R323" s="79">
        <v>1</v>
      </c>
      <c r="S323" s="102">
        <v>0.96857195385658967</v>
      </c>
      <c r="T323" s="79">
        <v>5.3095748330078997E-2</v>
      </c>
      <c r="U323" s="79">
        <v>0.54756454732332205</v>
      </c>
      <c r="V323" s="79">
        <v>0.64729542440035404</v>
      </c>
      <c r="W323" s="79">
        <v>1</v>
      </c>
    </row>
    <row r="324" spans="2:23" x14ac:dyDescent="0.2">
      <c r="B324" t="s">
        <v>3625</v>
      </c>
      <c r="C324" s="84">
        <v>5018</v>
      </c>
      <c r="D324" s="102">
        <v>1.0406337882147232</v>
      </c>
      <c r="E324" s="79">
        <v>4.60161628693459E-2</v>
      </c>
      <c r="F324" s="79">
        <v>0.38672924177718798</v>
      </c>
      <c r="G324" s="79">
        <v>0.89461055933914202</v>
      </c>
      <c r="H324" s="79">
        <v>1</v>
      </c>
      <c r="I324" s="102">
        <v>0.95729245242885219</v>
      </c>
      <c r="J324" s="79">
        <v>4.5900231612030898E-2</v>
      </c>
      <c r="K324" s="79">
        <v>0.34165723173675</v>
      </c>
      <c r="L324" s="79">
        <v>0.73634522972271599</v>
      </c>
      <c r="M324" s="79">
        <v>1</v>
      </c>
      <c r="N324" s="102">
        <v>0.94563893247720543</v>
      </c>
      <c r="O324" s="79">
        <v>4.5747800959459503E-2</v>
      </c>
      <c r="P324" s="79">
        <v>0.22178494109362901</v>
      </c>
      <c r="Q324" s="79">
        <v>0.32783917121519002</v>
      </c>
      <c r="R324" s="79">
        <v>1</v>
      </c>
      <c r="S324" s="102">
        <v>1.0006600389539924</v>
      </c>
      <c r="T324" s="79">
        <v>4.5651867837685302E-2</v>
      </c>
      <c r="U324" s="79">
        <v>0.98846831764835696</v>
      </c>
      <c r="V324" s="79">
        <v>0.99313984895787899</v>
      </c>
      <c r="W324" s="79">
        <v>1</v>
      </c>
    </row>
    <row r="325" spans="2:23" x14ac:dyDescent="0.2">
      <c r="B325" t="s">
        <v>3626</v>
      </c>
      <c r="C325" s="84">
        <v>5018</v>
      </c>
      <c r="D325" s="102">
        <v>0.90516783855444305</v>
      </c>
      <c r="E325" s="79">
        <v>5.5630224082090597E-2</v>
      </c>
      <c r="F325" s="79">
        <v>7.3289936834710107E-2</v>
      </c>
      <c r="G325" s="79">
        <v>0.73538141425839998</v>
      </c>
      <c r="H325" s="79">
        <v>1</v>
      </c>
      <c r="I325" s="102">
        <v>0.99706890787017954</v>
      </c>
      <c r="J325" s="79">
        <v>5.5336439839707E-2</v>
      </c>
      <c r="K325" s="79">
        <v>0.957694977178284</v>
      </c>
      <c r="L325" s="79">
        <v>0.99421745281696505</v>
      </c>
      <c r="M325" s="79">
        <v>1</v>
      </c>
      <c r="N325" s="102">
        <v>1.1252642712150456</v>
      </c>
      <c r="O325" s="79">
        <v>5.5082721217950797E-2</v>
      </c>
      <c r="P325" s="79">
        <v>3.2148620121366898E-2</v>
      </c>
      <c r="Q325" s="79">
        <v>7.0936621981243703E-2</v>
      </c>
      <c r="R325" s="79">
        <v>1</v>
      </c>
      <c r="S325" s="102">
        <v>1.0981325644091153</v>
      </c>
      <c r="T325" s="79">
        <v>5.4675075459145302E-2</v>
      </c>
      <c r="U325" s="79">
        <v>8.6871933873196597E-2</v>
      </c>
      <c r="V325" s="79">
        <v>0.15722335040725999</v>
      </c>
      <c r="W325" s="79">
        <v>1</v>
      </c>
    </row>
    <row r="326" spans="2:23" x14ac:dyDescent="0.2">
      <c r="B326" t="s">
        <v>3627</v>
      </c>
      <c r="C326" s="84">
        <v>5018</v>
      </c>
      <c r="D326" s="102">
        <v>1.1103565625421132</v>
      </c>
      <c r="E326" s="79">
        <v>6.12796767426355E-2</v>
      </c>
      <c r="F326" s="79">
        <v>8.7589409257086706E-2</v>
      </c>
      <c r="G326" s="79">
        <v>0.74561034814826599</v>
      </c>
      <c r="H326" s="79">
        <v>1</v>
      </c>
      <c r="I326" s="102">
        <v>0.98752053505644899</v>
      </c>
      <c r="J326" s="79">
        <v>6.05584141195082E-2</v>
      </c>
      <c r="K326" s="79">
        <v>0.83572105053838597</v>
      </c>
      <c r="L326" s="79">
        <v>0.95558061391045301</v>
      </c>
      <c r="M326" s="79">
        <v>1</v>
      </c>
      <c r="N326" s="102">
        <v>0.94849835953326367</v>
      </c>
      <c r="O326" s="79">
        <v>6.0362656294594003E-2</v>
      </c>
      <c r="P326" s="79">
        <v>0.38105225920723101</v>
      </c>
      <c r="Q326" s="79">
        <v>0.49884275664377897</v>
      </c>
      <c r="R326" s="79">
        <v>1</v>
      </c>
      <c r="S326" s="102">
        <v>1.0062208541008899</v>
      </c>
      <c r="T326" s="79">
        <v>6.0348073014365997E-2</v>
      </c>
      <c r="U326" s="79">
        <v>0.918150605435335</v>
      </c>
      <c r="V326" s="79">
        <v>0.94320626173890698</v>
      </c>
      <c r="W326" s="79">
        <v>1</v>
      </c>
    </row>
    <row r="327" spans="2:23" x14ac:dyDescent="0.2">
      <c r="B327" t="s">
        <v>3628</v>
      </c>
      <c r="C327" s="84">
        <v>5019</v>
      </c>
      <c r="D327" s="102">
        <v>1.0048623903124447</v>
      </c>
      <c r="E327" s="79">
        <v>7.3696738026764894E-2</v>
      </c>
      <c r="F327" s="79">
        <v>0.94752234543144098</v>
      </c>
      <c r="G327" s="79">
        <v>0.99840985319461195</v>
      </c>
      <c r="H327" s="79">
        <v>1</v>
      </c>
      <c r="I327" s="102">
        <v>0.856686148742689</v>
      </c>
      <c r="J327" s="79">
        <v>7.4433943013112194E-2</v>
      </c>
      <c r="K327" s="79">
        <v>3.76970924062624E-2</v>
      </c>
      <c r="L327" s="79">
        <v>0.374397350453329</v>
      </c>
      <c r="M327" s="79">
        <v>1</v>
      </c>
      <c r="N327" s="102">
        <v>0.88079259122983056</v>
      </c>
      <c r="O327" s="79">
        <v>7.2439571751906406E-2</v>
      </c>
      <c r="P327" s="79">
        <v>7.9728776142039506E-2</v>
      </c>
      <c r="Q327" s="79">
        <v>0.146011401929313</v>
      </c>
      <c r="R327" s="79">
        <v>1</v>
      </c>
      <c r="S327" s="102">
        <v>0.82522583216176659</v>
      </c>
      <c r="T327" s="79">
        <v>7.3080394796408502E-2</v>
      </c>
      <c r="U327" s="79">
        <v>8.5740356922858509E-3</v>
      </c>
      <c r="V327" s="79">
        <v>2.50420973495383E-2</v>
      </c>
      <c r="W327" s="79">
        <v>1</v>
      </c>
    </row>
    <row r="328" spans="2:23" x14ac:dyDescent="0.2">
      <c r="B328" t="s">
        <v>3629</v>
      </c>
      <c r="C328" s="84">
        <v>5018</v>
      </c>
      <c r="D328" s="102">
        <v>1.031779851738571</v>
      </c>
      <c r="E328" s="79">
        <v>4.7571221750330302E-2</v>
      </c>
      <c r="F328" s="79">
        <v>0.51076159391240095</v>
      </c>
      <c r="G328" s="79">
        <v>0.91752655785263504</v>
      </c>
      <c r="H328" s="79">
        <v>1</v>
      </c>
      <c r="I328" s="102">
        <v>1.0322610447707479</v>
      </c>
      <c r="J328" s="79">
        <v>4.7405852245718097E-2</v>
      </c>
      <c r="K328" s="79">
        <v>0.50299678448188401</v>
      </c>
      <c r="L328" s="79">
        <v>0.82233649204368997</v>
      </c>
      <c r="M328" s="79">
        <v>1</v>
      </c>
      <c r="N328" s="102">
        <v>0.91077281986909442</v>
      </c>
      <c r="O328" s="79">
        <v>4.7177449825467198E-2</v>
      </c>
      <c r="P328" s="79">
        <v>4.7583526840755598E-2</v>
      </c>
      <c r="Q328" s="79">
        <v>9.7414345088851106E-2</v>
      </c>
      <c r="R328" s="79">
        <v>1</v>
      </c>
      <c r="S328" s="102">
        <v>0.92241447203426352</v>
      </c>
      <c r="T328" s="79">
        <v>4.7042543324938603E-2</v>
      </c>
      <c r="U328" s="79">
        <v>8.6023560987704598E-2</v>
      </c>
      <c r="V328" s="79">
        <v>0.156021319393117</v>
      </c>
      <c r="W328" s="79">
        <v>1</v>
      </c>
    </row>
    <row r="329" spans="2:23" x14ac:dyDescent="0.2">
      <c r="B329" t="s">
        <v>3630</v>
      </c>
      <c r="C329" s="84">
        <v>5018</v>
      </c>
      <c r="D329" s="102">
        <v>0.96681465099806363</v>
      </c>
      <c r="E329" s="79">
        <v>4.3691841871647201E-2</v>
      </c>
      <c r="F329" s="79">
        <v>0.43986539156281601</v>
      </c>
      <c r="G329" s="79">
        <v>0.90581448957043498</v>
      </c>
      <c r="H329" s="79">
        <v>1</v>
      </c>
      <c r="I329" s="102">
        <v>1.0007689656133956</v>
      </c>
      <c r="J329" s="79">
        <v>4.3478885728368999E-2</v>
      </c>
      <c r="K329" s="79">
        <v>0.98589480718321898</v>
      </c>
      <c r="L329" s="79">
        <v>0.99629532610271199</v>
      </c>
      <c r="M329" s="79">
        <v>1</v>
      </c>
      <c r="N329" s="102">
        <v>0.96188449673222942</v>
      </c>
      <c r="O329" s="79">
        <v>4.2979364112759703E-2</v>
      </c>
      <c r="P329" s="79">
        <v>0.36590218570175598</v>
      </c>
      <c r="Q329" s="79">
        <v>0.48236443780449401</v>
      </c>
      <c r="R329" s="79">
        <v>1</v>
      </c>
      <c r="S329" s="102">
        <v>0.98339950425431721</v>
      </c>
      <c r="T329" s="79">
        <v>4.3038818582318998E-2</v>
      </c>
      <c r="U329" s="79">
        <v>0.69731520284263804</v>
      </c>
      <c r="V329" s="79">
        <v>0.76349920607603905</v>
      </c>
      <c r="W329" s="79">
        <v>1</v>
      </c>
    </row>
    <row r="330" spans="2:23" x14ac:dyDescent="0.2">
      <c r="B330" t="s">
        <v>3631</v>
      </c>
      <c r="C330" s="84">
        <v>5018</v>
      </c>
      <c r="D330" s="102">
        <v>0.95773827020348712</v>
      </c>
      <c r="E330" s="79">
        <v>4.4209225805840503E-2</v>
      </c>
      <c r="F330" s="79">
        <v>0.32869986390348999</v>
      </c>
      <c r="G330" s="79">
        <v>0.88730162874475904</v>
      </c>
      <c r="H330" s="79">
        <v>1</v>
      </c>
      <c r="I330" s="102">
        <v>0.92515561121013956</v>
      </c>
      <c r="J330" s="79">
        <v>4.3974627240971599E-2</v>
      </c>
      <c r="K330" s="79">
        <v>7.6885481696674196E-2</v>
      </c>
      <c r="L330" s="79">
        <v>0.46226633181563198</v>
      </c>
      <c r="M330" s="79">
        <v>1</v>
      </c>
      <c r="N330" s="102">
        <v>0.99304388946213618</v>
      </c>
      <c r="O330" s="79">
        <v>4.3656099420777E-2</v>
      </c>
      <c r="P330" s="79">
        <v>0.87296333538608495</v>
      </c>
      <c r="Q330" s="79">
        <v>0.91578511225577597</v>
      </c>
      <c r="R330" s="79">
        <v>1</v>
      </c>
      <c r="S330" s="102">
        <v>0.93515443143283683</v>
      </c>
      <c r="T330" s="79">
        <v>4.3595443340026699E-2</v>
      </c>
      <c r="U330" s="79">
        <v>0.124083368116976</v>
      </c>
      <c r="V330" s="79">
        <v>0.20977767024965799</v>
      </c>
      <c r="W330" s="79">
        <v>1</v>
      </c>
    </row>
    <row r="331" spans="2:23" x14ac:dyDescent="0.2">
      <c r="B331" t="s">
        <v>3632</v>
      </c>
      <c r="C331" s="84">
        <v>5018</v>
      </c>
      <c r="D331" s="102">
        <v>1.0191429137054808</v>
      </c>
      <c r="E331" s="79">
        <v>5.96790912342514E-2</v>
      </c>
      <c r="F331" s="79">
        <v>0.750687773329755</v>
      </c>
      <c r="G331" s="79">
        <v>0.98006352001698205</v>
      </c>
      <c r="H331" s="79">
        <v>1</v>
      </c>
      <c r="I331" s="102">
        <v>0.96077549196114087</v>
      </c>
      <c r="J331" s="79">
        <v>5.9083758486676699E-2</v>
      </c>
      <c r="K331" s="79">
        <v>0.49824690797550703</v>
      </c>
      <c r="L331" s="79">
        <v>0.81806688763786795</v>
      </c>
      <c r="M331" s="79">
        <v>1</v>
      </c>
      <c r="N331" s="102">
        <v>0.89566842726191709</v>
      </c>
      <c r="O331" s="79">
        <v>5.8930542096046402E-2</v>
      </c>
      <c r="P331" s="79">
        <v>6.1519456725161202E-2</v>
      </c>
      <c r="Q331" s="79">
        <v>0.12075777484637699</v>
      </c>
      <c r="R331" s="79">
        <v>1</v>
      </c>
      <c r="S331" s="102">
        <v>0.94066498766349382</v>
      </c>
      <c r="T331" s="79">
        <v>5.8872855153911899E-2</v>
      </c>
      <c r="U331" s="79">
        <v>0.298810079316984</v>
      </c>
      <c r="V331" s="79">
        <v>0.41321165254120101</v>
      </c>
      <c r="W331" s="79">
        <v>1</v>
      </c>
    </row>
    <row r="332" spans="2:23" x14ac:dyDescent="0.2">
      <c r="B332" t="s">
        <v>3633</v>
      </c>
      <c r="C332" s="84">
        <v>5018</v>
      </c>
      <c r="D332" s="102">
        <v>1.0621636444439033</v>
      </c>
      <c r="E332" s="79">
        <v>4.8032096698431198E-2</v>
      </c>
      <c r="F332" s="79">
        <v>0.20926933016635799</v>
      </c>
      <c r="G332" s="79">
        <v>0.83451685541571996</v>
      </c>
      <c r="H332" s="79">
        <v>1</v>
      </c>
      <c r="I332" s="102">
        <v>0.95046010889509003</v>
      </c>
      <c r="J332" s="79">
        <v>4.7839928413832597E-2</v>
      </c>
      <c r="K332" s="79">
        <v>0.28820643488007303</v>
      </c>
      <c r="L332" s="79">
        <v>0.70313889593145995</v>
      </c>
      <c r="M332" s="79">
        <v>1</v>
      </c>
      <c r="N332" s="102">
        <v>0.92164119531762745</v>
      </c>
      <c r="O332" s="79">
        <v>4.7408947675127197E-2</v>
      </c>
      <c r="P332" s="79">
        <v>8.52183277404472E-2</v>
      </c>
      <c r="Q332" s="79">
        <v>0.15406600554142699</v>
      </c>
      <c r="R332" s="79">
        <v>1</v>
      </c>
      <c r="S332" s="102">
        <v>0.94256389209798142</v>
      </c>
      <c r="T332" s="79">
        <v>4.7443147222441501E-2</v>
      </c>
      <c r="U332" s="79">
        <v>0.21247504612651799</v>
      </c>
      <c r="V332" s="79">
        <v>0.31684219026260702</v>
      </c>
      <c r="W332" s="79">
        <v>1</v>
      </c>
    </row>
    <row r="333" spans="2:23" x14ac:dyDescent="0.2">
      <c r="B333" t="s">
        <v>3634</v>
      </c>
      <c r="C333" s="84">
        <v>5018</v>
      </c>
      <c r="D333" s="102">
        <v>0.99654030865474774</v>
      </c>
      <c r="E333" s="79">
        <v>5.0802863506262098E-2</v>
      </c>
      <c r="F333" s="79">
        <v>0.94561178231257603</v>
      </c>
      <c r="G333" s="79">
        <v>0.99840985319461195</v>
      </c>
      <c r="H333" s="79">
        <v>1</v>
      </c>
      <c r="I333" s="102">
        <v>1.073095086229376</v>
      </c>
      <c r="J333" s="79">
        <v>5.05641248934054E-2</v>
      </c>
      <c r="K333" s="79">
        <v>0.16295547832920201</v>
      </c>
      <c r="L333" s="79">
        <v>0.60536530765278096</v>
      </c>
      <c r="M333" s="79">
        <v>1</v>
      </c>
      <c r="N333" s="102">
        <v>0.9524809171140548</v>
      </c>
      <c r="O333" s="79">
        <v>5.0212163067881399E-2</v>
      </c>
      <c r="P333" s="79">
        <v>0.33225094394142402</v>
      </c>
      <c r="Q333" s="79">
        <v>0.44883022251736199</v>
      </c>
      <c r="R333" s="79">
        <v>1</v>
      </c>
      <c r="S333" s="102">
        <v>0.96959223506585612</v>
      </c>
      <c r="T333" s="79">
        <v>5.01630514655085E-2</v>
      </c>
      <c r="U333" s="79">
        <v>0.53816779502527301</v>
      </c>
      <c r="V333" s="79">
        <v>0.64020803705955898</v>
      </c>
      <c r="W333" s="79">
        <v>1</v>
      </c>
    </row>
    <row r="334" spans="2:23" x14ac:dyDescent="0.2">
      <c r="B334" t="s">
        <v>3635</v>
      </c>
      <c r="C334" s="84">
        <v>5018</v>
      </c>
      <c r="D334" s="102">
        <v>1.0367928881239017</v>
      </c>
      <c r="E334" s="79">
        <v>5.4986167893953899E-2</v>
      </c>
      <c r="F334" s="79">
        <v>0.51110754259230495</v>
      </c>
      <c r="G334" s="79">
        <v>0.91752655785263504</v>
      </c>
      <c r="H334" s="79">
        <v>1</v>
      </c>
      <c r="I334" s="102">
        <v>1.0186524307889218</v>
      </c>
      <c r="J334" s="79">
        <v>5.5067509341735203E-2</v>
      </c>
      <c r="K334" s="79">
        <v>0.73717318972184898</v>
      </c>
      <c r="L334" s="79">
        <v>0.91967633960533601</v>
      </c>
      <c r="M334" s="79">
        <v>1</v>
      </c>
      <c r="N334" s="102">
        <v>0.88205801117041671</v>
      </c>
      <c r="O334" s="79">
        <v>5.4626828831092898E-2</v>
      </c>
      <c r="P334" s="79">
        <v>2.15982819586907E-2</v>
      </c>
      <c r="Q334" s="79">
        <v>5.1416259159827997E-2</v>
      </c>
      <c r="R334" s="79">
        <v>1</v>
      </c>
      <c r="S334" s="102">
        <v>0.95632905251081757</v>
      </c>
      <c r="T334" s="79">
        <v>5.4558977065010901E-2</v>
      </c>
      <c r="U334" s="79">
        <v>0.41310621133526199</v>
      </c>
      <c r="V334" s="79">
        <v>0.53015297121358596</v>
      </c>
      <c r="W334" s="79">
        <v>1</v>
      </c>
    </row>
    <row r="335" spans="2:23" x14ac:dyDescent="0.2">
      <c r="B335" t="s">
        <v>3636</v>
      </c>
      <c r="C335" s="84">
        <v>5018</v>
      </c>
      <c r="D335" s="102">
        <v>1.1604373214122068</v>
      </c>
      <c r="E335" s="79">
        <v>6.4172797077137397E-2</v>
      </c>
      <c r="F335" s="79">
        <v>2.0411756067781901E-2</v>
      </c>
      <c r="G335" s="79">
        <v>0.56979784415816803</v>
      </c>
      <c r="H335" s="79">
        <v>1</v>
      </c>
      <c r="I335" s="102">
        <v>0.99398741095696719</v>
      </c>
      <c r="J335" s="79">
        <v>6.3857494478300303E-2</v>
      </c>
      <c r="K335" s="79">
        <v>0.92475919878584401</v>
      </c>
      <c r="L335" s="79">
        <v>0.98193837767293402</v>
      </c>
      <c r="M335" s="79">
        <v>1</v>
      </c>
      <c r="N335" s="102">
        <v>0.92408303310468298</v>
      </c>
      <c r="O335" s="79">
        <v>6.2116156685491301E-2</v>
      </c>
      <c r="P335" s="79">
        <v>0.203707380891613</v>
      </c>
      <c r="Q335" s="79">
        <v>0.30673804731590398</v>
      </c>
      <c r="R335" s="79">
        <v>1</v>
      </c>
      <c r="S335" s="102">
        <v>0.8876950386577348</v>
      </c>
      <c r="T335" s="79">
        <v>6.3269291683109893E-2</v>
      </c>
      <c r="U335" s="79">
        <v>5.97197688351239E-2</v>
      </c>
      <c r="V335" s="79">
        <v>0.11736112344164699</v>
      </c>
      <c r="W335" s="79">
        <v>1</v>
      </c>
    </row>
    <row r="336" spans="2:23" x14ac:dyDescent="0.2">
      <c r="B336" t="s">
        <v>3637</v>
      </c>
      <c r="C336" s="84">
        <v>5018</v>
      </c>
      <c r="D336" s="102">
        <v>1.0391853767502739</v>
      </c>
      <c r="E336" s="79">
        <v>5.4337572601713999E-2</v>
      </c>
      <c r="F336" s="79">
        <v>0.479332620124922</v>
      </c>
      <c r="G336" s="79">
        <v>0.91339947432389301</v>
      </c>
      <c r="H336" s="79">
        <v>1</v>
      </c>
      <c r="I336" s="102">
        <v>1.0506459181296015</v>
      </c>
      <c r="J336" s="79">
        <v>5.4120510709069002E-2</v>
      </c>
      <c r="K336" s="79">
        <v>0.36130951240301201</v>
      </c>
      <c r="L336" s="79">
        <v>0.74593451887386297</v>
      </c>
      <c r="M336" s="79">
        <v>1</v>
      </c>
      <c r="N336" s="102">
        <v>1.0660599024861577</v>
      </c>
      <c r="O336" s="79">
        <v>5.3825649786141003E-2</v>
      </c>
      <c r="P336" s="79">
        <v>0.23465306297958399</v>
      </c>
      <c r="Q336" s="79">
        <v>0.34297005063625102</v>
      </c>
      <c r="R336" s="79">
        <v>1</v>
      </c>
      <c r="S336" s="102">
        <v>0.97845230860251653</v>
      </c>
      <c r="T336" s="79">
        <v>5.3886894440979098E-2</v>
      </c>
      <c r="U336" s="79">
        <v>0.68603631826010802</v>
      </c>
      <c r="V336" s="79">
        <v>0.75366116934670802</v>
      </c>
      <c r="W336" s="79">
        <v>1</v>
      </c>
    </row>
    <row r="337" spans="2:23" x14ac:dyDescent="0.2">
      <c r="B337" t="s">
        <v>3638</v>
      </c>
      <c r="C337" s="84">
        <v>5018</v>
      </c>
      <c r="D337" s="102">
        <v>1.0084611420880714</v>
      </c>
      <c r="E337" s="79">
        <v>5.1988454441179499E-2</v>
      </c>
      <c r="F337" s="79">
        <v>0.87125408612882804</v>
      </c>
      <c r="G337" s="79">
        <v>0.99362338620020496</v>
      </c>
      <c r="H337" s="79">
        <v>1</v>
      </c>
      <c r="I337" s="102">
        <v>0.90472104302963285</v>
      </c>
      <c r="J337" s="79">
        <v>5.1926721128285003E-2</v>
      </c>
      <c r="K337" s="79">
        <v>5.3821829023642603E-2</v>
      </c>
      <c r="L337" s="79">
        <v>0.413834727810937</v>
      </c>
      <c r="M337" s="79">
        <v>1</v>
      </c>
      <c r="N337" s="102">
        <v>0.93106633472260636</v>
      </c>
      <c r="O337" s="79">
        <v>5.1443623481513101E-2</v>
      </c>
      <c r="P337" s="79">
        <v>0.165012754098013</v>
      </c>
      <c r="Q337" s="79">
        <v>0.259065435998178</v>
      </c>
      <c r="R337" s="79">
        <v>1</v>
      </c>
      <c r="S337" s="102">
        <v>0.86396307454290655</v>
      </c>
      <c r="T337" s="79">
        <v>5.1357533263713603E-2</v>
      </c>
      <c r="U337" s="79">
        <v>4.4105426954764099E-3</v>
      </c>
      <c r="V337" s="79">
        <v>1.4467390588392699E-2</v>
      </c>
      <c r="W337" s="79">
        <v>1</v>
      </c>
    </row>
    <row r="338" spans="2:23" x14ac:dyDescent="0.2">
      <c r="B338" t="s">
        <v>3639</v>
      </c>
      <c r="C338" s="84">
        <v>5019</v>
      </c>
      <c r="D338" s="102">
        <v>1.0889942345980486</v>
      </c>
      <c r="E338" s="79">
        <v>5.0611640185379801E-2</v>
      </c>
      <c r="F338" s="79">
        <v>9.2087972130305701E-2</v>
      </c>
      <c r="G338" s="79">
        <v>0.76096109653042898</v>
      </c>
      <c r="H338" s="79">
        <v>1</v>
      </c>
      <c r="I338" s="102">
        <v>1.0433104749537989</v>
      </c>
      <c r="J338" s="79">
        <v>5.0496534934340698E-2</v>
      </c>
      <c r="K338" s="79">
        <v>0.40111141901021902</v>
      </c>
      <c r="L338" s="79">
        <v>0.76604593438930202</v>
      </c>
      <c r="M338" s="79">
        <v>1</v>
      </c>
      <c r="N338" s="102">
        <v>0.93735526631638288</v>
      </c>
      <c r="O338" s="79">
        <v>5.0118145473397401E-2</v>
      </c>
      <c r="P338" s="79">
        <v>0.196770176345029</v>
      </c>
      <c r="Q338" s="79">
        <v>0.29734940118508402</v>
      </c>
      <c r="R338" s="79">
        <v>1</v>
      </c>
      <c r="S338" s="102">
        <v>0.91632843892325444</v>
      </c>
      <c r="T338" s="79">
        <v>4.9993027886148997E-2</v>
      </c>
      <c r="U338" s="79">
        <v>8.0489633983694006E-2</v>
      </c>
      <c r="V338" s="79">
        <v>0.14804499453678399</v>
      </c>
      <c r="W338" s="79">
        <v>1</v>
      </c>
    </row>
    <row r="339" spans="2:23" x14ac:dyDescent="0.2">
      <c r="B339" t="s">
        <v>3640</v>
      </c>
      <c r="C339" s="84">
        <v>5018</v>
      </c>
      <c r="D339" s="102">
        <v>0.99956602274048933</v>
      </c>
      <c r="E339" s="79">
        <v>4.70036074744122E-2</v>
      </c>
      <c r="F339" s="79">
        <v>0.99263175726201403</v>
      </c>
      <c r="G339" s="79">
        <v>0.99962502278478604</v>
      </c>
      <c r="H339" s="79">
        <v>1</v>
      </c>
      <c r="I339" s="102">
        <v>1.0080798539301965</v>
      </c>
      <c r="J339" s="79">
        <v>4.6742319842158403E-2</v>
      </c>
      <c r="K339" s="79">
        <v>0.86330789392407803</v>
      </c>
      <c r="L339" s="79">
        <v>0.96574302214288199</v>
      </c>
      <c r="M339" s="79">
        <v>1</v>
      </c>
      <c r="N339" s="102">
        <v>1.000957709608687</v>
      </c>
      <c r="O339" s="79">
        <v>4.6229576025302102E-2</v>
      </c>
      <c r="P339" s="79">
        <v>0.983479808359907</v>
      </c>
      <c r="Q339" s="79">
        <v>0.98697558966924304</v>
      </c>
      <c r="R339" s="79">
        <v>1</v>
      </c>
      <c r="S339" s="102">
        <v>1.0281367593520259</v>
      </c>
      <c r="T339" s="79">
        <v>4.6271960936941303E-2</v>
      </c>
      <c r="U339" s="79">
        <v>0.54872206895396103</v>
      </c>
      <c r="V339" s="79">
        <v>0.64775971066760296</v>
      </c>
      <c r="W339" s="79">
        <v>1</v>
      </c>
    </row>
    <row r="340" spans="2:23" x14ac:dyDescent="0.2">
      <c r="B340" t="s">
        <v>3641</v>
      </c>
      <c r="C340" s="84">
        <v>5018</v>
      </c>
      <c r="D340" s="102">
        <v>0.98135678961368533</v>
      </c>
      <c r="E340" s="79">
        <v>5.8267775892379602E-2</v>
      </c>
      <c r="F340" s="79">
        <v>0.74671221655878195</v>
      </c>
      <c r="G340" s="79">
        <v>0.979098679061011</v>
      </c>
      <c r="H340" s="79">
        <v>1</v>
      </c>
      <c r="I340" s="102">
        <v>0.92923563225690842</v>
      </c>
      <c r="J340" s="79">
        <v>5.7879389843763902E-2</v>
      </c>
      <c r="K340" s="79">
        <v>0.204786442254969</v>
      </c>
      <c r="L340" s="79">
        <v>0.64481084234185404</v>
      </c>
      <c r="M340" s="79">
        <v>1</v>
      </c>
      <c r="N340" s="102">
        <v>0.86375041101396277</v>
      </c>
      <c r="O340" s="79">
        <v>5.7413897680341497E-2</v>
      </c>
      <c r="P340" s="79">
        <v>1.0736830329907E-2</v>
      </c>
      <c r="Q340" s="79">
        <v>2.9539531737898101E-2</v>
      </c>
      <c r="R340" s="79">
        <v>1</v>
      </c>
      <c r="S340" s="102">
        <v>0.9125467396627106</v>
      </c>
      <c r="T340" s="79">
        <v>5.7498030392860999E-2</v>
      </c>
      <c r="U340" s="79">
        <v>0.111466366937369</v>
      </c>
      <c r="V340" s="79">
        <v>0.19208954790631</v>
      </c>
      <c r="W340" s="79">
        <v>1</v>
      </c>
    </row>
    <row r="341" spans="2:23" x14ac:dyDescent="0.2">
      <c r="B341" t="s">
        <v>3642</v>
      </c>
      <c r="C341" s="84">
        <v>5018</v>
      </c>
      <c r="D341" s="102">
        <v>1.0135298365976644</v>
      </c>
      <c r="E341" s="79">
        <v>4.5349560053676199E-2</v>
      </c>
      <c r="F341" s="79">
        <v>0.76696645043832101</v>
      </c>
      <c r="G341" s="79">
        <v>0.98424328460352195</v>
      </c>
      <c r="H341" s="79">
        <v>1</v>
      </c>
      <c r="I341" s="102">
        <v>1.0052505836210133</v>
      </c>
      <c r="J341" s="79">
        <v>4.5116965864886102E-2</v>
      </c>
      <c r="K341" s="79">
        <v>0.90759493665615598</v>
      </c>
      <c r="L341" s="79">
        <v>0.98168469912841005</v>
      </c>
      <c r="M341" s="79">
        <v>1</v>
      </c>
      <c r="N341" s="102">
        <v>1.0863179418388165</v>
      </c>
      <c r="O341" s="79">
        <v>4.4643499155321398E-2</v>
      </c>
      <c r="P341" s="79">
        <v>6.3659420777488804E-2</v>
      </c>
      <c r="Q341" s="79">
        <v>0.12338565079755801</v>
      </c>
      <c r="R341" s="79">
        <v>1</v>
      </c>
      <c r="S341" s="102">
        <v>1.0169554520210098</v>
      </c>
      <c r="T341" s="79">
        <v>4.4665624443447197E-2</v>
      </c>
      <c r="U341" s="79">
        <v>0.70660004609272997</v>
      </c>
      <c r="V341" s="79">
        <v>0.76976236532545605</v>
      </c>
      <c r="W341" s="79">
        <v>1</v>
      </c>
    </row>
    <row r="342" spans="2:23" x14ac:dyDescent="0.2">
      <c r="B342" t="s">
        <v>3643</v>
      </c>
      <c r="C342" s="84">
        <v>5018</v>
      </c>
      <c r="D342" s="102">
        <v>1.0398818265348664</v>
      </c>
      <c r="E342" s="79">
        <v>5.0922650484100301E-2</v>
      </c>
      <c r="F342" s="79">
        <v>0.44250488598749499</v>
      </c>
      <c r="G342" s="79">
        <v>0.90581448957043498</v>
      </c>
      <c r="H342" s="79">
        <v>1</v>
      </c>
      <c r="I342" s="102">
        <v>0.96041089983643113</v>
      </c>
      <c r="J342" s="79">
        <v>5.0740387555022103E-2</v>
      </c>
      <c r="K342" s="79">
        <v>0.42597800447528</v>
      </c>
      <c r="L342" s="79">
        <v>0.781805785028304</v>
      </c>
      <c r="M342" s="79">
        <v>1</v>
      </c>
      <c r="N342" s="102">
        <v>0.8275780510791374</v>
      </c>
      <c r="O342" s="79">
        <v>5.0934050921462803E-2</v>
      </c>
      <c r="P342" s="79">
        <v>2.0270168333490001E-4</v>
      </c>
      <c r="Q342" s="79">
        <v>1.22634518417614E-3</v>
      </c>
      <c r="R342" s="79">
        <v>0.34337665156932101</v>
      </c>
      <c r="S342" s="102">
        <v>0.95657559478866871</v>
      </c>
      <c r="T342" s="79">
        <v>5.02728741836048E-2</v>
      </c>
      <c r="U342" s="79">
        <v>0.37718777510901602</v>
      </c>
      <c r="V342" s="79">
        <v>0.49493113170772501</v>
      </c>
      <c r="W342" s="79">
        <v>1</v>
      </c>
    </row>
    <row r="343" spans="2:23" x14ac:dyDescent="0.2">
      <c r="B343" t="s">
        <v>3644</v>
      </c>
      <c r="C343" s="84">
        <v>5018</v>
      </c>
      <c r="D343" s="102">
        <v>1.0142565929801688</v>
      </c>
      <c r="E343" s="79">
        <v>4.0591149996830202E-2</v>
      </c>
      <c r="F343" s="79">
        <v>0.72728144512653503</v>
      </c>
      <c r="G343" s="79">
        <v>0.97286923276174297</v>
      </c>
      <c r="H343" s="79">
        <v>1</v>
      </c>
      <c r="I343" s="102">
        <v>1.0244553077494529</v>
      </c>
      <c r="J343" s="79">
        <v>4.0438500009129602E-2</v>
      </c>
      <c r="K343" s="79">
        <v>0.55018911354601796</v>
      </c>
      <c r="L343" s="79">
        <v>0.85299417546651202</v>
      </c>
      <c r="M343" s="79">
        <v>1</v>
      </c>
      <c r="N343" s="102">
        <v>1.0140657831023878</v>
      </c>
      <c r="O343" s="79">
        <v>4.0138398978365603E-2</v>
      </c>
      <c r="P343" s="79">
        <v>0.72784738560582296</v>
      </c>
      <c r="Q343" s="79">
        <v>0.81707983513337601</v>
      </c>
      <c r="R343" s="79">
        <v>1</v>
      </c>
      <c r="S343" s="102">
        <v>0.984561838543344</v>
      </c>
      <c r="T343" s="79">
        <v>4.0054740053616797E-2</v>
      </c>
      <c r="U343" s="79">
        <v>0.69769585065272</v>
      </c>
      <c r="V343" s="79">
        <v>0.76349920607603905</v>
      </c>
      <c r="W343" s="79">
        <v>1</v>
      </c>
    </row>
    <row r="344" spans="2:23" x14ac:dyDescent="0.2">
      <c r="B344" t="s">
        <v>3645</v>
      </c>
      <c r="C344" s="84">
        <v>5019</v>
      </c>
      <c r="D344" s="102">
        <v>1.0284716988489697</v>
      </c>
      <c r="E344" s="79">
        <v>5.0121023970163103E-2</v>
      </c>
      <c r="F344" s="79">
        <v>0.57539589026941795</v>
      </c>
      <c r="G344" s="79">
        <v>0.93419899529636297</v>
      </c>
      <c r="H344" s="79">
        <v>1</v>
      </c>
      <c r="I344" s="102">
        <v>1.0063124331338789</v>
      </c>
      <c r="J344" s="79">
        <v>4.94871401002187E-2</v>
      </c>
      <c r="K344" s="79">
        <v>0.89881682734040103</v>
      </c>
      <c r="L344" s="79">
        <v>0.98103349543168095</v>
      </c>
      <c r="M344" s="79">
        <v>1</v>
      </c>
      <c r="N344" s="102">
        <v>0.88955235474441041</v>
      </c>
      <c r="O344" s="79">
        <v>4.9337474281019603E-2</v>
      </c>
      <c r="P344" s="79">
        <v>1.7683914685301401E-2</v>
      </c>
      <c r="Q344" s="79">
        <v>4.4118632513844701E-2</v>
      </c>
      <c r="R344" s="79">
        <v>1</v>
      </c>
      <c r="S344" s="102">
        <v>0.93434569658219724</v>
      </c>
      <c r="T344" s="79">
        <v>4.93992891296028E-2</v>
      </c>
      <c r="U344" s="79">
        <v>0.16922709788965001</v>
      </c>
      <c r="V344" s="79">
        <v>0.26667042216285303</v>
      </c>
      <c r="W344" s="79">
        <v>1</v>
      </c>
    </row>
    <row r="345" spans="2:23" x14ac:dyDescent="0.2">
      <c r="B345" t="s">
        <v>3646</v>
      </c>
      <c r="C345" s="84">
        <v>1849</v>
      </c>
      <c r="D345" s="102">
        <v>0.96447945741536334</v>
      </c>
      <c r="E345" s="79">
        <v>5.2302332396565801E-2</v>
      </c>
      <c r="F345" s="79">
        <v>0.48925519188106498</v>
      </c>
      <c r="G345" s="79">
        <v>0.91678121217168596</v>
      </c>
      <c r="H345" s="79">
        <v>1</v>
      </c>
      <c r="I345" s="102">
        <v>1.0068545404989906</v>
      </c>
      <c r="J345" s="79">
        <v>5.1698795030302801E-2</v>
      </c>
      <c r="K345" s="79">
        <v>0.89487851228184501</v>
      </c>
      <c r="L345" s="79">
        <v>0.98103349543168095</v>
      </c>
      <c r="M345" s="79">
        <v>1</v>
      </c>
      <c r="N345" s="102">
        <v>0.89818891982258275</v>
      </c>
      <c r="O345" s="79">
        <v>5.1206353777353802E-2</v>
      </c>
      <c r="P345" s="79">
        <v>3.6001994282519198E-2</v>
      </c>
      <c r="Q345" s="79">
        <v>7.7007741717320305E-2</v>
      </c>
      <c r="R345" s="79">
        <v>1</v>
      </c>
      <c r="S345" s="102">
        <v>0.94643868584729374</v>
      </c>
      <c r="T345" s="79">
        <v>5.1593151250335798E-2</v>
      </c>
      <c r="U345" s="79">
        <v>0.28597885611575302</v>
      </c>
      <c r="V345" s="79">
        <v>0.39953228687329501</v>
      </c>
      <c r="W345" s="79">
        <v>1</v>
      </c>
    </row>
    <row r="346" spans="2:23" x14ac:dyDescent="0.2">
      <c r="B346" t="s">
        <v>3647</v>
      </c>
      <c r="C346" s="84">
        <v>1849</v>
      </c>
      <c r="D346" s="102">
        <v>1.0092510890327402</v>
      </c>
      <c r="E346" s="79">
        <v>6.7730067166489605E-2</v>
      </c>
      <c r="F346" s="79">
        <v>0.89185313759852503</v>
      </c>
      <c r="G346" s="79">
        <v>0.99362338620020496</v>
      </c>
      <c r="H346" s="79">
        <v>1</v>
      </c>
      <c r="I346" s="102">
        <v>0.95190742600863099</v>
      </c>
      <c r="J346" s="79">
        <v>6.8098065414372105E-2</v>
      </c>
      <c r="K346" s="79">
        <v>0.46920556412234599</v>
      </c>
      <c r="L346" s="79">
        <v>0.80241685035737897</v>
      </c>
      <c r="M346" s="79">
        <v>1</v>
      </c>
      <c r="N346" s="102">
        <v>0.99650756066089397</v>
      </c>
      <c r="O346" s="79">
        <v>6.7448659079700796E-2</v>
      </c>
      <c r="P346" s="79">
        <v>0.95863239444376402</v>
      </c>
      <c r="Q346" s="79">
        <v>0.97094949432959099</v>
      </c>
      <c r="R346" s="79">
        <v>1</v>
      </c>
      <c r="S346" s="102">
        <v>0.92834360231913271</v>
      </c>
      <c r="T346" s="79">
        <v>6.7438407523954705E-2</v>
      </c>
      <c r="U346" s="79">
        <v>0.27022819131447401</v>
      </c>
      <c r="V346" s="79">
        <v>0.38115450132116502</v>
      </c>
      <c r="W346" s="79">
        <v>1</v>
      </c>
    </row>
    <row r="347" spans="2:23" x14ac:dyDescent="0.2">
      <c r="B347" t="s">
        <v>3648</v>
      </c>
      <c r="C347" s="84">
        <v>1849</v>
      </c>
      <c r="D347" s="102">
        <v>1.02569727732321</v>
      </c>
      <c r="E347" s="79">
        <v>6.0843774937383098E-2</v>
      </c>
      <c r="F347" s="79">
        <v>0.67666881780441901</v>
      </c>
      <c r="G347" s="79">
        <v>0.96670198527320195</v>
      </c>
      <c r="H347" s="79">
        <v>1</v>
      </c>
      <c r="I347" s="102">
        <v>0.95879537381103264</v>
      </c>
      <c r="J347" s="79">
        <v>6.1026882384188401E-2</v>
      </c>
      <c r="K347" s="79">
        <v>0.49051314694927201</v>
      </c>
      <c r="L347" s="79">
        <v>0.81451663972478505</v>
      </c>
      <c r="M347" s="79">
        <v>1</v>
      </c>
      <c r="N347" s="102">
        <v>0.98548791040100636</v>
      </c>
      <c r="O347" s="79">
        <v>6.0274394969554501E-2</v>
      </c>
      <c r="P347" s="79">
        <v>0.80836860223893503</v>
      </c>
      <c r="Q347" s="79">
        <v>0.86614016446806796</v>
      </c>
      <c r="R347" s="79">
        <v>1</v>
      </c>
      <c r="S347" s="102">
        <v>1.0596479537526051</v>
      </c>
      <c r="T347" s="79">
        <v>6.06245784305997E-2</v>
      </c>
      <c r="U347" s="79">
        <v>0.339241959835832</v>
      </c>
      <c r="V347" s="79">
        <v>0.45718049320755699</v>
      </c>
      <c r="W347" s="79">
        <v>1</v>
      </c>
    </row>
    <row r="348" spans="2:23" x14ac:dyDescent="0.2">
      <c r="B348" t="s">
        <v>3649</v>
      </c>
      <c r="C348" s="84">
        <v>2273</v>
      </c>
      <c r="D348" s="102">
        <v>1.1036743040516421</v>
      </c>
      <c r="E348" s="79">
        <v>7.1618337845724897E-2</v>
      </c>
      <c r="F348" s="79">
        <v>0.16839814252871299</v>
      </c>
      <c r="G348" s="79">
        <v>0.81796927009920195</v>
      </c>
      <c r="H348" s="79">
        <v>1</v>
      </c>
      <c r="I348" s="102">
        <v>0.98004678116052213</v>
      </c>
      <c r="J348" s="79">
        <v>7.0249252142952898E-2</v>
      </c>
      <c r="K348" s="79">
        <v>0.77418385320076999</v>
      </c>
      <c r="L348" s="79">
        <v>0.92861868293626904</v>
      </c>
      <c r="M348" s="79">
        <v>1</v>
      </c>
      <c r="N348" s="102">
        <v>1.0409081159026832</v>
      </c>
      <c r="O348" s="79">
        <v>7.0215366214642194E-2</v>
      </c>
      <c r="P348" s="79">
        <v>0.56799436783576496</v>
      </c>
      <c r="Q348" s="79">
        <v>0.67759328106604599</v>
      </c>
      <c r="R348" s="79">
        <v>1</v>
      </c>
      <c r="S348" s="102">
        <v>0.95509731000038856</v>
      </c>
      <c r="T348" s="79">
        <v>7.0261365511708099E-2</v>
      </c>
      <c r="U348" s="79">
        <v>0.51319327678373605</v>
      </c>
      <c r="V348" s="79">
        <v>0.61919473708806905</v>
      </c>
      <c r="W348" s="79">
        <v>1</v>
      </c>
    </row>
    <row r="349" spans="2:23" x14ac:dyDescent="0.2">
      <c r="B349" t="s">
        <v>3650</v>
      </c>
      <c r="C349" s="84">
        <v>684</v>
      </c>
      <c r="D349" s="102">
        <v>1.0408084990454465</v>
      </c>
      <c r="E349" s="79">
        <v>4.9291567685762101E-2</v>
      </c>
      <c r="F349" s="79">
        <v>0.41710529855165401</v>
      </c>
      <c r="G349" s="79">
        <v>0.89561567502544503</v>
      </c>
      <c r="H349" s="79">
        <v>1</v>
      </c>
      <c r="I349" s="102">
        <v>1.0158699556691311</v>
      </c>
      <c r="J349" s="79">
        <v>4.89781281262128E-2</v>
      </c>
      <c r="K349" s="79">
        <v>0.74784889479083105</v>
      </c>
      <c r="L349" s="79">
        <v>0.91967633960533601</v>
      </c>
      <c r="M349" s="79">
        <v>1</v>
      </c>
      <c r="N349" s="102">
        <v>0.90260132654751235</v>
      </c>
      <c r="O349" s="79">
        <v>4.8794542575666899E-2</v>
      </c>
      <c r="P349" s="79">
        <v>3.5718417711528699E-2</v>
      </c>
      <c r="Q349" s="79">
        <v>7.6688212425005897E-2</v>
      </c>
      <c r="R349" s="79">
        <v>1</v>
      </c>
      <c r="S349" s="102">
        <v>0.95313457515498434</v>
      </c>
      <c r="T349" s="79">
        <v>4.8429711112876001E-2</v>
      </c>
      <c r="U349" s="79">
        <v>0.32163184845350401</v>
      </c>
      <c r="V349" s="79">
        <v>0.43727476025701101</v>
      </c>
      <c r="W349" s="79">
        <v>1</v>
      </c>
    </row>
    <row r="350" spans="2:23" x14ac:dyDescent="0.2">
      <c r="B350" t="s">
        <v>3651</v>
      </c>
      <c r="C350" s="84">
        <v>2319</v>
      </c>
      <c r="D350" s="102">
        <v>1.1095239203916061</v>
      </c>
      <c r="E350" s="79">
        <v>5.1082340918048197E-2</v>
      </c>
      <c r="F350" s="79">
        <v>4.18933218193746E-2</v>
      </c>
      <c r="G350" s="79">
        <v>0.67784404055428704</v>
      </c>
      <c r="H350" s="79">
        <v>1</v>
      </c>
      <c r="I350" s="102">
        <v>1.0115386845505703</v>
      </c>
      <c r="J350" s="79">
        <v>5.0771321664227903E-2</v>
      </c>
      <c r="K350" s="79">
        <v>0.82122741778479003</v>
      </c>
      <c r="L350" s="79">
        <v>0.94998686769083596</v>
      </c>
      <c r="M350" s="79">
        <v>1</v>
      </c>
      <c r="N350" s="102">
        <v>0.88204621688173468</v>
      </c>
      <c r="O350" s="79">
        <v>5.0131155313951098E-2</v>
      </c>
      <c r="P350" s="79">
        <v>1.2291985991067501E-2</v>
      </c>
      <c r="Q350" s="79">
        <v>3.2947190298842299E-2</v>
      </c>
      <c r="R350" s="79">
        <v>1</v>
      </c>
      <c r="S350" s="102">
        <v>0.91794009439533109</v>
      </c>
      <c r="T350" s="79">
        <v>5.0223937491965798E-2</v>
      </c>
      <c r="U350" s="79">
        <v>8.8226610909823006E-2</v>
      </c>
      <c r="V350" s="79">
        <v>0.15848979732899299</v>
      </c>
      <c r="W350" s="79">
        <v>1</v>
      </c>
    </row>
    <row r="351" spans="2:23" x14ac:dyDescent="0.2">
      <c r="B351" t="s">
        <v>3652</v>
      </c>
      <c r="C351" s="84">
        <v>543</v>
      </c>
      <c r="D351" s="102">
        <v>1.0371693591793716</v>
      </c>
      <c r="E351" s="79">
        <v>4.2535059248517602E-2</v>
      </c>
      <c r="F351" s="79">
        <v>0.39089049606144499</v>
      </c>
      <c r="G351" s="79">
        <v>0.89461055933914202</v>
      </c>
      <c r="H351" s="79">
        <v>1</v>
      </c>
      <c r="I351" s="102">
        <v>0.96159104607600776</v>
      </c>
      <c r="J351" s="79">
        <v>4.2322441290007902E-2</v>
      </c>
      <c r="K351" s="79">
        <v>0.35474756405227897</v>
      </c>
      <c r="L351" s="79">
        <v>0.74482453015727901</v>
      </c>
      <c r="M351" s="79">
        <v>1</v>
      </c>
      <c r="N351" s="102">
        <v>0.93426928100163653</v>
      </c>
      <c r="O351" s="79">
        <v>4.1985731467558199E-2</v>
      </c>
      <c r="P351" s="79">
        <v>0.105366966174659</v>
      </c>
      <c r="Q351" s="79">
        <v>0.18142371804471599</v>
      </c>
      <c r="R351" s="79">
        <v>1</v>
      </c>
      <c r="S351" s="102">
        <v>0.93073597481448467</v>
      </c>
      <c r="T351" s="79">
        <v>4.1866571044338899E-2</v>
      </c>
      <c r="U351" s="79">
        <v>8.6439571343585694E-2</v>
      </c>
      <c r="V351" s="79">
        <v>0.15660816455190801</v>
      </c>
      <c r="W351" s="79">
        <v>1</v>
      </c>
    </row>
    <row r="352" spans="2:23" x14ac:dyDescent="0.2">
      <c r="B352" t="s">
        <v>895</v>
      </c>
      <c r="C352" s="84">
        <v>5019</v>
      </c>
      <c r="D352" s="102">
        <v>1.11681492515426E-2</v>
      </c>
      <c r="E352" s="79">
        <v>1.18999487336932E-2</v>
      </c>
      <c r="F352" s="79">
        <v>0.34805473154644001</v>
      </c>
      <c r="G352" s="79">
        <v>0.89461055933914202</v>
      </c>
      <c r="H352" s="79">
        <v>1</v>
      </c>
      <c r="I352" s="102">
        <v>-1.3288175684906701E-3</v>
      </c>
      <c r="J352" s="79">
        <v>1.2042625894544299E-2</v>
      </c>
      <c r="K352" s="79">
        <v>0.91214387038259603</v>
      </c>
      <c r="L352" s="79">
        <v>0.98168469912841005</v>
      </c>
      <c r="M352" s="79">
        <v>1</v>
      </c>
      <c r="N352" s="102">
        <v>-4.0194182706589601E-2</v>
      </c>
      <c r="O352" s="79">
        <v>1.1825724497583101E-2</v>
      </c>
      <c r="P352" s="79">
        <v>6.84574118425386E-4</v>
      </c>
      <c r="Q352" s="79">
        <v>3.2392976441692799E-3</v>
      </c>
      <c r="R352" s="79">
        <v>1</v>
      </c>
      <c r="S352" s="102">
        <v>-3.1368142783165097E-2</v>
      </c>
      <c r="T352" s="79">
        <v>1.1896932188916701E-2</v>
      </c>
      <c r="U352" s="79">
        <v>8.4104117550889094E-3</v>
      </c>
      <c r="V352" s="79">
        <v>2.4691919433484599E-2</v>
      </c>
      <c r="W352" s="79">
        <v>1</v>
      </c>
    </row>
    <row r="353" spans="2:23" x14ac:dyDescent="0.2">
      <c r="B353" t="s">
        <v>892</v>
      </c>
      <c r="C353" s="84">
        <v>5019</v>
      </c>
      <c r="D353" s="102">
        <v>2.5394596099390002E-2</v>
      </c>
      <c r="E353" s="79">
        <v>1.2399095267254899E-2</v>
      </c>
      <c r="F353" s="79">
        <v>4.0622384996031699E-2</v>
      </c>
      <c r="G353" s="79">
        <v>0.67784404055428704</v>
      </c>
      <c r="H353" s="79">
        <v>1</v>
      </c>
      <c r="I353" s="102">
        <v>-1.35932533328615E-2</v>
      </c>
      <c r="J353" s="79">
        <v>1.25269914022082E-2</v>
      </c>
      <c r="K353" s="79">
        <v>0.27793856805391698</v>
      </c>
      <c r="L353" s="79">
        <v>0.69537030386512999</v>
      </c>
      <c r="M353" s="79">
        <v>1</v>
      </c>
      <c r="N353" s="102">
        <v>-2.1152630566640199E-2</v>
      </c>
      <c r="O353" s="79">
        <v>1.2325159380964901E-2</v>
      </c>
      <c r="P353" s="79">
        <v>8.6207070048683498E-2</v>
      </c>
      <c r="Q353" s="79">
        <v>0.15535614538560599</v>
      </c>
      <c r="R353" s="79">
        <v>1</v>
      </c>
      <c r="S353" s="102">
        <v>-1.1380186451194501E-2</v>
      </c>
      <c r="T353" s="79">
        <v>1.2389216548685101E-2</v>
      </c>
      <c r="U353" s="79">
        <v>0.35838677543960701</v>
      </c>
      <c r="V353" s="79">
        <v>0.47537048132360499</v>
      </c>
      <c r="W353" s="79">
        <v>1</v>
      </c>
    </row>
    <row r="354" spans="2:23" x14ac:dyDescent="0.2">
      <c r="B354" t="s">
        <v>893</v>
      </c>
      <c r="C354" s="84">
        <v>5019</v>
      </c>
      <c r="D354" s="102">
        <v>-7.3854568648554003E-3</v>
      </c>
      <c r="E354" s="79">
        <v>1.2539858683066601E-2</v>
      </c>
      <c r="F354" s="79">
        <v>0.555924995704555</v>
      </c>
      <c r="G354" s="79">
        <v>0.93167796111031398</v>
      </c>
      <c r="H354" s="79">
        <v>1</v>
      </c>
      <c r="I354" s="102">
        <v>1.44060875115094E-3</v>
      </c>
      <c r="J354" s="79">
        <v>1.26564918118403E-2</v>
      </c>
      <c r="K354" s="79">
        <v>0.90938341743780005</v>
      </c>
      <c r="L354" s="79">
        <v>0.98168469912841005</v>
      </c>
      <c r="M354" s="79">
        <v>1</v>
      </c>
      <c r="N354" s="102">
        <v>1.42329560838128E-2</v>
      </c>
      <c r="O354" s="79">
        <v>1.2451969437442201E-2</v>
      </c>
      <c r="P354" s="79">
        <v>0.253099593119883</v>
      </c>
      <c r="Q354" s="79">
        <v>0.36427418075198098</v>
      </c>
      <c r="R354" s="79">
        <v>1</v>
      </c>
      <c r="S354" s="102">
        <v>7.4260890937816496E-4</v>
      </c>
      <c r="T354" s="79">
        <v>1.25107271466152E-2</v>
      </c>
      <c r="U354" s="79">
        <v>0.952670218673771</v>
      </c>
      <c r="V354" s="79">
        <v>0.96636128768465201</v>
      </c>
      <c r="W354" s="79">
        <v>1</v>
      </c>
    </row>
    <row r="355" spans="2:23" x14ac:dyDescent="0.2">
      <c r="B355" t="s">
        <v>197</v>
      </c>
      <c r="C355" s="84">
        <v>5020</v>
      </c>
      <c r="D355" s="102">
        <v>1.75142080868496E-2</v>
      </c>
      <c r="E355" s="79">
        <v>1.0980080213546101E-2</v>
      </c>
      <c r="F355" s="79">
        <v>0.11081497281708701</v>
      </c>
      <c r="G355" s="79">
        <v>0.80938271582532695</v>
      </c>
      <c r="H355" s="79">
        <v>1</v>
      </c>
      <c r="I355" s="102">
        <v>2.5658706138666599E-2</v>
      </c>
      <c r="J355" s="79">
        <v>1.1154837738677001E-2</v>
      </c>
      <c r="K355" s="79">
        <v>2.1509758705068101E-2</v>
      </c>
      <c r="L355" s="79">
        <v>0.29866828890479802</v>
      </c>
      <c r="M355" s="79">
        <v>1</v>
      </c>
      <c r="N355" s="102">
        <v>1.59704603649986E-2</v>
      </c>
      <c r="O355" s="79">
        <v>1.09347600191953E-2</v>
      </c>
      <c r="P355" s="79">
        <v>0.14426597174495701</v>
      </c>
      <c r="Q355" s="79">
        <v>0.232749101081864</v>
      </c>
      <c r="R355" s="79">
        <v>1</v>
      </c>
      <c r="S355" s="102">
        <v>1.11769663533186E-2</v>
      </c>
      <c r="T355" s="79">
        <v>1.10283390775944E-2</v>
      </c>
      <c r="U355" s="79">
        <v>0.31092246393226802</v>
      </c>
      <c r="V355" s="79">
        <v>0.42631936768941697</v>
      </c>
      <c r="W355" s="79">
        <v>1</v>
      </c>
    </row>
    <row r="356" spans="2:23" x14ac:dyDescent="0.2">
      <c r="B356" t="s">
        <v>894</v>
      </c>
      <c r="C356" s="84">
        <v>5019</v>
      </c>
      <c r="D356" s="102">
        <v>1.91304028911107E-2</v>
      </c>
      <c r="E356" s="79">
        <v>1.0865148008537599E-2</v>
      </c>
      <c r="F356" s="79">
        <v>7.8406866252183793E-2</v>
      </c>
      <c r="G356" s="79">
        <v>0.73538141425839998</v>
      </c>
      <c r="H356" s="79">
        <v>1</v>
      </c>
      <c r="I356" s="102">
        <v>1.5397783008842399E-3</v>
      </c>
      <c r="J356" s="79">
        <v>1.10415148081496E-2</v>
      </c>
      <c r="K356" s="79">
        <v>0.88910214021044398</v>
      </c>
      <c r="L356" s="79">
        <v>0.97964316813373198</v>
      </c>
      <c r="M356" s="79">
        <v>1</v>
      </c>
      <c r="N356" s="102">
        <v>-3.69450255884975E-2</v>
      </c>
      <c r="O356" s="79">
        <v>1.08075723723476E-2</v>
      </c>
      <c r="P356" s="79">
        <v>6.39531234414836E-4</v>
      </c>
      <c r="Q356" s="79">
        <v>3.10420031833448E-3</v>
      </c>
      <c r="R356" s="79">
        <v>1</v>
      </c>
      <c r="S356" s="102">
        <v>-2.7256242502772501E-2</v>
      </c>
      <c r="T356" s="79">
        <v>1.0899400687986499E-2</v>
      </c>
      <c r="U356" s="79">
        <v>1.24536722496527E-2</v>
      </c>
      <c r="V356" s="79">
        <v>3.3321893414887303E-2</v>
      </c>
      <c r="W356" s="79">
        <v>1</v>
      </c>
    </row>
    <row r="357" spans="2:23" x14ac:dyDescent="0.2">
      <c r="B357" t="s">
        <v>896</v>
      </c>
      <c r="C357" s="84">
        <v>5018</v>
      </c>
      <c r="D357" s="102">
        <v>1.03725244904814E-2</v>
      </c>
      <c r="E357" s="79">
        <v>1.09743332162932E-2</v>
      </c>
      <c r="F357" s="79">
        <v>0.34466609002994097</v>
      </c>
      <c r="G357" s="79">
        <v>0.89454509305560703</v>
      </c>
      <c r="H357" s="79">
        <v>1</v>
      </c>
      <c r="I357" s="102">
        <v>1.02020885038431E-4</v>
      </c>
      <c r="J357" s="79">
        <v>1.11451423674397E-2</v>
      </c>
      <c r="K357" s="79">
        <v>0.99269706810311298</v>
      </c>
      <c r="L357" s="79">
        <v>0.99763484948745695</v>
      </c>
      <c r="M357" s="79">
        <v>1</v>
      </c>
      <c r="N357" s="102">
        <v>-2.0212049370293798E-2</v>
      </c>
      <c r="O357" s="79">
        <v>1.0917664155996499E-2</v>
      </c>
      <c r="P357" s="79">
        <v>6.4238229176358505E-2</v>
      </c>
      <c r="Q357" s="79">
        <v>0.124223242265698</v>
      </c>
      <c r="R357" s="79">
        <v>1</v>
      </c>
      <c r="S357" s="102">
        <v>-2.2110305031118299E-2</v>
      </c>
      <c r="T357" s="79">
        <v>1.1002718779466999E-2</v>
      </c>
      <c r="U357" s="79">
        <v>4.4581246873869697E-2</v>
      </c>
      <c r="V357" s="79">
        <v>9.3289012355810802E-2</v>
      </c>
      <c r="W357" s="79">
        <v>1</v>
      </c>
    </row>
    <row r="358" spans="2:23" x14ac:dyDescent="0.2">
      <c r="B358" t="s">
        <v>196</v>
      </c>
      <c r="C358" s="84">
        <v>5037</v>
      </c>
      <c r="D358" s="102">
        <v>-3.1699232324127101E-2</v>
      </c>
      <c r="E358" s="79">
        <v>1.45205924600804E-2</v>
      </c>
      <c r="F358" s="79">
        <v>2.9079139710876299E-2</v>
      </c>
      <c r="G358" s="79">
        <v>0.60066631790544101</v>
      </c>
      <c r="H358" s="79">
        <v>1</v>
      </c>
      <c r="I358" s="102">
        <v>2.2348784521613301E-2</v>
      </c>
      <c r="J358" s="79">
        <v>1.44519819618534E-2</v>
      </c>
      <c r="K358" s="79">
        <v>0.12206930797981</v>
      </c>
      <c r="L358" s="79">
        <v>0.55552266356551805</v>
      </c>
      <c r="M358" s="79">
        <v>1</v>
      </c>
      <c r="N358" s="107">
        <v>7.2635115541552497E-2</v>
      </c>
      <c r="O358" s="81">
        <v>1.42947512297135E-2</v>
      </c>
      <c r="P358" s="81">
        <v>3.8898695999995101E-7</v>
      </c>
      <c r="Q358" s="81">
        <v>5.5373437835287099E-6</v>
      </c>
      <c r="R358" s="81">
        <v>6.5894391023991702E-4</v>
      </c>
      <c r="S358" s="107">
        <v>6.65421752987094E-2</v>
      </c>
      <c r="T358" s="81">
        <v>1.42883545742995E-2</v>
      </c>
      <c r="U358" s="81">
        <v>3.2924312903422998E-6</v>
      </c>
      <c r="V358" s="81">
        <v>4.89243737354373E-5</v>
      </c>
      <c r="W358" s="81">
        <v>5.5773786058398601E-3</v>
      </c>
    </row>
    <row r="359" spans="2:23" x14ac:dyDescent="0.2">
      <c r="B359" t="s">
        <v>2275</v>
      </c>
      <c r="C359" s="84">
        <v>5037</v>
      </c>
      <c r="D359" s="102">
        <v>0.93852037792390186</v>
      </c>
      <c r="E359" s="79">
        <v>4.2531646841976002E-2</v>
      </c>
      <c r="F359" s="79">
        <v>0.13573925852267801</v>
      </c>
      <c r="G359" s="79">
        <v>0.80938271582532695</v>
      </c>
      <c r="H359" s="79">
        <v>1</v>
      </c>
      <c r="I359" s="102">
        <v>1.0461114270031089</v>
      </c>
      <c r="J359" s="79">
        <v>4.2114227479460101E-2</v>
      </c>
      <c r="K359" s="79">
        <v>0.28443056405726402</v>
      </c>
      <c r="L359" s="79">
        <v>0.69931114007693096</v>
      </c>
      <c r="M359" s="79">
        <v>1</v>
      </c>
      <c r="N359" s="102">
        <v>1.1440519805285141</v>
      </c>
      <c r="O359" s="79">
        <v>4.1791072522628002E-2</v>
      </c>
      <c r="P359" s="79">
        <v>1.2809351751612999E-3</v>
      </c>
      <c r="Q359" s="79">
        <v>5.3710499671367398E-3</v>
      </c>
      <c r="R359" s="79">
        <v>1</v>
      </c>
      <c r="S359" s="102">
        <v>1.1334666563404305</v>
      </c>
      <c r="T359" s="79">
        <v>4.2067192579733903E-2</v>
      </c>
      <c r="U359" s="79">
        <v>2.9003081485725001E-3</v>
      </c>
      <c r="V359" s="79">
        <v>1.0343414744593301E-2</v>
      </c>
      <c r="W359" s="79">
        <v>1</v>
      </c>
    </row>
    <row r="360" spans="2:23" x14ac:dyDescent="0.2">
      <c r="B360" t="s">
        <v>2276</v>
      </c>
      <c r="C360" s="84">
        <v>5037</v>
      </c>
      <c r="D360" s="102">
        <v>0.98305128688073828</v>
      </c>
      <c r="E360" s="79">
        <v>3.1487478710003201E-2</v>
      </c>
      <c r="F360" s="79">
        <v>0.58721102937365999</v>
      </c>
      <c r="G360" s="79">
        <v>0.93838695059676502</v>
      </c>
      <c r="H360" s="79">
        <v>1</v>
      </c>
      <c r="I360" s="102">
        <v>1.082642765456677</v>
      </c>
      <c r="J360" s="79">
        <v>3.1363610903056498E-2</v>
      </c>
      <c r="K360" s="79">
        <v>1.1349245120614301E-2</v>
      </c>
      <c r="L360" s="79">
        <v>0.204527885471496</v>
      </c>
      <c r="M360" s="79">
        <v>1</v>
      </c>
      <c r="N360" s="102">
        <v>1.1149920779800211</v>
      </c>
      <c r="O360" s="79">
        <v>3.10573159372757E-2</v>
      </c>
      <c r="P360" s="79">
        <v>4.5708200938288399E-4</v>
      </c>
      <c r="Q360" s="79">
        <v>2.3824520735218598E-3</v>
      </c>
      <c r="R360" s="79">
        <v>0.77429692389460603</v>
      </c>
      <c r="S360" s="102">
        <v>1.1125425824581943</v>
      </c>
      <c r="T360" s="79">
        <v>3.1154746031826001E-2</v>
      </c>
      <c r="U360" s="79">
        <v>6.1895217962743801E-4</v>
      </c>
      <c r="V360" s="79">
        <v>3.0838382126143499E-3</v>
      </c>
      <c r="W360" s="79">
        <v>1</v>
      </c>
    </row>
    <row r="361" spans="2:23" x14ac:dyDescent="0.2">
      <c r="B361" t="s">
        <v>2277</v>
      </c>
      <c r="C361" s="84">
        <v>4914</v>
      </c>
      <c r="D361" s="102">
        <v>0.9301027325509682</v>
      </c>
      <c r="E361" s="79">
        <v>5.5562055671345999E-2</v>
      </c>
      <c r="F361" s="79">
        <v>0.19218870853925099</v>
      </c>
      <c r="G361" s="79">
        <v>0.83003013605610498</v>
      </c>
      <c r="H361" s="79">
        <v>1</v>
      </c>
      <c r="I361" s="102">
        <v>0.95323078028101238</v>
      </c>
      <c r="J361" s="79">
        <v>5.4862206420053503E-2</v>
      </c>
      <c r="K361" s="79">
        <v>0.382627942705069</v>
      </c>
      <c r="L361" s="79">
        <v>0.75782823609722505</v>
      </c>
      <c r="M361" s="79">
        <v>1</v>
      </c>
      <c r="N361" s="102">
        <v>1.195869292359985</v>
      </c>
      <c r="O361" s="79">
        <v>5.4665667436569802E-2</v>
      </c>
      <c r="P361" s="79">
        <v>1.0673915846942999E-3</v>
      </c>
      <c r="Q361" s="79">
        <v>4.6602096507014001E-3</v>
      </c>
      <c r="R361" s="79">
        <v>1</v>
      </c>
      <c r="S361" s="102">
        <v>1.1087161136673274</v>
      </c>
      <c r="T361" s="79">
        <v>5.4892927206160298E-2</v>
      </c>
      <c r="U361" s="79">
        <v>6.0098176318512497E-2</v>
      </c>
      <c r="V361" s="79">
        <v>0.11766755965096</v>
      </c>
      <c r="W361" s="79">
        <v>1</v>
      </c>
    </row>
    <row r="362" spans="2:23" x14ac:dyDescent="0.2">
      <c r="B362" t="s">
        <v>2278</v>
      </c>
      <c r="C362" s="84">
        <v>4899</v>
      </c>
      <c r="D362" s="102">
        <v>1.0016577063236167</v>
      </c>
      <c r="E362" s="79">
        <v>3.1421247142703501E-2</v>
      </c>
      <c r="F362" s="79">
        <v>0.95795993063662499</v>
      </c>
      <c r="G362" s="79">
        <v>0.99840985319461195</v>
      </c>
      <c r="H362" s="79">
        <v>1</v>
      </c>
      <c r="I362" s="102">
        <v>1.0029729315445906</v>
      </c>
      <c r="J362" s="79">
        <v>3.11707596840043E-2</v>
      </c>
      <c r="K362" s="79">
        <v>0.92412883733183704</v>
      </c>
      <c r="L362" s="79">
        <v>0.98193837767293402</v>
      </c>
      <c r="M362" s="79">
        <v>1</v>
      </c>
      <c r="N362" s="102">
        <v>1.0812751910369993</v>
      </c>
      <c r="O362" s="79">
        <v>3.0965802312551399E-2</v>
      </c>
      <c r="P362" s="79">
        <v>1.16205068113431E-2</v>
      </c>
      <c r="Q362" s="79">
        <v>3.1345762003845902E-2</v>
      </c>
      <c r="R362" s="79">
        <v>1</v>
      </c>
      <c r="S362" s="102">
        <v>1.0758395777135867</v>
      </c>
      <c r="T362" s="79">
        <v>3.09886770944598E-2</v>
      </c>
      <c r="U362" s="79">
        <v>1.8325737705364602E-2</v>
      </c>
      <c r="V362" s="79">
        <v>4.5854947818150103E-2</v>
      </c>
      <c r="W362" s="79">
        <v>1</v>
      </c>
    </row>
    <row r="363" spans="2:23" x14ac:dyDescent="0.2">
      <c r="B363" t="s">
        <v>2279</v>
      </c>
      <c r="C363" s="84">
        <v>4935</v>
      </c>
      <c r="D363" s="102">
        <v>0.96582082539804714</v>
      </c>
      <c r="E363" s="79">
        <v>3.7500796339770999E-2</v>
      </c>
      <c r="F363" s="79">
        <v>0.353736822078628</v>
      </c>
      <c r="G363" s="79">
        <v>0.89461055933914202</v>
      </c>
      <c r="H363" s="79">
        <v>1</v>
      </c>
      <c r="I363" s="102">
        <v>1.0348094152290253</v>
      </c>
      <c r="J363" s="79">
        <v>3.7116256219954701E-2</v>
      </c>
      <c r="K363" s="79">
        <v>0.35658364460304198</v>
      </c>
      <c r="L363" s="79">
        <v>0.74482453015727901</v>
      </c>
      <c r="M363" s="79">
        <v>1</v>
      </c>
      <c r="N363" s="102">
        <v>1.0980339584087915</v>
      </c>
      <c r="O363" s="79">
        <v>3.69344471580208E-2</v>
      </c>
      <c r="P363" s="79">
        <v>1.13385533784279E-2</v>
      </c>
      <c r="Q363" s="79">
        <v>3.0739729191136898E-2</v>
      </c>
      <c r="R363" s="79">
        <v>1</v>
      </c>
      <c r="S363" s="102">
        <v>1.1234703785125377</v>
      </c>
      <c r="T363" s="79">
        <v>3.7132033738536199E-2</v>
      </c>
      <c r="U363" s="79">
        <v>1.7164091240077001E-3</v>
      </c>
      <c r="V363" s="79">
        <v>6.9559738183469898E-3</v>
      </c>
      <c r="W363" s="79">
        <v>1</v>
      </c>
    </row>
    <row r="364" spans="2:23" x14ac:dyDescent="0.2">
      <c r="B364" t="s">
        <v>2280</v>
      </c>
      <c r="C364" s="84">
        <v>4877</v>
      </c>
      <c r="D364" s="102">
        <v>0.99090719735077881</v>
      </c>
      <c r="E364" s="79">
        <v>4.7492225829134697E-2</v>
      </c>
      <c r="F364" s="79">
        <v>0.8474801794847</v>
      </c>
      <c r="G364" s="79">
        <v>0.99362338620020496</v>
      </c>
      <c r="H364" s="79">
        <v>1</v>
      </c>
      <c r="I364" s="102">
        <v>0.97364292924033513</v>
      </c>
      <c r="J364" s="79">
        <v>4.7246762629189601E-2</v>
      </c>
      <c r="K364" s="79">
        <v>0.57184022086708997</v>
      </c>
      <c r="L364" s="79">
        <v>0.86018702573527095</v>
      </c>
      <c r="M364" s="79">
        <v>1</v>
      </c>
      <c r="N364" s="102">
        <v>1.1319512324944174</v>
      </c>
      <c r="O364" s="79">
        <v>4.7153326954318203E-2</v>
      </c>
      <c r="P364" s="79">
        <v>8.5760333487761801E-3</v>
      </c>
      <c r="Q364" s="79">
        <v>2.47071436952838E-2</v>
      </c>
      <c r="R364" s="79">
        <v>1</v>
      </c>
      <c r="S364" s="102">
        <v>1.1384990613098371</v>
      </c>
      <c r="T364" s="79">
        <v>4.7458731641212899E-2</v>
      </c>
      <c r="U364" s="79">
        <v>6.2735971588676297E-3</v>
      </c>
      <c r="V364" s="79">
        <v>1.9287610865919701E-2</v>
      </c>
      <c r="W364" s="79">
        <v>1</v>
      </c>
    </row>
    <row r="365" spans="2:23" x14ac:dyDescent="0.2">
      <c r="B365" t="s">
        <v>2281</v>
      </c>
      <c r="C365" s="84">
        <v>4889</v>
      </c>
      <c r="D365" s="102">
        <v>0.93211589605720757</v>
      </c>
      <c r="E365" s="79">
        <v>5.3924794593011902E-2</v>
      </c>
      <c r="F365" s="79">
        <v>0.192358880844539</v>
      </c>
      <c r="G365" s="79">
        <v>0.83003013605610498</v>
      </c>
      <c r="H365" s="79">
        <v>1</v>
      </c>
      <c r="I365" s="102">
        <v>1.1433245280767073</v>
      </c>
      <c r="J365" s="79">
        <v>5.3838973120799202E-2</v>
      </c>
      <c r="K365" s="79">
        <v>1.2853818419541901E-2</v>
      </c>
      <c r="L365" s="79">
        <v>0.21347420002650999</v>
      </c>
      <c r="M365" s="79">
        <v>1</v>
      </c>
      <c r="N365" s="102">
        <v>1.138308256527641</v>
      </c>
      <c r="O365" s="79">
        <v>5.28726466688847E-2</v>
      </c>
      <c r="P365" s="79">
        <v>1.42817271771728E-2</v>
      </c>
      <c r="Q365" s="79">
        <v>3.7106205273206599E-2</v>
      </c>
      <c r="R365" s="79">
        <v>1</v>
      </c>
      <c r="S365" s="102">
        <v>1.1152414699540496</v>
      </c>
      <c r="T365" s="79">
        <v>5.3202893891547198E-2</v>
      </c>
      <c r="U365" s="79">
        <v>4.03552351451349E-2</v>
      </c>
      <c r="V365" s="79">
        <v>8.6974259969285705E-2</v>
      </c>
      <c r="W365" s="79">
        <v>1</v>
      </c>
    </row>
    <row r="366" spans="2:23" x14ac:dyDescent="0.2">
      <c r="B366" t="s">
        <v>2282</v>
      </c>
      <c r="C366" s="84">
        <v>5020</v>
      </c>
      <c r="D366" s="102">
        <v>0.89284265650202088</v>
      </c>
      <c r="E366" s="79">
        <v>3.5800409158445901E-2</v>
      </c>
      <c r="F366" s="79">
        <v>1.54538702224791E-3</v>
      </c>
      <c r="G366" s="79">
        <v>0.21538253082011999</v>
      </c>
      <c r="H366" s="79">
        <v>1</v>
      </c>
      <c r="I366" s="102">
        <v>1.0159082105064245</v>
      </c>
      <c r="J366" s="79">
        <v>3.5406590892262897E-2</v>
      </c>
      <c r="K366" s="79">
        <v>0.65576737171820398</v>
      </c>
      <c r="L366" s="79">
        <v>0.88374695918109603</v>
      </c>
      <c r="M366" s="79">
        <v>1</v>
      </c>
      <c r="N366" s="102">
        <v>1.0640247758956636</v>
      </c>
      <c r="O366" s="79">
        <v>3.5237980137344298E-2</v>
      </c>
      <c r="P366" s="79">
        <v>7.8216343343506606E-2</v>
      </c>
      <c r="Q366" s="79">
        <v>0.14450136600017399</v>
      </c>
      <c r="R366" s="79">
        <v>1</v>
      </c>
      <c r="S366" s="102">
        <v>1.0722415265032021</v>
      </c>
      <c r="T366" s="79">
        <v>3.5268871159868799E-2</v>
      </c>
      <c r="U366" s="79">
        <v>4.7962255098232501E-2</v>
      </c>
      <c r="V366" s="79">
        <v>9.8841922307063096E-2</v>
      </c>
      <c r="W366" s="79">
        <v>1</v>
      </c>
    </row>
    <row r="367" spans="2:23" x14ac:dyDescent="0.2">
      <c r="B367" t="s">
        <v>2283</v>
      </c>
      <c r="C367" s="84">
        <v>5020</v>
      </c>
      <c r="D367" s="102">
        <v>0.96972136599898795</v>
      </c>
      <c r="E367" s="79">
        <v>3.32581086060997E-2</v>
      </c>
      <c r="F367" s="79">
        <v>0.35523577041775101</v>
      </c>
      <c r="G367" s="79">
        <v>0.89461055933914202</v>
      </c>
      <c r="H367" s="79">
        <v>1</v>
      </c>
      <c r="I367" s="102">
        <v>1.0250775346499161</v>
      </c>
      <c r="J367" s="79">
        <v>3.2941309939362201E-2</v>
      </c>
      <c r="K367" s="79">
        <v>0.45211699761723501</v>
      </c>
      <c r="L367" s="79">
        <v>0.79746066051088205</v>
      </c>
      <c r="M367" s="79">
        <v>1</v>
      </c>
      <c r="N367" s="102">
        <v>1.1058598982404579</v>
      </c>
      <c r="O367" s="79">
        <v>3.2809158738514699E-2</v>
      </c>
      <c r="P367" s="79">
        <v>2.1627329913045399E-3</v>
      </c>
      <c r="Q367" s="79">
        <v>7.94722274895855E-3</v>
      </c>
      <c r="R367" s="79">
        <v>1</v>
      </c>
      <c r="S367" s="102">
        <v>1.0264674025528093</v>
      </c>
      <c r="T367" s="79">
        <v>3.2695373877891003E-2</v>
      </c>
      <c r="U367" s="79">
        <v>0.42429755332716101</v>
      </c>
      <c r="V367" s="79">
        <v>0.54042109423775198</v>
      </c>
      <c r="W367" s="79">
        <v>1</v>
      </c>
    </row>
    <row r="368" spans="2:23" x14ac:dyDescent="0.2">
      <c r="B368" t="s">
        <v>201</v>
      </c>
      <c r="C368" s="84">
        <v>5037</v>
      </c>
      <c r="D368" s="102">
        <v>-1.7194817253053302E-2</v>
      </c>
      <c r="E368" s="79">
        <v>1.4493481398726899E-2</v>
      </c>
      <c r="F368" s="79">
        <v>0.23552959375051</v>
      </c>
      <c r="G368" s="79">
        <v>0.85383558790471104</v>
      </c>
      <c r="H368" s="79">
        <v>1</v>
      </c>
      <c r="I368" s="102">
        <v>-2.7741703280639001E-2</v>
      </c>
      <c r="J368" s="79">
        <v>1.4411061710167899E-2</v>
      </c>
      <c r="K368" s="79">
        <v>5.4285514394263899E-2</v>
      </c>
      <c r="L368" s="79">
        <v>0.413834727810937</v>
      </c>
      <c r="M368" s="79">
        <v>1</v>
      </c>
      <c r="N368" s="107">
        <v>-7.7215432532700704E-2</v>
      </c>
      <c r="O368" s="81">
        <v>1.42515712694008E-2</v>
      </c>
      <c r="P368" s="81">
        <v>6.3219575562550698E-8</v>
      </c>
      <c r="Q368" s="81">
        <v>1.15154796777377E-6</v>
      </c>
      <c r="R368" s="81">
        <v>1.0709396100296101E-4</v>
      </c>
      <c r="S368" s="107">
        <v>-6.8822211232967098E-2</v>
      </c>
      <c r="T368" s="81">
        <v>1.4246822712796099E-2</v>
      </c>
      <c r="U368" s="81">
        <v>1.4030723103336301E-6</v>
      </c>
      <c r="V368" s="81">
        <v>2.4253107078624199E-5</v>
      </c>
      <c r="W368" s="81">
        <v>2.3768044937051698E-3</v>
      </c>
    </row>
    <row r="369" spans="2:23" x14ac:dyDescent="0.2">
      <c r="B369" t="s">
        <v>198</v>
      </c>
      <c r="C369" s="84">
        <v>5015</v>
      </c>
      <c r="D369" s="102">
        <v>-5.5521869790590298E-3</v>
      </c>
      <c r="E369" s="79">
        <v>1.2369650159026699E-2</v>
      </c>
      <c r="F369" s="79">
        <v>0.65356305953930804</v>
      </c>
      <c r="G369" s="79">
        <v>0.95767440062337605</v>
      </c>
      <c r="H369" s="79">
        <v>1</v>
      </c>
      <c r="I369" s="102">
        <v>5.6618515544044996E-3</v>
      </c>
      <c r="J369" s="79">
        <v>1.2498760989395201E-2</v>
      </c>
      <c r="K369" s="79">
        <v>0.65057986309626303</v>
      </c>
      <c r="L369" s="79">
        <v>0.88374695918109603</v>
      </c>
      <c r="M369" s="79">
        <v>1</v>
      </c>
      <c r="N369" s="102">
        <v>-3.0737956071007402E-2</v>
      </c>
      <c r="O369" s="79">
        <v>1.22675630751503E-2</v>
      </c>
      <c r="P369" s="79">
        <v>1.22667063403985E-2</v>
      </c>
      <c r="Q369" s="79">
        <v>3.2931538099263198E-2</v>
      </c>
      <c r="R369" s="79">
        <v>1</v>
      </c>
      <c r="S369" s="102">
        <v>-1.03494191477424E-2</v>
      </c>
      <c r="T369" s="79">
        <v>1.2344272468351101E-2</v>
      </c>
      <c r="U369" s="79">
        <v>0.40186051626691</v>
      </c>
      <c r="V369" s="79">
        <v>0.51926141461185804</v>
      </c>
      <c r="W369" s="79">
        <v>1</v>
      </c>
    </row>
    <row r="370" spans="2:23" x14ac:dyDescent="0.2">
      <c r="B370" t="s">
        <v>199</v>
      </c>
      <c r="C370" s="84">
        <v>5011</v>
      </c>
      <c r="D370" s="102">
        <v>1.18290827098032E-2</v>
      </c>
      <c r="E370" s="79">
        <v>1.28847335466028E-2</v>
      </c>
      <c r="F370" s="79">
        <v>0.35863736748860903</v>
      </c>
      <c r="G370" s="79">
        <v>0.89461055933914202</v>
      </c>
      <c r="H370" s="79">
        <v>1</v>
      </c>
      <c r="I370" s="102">
        <v>-1.0134380916471199E-2</v>
      </c>
      <c r="J370" s="79">
        <v>1.29794128140087E-2</v>
      </c>
      <c r="K370" s="79">
        <v>0.43496153552322803</v>
      </c>
      <c r="L370" s="79">
        <v>0.78893272642295398</v>
      </c>
      <c r="M370" s="79">
        <v>1</v>
      </c>
      <c r="N370" s="102">
        <v>-3.9493901358570602E-2</v>
      </c>
      <c r="O370" s="79">
        <v>1.2760273841837901E-2</v>
      </c>
      <c r="P370" s="79">
        <v>1.9809779134660902E-3</v>
      </c>
      <c r="Q370" s="79">
        <v>7.4242844809990199E-3</v>
      </c>
      <c r="R370" s="79">
        <v>1</v>
      </c>
      <c r="S370" s="102">
        <v>-4.9992870543020098E-3</v>
      </c>
      <c r="T370" s="79">
        <v>1.2826023472226399E-2</v>
      </c>
      <c r="U370" s="79">
        <v>0.69672141263858001</v>
      </c>
      <c r="V370" s="79">
        <v>0.76349920607603905</v>
      </c>
      <c r="W370" s="79">
        <v>1</v>
      </c>
    </row>
    <row r="371" spans="2:23" x14ac:dyDescent="0.2">
      <c r="B371" t="s">
        <v>200</v>
      </c>
      <c r="C371" s="84">
        <v>5007</v>
      </c>
      <c r="D371" s="102">
        <v>-1.0280693636122801E-2</v>
      </c>
      <c r="E371" s="79">
        <v>1.23147827563916E-2</v>
      </c>
      <c r="F371" s="79">
        <v>0.40387092690291698</v>
      </c>
      <c r="G371" s="79">
        <v>0.89461055933914202</v>
      </c>
      <c r="H371" s="79">
        <v>1</v>
      </c>
      <c r="I371" s="102">
        <v>-8.2904060235490292E-3</v>
      </c>
      <c r="J371" s="79">
        <v>1.244491471699E-2</v>
      </c>
      <c r="K371" s="79">
        <v>0.505343735665573</v>
      </c>
      <c r="L371" s="79">
        <v>0.82233649204368997</v>
      </c>
      <c r="M371" s="79">
        <v>1</v>
      </c>
      <c r="N371" s="102">
        <v>-3.49554568454776E-2</v>
      </c>
      <c r="O371" s="79">
        <v>1.21957197556624E-2</v>
      </c>
      <c r="P371" s="79">
        <v>4.1777307643164402E-3</v>
      </c>
      <c r="Q371" s="79">
        <v>1.37152634006823E-2</v>
      </c>
      <c r="R371" s="79">
        <v>1</v>
      </c>
      <c r="S371" s="102">
        <v>-1.2235509872369199E-3</v>
      </c>
      <c r="T371" s="79">
        <v>1.2292129629601699E-2</v>
      </c>
      <c r="U371" s="79">
        <v>0.92071525277853505</v>
      </c>
      <c r="V371" s="79">
        <v>0.94526765951929603</v>
      </c>
      <c r="W371" s="79">
        <v>1</v>
      </c>
    </row>
    <row r="372" spans="2:23" x14ac:dyDescent="0.2">
      <c r="B372" t="s">
        <v>202</v>
      </c>
      <c r="C372" s="84">
        <v>5015</v>
      </c>
      <c r="D372" s="102">
        <v>-3.4801482699112801E-3</v>
      </c>
      <c r="E372" s="79">
        <v>1.21630837348525E-2</v>
      </c>
      <c r="F372" s="79">
        <v>0.77480042727088505</v>
      </c>
      <c r="G372" s="79">
        <v>0.98610963470839896</v>
      </c>
      <c r="H372" s="79">
        <v>1</v>
      </c>
      <c r="I372" s="102">
        <v>-5.6355763520364102E-3</v>
      </c>
      <c r="J372" s="79">
        <v>1.2299588487948E-2</v>
      </c>
      <c r="K372" s="79">
        <v>0.64684152225250502</v>
      </c>
      <c r="L372" s="79">
        <v>0.88366898281914796</v>
      </c>
      <c r="M372" s="79">
        <v>1</v>
      </c>
      <c r="N372" s="102">
        <v>-3.9460629939035499E-2</v>
      </c>
      <c r="O372" s="79">
        <v>1.2054175712861199E-2</v>
      </c>
      <c r="P372" s="79">
        <v>1.0721048672774501E-3</v>
      </c>
      <c r="Q372" s="79">
        <v>4.6687548718971697E-3</v>
      </c>
      <c r="R372" s="79">
        <v>1</v>
      </c>
      <c r="S372" s="102">
        <v>-5.29497515117704E-3</v>
      </c>
      <c r="T372" s="79">
        <v>1.2142648440883599E-2</v>
      </c>
      <c r="U372" s="79">
        <v>0.66281606213121402</v>
      </c>
      <c r="V372" s="79">
        <v>0.73391107123923505</v>
      </c>
      <c r="W372" s="79">
        <v>1</v>
      </c>
    </row>
    <row r="373" spans="2:23" x14ac:dyDescent="0.2">
      <c r="B373" t="s">
        <v>204</v>
      </c>
      <c r="C373" s="84">
        <v>5037</v>
      </c>
      <c r="D373" s="102">
        <v>-3.5693166313569601E-3</v>
      </c>
      <c r="E373" s="79">
        <v>1.4482740836309601E-2</v>
      </c>
      <c r="F373" s="79">
        <v>0.80534225586969899</v>
      </c>
      <c r="G373" s="79">
        <v>0.99362338620020496</v>
      </c>
      <c r="H373" s="79">
        <v>1</v>
      </c>
      <c r="I373" s="102">
        <v>-5.1136917724970601E-2</v>
      </c>
      <c r="J373" s="79">
        <v>1.43520940368263E-2</v>
      </c>
      <c r="K373" s="79">
        <v>3.7032869497074101E-4</v>
      </c>
      <c r="L373" s="79">
        <v>5.7030619025494098E-2</v>
      </c>
      <c r="M373" s="79">
        <v>0.627336809280435</v>
      </c>
      <c r="N373" s="102">
        <v>-2.81068480027989E-2</v>
      </c>
      <c r="O373" s="79">
        <v>1.42540117557026E-2</v>
      </c>
      <c r="P373" s="79">
        <v>4.8685605956801298E-2</v>
      </c>
      <c r="Q373" s="79">
        <v>9.8770558671642403E-2</v>
      </c>
      <c r="R373" s="79">
        <v>1</v>
      </c>
      <c r="S373" s="102">
        <v>-2.59953070577441E-2</v>
      </c>
      <c r="T373" s="79">
        <v>1.4243406964649701E-2</v>
      </c>
      <c r="U373" s="79">
        <v>6.8053674109867901E-2</v>
      </c>
      <c r="V373" s="79">
        <v>0.129240946123449</v>
      </c>
      <c r="W373" s="79">
        <v>1</v>
      </c>
    </row>
    <row r="374" spans="2:23" x14ac:dyDescent="0.2">
      <c r="B374" t="s">
        <v>205</v>
      </c>
      <c r="C374" s="84">
        <v>5037</v>
      </c>
      <c r="D374" s="102">
        <v>-4.4321210394754999E-3</v>
      </c>
      <c r="E374" s="79">
        <v>1.44657410734489E-2</v>
      </c>
      <c r="F374" s="79">
        <v>0.75932321860859198</v>
      </c>
      <c r="G374" s="79">
        <v>0.98115448689775397</v>
      </c>
      <c r="H374" s="79">
        <v>1</v>
      </c>
      <c r="I374" s="102">
        <v>-1.3929221415945599E-2</v>
      </c>
      <c r="J374" s="79">
        <v>1.43623881487915E-2</v>
      </c>
      <c r="K374" s="79">
        <v>0.33217702959385698</v>
      </c>
      <c r="L374" s="79">
        <v>0.72513903109792999</v>
      </c>
      <c r="M374" s="79">
        <v>1</v>
      </c>
      <c r="N374" s="102">
        <v>-4.2967769991957401E-2</v>
      </c>
      <c r="O374" s="79">
        <v>1.4240236888398599E-2</v>
      </c>
      <c r="P374" s="79">
        <v>2.5637781438496801E-3</v>
      </c>
      <c r="Q374" s="79">
        <v>9.0858581081199995E-3</v>
      </c>
      <c r="R374" s="79">
        <v>1</v>
      </c>
      <c r="S374" s="102">
        <v>-4.1134824691189398E-2</v>
      </c>
      <c r="T374" s="79">
        <v>1.42276273835183E-2</v>
      </c>
      <c r="U374" s="79">
        <v>3.85554975230508E-3</v>
      </c>
      <c r="V374" s="79">
        <v>1.30626025608096E-2</v>
      </c>
      <c r="W374" s="79">
        <v>1</v>
      </c>
    </row>
    <row r="375" spans="2:23" x14ac:dyDescent="0.2">
      <c r="B375" t="s">
        <v>206</v>
      </c>
      <c r="C375" s="84">
        <v>5037</v>
      </c>
      <c r="D375" s="102">
        <v>-1.47132830293559E-2</v>
      </c>
      <c r="E375" s="79">
        <v>1.45635039770218E-2</v>
      </c>
      <c r="F375" s="79">
        <v>0.31241022792231099</v>
      </c>
      <c r="G375" s="79">
        <v>0.88730162874475904</v>
      </c>
      <c r="H375" s="79">
        <v>1</v>
      </c>
      <c r="I375" s="102">
        <v>-1.43438480280315E-2</v>
      </c>
      <c r="J375" s="79">
        <v>1.4464416165039899E-2</v>
      </c>
      <c r="K375" s="79">
        <v>0.32141242444431301</v>
      </c>
      <c r="L375" s="79">
        <v>0.71493966280838095</v>
      </c>
      <c r="M375" s="79">
        <v>1</v>
      </c>
      <c r="N375" s="102">
        <v>-5.6683945446241703E-2</v>
      </c>
      <c r="O375" s="79">
        <v>1.4319167925029099E-2</v>
      </c>
      <c r="P375" s="79">
        <v>7.6508344083167198E-5</v>
      </c>
      <c r="Q375" s="79">
        <v>5.4002139532035502E-4</v>
      </c>
      <c r="R375" s="79">
        <v>0.12960513487688499</v>
      </c>
      <c r="S375" s="102">
        <v>-2.7965862684887302E-3</v>
      </c>
      <c r="T375" s="79">
        <v>1.43341663159212E-2</v>
      </c>
      <c r="U375" s="79">
        <v>0.84532358847793498</v>
      </c>
      <c r="V375" s="79">
        <v>0.88832391990175097</v>
      </c>
      <c r="W375" s="79">
        <v>1</v>
      </c>
    </row>
    <row r="376" spans="2:23" x14ac:dyDescent="0.2">
      <c r="B376" t="s">
        <v>207</v>
      </c>
      <c r="C376" s="84">
        <v>5037</v>
      </c>
      <c r="D376" s="102">
        <v>-1.6302664539303499E-2</v>
      </c>
      <c r="E376" s="79">
        <v>1.4308093483857399E-2</v>
      </c>
      <c r="F376" s="79">
        <v>0.25459370915614599</v>
      </c>
      <c r="G376" s="79">
        <v>0.85990749347533801</v>
      </c>
      <c r="H376" s="79">
        <v>1</v>
      </c>
      <c r="I376" s="102">
        <v>6.0562511103131496E-3</v>
      </c>
      <c r="J376" s="79">
        <v>1.4208154616109201E-2</v>
      </c>
      <c r="K376" s="79">
        <v>0.66994432594571895</v>
      </c>
      <c r="L376" s="79">
        <v>0.89010642208003798</v>
      </c>
      <c r="M376" s="79">
        <v>1</v>
      </c>
      <c r="N376" s="102">
        <v>-4.3469385848323001E-2</v>
      </c>
      <c r="O376" s="79">
        <v>1.40867581295126E-2</v>
      </c>
      <c r="P376" s="79">
        <v>2.04179063642666E-3</v>
      </c>
      <c r="Q376" s="79">
        <v>7.5850731098832504E-3</v>
      </c>
      <c r="R376" s="79">
        <v>1</v>
      </c>
      <c r="S376" s="102">
        <v>-1.4204722210665899E-2</v>
      </c>
      <c r="T376" s="79">
        <v>1.4086210927544401E-2</v>
      </c>
      <c r="U376" s="79">
        <v>0.313308510778671</v>
      </c>
      <c r="V376" s="79">
        <v>0.42871132250328697</v>
      </c>
      <c r="W376" s="79">
        <v>1</v>
      </c>
    </row>
    <row r="377" spans="2:23" x14ac:dyDescent="0.2">
      <c r="B377" t="s">
        <v>208</v>
      </c>
      <c r="C377" s="84">
        <v>5037</v>
      </c>
      <c r="D377" s="102">
        <v>-1.54116791725933E-2</v>
      </c>
      <c r="E377" s="79">
        <v>1.4495708744478499E-2</v>
      </c>
      <c r="F377" s="79">
        <v>0.28774796067803798</v>
      </c>
      <c r="G377" s="79">
        <v>0.86861170490914397</v>
      </c>
      <c r="H377" s="79">
        <v>1</v>
      </c>
      <c r="I377" s="102">
        <v>-2.7334050715910701E-2</v>
      </c>
      <c r="J377" s="79">
        <v>1.44438286481541E-2</v>
      </c>
      <c r="K377" s="79">
        <v>5.8491342836028498E-2</v>
      </c>
      <c r="L377" s="79">
        <v>0.42343732805227502</v>
      </c>
      <c r="M377" s="79">
        <v>1</v>
      </c>
      <c r="N377" s="107">
        <v>-7.6739842868941699E-2</v>
      </c>
      <c r="O377" s="81">
        <v>1.42739404300162E-2</v>
      </c>
      <c r="P377" s="81">
        <v>7.9564759397851598E-8</v>
      </c>
      <c r="Q377" s="81">
        <v>1.3895123960820699E-6</v>
      </c>
      <c r="R377" s="81">
        <v>1.3478270241996099E-4</v>
      </c>
      <c r="S377" s="102">
        <v>-4.3820567176537997E-2</v>
      </c>
      <c r="T377" s="79">
        <v>1.4290858557581901E-2</v>
      </c>
      <c r="U377" s="79">
        <v>2.1787368702072601E-3</v>
      </c>
      <c r="V377" s="79">
        <v>8.2017339069579993E-3</v>
      </c>
      <c r="W377" s="79">
        <v>1</v>
      </c>
    </row>
    <row r="378" spans="2:23" x14ac:dyDescent="0.2">
      <c r="B378" t="s">
        <v>858</v>
      </c>
      <c r="C378" s="84">
        <v>4952</v>
      </c>
      <c r="D378" s="102">
        <v>1.30887157421595E-2</v>
      </c>
      <c r="E378" s="79">
        <v>1.45737413701612E-2</v>
      </c>
      <c r="F378" s="79">
        <v>0.36917546983173899</v>
      </c>
      <c r="G378" s="79">
        <v>0.89461055933914202</v>
      </c>
      <c r="H378" s="79">
        <v>1</v>
      </c>
      <c r="I378" s="102">
        <v>-3.7925538584130101E-3</v>
      </c>
      <c r="J378" s="79">
        <v>1.45129346376211E-2</v>
      </c>
      <c r="K378" s="79">
        <v>0.79385518956170897</v>
      </c>
      <c r="L378" s="79">
        <v>0.93608823952815601</v>
      </c>
      <c r="M378" s="79">
        <v>1</v>
      </c>
      <c r="N378" s="102">
        <v>-4.9253678090907298E-2</v>
      </c>
      <c r="O378" s="79">
        <v>1.43548858282216E-2</v>
      </c>
      <c r="P378" s="79">
        <v>6.0609699959178899E-4</v>
      </c>
      <c r="Q378" s="79">
        <v>2.9846753410130498E-3</v>
      </c>
      <c r="R378" s="79">
        <v>1</v>
      </c>
      <c r="S378" s="102">
        <v>-5.4605353277625397E-2</v>
      </c>
      <c r="T378" s="79">
        <v>1.43305347057465E-2</v>
      </c>
      <c r="U378" s="79">
        <v>1.4046522302398401E-4</v>
      </c>
      <c r="V378" s="79">
        <v>9.2488508594168396E-4</v>
      </c>
      <c r="W378" s="79">
        <v>0.23794808780262899</v>
      </c>
    </row>
    <row r="379" spans="2:23" x14ac:dyDescent="0.2">
      <c r="B379" t="s">
        <v>860</v>
      </c>
      <c r="C379" s="84">
        <v>4533</v>
      </c>
      <c r="D379" s="102">
        <v>7.4920289672852497E-3</v>
      </c>
      <c r="E379" s="79">
        <v>1.42286121132147E-2</v>
      </c>
      <c r="F379" s="79">
        <v>0.59853502682315196</v>
      </c>
      <c r="G379" s="79">
        <v>0.94340566501007395</v>
      </c>
      <c r="H379" s="79">
        <v>1</v>
      </c>
      <c r="I379" s="102">
        <v>-6.76770116451921E-3</v>
      </c>
      <c r="J379" s="79">
        <v>1.4158114042459299E-2</v>
      </c>
      <c r="K379" s="79">
        <v>0.63266818245077405</v>
      </c>
      <c r="L379" s="79">
        <v>0.87748013759880805</v>
      </c>
      <c r="M379" s="79">
        <v>1</v>
      </c>
      <c r="N379" s="102">
        <v>-2.2390250642170598E-2</v>
      </c>
      <c r="O379" s="79">
        <v>1.4004773441030001E-2</v>
      </c>
      <c r="P379" s="79">
        <v>0.109947024505181</v>
      </c>
      <c r="Q379" s="79">
        <v>0.18813157526442101</v>
      </c>
      <c r="R379" s="79">
        <v>1</v>
      </c>
      <c r="S379" s="102">
        <v>2.8086057774803401E-3</v>
      </c>
      <c r="T379" s="79">
        <v>1.4017665001067801E-2</v>
      </c>
      <c r="U379" s="79">
        <v>0.84120692494816995</v>
      </c>
      <c r="V379" s="79">
        <v>0.88509598190198702</v>
      </c>
      <c r="W379" s="79">
        <v>1</v>
      </c>
    </row>
    <row r="380" spans="2:23" x14ac:dyDescent="0.2">
      <c r="B380" t="s">
        <v>862</v>
      </c>
      <c r="C380" s="84">
        <v>4752</v>
      </c>
      <c r="D380" s="102">
        <v>1.3245859637516301E-2</v>
      </c>
      <c r="E380" s="79">
        <v>1.48945994273137E-2</v>
      </c>
      <c r="F380" s="79">
        <v>0.37388615584135698</v>
      </c>
      <c r="G380" s="79">
        <v>0.89461055933914202</v>
      </c>
      <c r="H380" s="79">
        <v>1</v>
      </c>
      <c r="I380" s="102">
        <v>-3.6824371148502399E-2</v>
      </c>
      <c r="J380" s="79">
        <v>1.47535842585119E-2</v>
      </c>
      <c r="K380" s="79">
        <v>1.2597841762881E-2</v>
      </c>
      <c r="L380" s="79">
        <v>0.212483699136545</v>
      </c>
      <c r="M380" s="79">
        <v>1</v>
      </c>
      <c r="N380" s="107">
        <v>-6.5275029280815494E-2</v>
      </c>
      <c r="O380" s="81">
        <v>1.46480472242045E-2</v>
      </c>
      <c r="P380" s="81">
        <v>8.5470129109513096E-6</v>
      </c>
      <c r="Q380" s="81">
        <v>8.6056287015987099E-5</v>
      </c>
      <c r="R380" s="81">
        <v>1.44786398711515E-2</v>
      </c>
      <c r="S380" s="107">
        <v>-7.0008730515260395E-2</v>
      </c>
      <c r="T380" s="81">
        <v>1.4590965388978701E-2</v>
      </c>
      <c r="U380" s="81">
        <v>1.6544816183207801E-6</v>
      </c>
      <c r="V380" s="81">
        <v>2.7749424370647501E-5</v>
      </c>
      <c r="W380" s="81">
        <v>2.8026918614354E-3</v>
      </c>
    </row>
    <row r="381" spans="2:23" x14ac:dyDescent="0.2">
      <c r="B381" t="s">
        <v>863</v>
      </c>
      <c r="C381" s="84">
        <v>4737</v>
      </c>
      <c r="D381" s="102">
        <v>8.5094273759142103E-4</v>
      </c>
      <c r="E381" s="79">
        <v>1.5043137022015899E-2</v>
      </c>
      <c r="F381" s="79">
        <v>0.95489274860574402</v>
      </c>
      <c r="G381" s="79">
        <v>0.99840985319461195</v>
      </c>
      <c r="H381" s="79">
        <v>1</v>
      </c>
      <c r="I381" s="102">
        <v>2.6249062108317699E-2</v>
      </c>
      <c r="J381" s="79">
        <v>1.50206608119963E-2</v>
      </c>
      <c r="K381" s="79">
        <v>8.0615303042703396E-2</v>
      </c>
      <c r="L381" s="79">
        <v>0.47759760794846201</v>
      </c>
      <c r="M381" s="79">
        <v>1</v>
      </c>
      <c r="N381" s="102">
        <v>5.2827821001254598E-2</v>
      </c>
      <c r="O381" s="79">
        <v>1.48709404691815E-2</v>
      </c>
      <c r="P381" s="79">
        <v>3.8565529027479399E-4</v>
      </c>
      <c r="Q381" s="79">
        <v>2.0739684499222299E-3</v>
      </c>
      <c r="R381" s="79">
        <v>0.65330006172550104</v>
      </c>
      <c r="S381" s="102">
        <v>3.8760618127880599E-2</v>
      </c>
      <c r="T381" s="79">
        <v>1.48192116268834E-2</v>
      </c>
      <c r="U381" s="79">
        <v>8.9381645196986107E-3</v>
      </c>
      <c r="V381" s="79">
        <v>2.60606724550249E-2</v>
      </c>
      <c r="W381" s="79">
        <v>1</v>
      </c>
    </row>
    <row r="382" spans="2:23" x14ac:dyDescent="0.2">
      <c r="B382" t="s">
        <v>859</v>
      </c>
      <c r="C382" s="84">
        <v>4814</v>
      </c>
      <c r="D382" s="102">
        <v>-1.6981592066446501E-2</v>
      </c>
      <c r="E382" s="79">
        <v>1.4659363867696999E-2</v>
      </c>
      <c r="F382" s="79">
        <v>0.24675773903551701</v>
      </c>
      <c r="G382" s="79">
        <v>0.85990749347533801</v>
      </c>
      <c r="H382" s="79">
        <v>1</v>
      </c>
      <c r="I382" s="102">
        <v>2.6719198747981801E-2</v>
      </c>
      <c r="J382" s="79">
        <v>1.4608547789908499E-2</v>
      </c>
      <c r="K382" s="79">
        <v>6.7466333648435406E-2</v>
      </c>
      <c r="L382" s="79">
        <v>0.44126629034922599</v>
      </c>
      <c r="M382" s="79">
        <v>1</v>
      </c>
      <c r="N382" s="102">
        <v>4.7186065061364697E-2</v>
      </c>
      <c r="O382" s="79">
        <v>1.4426822263081099E-2</v>
      </c>
      <c r="P382" s="79">
        <v>1.0810314053116201E-3</v>
      </c>
      <c r="Q382" s="79">
        <v>4.68354782761607E-3</v>
      </c>
      <c r="R382" s="79">
        <v>1</v>
      </c>
      <c r="S382" s="102">
        <v>4.9563590185158102E-2</v>
      </c>
      <c r="T382" s="79">
        <v>1.444674795043E-2</v>
      </c>
      <c r="U382" s="79">
        <v>6.0739454633189404E-4</v>
      </c>
      <c r="V382" s="79">
        <v>3.0531939509977099E-3</v>
      </c>
      <c r="W382" s="79">
        <v>1</v>
      </c>
    </row>
    <row r="383" spans="2:23" x14ac:dyDescent="0.2">
      <c r="B383" t="s">
        <v>856</v>
      </c>
      <c r="C383" s="84">
        <v>4876</v>
      </c>
      <c r="D383" s="102">
        <v>1.77362794555465E-2</v>
      </c>
      <c r="E383" s="79">
        <v>1.45849984546652E-2</v>
      </c>
      <c r="F383" s="79">
        <v>0.22402149483511399</v>
      </c>
      <c r="G383" s="79">
        <v>0.84071215771938901</v>
      </c>
      <c r="H383" s="79">
        <v>1</v>
      </c>
      <c r="I383" s="102">
        <v>-1.45231397772362E-2</v>
      </c>
      <c r="J383" s="79">
        <v>1.4481961407582501E-2</v>
      </c>
      <c r="K383" s="79">
        <v>0.31598821712719599</v>
      </c>
      <c r="L383" s="79">
        <v>0.71421187504967798</v>
      </c>
      <c r="M383" s="79">
        <v>1</v>
      </c>
      <c r="N383" s="102">
        <v>-5.9596249806764902E-2</v>
      </c>
      <c r="O383" s="79">
        <v>1.43406587785277E-2</v>
      </c>
      <c r="P383" s="79">
        <v>3.2998430617711998E-5</v>
      </c>
      <c r="Q383" s="79">
        <v>2.5999693705304298E-4</v>
      </c>
      <c r="R383" s="79">
        <v>5.5899341466404101E-2</v>
      </c>
      <c r="S383" s="102">
        <v>-4.5365542804811601E-2</v>
      </c>
      <c r="T383" s="79">
        <v>1.43057569087953E-2</v>
      </c>
      <c r="U383" s="79">
        <v>1.5282069328827099E-3</v>
      </c>
      <c r="V383" s="79">
        <v>6.3450552556453699E-3</v>
      </c>
      <c r="W383" s="79">
        <v>1</v>
      </c>
    </row>
    <row r="384" spans="2:23" x14ac:dyDescent="0.2">
      <c r="B384" t="s">
        <v>857</v>
      </c>
      <c r="C384" s="84">
        <v>4846</v>
      </c>
      <c r="D384" s="102">
        <v>-2.7343362604574399E-3</v>
      </c>
      <c r="E384" s="79">
        <v>1.45834189192936E-2</v>
      </c>
      <c r="F384" s="79">
        <v>0.85128000885071398</v>
      </c>
      <c r="G384" s="79">
        <v>0.99362338620020496</v>
      </c>
      <c r="H384" s="79">
        <v>1</v>
      </c>
      <c r="I384" s="102">
        <v>4.4830309457050903E-2</v>
      </c>
      <c r="J384" s="79">
        <v>1.44964864011899E-2</v>
      </c>
      <c r="K384" s="79">
        <v>1.9973389777294698E-3</v>
      </c>
      <c r="L384" s="79">
        <v>0.113986182531366</v>
      </c>
      <c r="M384" s="79">
        <v>1</v>
      </c>
      <c r="N384" s="107">
        <v>7.6786254325716896E-2</v>
      </c>
      <c r="O384" s="81">
        <v>1.4310953160550101E-2</v>
      </c>
      <c r="P384" s="81">
        <v>8.4812932527890796E-8</v>
      </c>
      <c r="Q384" s="81">
        <v>1.4341116224033101E-6</v>
      </c>
      <c r="R384" s="81">
        <v>1.43673107702247E-4</v>
      </c>
      <c r="S384" s="107">
        <v>6.9921629687562201E-2</v>
      </c>
      <c r="T384" s="81">
        <v>1.42802209598164E-2</v>
      </c>
      <c r="U384" s="81">
        <v>1.01118668048038E-6</v>
      </c>
      <c r="V384" s="81">
        <v>1.8823628975096299E-5</v>
      </c>
      <c r="W384" s="81">
        <v>1.71295023673376E-3</v>
      </c>
    </row>
    <row r="385" spans="2:23" x14ac:dyDescent="0.2">
      <c r="B385" t="s">
        <v>861</v>
      </c>
      <c r="C385" s="84">
        <v>4830</v>
      </c>
      <c r="D385" s="102">
        <v>8.9709266420378003E-3</v>
      </c>
      <c r="E385" s="79">
        <v>1.45681779852794E-2</v>
      </c>
      <c r="F385" s="79">
        <v>0.53806572876546799</v>
      </c>
      <c r="G385" s="79">
        <v>0.92176886451906703</v>
      </c>
      <c r="H385" s="79">
        <v>1</v>
      </c>
      <c r="I385" s="102">
        <v>3.2306067908289597E-2</v>
      </c>
      <c r="J385" s="79">
        <v>1.4498824097638099E-2</v>
      </c>
      <c r="K385" s="79">
        <v>2.5920749974262899E-2</v>
      </c>
      <c r="L385" s="79">
        <v>0.31364107468858099</v>
      </c>
      <c r="M385" s="79">
        <v>1</v>
      </c>
      <c r="N385" s="107">
        <v>7.2390009879907194E-2</v>
      </c>
      <c r="O385" s="81">
        <v>1.4290922066721499E-2</v>
      </c>
      <c r="P385" s="81">
        <v>4.2462553301237198E-7</v>
      </c>
      <c r="Q385" s="81">
        <v>5.9808457014297304E-6</v>
      </c>
      <c r="R385" s="81">
        <v>7.1931565292295799E-4</v>
      </c>
      <c r="S385" s="107">
        <v>7.6747958403404204E-2</v>
      </c>
      <c r="T385" s="81">
        <v>1.42868167445316E-2</v>
      </c>
      <c r="U385" s="81">
        <v>8.2089864075739898E-8</v>
      </c>
      <c r="V385" s="81">
        <v>2.07552581707915E-6</v>
      </c>
      <c r="W385" s="81">
        <v>1.39060229744303E-4</v>
      </c>
    </row>
    <row r="386" spans="2:23" x14ac:dyDescent="0.2">
      <c r="B386" t="s">
        <v>989</v>
      </c>
      <c r="C386" s="84">
        <v>5021</v>
      </c>
      <c r="D386" s="102">
        <v>1.4184815230511301E-3</v>
      </c>
      <c r="E386" s="79">
        <v>1.4479920046272301E-2</v>
      </c>
      <c r="F386" s="79">
        <v>0.92196672156168602</v>
      </c>
      <c r="G386" s="79">
        <v>0.99605333311574995</v>
      </c>
      <c r="H386" s="79">
        <v>1</v>
      </c>
      <c r="I386" s="102">
        <v>1.32217216286058E-2</v>
      </c>
      <c r="J386" s="79">
        <v>1.4370094432859601E-2</v>
      </c>
      <c r="K386" s="79">
        <v>0.357576885551253</v>
      </c>
      <c r="L386" s="79">
        <v>0.74593451887386297</v>
      </c>
      <c r="M386" s="79">
        <v>1</v>
      </c>
      <c r="N386" s="102">
        <v>3.3211111227844897E-2</v>
      </c>
      <c r="O386" s="79">
        <v>1.4248773891595099E-2</v>
      </c>
      <c r="P386" s="79">
        <v>1.9806998091394599E-2</v>
      </c>
      <c r="Q386" s="79">
        <v>4.8487073362460199E-2</v>
      </c>
      <c r="R386" s="79">
        <v>1</v>
      </c>
      <c r="S386" s="102">
        <v>5.2774618216276402E-2</v>
      </c>
      <c r="T386" s="79">
        <v>1.42246295128424E-2</v>
      </c>
      <c r="U386" s="79">
        <v>2.0963871613722401E-4</v>
      </c>
      <c r="V386" s="79">
        <v>1.3104353695072199E-3</v>
      </c>
      <c r="W386" s="79">
        <v>0.35512798513645799</v>
      </c>
    </row>
    <row r="387" spans="2:23" x14ac:dyDescent="0.2">
      <c r="B387" t="s">
        <v>990</v>
      </c>
      <c r="C387" s="84">
        <v>5021</v>
      </c>
      <c r="D387" s="102">
        <v>1.56960626937469E-2</v>
      </c>
      <c r="E387" s="79">
        <v>1.4423493295720799E-2</v>
      </c>
      <c r="F387" s="79">
        <v>0.27655045026236602</v>
      </c>
      <c r="G387" s="79">
        <v>0.86861170490914397</v>
      </c>
      <c r="H387" s="79">
        <v>1</v>
      </c>
      <c r="I387" s="102">
        <v>2.8985354825316199E-2</v>
      </c>
      <c r="J387" s="79">
        <v>1.43145626962822E-2</v>
      </c>
      <c r="K387" s="79">
        <v>4.2937490614991698E-2</v>
      </c>
      <c r="L387" s="79">
        <v>0.38689419734997799</v>
      </c>
      <c r="M387" s="79">
        <v>1</v>
      </c>
      <c r="N387" s="102">
        <v>4.6552153247228903E-2</v>
      </c>
      <c r="O387" s="79">
        <v>1.41856830221124E-2</v>
      </c>
      <c r="P387" s="79">
        <v>1.03984172168837E-3</v>
      </c>
      <c r="Q387" s="79">
        <v>4.5753035754288298E-3</v>
      </c>
      <c r="R387" s="79">
        <v>1</v>
      </c>
      <c r="S387" s="102">
        <v>3.9891380223729199E-2</v>
      </c>
      <c r="T387" s="79">
        <v>1.41776470143048E-2</v>
      </c>
      <c r="U387" s="79">
        <v>4.9185916859200802E-3</v>
      </c>
      <c r="V387" s="79">
        <v>1.5750650880810201E-2</v>
      </c>
      <c r="W387" s="79">
        <v>1</v>
      </c>
    </row>
    <row r="388" spans="2:23" x14ac:dyDescent="0.2">
      <c r="B388" t="s">
        <v>995</v>
      </c>
      <c r="C388" s="84">
        <v>5021</v>
      </c>
      <c r="D388" s="102">
        <v>-2.4301617457679201E-2</v>
      </c>
      <c r="E388" s="79">
        <v>1.45013568032397E-2</v>
      </c>
      <c r="F388" s="79">
        <v>9.3840227488114894E-2</v>
      </c>
      <c r="G388" s="79">
        <v>0.76425646810032</v>
      </c>
      <c r="H388" s="79">
        <v>1</v>
      </c>
      <c r="I388" s="102">
        <v>2.21066990381267E-2</v>
      </c>
      <c r="J388" s="79">
        <v>1.44126539131623E-2</v>
      </c>
      <c r="K388" s="79">
        <v>0.12513749466949001</v>
      </c>
      <c r="L388" s="79">
        <v>0.55552266356551805</v>
      </c>
      <c r="M388" s="79">
        <v>1</v>
      </c>
      <c r="N388" s="102">
        <v>3.6857799911598002E-2</v>
      </c>
      <c r="O388" s="79">
        <v>1.4283135988034301E-2</v>
      </c>
      <c r="P388" s="79">
        <v>9.8956971944325692E-3</v>
      </c>
      <c r="Q388" s="79">
        <v>2.7571235275277599E-2</v>
      </c>
      <c r="R388" s="79">
        <v>1</v>
      </c>
      <c r="S388" s="102">
        <v>1.9339392555139601E-2</v>
      </c>
      <c r="T388" s="79">
        <v>1.4274232581265501E-2</v>
      </c>
      <c r="U388" s="79">
        <v>0.175532014807949</v>
      </c>
      <c r="V388" s="79">
        <v>0.27304980081236502</v>
      </c>
      <c r="W388" s="79">
        <v>1</v>
      </c>
    </row>
    <row r="389" spans="2:23" x14ac:dyDescent="0.2">
      <c r="B389" t="s">
        <v>996</v>
      </c>
      <c r="C389" s="84">
        <v>5021</v>
      </c>
      <c r="D389" s="102">
        <v>7.8011816410733098E-3</v>
      </c>
      <c r="E389" s="79">
        <v>1.4555003244567301E-2</v>
      </c>
      <c r="F389" s="79">
        <v>0.59199790236958405</v>
      </c>
      <c r="G389" s="79">
        <v>0.94227602598436699</v>
      </c>
      <c r="H389" s="79">
        <v>1</v>
      </c>
      <c r="I389" s="102">
        <v>2.81139780270179E-2</v>
      </c>
      <c r="J389" s="79">
        <v>1.44609787347223E-2</v>
      </c>
      <c r="K389" s="79">
        <v>5.1940287405747798E-2</v>
      </c>
      <c r="L389" s="79">
        <v>0.40924114821086899</v>
      </c>
      <c r="M389" s="79">
        <v>1</v>
      </c>
      <c r="N389" s="102">
        <v>4.32142737097383E-2</v>
      </c>
      <c r="O389" s="79">
        <v>1.43330043572643E-2</v>
      </c>
      <c r="P389" s="79">
        <v>2.5833715011768601E-3</v>
      </c>
      <c r="Q389" s="79">
        <v>9.0981940186977105E-3</v>
      </c>
      <c r="R389" s="79">
        <v>1</v>
      </c>
      <c r="S389" s="102">
        <v>3.3610904912725503E-2</v>
      </c>
      <c r="T389" s="79">
        <v>1.43244390891555E-2</v>
      </c>
      <c r="U389" s="79">
        <v>1.8996875379801902E-2</v>
      </c>
      <c r="V389" s="79">
        <v>4.6979134150926201E-2</v>
      </c>
      <c r="W389" s="79">
        <v>1</v>
      </c>
    </row>
    <row r="390" spans="2:23" x14ac:dyDescent="0.2">
      <c r="B390" t="s">
        <v>997</v>
      </c>
      <c r="C390" s="84">
        <v>5021</v>
      </c>
      <c r="D390" s="102">
        <v>-5.1919172310157698E-3</v>
      </c>
      <c r="E390" s="79">
        <v>1.4506373041631901E-2</v>
      </c>
      <c r="F390" s="79">
        <v>0.72042964660689901</v>
      </c>
      <c r="G390" s="79">
        <v>0.97160036230239</v>
      </c>
      <c r="H390" s="79">
        <v>1</v>
      </c>
      <c r="I390" s="102">
        <v>3.9614363084609298E-2</v>
      </c>
      <c r="J390" s="79">
        <v>1.4395684720006401E-2</v>
      </c>
      <c r="K390" s="79">
        <v>5.9494584076278199E-3</v>
      </c>
      <c r="L390" s="79">
        <v>0.14713171776893799</v>
      </c>
      <c r="M390" s="79">
        <v>1</v>
      </c>
      <c r="N390" s="102">
        <v>3.0783419225588301E-2</v>
      </c>
      <c r="O390" s="79">
        <v>1.42830032736256E-2</v>
      </c>
      <c r="P390" s="79">
        <v>3.1193230219987801E-2</v>
      </c>
      <c r="Q390" s="79">
        <v>6.9436704326753404E-2</v>
      </c>
      <c r="R390" s="79">
        <v>1</v>
      </c>
      <c r="S390" s="102">
        <v>2.9235870051522901E-2</v>
      </c>
      <c r="T390" s="79">
        <v>1.42720910202161E-2</v>
      </c>
      <c r="U390" s="79">
        <v>4.0569991685168297E-2</v>
      </c>
      <c r="V390" s="79">
        <v>8.7215185170907497E-2</v>
      </c>
      <c r="W390" s="79">
        <v>1</v>
      </c>
    </row>
    <row r="391" spans="2:23" x14ac:dyDescent="0.2">
      <c r="B391" t="s">
        <v>998</v>
      </c>
      <c r="C391" s="84">
        <v>3026</v>
      </c>
      <c r="D391" s="102">
        <v>2.7443011162302301E-3</v>
      </c>
      <c r="E391" s="79">
        <v>1.44214341827842E-2</v>
      </c>
      <c r="F391" s="79">
        <v>0.849087414892992</v>
      </c>
      <c r="G391" s="79">
        <v>0.99362338620020496</v>
      </c>
      <c r="H391" s="79">
        <v>1</v>
      </c>
      <c r="I391" s="102">
        <v>3.3610680135836402E-2</v>
      </c>
      <c r="J391" s="79">
        <v>1.43330449627422E-2</v>
      </c>
      <c r="K391" s="79">
        <v>1.9069353441547501E-2</v>
      </c>
      <c r="L391" s="79">
        <v>0.27486214009729198</v>
      </c>
      <c r="M391" s="79">
        <v>1</v>
      </c>
      <c r="N391" s="107">
        <v>6.8389713688380496E-2</v>
      </c>
      <c r="O391" s="81">
        <v>1.41751520214116E-2</v>
      </c>
      <c r="P391" s="81">
        <v>1.44658958685722E-6</v>
      </c>
      <c r="Q391" s="81">
        <v>1.7257202536169901E-5</v>
      </c>
      <c r="R391" s="81">
        <v>2.4505227601361299E-3</v>
      </c>
      <c r="S391" s="107">
        <v>6.2574001416148106E-2</v>
      </c>
      <c r="T391" s="81">
        <v>1.4175348510093199E-2</v>
      </c>
      <c r="U391" s="81">
        <v>1.0358747754657401E-5</v>
      </c>
      <c r="V391" s="81">
        <v>1.2445190564815299E-4</v>
      </c>
      <c r="W391" s="81">
        <v>1.7547718696389599E-2</v>
      </c>
    </row>
    <row r="392" spans="2:23" x14ac:dyDescent="0.2">
      <c r="B392" t="s">
        <v>1003</v>
      </c>
      <c r="C392" s="84">
        <v>3553</v>
      </c>
      <c r="D392" s="102">
        <v>2.1014813567016101E-2</v>
      </c>
      <c r="E392" s="79">
        <v>1.44854569827663E-2</v>
      </c>
      <c r="F392" s="79">
        <v>0.14691516762878701</v>
      </c>
      <c r="G392" s="79">
        <v>0.80938271582532695</v>
      </c>
      <c r="H392" s="79">
        <v>1</v>
      </c>
      <c r="I392" s="102">
        <v>2.82617477398634E-2</v>
      </c>
      <c r="J392" s="79">
        <v>1.4387581589885E-2</v>
      </c>
      <c r="K392" s="79">
        <v>4.95532508013036E-2</v>
      </c>
      <c r="L392" s="79">
        <v>0.40415161503039299</v>
      </c>
      <c r="M392" s="79">
        <v>1</v>
      </c>
      <c r="N392" s="102">
        <v>5.2086880616948099E-2</v>
      </c>
      <c r="O392" s="79">
        <v>1.4251703185623301E-2</v>
      </c>
      <c r="P392" s="79">
        <v>2.60230769060591E-4</v>
      </c>
      <c r="Q392" s="79">
        <v>1.48929365806973E-3</v>
      </c>
      <c r="R392" s="79">
        <v>0.440830922788641</v>
      </c>
      <c r="S392" s="102">
        <v>3.0730190792044899E-2</v>
      </c>
      <c r="T392" s="79">
        <v>1.42514011328239E-2</v>
      </c>
      <c r="U392" s="79">
        <v>3.11116316935461E-2</v>
      </c>
      <c r="V392" s="79">
        <v>7.1220410930901507E-2</v>
      </c>
      <c r="W392" s="79">
        <v>1</v>
      </c>
    </row>
    <row r="393" spans="2:23" x14ac:dyDescent="0.2">
      <c r="B393" t="s">
        <v>1004</v>
      </c>
      <c r="C393" s="84">
        <v>3553</v>
      </c>
      <c r="D393" s="102">
        <v>6.9608917634367698E-3</v>
      </c>
      <c r="E393" s="79">
        <v>1.44270425975132E-2</v>
      </c>
      <c r="F393" s="79">
        <v>0.629480572752531</v>
      </c>
      <c r="G393" s="79">
        <v>0.95687505350859803</v>
      </c>
      <c r="H393" s="79">
        <v>1</v>
      </c>
      <c r="I393" s="102">
        <v>1.33846965649292E-2</v>
      </c>
      <c r="J393" s="79">
        <v>1.43339364870873E-2</v>
      </c>
      <c r="K393" s="79">
        <v>0.35046698949656602</v>
      </c>
      <c r="L393" s="79">
        <v>0.74233974250717605</v>
      </c>
      <c r="M393" s="79">
        <v>1</v>
      </c>
      <c r="N393" s="102">
        <v>5.37802690455896E-2</v>
      </c>
      <c r="O393" s="79">
        <v>1.41959604939606E-2</v>
      </c>
      <c r="P393" s="79">
        <v>1.53488178667519E-4</v>
      </c>
      <c r="Q393" s="79">
        <v>9.6657611398801903E-4</v>
      </c>
      <c r="R393" s="79">
        <v>0.260008974662777</v>
      </c>
      <c r="S393" s="102">
        <v>4.3945954606524201E-2</v>
      </c>
      <c r="T393" s="79">
        <v>1.41892555850068E-2</v>
      </c>
      <c r="U393" s="79">
        <v>1.9654571241586802E-3</v>
      </c>
      <c r="V393" s="79">
        <v>7.7429869030809402E-3</v>
      </c>
      <c r="W393" s="79">
        <v>1</v>
      </c>
    </row>
    <row r="394" spans="2:23" x14ac:dyDescent="0.2">
      <c r="B394" t="s">
        <v>993</v>
      </c>
      <c r="C394" s="84">
        <v>5021</v>
      </c>
      <c r="D394" s="102">
        <v>-5.9187193643884398E-3</v>
      </c>
      <c r="E394" s="79">
        <v>1.4449049783245E-2</v>
      </c>
      <c r="F394" s="79">
        <v>0.68209872956921302</v>
      </c>
      <c r="G394" s="79">
        <v>0.96670198527320195</v>
      </c>
      <c r="H394" s="79">
        <v>1</v>
      </c>
      <c r="I394" s="102">
        <v>1.6521813737472298E-2</v>
      </c>
      <c r="J394" s="79">
        <v>1.4335684123575001E-2</v>
      </c>
      <c r="K394" s="79">
        <v>0.24917896782468901</v>
      </c>
      <c r="L394" s="79">
        <v>0.67645700560099897</v>
      </c>
      <c r="M394" s="79">
        <v>1</v>
      </c>
      <c r="N394" s="102">
        <v>2.28619455335731E-2</v>
      </c>
      <c r="O394" s="79">
        <v>1.42230082421092E-2</v>
      </c>
      <c r="P394" s="79">
        <v>0.108038315037965</v>
      </c>
      <c r="Q394" s="79">
        <v>0.18523978307116701</v>
      </c>
      <c r="R394" s="79">
        <v>1</v>
      </c>
      <c r="S394" s="102">
        <v>2.4730617517440399E-2</v>
      </c>
      <c r="T394" s="79">
        <v>1.42128857408233E-2</v>
      </c>
      <c r="U394" s="79">
        <v>8.1924182257586201E-2</v>
      </c>
      <c r="V394" s="79">
        <v>0.14986994032867301</v>
      </c>
      <c r="W394" s="79">
        <v>1</v>
      </c>
    </row>
    <row r="395" spans="2:23" x14ac:dyDescent="0.2">
      <c r="B395" t="s">
        <v>994</v>
      </c>
      <c r="C395" s="84">
        <v>5021</v>
      </c>
      <c r="D395" s="102">
        <v>-4.4752108202696702E-3</v>
      </c>
      <c r="E395" s="79">
        <v>1.45290977858055E-2</v>
      </c>
      <c r="F395" s="79">
        <v>0.75808295421916405</v>
      </c>
      <c r="G395" s="79">
        <v>0.98065979399160996</v>
      </c>
      <c r="H395" s="79">
        <v>1</v>
      </c>
      <c r="I395" s="102">
        <v>2.4792206529528798E-4</v>
      </c>
      <c r="J395" s="79">
        <v>1.44343526499137E-2</v>
      </c>
      <c r="K395" s="79">
        <v>0.98629708493166901</v>
      </c>
      <c r="L395" s="79">
        <v>0.99629532610271199</v>
      </c>
      <c r="M395" s="79">
        <v>1</v>
      </c>
      <c r="N395" s="102">
        <v>4.4652989853459002E-2</v>
      </c>
      <c r="O395" s="79">
        <v>1.4295628573934E-2</v>
      </c>
      <c r="P395" s="79">
        <v>1.79791901591844E-3</v>
      </c>
      <c r="Q395" s="79">
        <v>6.9673154635377403E-3</v>
      </c>
      <c r="R395" s="79">
        <v>1</v>
      </c>
      <c r="S395" s="102">
        <v>4.74272985607751E-2</v>
      </c>
      <c r="T395" s="79">
        <v>1.4283647809269299E-2</v>
      </c>
      <c r="U395" s="79">
        <v>9.0584161999691503E-4</v>
      </c>
      <c r="V395" s="79">
        <v>4.1472856872291197E-3</v>
      </c>
      <c r="W395" s="79">
        <v>1</v>
      </c>
    </row>
    <row r="396" spans="2:23" x14ac:dyDescent="0.2">
      <c r="B396" t="s">
        <v>987</v>
      </c>
      <c r="C396" s="84">
        <v>5021</v>
      </c>
      <c r="D396" s="102">
        <v>-1.2673315992095299E-2</v>
      </c>
      <c r="E396" s="79">
        <v>1.44465875406075E-2</v>
      </c>
      <c r="F396" s="79">
        <v>0.38039390177392901</v>
      </c>
      <c r="G396" s="79">
        <v>0.89461055933914202</v>
      </c>
      <c r="H396" s="79">
        <v>1</v>
      </c>
      <c r="I396" s="102">
        <v>7.8427242982074593E-3</v>
      </c>
      <c r="J396" s="79">
        <v>1.4345688827098701E-2</v>
      </c>
      <c r="K396" s="79">
        <v>0.58461440169381695</v>
      </c>
      <c r="L396" s="79">
        <v>0.86416823426642797</v>
      </c>
      <c r="M396" s="79">
        <v>1</v>
      </c>
      <c r="N396" s="102">
        <v>2.3632658757322102E-2</v>
      </c>
      <c r="O396" s="79">
        <v>1.42264802668081E-2</v>
      </c>
      <c r="P396" s="79">
        <v>9.6746054035433293E-2</v>
      </c>
      <c r="Q396" s="79">
        <v>0.170184647493275</v>
      </c>
      <c r="R396" s="79">
        <v>1</v>
      </c>
      <c r="S396" s="102">
        <v>1.04892181989435E-2</v>
      </c>
      <c r="T396" s="79">
        <v>1.4216474255729901E-2</v>
      </c>
      <c r="U396" s="79">
        <v>0.460660187952735</v>
      </c>
      <c r="V396" s="79">
        <v>0.57421512758788296</v>
      </c>
      <c r="W396" s="79">
        <v>1</v>
      </c>
    </row>
    <row r="397" spans="2:23" x14ac:dyDescent="0.2">
      <c r="B397" t="s">
        <v>988</v>
      </c>
      <c r="C397" s="84">
        <v>5021</v>
      </c>
      <c r="D397" s="102">
        <v>-9.0495786877041202E-3</v>
      </c>
      <c r="E397" s="79">
        <v>1.45072637597047E-2</v>
      </c>
      <c r="F397" s="79">
        <v>0.53279151090384003</v>
      </c>
      <c r="G397" s="79">
        <v>0.92176676956083303</v>
      </c>
      <c r="H397" s="79">
        <v>1</v>
      </c>
      <c r="I397" s="102">
        <v>2.7933533180178199E-2</v>
      </c>
      <c r="J397" s="79">
        <v>1.4410737893624501E-2</v>
      </c>
      <c r="K397" s="79">
        <v>5.2637418134354998E-2</v>
      </c>
      <c r="L397" s="79">
        <v>0.41091145769399701</v>
      </c>
      <c r="M397" s="79">
        <v>1</v>
      </c>
      <c r="N397" s="102">
        <v>3.8487287143593403E-2</v>
      </c>
      <c r="O397" s="79">
        <v>1.42825531692735E-2</v>
      </c>
      <c r="P397" s="79">
        <v>7.0703980491457798E-3</v>
      </c>
      <c r="Q397" s="79">
        <v>2.11986801685893E-2</v>
      </c>
      <c r="R397" s="79">
        <v>1</v>
      </c>
      <c r="S397" s="102">
        <v>3.7114483115250903E-2</v>
      </c>
      <c r="T397" s="79">
        <v>1.42720524166466E-2</v>
      </c>
      <c r="U397" s="79">
        <v>9.3381630421360308E-3</v>
      </c>
      <c r="V397" s="79">
        <v>2.6766240597933099E-2</v>
      </c>
      <c r="W397" s="79">
        <v>1</v>
      </c>
    </row>
    <row r="398" spans="2:23" x14ac:dyDescent="0.2">
      <c r="B398" t="s">
        <v>1001</v>
      </c>
      <c r="C398" s="84">
        <v>3026</v>
      </c>
      <c r="D398" s="102">
        <v>-9.4805903068151502E-3</v>
      </c>
      <c r="E398" s="79">
        <v>1.4432026976113401E-2</v>
      </c>
      <c r="F398" s="79">
        <v>0.51126909693991895</v>
      </c>
      <c r="G398" s="79">
        <v>0.91752655785263504</v>
      </c>
      <c r="H398" s="79">
        <v>1</v>
      </c>
      <c r="I398" s="102">
        <v>-7.5419686680115797E-3</v>
      </c>
      <c r="J398" s="79">
        <v>1.4318148722316799E-2</v>
      </c>
      <c r="K398" s="79">
        <v>0.598398495231238</v>
      </c>
      <c r="L398" s="79">
        <v>0.86877257647115202</v>
      </c>
      <c r="M398" s="79">
        <v>1</v>
      </c>
      <c r="N398" s="107">
        <v>6.02892988009293E-2</v>
      </c>
      <c r="O398" s="81">
        <v>1.41751154702324E-2</v>
      </c>
      <c r="P398" s="81">
        <v>2.1495675690389599E-5</v>
      </c>
      <c r="Q398" s="81">
        <v>1.84840987916345E-4</v>
      </c>
      <c r="R398" s="81">
        <v>3.6413674619519998E-2</v>
      </c>
      <c r="S398" s="102">
        <v>2.1342954013314201E-2</v>
      </c>
      <c r="T398" s="79">
        <v>1.4191274288734399E-2</v>
      </c>
      <c r="U398" s="79">
        <v>0.13266290874639899</v>
      </c>
      <c r="V398" s="79">
        <v>0.22030956103140001</v>
      </c>
      <c r="W398" s="79">
        <v>1</v>
      </c>
    </row>
    <row r="399" spans="2:23" x14ac:dyDescent="0.2">
      <c r="B399" t="s">
        <v>1002</v>
      </c>
      <c r="C399" s="84">
        <v>3026</v>
      </c>
      <c r="D399" s="102">
        <v>3.3270415919120599E-3</v>
      </c>
      <c r="E399" s="79">
        <v>1.4616749410261001E-2</v>
      </c>
      <c r="F399" s="79">
        <v>0.81995249080477295</v>
      </c>
      <c r="G399" s="79">
        <v>0.99362338620020496</v>
      </c>
      <c r="H399" s="79">
        <v>1</v>
      </c>
      <c r="I399" s="102">
        <v>2.6741407419104801E-2</v>
      </c>
      <c r="J399" s="79">
        <v>1.45469838743611E-2</v>
      </c>
      <c r="K399" s="79">
        <v>6.6083486242985504E-2</v>
      </c>
      <c r="L399" s="79">
        <v>0.43517978594622803</v>
      </c>
      <c r="M399" s="79">
        <v>1</v>
      </c>
      <c r="N399" s="107">
        <v>6.2541973219216201E-2</v>
      </c>
      <c r="O399" s="81">
        <v>1.43831336652082E-2</v>
      </c>
      <c r="P399" s="81">
        <v>1.40044801493009E-5</v>
      </c>
      <c r="Q399" s="81">
        <v>1.3179771873842101E-4</v>
      </c>
      <c r="R399" s="81">
        <v>2.3723589372915702E-2</v>
      </c>
      <c r="S399" s="102">
        <v>5.5585365550569699E-2</v>
      </c>
      <c r="T399" s="79">
        <v>1.43807410102817E-2</v>
      </c>
      <c r="U399" s="79">
        <v>1.12433469793922E-4</v>
      </c>
      <c r="V399" s="79">
        <v>7.7110242036803201E-4</v>
      </c>
      <c r="W399" s="79">
        <v>0.19046229783090399</v>
      </c>
    </row>
    <row r="400" spans="2:23" x14ac:dyDescent="0.2">
      <c r="B400" t="s">
        <v>991</v>
      </c>
      <c r="C400" s="84">
        <v>5021</v>
      </c>
      <c r="D400" s="102">
        <v>-1.9857473226109999E-2</v>
      </c>
      <c r="E400" s="79">
        <v>1.4649478947023301E-2</v>
      </c>
      <c r="F400" s="79">
        <v>0.17532055398237101</v>
      </c>
      <c r="G400" s="79">
        <v>0.82269534195605698</v>
      </c>
      <c r="H400" s="79">
        <v>1</v>
      </c>
      <c r="I400" s="102">
        <v>2.1623725366017199E-2</v>
      </c>
      <c r="J400" s="79">
        <v>1.4574188698478201E-2</v>
      </c>
      <c r="K400" s="79">
        <v>0.137956339749117</v>
      </c>
      <c r="L400" s="79">
        <v>0.583070994269827</v>
      </c>
      <c r="M400" s="79">
        <v>1</v>
      </c>
      <c r="N400" s="102">
        <v>4.6148945604890197E-2</v>
      </c>
      <c r="O400" s="79">
        <v>1.4429280391852199E-2</v>
      </c>
      <c r="P400" s="79">
        <v>1.3916806077785701E-3</v>
      </c>
      <c r="Q400" s="79">
        <v>5.7082492725832896E-3</v>
      </c>
      <c r="R400" s="79">
        <v>1</v>
      </c>
      <c r="S400" s="102">
        <v>2.97373047030106E-2</v>
      </c>
      <c r="T400" s="79">
        <v>1.44237161278236E-2</v>
      </c>
      <c r="U400" s="79">
        <v>3.92917967839823E-2</v>
      </c>
      <c r="V400" s="79">
        <v>8.5553089655611897E-2</v>
      </c>
      <c r="W400" s="79">
        <v>1</v>
      </c>
    </row>
    <row r="401" spans="2:23" x14ac:dyDescent="0.2">
      <c r="B401" t="s">
        <v>992</v>
      </c>
      <c r="C401" s="84">
        <v>5021</v>
      </c>
      <c r="D401" s="102">
        <v>-5.7994989686607299E-3</v>
      </c>
      <c r="E401" s="79">
        <v>1.45385923165733E-2</v>
      </c>
      <c r="F401" s="79">
        <v>0.68998168213506605</v>
      </c>
      <c r="G401" s="79">
        <v>0.96831418681398196</v>
      </c>
      <c r="H401" s="79">
        <v>1</v>
      </c>
      <c r="I401" s="102">
        <v>3.3043515490094898E-2</v>
      </c>
      <c r="J401" s="79">
        <v>1.44647931114528E-2</v>
      </c>
      <c r="K401" s="79">
        <v>2.2391066412816501E-2</v>
      </c>
      <c r="L401" s="79">
        <v>0.303443732026489</v>
      </c>
      <c r="M401" s="79">
        <v>1</v>
      </c>
      <c r="N401" s="107">
        <v>6.8668568670919194E-2</v>
      </c>
      <c r="O401" s="81">
        <v>1.43024019691787E-2</v>
      </c>
      <c r="P401" s="81">
        <v>1.62503686341989E-6</v>
      </c>
      <c r="Q401" s="81">
        <v>1.89849134250572E-5</v>
      </c>
      <c r="R401" s="81">
        <v>2.7528124466332901E-3</v>
      </c>
      <c r="S401" s="102">
        <v>5.9180843232831903E-2</v>
      </c>
      <c r="T401" s="79">
        <v>1.43049284260626E-2</v>
      </c>
      <c r="U401" s="79">
        <v>3.5772855752837897E-5</v>
      </c>
      <c r="V401" s="79">
        <v>3.3296273431487601E-4</v>
      </c>
      <c r="W401" s="79">
        <v>6.0599217645307402E-2</v>
      </c>
    </row>
    <row r="402" spans="2:23" x14ac:dyDescent="0.2">
      <c r="B402" t="s">
        <v>983</v>
      </c>
      <c r="C402" s="84">
        <v>5021</v>
      </c>
      <c r="D402" s="102">
        <v>1.19176855517281E-2</v>
      </c>
      <c r="E402" s="79">
        <v>1.44947773748438E-2</v>
      </c>
      <c r="F402" s="79">
        <v>0.41100093485926098</v>
      </c>
      <c r="G402" s="79">
        <v>0.89561567502544503</v>
      </c>
      <c r="H402" s="79">
        <v>1</v>
      </c>
      <c r="I402" s="102">
        <v>2.8159327782781299E-2</v>
      </c>
      <c r="J402" s="79">
        <v>1.4397393455652399E-2</v>
      </c>
      <c r="K402" s="79">
        <v>5.0540381027152199E-2</v>
      </c>
      <c r="L402" s="79">
        <v>0.40662098777829397</v>
      </c>
      <c r="M402" s="79">
        <v>1</v>
      </c>
      <c r="N402" s="102">
        <v>5.3355554804437197E-2</v>
      </c>
      <c r="O402" s="79">
        <v>1.4263312068299E-2</v>
      </c>
      <c r="P402" s="79">
        <v>1.85636068784972E-4</v>
      </c>
      <c r="Q402" s="79">
        <v>1.1311780594307299E-3</v>
      </c>
      <c r="R402" s="79">
        <v>0.31446750052174299</v>
      </c>
      <c r="S402" s="102">
        <v>5.5783623280320702E-2</v>
      </c>
      <c r="T402" s="79">
        <v>1.42466479595707E-2</v>
      </c>
      <c r="U402" s="79">
        <v>9.1458983719248994E-5</v>
      </c>
      <c r="V402" s="79">
        <v>6.7102581402210396E-4</v>
      </c>
      <c r="W402" s="79">
        <v>0.154931518420408</v>
      </c>
    </row>
    <row r="403" spans="2:23" x14ac:dyDescent="0.2">
      <c r="B403" t="s">
        <v>984</v>
      </c>
      <c r="C403" s="84">
        <v>5021</v>
      </c>
      <c r="D403" s="102">
        <v>1.67588568044186E-2</v>
      </c>
      <c r="E403" s="79">
        <v>1.4415393802444099E-2</v>
      </c>
      <c r="F403" s="79">
        <v>0.24506283902666301</v>
      </c>
      <c r="G403" s="79">
        <v>0.85990749347533801</v>
      </c>
      <c r="H403" s="79">
        <v>1</v>
      </c>
      <c r="I403" s="102">
        <v>2.4204321830950001E-2</v>
      </c>
      <c r="J403" s="79">
        <v>1.43332797471482E-2</v>
      </c>
      <c r="K403" s="79">
        <v>9.1346355453793798E-2</v>
      </c>
      <c r="L403" s="79">
        <v>0.50527463276974305</v>
      </c>
      <c r="M403" s="79">
        <v>1</v>
      </c>
      <c r="N403" s="107">
        <v>7.0823283299971104E-2</v>
      </c>
      <c r="O403" s="81">
        <v>1.417678840515E-2</v>
      </c>
      <c r="P403" s="81">
        <v>6.0702294074837401E-7</v>
      </c>
      <c r="Q403" s="81">
        <v>8.1662365454801802E-6</v>
      </c>
      <c r="R403" s="81">
        <v>1.02829686162775E-3</v>
      </c>
      <c r="S403" s="102">
        <v>5.7562461613881802E-2</v>
      </c>
      <c r="T403" s="79">
        <v>1.41755809508077E-2</v>
      </c>
      <c r="U403" s="79">
        <v>4.97118416138277E-5</v>
      </c>
      <c r="V403" s="79">
        <v>4.21059298469121E-4</v>
      </c>
      <c r="W403" s="79">
        <v>8.4211859693824095E-2</v>
      </c>
    </row>
    <row r="404" spans="2:23" x14ac:dyDescent="0.2">
      <c r="B404" t="s">
        <v>3252</v>
      </c>
      <c r="C404" s="84">
        <v>5021</v>
      </c>
      <c r="D404" s="102">
        <v>-2.04606767316549E-2</v>
      </c>
      <c r="E404" s="79">
        <v>1.4458237160181599E-2</v>
      </c>
      <c r="F404" s="79">
        <v>0.15708821908114301</v>
      </c>
      <c r="G404" s="79">
        <v>0.81336684792109604</v>
      </c>
      <c r="H404" s="79">
        <v>1</v>
      </c>
      <c r="I404" s="102">
        <v>1.94878933563538E-2</v>
      </c>
      <c r="J404" s="79">
        <v>1.43634910790361E-2</v>
      </c>
      <c r="K404" s="79">
        <v>0.17492163441227901</v>
      </c>
      <c r="L404" s="79">
        <v>0.61396896490869202</v>
      </c>
      <c r="M404" s="79">
        <v>1</v>
      </c>
      <c r="N404" s="102">
        <v>3.7097139325363598E-2</v>
      </c>
      <c r="O404" s="79">
        <v>1.4239859769671801E-2</v>
      </c>
      <c r="P404" s="79">
        <v>9.2121521551133592E-3</v>
      </c>
      <c r="Q404" s="79">
        <v>2.6107345490144599E-2</v>
      </c>
      <c r="R404" s="79">
        <v>1</v>
      </c>
      <c r="S404" s="102">
        <v>2.20591634381321E-2</v>
      </c>
      <c r="T404" s="79">
        <v>1.42301331802173E-2</v>
      </c>
      <c r="U404" s="79">
        <v>0.121167558926787</v>
      </c>
      <c r="V404" s="79">
        <v>0.205875471235684</v>
      </c>
      <c r="W404" s="79">
        <v>1</v>
      </c>
    </row>
    <row r="405" spans="2:23" x14ac:dyDescent="0.2">
      <c r="B405" t="s">
        <v>985</v>
      </c>
      <c r="C405" s="84">
        <v>5021</v>
      </c>
      <c r="D405" s="102">
        <v>-1.7813922968546801E-3</v>
      </c>
      <c r="E405" s="79">
        <v>1.4539250533087E-2</v>
      </c>
      <c r="F405" s="79">
        <v>0.90248999907243999</v>
      </c>
      <c r="G405" s="79">
        <v>0.99533029194181499</v>
      </c>
      <c r="H405" s="79">
        <v>1</v>
      </c>
      <c r="I405" s="102">
        <v>2.68321822749466E-2</v>
      </c>
      <c r="J405" s="79">
        <v>1.4453372019289101E-2</v>
      </c>
      <c r="K405" s="79">
        <v>6.3449883737547799E-2</v>
      </c>
      <c r="L405" s="79">
        <v>0.43517978594622803</v>
      </c>
      <c r="M405" s="79">
        <v>1</v>
      </c>
      <c r="N405" s="102">
        <v>5.0670685682091002E-2</v>
      </c>
      <c r="O405" s="79">
        <v>1.43153801978216E-2</v>
      </c>
      <c r="P405" s="79">
        <v>4.0458954745877299E-4</v>
      </c>
      <c r="Q405" s="79">
        <v>2.1417959168598798E-3</v>
      </c>
      <c r="R405" s="79">
        <v>0.68537469339516199</v>
      </c>
      <c r="S405" s="102">
        <v>4.7160734782608502E-2</v>
      </c>
      <c r="T405" s="79">
        <v>1.4304968432888299E-2</v>
      </c>
      <c r="U405" s="79">
        <v>9.8510777205149591E-4</v>
      </c>
      <c r="V405" s="79">
        <v>4.4500601756139596E-3</v>
      </c>
      <c r="W405" s="79">
        <v>1</v>
      </c>
    </row>
    <row r="406" spans="2:23" x14ac:dyDescent="0.2">
      <c r="B406" t="s">
        <v>3251</v>
      </c>
      <c r="C406" s="84">
        <v>5021</v>
      </c>
      <c r="D406" s="102">
        <v>-1.28791610153433E-2</v>
      </c>
      <c r="E406" s="79">
        <v>1.4544047051059401E-2</v>
      </c>
      <c r="F406" s="79">
        <v>0.37591716007813297</v>
      </c>
      <c r="G406" s="79">
        <v>0.89461055933914202</v>
      </c>
      <c r="H406" s="79">
        <v>1</v>
      </c>
      <c r="I406" s="102">
        <v>2.3965559895344601E-2</v>
      </c>
      <c r="J406" s="79">
        <v>1.44486703574047E-2</v>
      </c>
      <c r="K406" s="79">
        <v>9.7250590082666399E-2</v>
      </c>
      <c r="L406" s="79">
        <v>0.51533423575627901</v>
      </c>
      <c r="M406" s="79">
        <v>1</v>
      </c>
      <c r="N406" s="102">
        <v>5.6812706513657101E-2</v>
      </c>
      <c r="O406" s="79">
        <v>1.4307635420641399E-2</v>
      </c>
      <c r="P406" s="79">
        <v>7.2715606818946001E-5</v>
      </c>
      <c r="Q406" s="79">
        <v>5.2784270703972597E-4</v>
      </c>
      <c r="R406" s="79">
        <v>0.123180237951295</v>
      </c>
      <c r="S406" s="102">
        <v>3.3484627511415899E-2</v>
      </c>
      <c r="T406" s="79">
        <v>1.43098027075148E-2</v>
      </c>
      <c r="U406" s="79">
        <v>1.9326860690626502E-2</v>
      </c>
      <c r="V406" s="79">
        <v>4.74488434926396E-2</v>
      </c>
      <c r="W406" s="79">
        <v>1</v>
      </c>
    </row>
    <row r="407" spans="2:23" x14ac:dyDescent="0.2">
      <c r="B407" t="s">
        <v>986</v>
      </c>
      <c r="C407" s="84">
        <v>5021</v>
      </c>
      <c r="D407" s="102">
        <v>5.4399184806301702E-4</v>
      </c>
      <c r="E407" s="79">
        <v>1.4507754952077701E-2</v>
      </c>
      <c r="F407" s="79">
        <v>0.97009056327566601</v>
      </c>
      <c r="G407" s="79">
        <v>0.99840985319461195</v>
      </c>
      <c r="H407" s="79">
        <v>1</v>
      </c>
      <c r="I407" s="102">
        <v>3.7078676992443202E-2</v>
      </c>
      <c r="J407" s="79">
        <v>1.4440648379655301E-2</v>
      </c>
      <c r="K407" s="79">
        <v>1.02686141139479E-2</v>
      </c>
      <c r="L407" s="79">
        <v>0.193278136766975</v>
      </c>
      <c r="M407" s="79">
        <v>1</v>
      </c>
      <c r="N407" s="107">
        <v>7.5431826200298396E-2</v>
      </c>
      <c r="O407" s="81">
        <v>1.42668884591622E-2</v>
      </c>
      <c r="P407" s="81">
        <v>1.29657863564104E-7</v>
      </c>
      <c r="Q407" s="81">
        <v>2.0720794422414402E-6</v>
      </c>
      <c r="R407" s="81">
        <v>2.1964042087759201E-4</v>
      </c>
      <c r="S407" s="107">
        <v>6.9206196890774799E-2</v>
      </c>
      <c r="T407" s="81">
        <v>1.4268912061100101E-2</v>
      </c>
      <c r="U407" s="81">
        <v>1.2723592607647201E-6</v>
      </c>
      <c r="V407" s="81">
        <v>2.2451839455577502E-5</v>
      </c>
      <c r="W407" s="81">
        <v>2.1553765877354398E-3</v>
      </c>
    </row>
    <row r="408" spans="2:23" x14ac:dyDescent="0.2">
      <c r="B408" t="s">
        <v>999</v>
      </c>
      <c r="C408" s="84">
        <v>3026</v>
      </c>
      <c r="D408" s="102">
        <v>5.5762802179485499E-4</v>
      </c>
      <c r="E408" s="79">
        <v>1.45146236296526E-2</v>
      </c>
      <c r="F408" s="79">
        <v>0.96935571367513396</v>
      </c>
      <c r="G408" s="79">
        <v>0.99840985319461195</v>
      </c>
      <c r="H408" s="79">
        <v>1</v>
      </c>
      <c r="I408" s="102">
        <v>2.0767937885742299E-2</v>
      </c>
      <c r="J408" s="79">
        <v>1.44179134931978E-2</v>
      </c>
      <c r="K408" s="79">
        <v>0.149812710782769</v>
      </c>
      <c r="L408" s="79">
        <v>0.592867466146905</v>
      </c>
      <c r="M408" s="79">
        <v>1</v>
      </c>
      <c r="N408" s="102">
        <v>3.55822189757318E-2</v>
      </c>
      <c r="O408" s="79">
        <v>1.4291909419911901E-2</v>
      </c>
      <c r="P408" s="79">
        <v>1.28196705914912E-2</v>
      </c>
      <c r="Q408" s="79">
        <v>3.40384357084422E-2</v>
      </c>
      <c r="R408" s="79">
        <v>1</v>
      </c>
      <c r="S408" s="102">
        <v>5.2221554739201502E-2</v>
      </c>
      <c r="T408" s="79">
        <v>1.4268451313960101E-2</v>
      </c>
      <c r="U408" s="79">
        <v>2.5499784339947003E-4</v>
      </c>
      <c r="V408" s="79">
        <v>1.52638285059612E-3</v>
      </c>
      <c r="W408" s="79">
        <v>0.43196634671870199</v>
      </c>
    </row>
    <row r="409" spans="2:23" x14ac:dyDescent="0.2">
      <c r="B409" t="s">
        <v>1000</v>
      </c>
      <c r="C409" s="84">
        <v>3026</v>
      </c>
      <c r="D409" s="102">
        <v>1.65244615276538E-2</v>
      </c>
      <c r="E409" s="79">
        <v>1.44718722860229E-2</v>
      </c>
      <c r="F409" s="79">
        <v>0.253579815175346</v>
      </c>
      <c r="G409" s="79">
        <v>0.85990749347533801</v>
      </c>
      <c r="H409" s="79">
        <v>1</v>
      </c>
      <c r="I409" s="102">
        <v>1.62823945579827E-2</v>
      </c>
      <c r="J409" s="79">
        <v>1.43920203239194E-2</v>
      </c>
      <c r="K409" s="79">
        <v>0.257964998990727</v>
      </c>
      <c r="L409" s="79">
        <v>0.68025543872958705</v>
      </c>
      <c r="M409" s="79">
        <v>1</v>
      </c>
      <c r="N409" s="107">
        <v>6.5923122882077398E-2</v>
      </c>
      <c r="O409" s="81">
        <v>1.4236226629833501E-2</v>
      </c>
      <c r="P409" s="81">
        <v>3.7409769603883101E-6</v>
      </c>
      <c r="Q409" s="81">
        <v>4.0885257876759998E-5</v>
      </c>
      <c r="R409" s="81">
        <v>6.3372149708978004E-3</v>
      </c>
      <c r="S409" s="102">
        <v>5.2442318524065598E-2</v>
      </c>
      <c r="T409" s="79">
        <v>1.42363688099773E-2</v>
      </c>
      <c r="U409" s="79">
        <v>2.3240672582817599E-4</v>
      </c>
      <c r="V409" s="79">
        <v>1.41110033531516E-3</v>
      </c>
      <c r="W409" s="79">
        <v>0.39369699355292997</v>
      </c>
    </row>
    <row r="410" spans="2:23" x14ac:dyDescent="0.2">
      <c r="B410" t="s">
        <v>1111</v>
      </c>
      <c r="C410" s="84">
        <v>5022</v>
      </c>
      <c r="D410" s="102">
        <v>-7.5873822133382299E-2</v>
      </c>
      <c r="E410" s="79">
        <v>4.3306578408597501E-2</v>
      </c>
      <c r="F410" s="79">
        <v>8.0319549815262598E-2</v>
      </c>
      <c r="G410" s="79">
        <v>0.73946368145138497</v>
      </c>
      <c r="H410" s="79">
        <v>1</v>
      </c>
      <c r="I410" s="102">
        <v>-9.7952856975251704E-3</v>
      </c>
      <c r="J410" s="79">
        <v>4.1945123228745697E-2</v>
      </c>
      <c r="K410" s="79">
        <v>0.81543719759635103</v>
      </c>
      <c r="L410" s="79">
        <v>0.94785423297622595</v>
      </c>
      <c r="M410" s="79">
        <v>1</v>
      </c>
      <c r="N410" s="102">
        <v>4.4710936994371703E-2</v>
      </c>
      <c r="O410" s="79">
        <v>4.18478767595016E-2</v>
      </c>
      <c r="P410" s="79">
        <v>0.28579591333556498</v>
      </c>
      <c r="Q410" s="79">
        <v>0.39814003058424902</v>
      </c>
      <c r="R410" s="79">
        <v>1</v>
      </c>
      <c r="S410" s="102">
        <v>0.119903966777876</v>
      </c>
      <c r="T410" s="79">
        <v>4.2013693457666902E-2</v>
      </c>
      <c r="U410" s="79">
        <v>4.4775345935128301E-3</v>
      </c>
      <c r="V410" s="79">
        <v>1.4642748265271699E-2</v>
      </c>
      <c r="W410" s="79">
        <v>1</v>
      </c>
    </row>
    <row r="411" spans="2:23" x14ac:dyDescent="0.2">
      <c r="B411" t="s">
        <v>966</v>
      </c>
      <c r="C411" s="84">
        <v>971</v>
      </c>
      <c r="D411" s="102">
        <v>6.1148347995849103E-2</v>
      </c>
      <c r="E411" s="79">
        <v>5.0999467916286102E-2</v>
      </c>
      <c r="F411" s="79">
        <v>0.23129405322471899</v>
      </c>
      <c r="G411" s="79">
        <v>0.84807819515730298</v>
      </c>
      <c r="H411" s="79">
        <v>1</v>
      </c>
      <c r="I411" s="102">
        <v>0.112042405753197</v>
      </c>
      <c r="J411" s="79">
        <v>5.04367136895119E-2</v>
      </c>
      <c r="K411" s="79">
        <v>2.6901083302449801E-2</v>
      </c>
      <c r="L411" s="79">
        <v>0.31408898726867501</v>
      </c>
      <c r="M411" s="79">
        <v>1</v>
      </c>
      <c r="N411" s="102">
        <v>8.7424316230262297E-2</v>
      </c>
      <c r="O411" s="79">
        <v>5.0540998907509301E-2</v>
      </c>
      <c r="P411" s="79">
        <v>8.4484848454064607E-2</v>
      </c>
      <c r="Q411" s="79">
        <v>0.15315045199382901</v>
      </c>
      <c r="R411" s="79">
        <v>1</v>
      </c>
      <c r="S411" s="102">
        <v>0.195553508469862</v>
      </c>
      <c r="T411" s="79">
        <v>5.0036234966599702E-2</v>
      </c>
      <c r="U411" s="79">
        <v>1.1087562597732701E-4</v>
      </c>
      <c r="V411" s="79">
        <v>7.6662575675751803E-4</v>
      </c>
      <c r="W411" s="79">
        <v>0.187823310405592</v>
      </c>
    </row>
    <row r="412" spans="2:23" x14ac:dyDescent="0.2">
      <c r="B412" t="s">
        <v>3805</v>
      </c>
      <c r="C412" s="84">
        <v>5025</v>
      </c>
      <c r="D412" s="102">
        <v>1.0181997107203722</v>
      </c>
      <c r="E412" s="79">
        <v>5.18573913227924E-2</v>
      </c>
      <c r="F412" s="79">
        <v>0.72798926468454395</v>
      </c>
      <c r="G412" s="79">
        <v>0.38801325087508498</v>
      </c>
      <c r="H412" s="79">
        <v>1</v>
      </c>
      <c r="I412" s="102">
        <v>1.086578762101357</v>
      </c>
      <c r="J412" s="79">
        <v>5.1523930854487303E-2</v>
      </c>
      <c r="K412" s="79">
        <v>0.107057282780812</v>
      </c>
      <c r="L412" s="79">
        <v>0.79746066051088205</v>
      </c>
      <c r="M412" s="79">
        <v>1</v>
      </c>
      <c r="N412" s="102">
        <v>0.99349199012441591</v>
      </c>
      <c r="O412" s="79">
        <v>0.11080047172844799</v>
      </c>
      <c r="P412" s="79">
        <v>0.95300924679741095</v>
      </c>
      <c r="Q412" s="79">
        <v>0.96728440028449003</v>
      </c>
      <c r="R412" s="79">
        <v>1</v>
      </c>
      <c r="S412" s="102">
        <v>0.87401712572732537</v>
      </c>
      <c r="T412" s="79">
        <v>0.11134270946721</v>
      </c>
      <c r="U412" s="79">
        <v>0.22651805138338199</v>
      </c>
      <c r="V412" s="79">
        <v>0.33367093829865102</v>
      </c>
      <c r="W412" s="79">
        <v>1</v>
      </c>
    </row>
    <row r="413" spans="2:23" x14ac:dyDescent="0.2">
      <c r="B413" t="s">
        <v>3806</v>
      </c>
      <c r="C413" s="84">
        <v>598</v>
      </c>
      <c r="D413" s="102">
        <v>0.93048424836522703</v>
      </c>
      <c r="E413" s="79">
        <v>0.105246985857925</v>
      </c>
      <c r="F413" s="79">
        <v>0.49360809392535898</v>
      </c>
      <c r="G413" s="79">
        <v>0.91678121217168596</v>
      </c>
      <c r="H413" s="79">
        <v>1</v>
      </c>
      <c r="I413" s="102">
        <v>1.0187611047597569</v>
      </c>
      <c r="J413" s="79">
        <v>0.102191207679465</v>
      </c>
      <c r="K413" s="79">
        <v>0.85567114801487099</v>
      </c>
      <c r="L413" s="79">
        <v>0.96184931966635101</v>
      </c>
      <c r="M413" s="79">
        <v>1</v>
      </c>
      <c r="N413" s="102">
        <v>0.93044953283333676</v>
      </c>
      <c r="O413" s="79">
        <v>0.102144150612622</v>
      </c>
      <c r="P413" s="79">
        <v>0.48034845173561302</v>
      </c>
      <c r="Q413" s="79">
        <v>0.59787676505520104</v>
      </c>
      <c r="R413" s="79">
        <v>1</v>
      </c>
      <c r="S413" s="102">
        <v>1.0525885124511103</v>
      </c>
      <c r="T413" s="79">
        <v>0.10294571035703901</v>
      </c>
      <c r="U413" s="79">
        <v>0.61858389306401595</v>
      </c>
      <c r="V413" s="79">
        <v>0.70177992348704599</v>
      </c>
      <c r="W413" s="79">
        <v>1</v>
      </c>
    </row>
    <row r="414" spans="2:23" x14ac:dyDescent="0.2">
      <c r="B414" t="s">
        <v>3694</v>
      </c>
      <c r="C414" s="84">
        <v>406</v>
      </c>
      <c r="D414" s="102">
        <v>0.73622115466623061</v>
      </c>
      <c r="E414" s="79">
        <v>0.115497167757193</v>
      </c>
      <c r="F414" s="79">
        <v>8.0168027040306792E-3</v>
      </c>
      <c r="G414" s="79">
        <v>0.38801325087508498</v>
      </c>
      <c r="H414" s="79">
        <v>1</v>
      </c>
      <c r="I414" s="102">
        <v>0.92010931760486159</v>
      </c>
      <c r="J414" s="79">
        <v>0.110999526369837</v>
      </c>
      <c r="K414" s="79">
        <v>0.45318336931575598</v>
      </c>
      <c r="L414" s="79">
        <v>0.79746066051088205</v>
      </c>
      <c r="M414" s="79">
        <v>1</v>
      </c>
      <c r="N414" s="102">
        <v>0.99349199012441591</v>
      </c>
      <c r="O414" s="79">
        <v>0.11080047172844799</v>
      </c>
      <c r="P414" s="79">
        <v>0.95300924679741095</v>
      </c>
      <c r="Q414" s="79">
        <v>0.96728440028449003</v>
      </c>
      <c r="R414" s="79">
        <v>1</v>
      </c>
      <c r="S414" s="102">
        <v>0.87401712572732537</v>
      </c>
      <c r="T414" s="79">
        <v>0.11134270946721</v>
      </c>
      <c r="U414" s="79">
        <v>0.22651805138338199</v>
      </c>
      <c r="V414" s="79">
        <v>0.33367093829865102</v>
      </c>
      <c r="W414" s="79">
        <v>1</v>
      </c>
    </row>
    <row r="415" spans="2:23" x14ac:dyDescent="0.2">
      <c r="B415" t="s">
        <v>3693</v>
      </c>
      <c r="C415" s="84">
        <v>5039</v>
      </c>
      <c r="D415" s="102">
        <v>1.0434569239165341</v>
      </c>
      <c r="E415" s="79">
        <v>5.4935826324820601E-2</v>
      </c>
      <c r="F415" s="79">
        <v>0.43872804895728201</v>
      </c>
      <c r="G415" s="79">
        <v>0.90581448957043498</v>
      </c>
      <c r="H415" s="79">
        <v>1</v>
      </c>
      <c r="I415" s="102">
        <v>1.1301806372139869</v>
      </c>
      <c r="J415" s="79">
        <v>5.4535425331533403E-2</v>
      </c>
      <c r="K415" s="79">
        <v>2.4832423233374E-2</v>
      </c>
      <c r="L415" s="79">
        <v>0.30705200698785101</v>
      </c>
      <c r="M415" s="79">
        <v>1</v>
      </c>
      <c r="N415" s="102">
        <v>1.1168176137441961</v>
      </c>
      <c r="O415" s="79">
        <v>5.3926009497970002E-2</v>
      </c>
      <c r="P415" s="79">
        <v>4.0482371905294703E-2</v>
      </c>
      <c r="Q415" s="79">
        <v>8.4977866180383194E-2</v>
      </c>
      <c r="R415" s="79">
        <v>1</v>
      </c>
      <c r="S415" s="107">
        <v>1.2855026463385333</v>
      </c>
      <c r="T415" s="81">
        <v>5.4538564594817797E-2</v>
      </c>
      <c r="U415" s="81">
        <v>4.12476168585867E-6</v>
      </c>
      <c r="V415" s="81">
        <v>5.8717195763399903E-5</v>
      </c>
      <c r="W415" s="81">
        <v>6.9873462958445903E-3</v>
      </c>
    </row>
    <row r="416" spans="2:23" x14ac:dyDescent="0.2">
      <c r="B416" t="s">
        <v>1115</v>
      </c>
      <c r="C416" s="84">
        <v>5022</v>
      </c>
      <c r="D416" s="102">
        <v>7.0382342783136695E-2</v>
      </c>
      <c r="E416" s="79">
        <v>6.5851159597337103E-2</v>
      </c>
      <c r="F416" s="79">
        <v>0.28658304674905999</v>
      </c>
      <c r="G416" s="79">
        <v>0.86861170490914397</v>
      </c>
      <c r="H416" s="79">
        <v>1</v>
      </c>
      <c r="I416" s="102">
        <v>4.2875273960241801E-4</v>
      </c>
      <c r="J416" s="79">
        <v>7.23693127625301E-2</v>
      </c>
      <c r="K416" s="79">
        <v>0.99527915916989496</v>
      </c>
      <c r="L416" s="79">
        <v>0.99763484948745695</v>
      </c>
      <c r="M416" s="79">
        <v>1</v>
      </c>
      <c r="N416" s="102">
        <v>-1.1439133081588599E-2</v>
      </c>
      <c r="O416" s="79">
        <v>7.2883464745422594E-2</v>
      </c>
      <c r="P416" s="79">
        <v>0.87545195459916902</v>
      </c>
      <c r="Q416" s="79">
        <v>0.91621403291221304</v>
      </c>
      <c r="R416" s="79">
        <v>1</v>
      </c>
      <c r="S416" s="102">
        <v>0.107922718416984</v>
      </c>
      <c r="T416" s="79">
        <v>7.6246702762134702E-2</v>
      </c>
      <c r="U416" s="79">
        <v>0.15852682454360301</v>
      </c>
      <c r="V416" s="79">
        <v>0.25358304133792597</v>
      </c>
      <c r="W416" s="79">
        <v>1</v>
      </c>
    </row>
    <row r="417" spans="2:23" x14ac:dyDescent="0.2">
      <c r="B417" t="s">
        <v>970</v>
      </c>
      <c r="C417" s="84">
        <v>5021</v>
      </c>
      <c r="D417" s="102">
        <v>1.12341976713512E-3</v>
      </c>
      <c r="E417" s="79">
        <v>5.5207506984881499E-2</v>
      </c>
      <c r="F417" s="79">
        <v>0.98377662529552501</v>
      </c>
      <c r="G417" s="79">
        <v>0.99881358178002599</v>
      </c>
      <c r="H417" s="79">
        <v>1</v>
      </c>
      <c r="I417" s="102">
        <v>1.0754516864866901E-2</v>
      </c>
      <c r="J417" s="79">
        <v>5.4208057286283501E-2</v>
      </c>
      <c r="K417" s="79">
        <v>0.84285267490133398</v>
      </c>
      <c r="L417" s="79">
        <v>0.95812349699803201</v>
      </c>
      <c r="M417" s="79">
        <v>1</v>
      </c>
      <c r="N417" s="102">
        <v>6.6431243276837998E-2</v>
      </c>
      <c r="O417" s="79">
        <v>5.7268790759597503E-2</v>
      </c>
      <c r="P417" s="79">
        <v>0.246883842269046</v>
      </c>
      <c r="Q417" s="79">
        <v>0.35745404171261902</v>
      </c>
      <c r="R417" s="79">
        <v>1</v>
      </c>
      <c r="S417" s="102">
        <v>7.8554572084405097E-2</v>
      </c>
      <c r="T417" s="79">
        <v>5.1245608017334299E-2</v>
      </c>
      <c r="U417" s="79">
        <v>0.12625799587800701</v>
      </c>
      <c r="V417" s="79">
        <v>0.21281696021626301</v>
      </c>
      <c r="W417" s="79">
        <v>1</v>
      </c>
    </row>
    <row r="418" spans="2:23" x14ac:dyDescent="0.2">
      <c r="B418" t="s">
        <v>3813</v>
      </c>
      <c r="C418" s="84">
        <v>357</v>
      </c>
      <c r="D418" s="102">
        <v>0.98045667098906142</v>
      </c>
      <c r="E418" s="79">
        <v>7.7717811313742099E-2</v>
      </c>
      <c r="F418" s="79">
        <v>0.79953034046403804</v>
      </c>
      <c r="G418" s="79">
        <v>0.91151047511105199</v>
      </c>
      <c r="H418" s="79">
        <v>1</v>
      </c>
      <c r="I418" s="102">
        <v>0.95354239881625313</v>
      </c>
      <c r="J418" s="79">
        <v>7.7612814333502103E-2</v>
      </c>
      <c r="K418" s="79">
        <v>0.53992121037653595</v>
      </c>
      <c r="L418" s="79">
        <v>0.827555870474739</v>
      </c>
      <c r="M418" s="79">
        <v>1</v>
      </c>
      <c r="N418" s="102">
        <v>1.1439121144303637</v>
      </c>
      <c r="O418" s="79">
        <v>0.123392221457245</v>
      </c>
      <c r="P418" s="79">
        <v>0.27586830309876897</v>
      </c>
      <c r="Q418" s="79">
        <v>0.38814028691803598</v>
      </c>
      <c r="R418" s="79">
        <v>1</v>
      </c>
      <c r="S418" s="102">
        <v>1.1742301479684081</v>
      </c>
      <c r="T418" s="79">
        <v>0.112471147452971</v>
      </c>
      <c r="U418" s="79">
        <v>0.153281772953203</v>
      </c>
      <c r="V418" s="79">
        <v>0.248477821418876</v>
      </c>
      <c r="W418" s="79">
        <v>1</v>
      </c>
    </row>
    <row r="419" spans="2:23" x14ac:dyDescent="0.2">
      <c r="B419" t="s">
        <v>3700</v>
      </c>
      <c r="C419" s="84">
        <v>373</v>
      </c>
      <c r="D419" s="102">
        <v>0.91826797483490286</v>
      </c>
      <c r="E419" s="79">
        <v>0.119082685908521</v>
      </c>
      <c r="F419" s="79">
        <v>0.47397674600717099</v>
      </c>
      <c r="G419" s="79">
        <v>0.91151047511105199</v>
      </c>
      <c r="H419" s="79">
        <v>1</v>
      </c>
      <c r="I419" s="102">
        <v>1.0789352984624803</v>
      </c>
      <c r="J419" s="79">
        <v>0.11652903722236201</v>
      </c>
      <c r="K419" s="79">
        <v>0.51441341889604497</v>
      </c>
      <c r="L419" s="79">
        <v>0.827555870474739</v>
      </c>
      <c r="M419" s="79">
        <v>1</v>
      </c>
      <c r="N419" s="102">
        <v>1.1439121144303637</v>
      </c>
      <c r="O419" s="79">
        <v>0.123392221457245</v>
      </c>
      <c r="P419" s="79">
        <v>0.27586830309876897</v>
      </c>
      <c r="Q419" s="79">
        <v>0.38814028691803598</v>
      </c>
      <c r="R419" s="79">
        <v>1</v>
      </c>
      <c r="S419" s="102">
        <v>1.1742301479684081</v>
      </c>
      <c r="T419" s="79">
        <v>0.112471147452971</v>
      </c>
      <c r="U419" s="79">
        <v>0.153281772953203</v>
      </c>
      <c r="V419" s="79">
        <v>0.248477821418876</v>
      </c>
      <c r="W419" s="79">
        <v>1</v>
      </c>
    </row>
    <row r="420" spans="2:23" x14ac:dyDescent="0.2">
      <c r="B420" t="s">
        <v>3699</v>
      </c>
      <c r="C420" s="84">
        <v>5039</v>
      </c>
      <c r="D420" s="102">
        <v>0.99218693247418932</v>
      </c>
      <c r="E420" s="79">
        <v>5.8004600408415402E-2</v>
      </c>
      <c r="F420" s="79">
        <v>0.89243292697173704</v>
      </c>
      <c r="G420" s="79">
        <v>0.99362338620020496</v>
      </c>
      <c r="H420" s="79">
        <v>1</v>
      </c>
      <c r="I420" s="102">
        <v>1.1010655437238837</v>
      </c>
      <c r="J420" s="79">
        <v>5.7527410722140099E-2</v>
      </c>
      <c r="K420" s="79">
        <v>9.4207486611255706E-2</v>
      </c>
      <c r="L420" s="79">
        <v>0.51149834076752299</v>
      </c>
      <c r="M420" s="79">
        <v>1</v>
      </c>
      <c r="N420" s="102">
        <v>1.2605077752704728</v>
      </c>
      <c r="O420" s="79">
        <v>5.74044200499296E-2</v>
      </c>
      <c r="P420" s="79">
        <v>5.5058621801276498E-5</v>
      </c>
      <c r="Q420" s="79">
        <v>4.14530245917166E-4</v>
      </c>
      <c r="R420" s="79">
        <v>9.3269305331362407E-2</v>
      </c>
      <c r="S420" s="102">
        <v>1.2520534021879295</v>
      </c>
      <c r="T420" s="79">
        <v>5.7477091233104197E-2</v>
      </c>
      <c r="U420" s="79">
        <v>9.1967619125757507E-5</v>
      </c>
      <c r="V420" s="79">
        <v>6.7102581402210396E-4</v>
      </c>
      <c r="W420" s="79">
        <v>0.155793146799033</v>
      </c>
    </row>
    <row r="421" spans="2:23" x14ac:dyDescent="0.2">
      <c r="B421" t="s">
        <v>3812</v>
      </c>
      <c r="C421" s="84">
        <v>768</v>
      </c>
      <c r="D421" s="102">
        <v>1.1822894827024013</v>
      </c>
      <c r="E421" s="79">
        <v>0.113184284099394</v>
      </c>
      <c r="F421" s="79">
        <v>0.13901463637945999</v>
      </c>
      <c r="G421" s="79">
        <v>0.80938271582532695</v>
      </c>
      <c r="H421" s="79">
        <v>1</v>
      </c>
      <c r="I421" s="102">
        <v>1.251405479839262</v>
      </c>
      <c r="J421" s="79">
        <v>0.10714323002865001</v>
      </c>
      <c r="K421" s="79">
        <v>3.6335390365848597E-2</v>
      </c>
      <c r="L421" s="79">
        <v>0.37079609204667202</v>
      </c>
      <c r="M421" s="79">
        <v>1</v>
      </c>
      <c r="N421" s="102">
        <v>1.1334864941696079</v>
      </c>
      <c r="O421" s="79">
        <v>0.10997301320332301</v>
      </c>
      <c r="P421" s="79">
        <v>0.25455521827600702</v>
      </c>
      <c r="Q421" s="79">
        <v>0.36602303937609199</v>
      </c>
      <c r="R421" s="79">
        <v>1</v>
      </c>
      <c r="S421" s="102">
        <v>1.1177763377659928</v>
      </c>
      <c r="T421" s="79">
        <v>0.111194528987936</v>
      </c>
      <c r="U421" s="79">
        <v>0.316672155935805</v>
      </c>
      <c r="V421" s="79">
        <v>0.43122398083219698</v>
      </c>
      <c r="W421" s="79">
        <v>1</v>
      </c>
    </row>
    <row r="422" spans="2:23" x14ac:dyDescent="0.2">
      <c r="B422" t="s">
        <v>3720</v>
      </c>
      <c r="C422" s="84">
        <v>474</v>
      </c>
      <c r="D422" s="102">
        <v>1.1446798697253995</v>
      </c>
      <c r="E422" s="79">
        <v>0.11995489387739799</v>
      </c>
      <c r="F422" s="79">
        <v>0.25996868154122199</v>
      </c>
      <c r="G422" s="79">
        <v>0.85990749347533801</v>
      </c>
      <c r="H422" s="79">
        <v>1</v>
      </c>
      <c r="I422" s="102">
        <v>0.94740118105984428</v>
      </c>
      <c r="J422" s="79">
        <v>0.111610407463859</v>
      </c>
      <c r="K422" s="79">
        <v>0.62830190732565705</v>
      </c>
      <c r="L422" s="79">
        <v>0.87748013759880805</v>
      </c>
      <c r="M422" s="79">
        <v>1</v>
      </c>
      <c r="N422" s="102">
        <v>1.050361396593736</v>
      </c>
      <c r="O422" s="79">
        <v>0.111500130560924</v>
      </c>
      <c r="P422" s="79">
        <v>0.65945497249278096</v>
      </c>
      <c r="Q422" s="79">
        <v>0.75480859689376401</v>
      </c>
      <c r="R422" s="79">
        <v>1</v>
      </c>
      <c r="S422" s="102">
        <v>1.1378246971579071</v>
      </c>
      <c r="T422" s="79">
        <v>0.110560489951045</v>
      </c>
      <c r="U422" s="79">
        <v>0.242866505704664</v>
      </c>
      <c r="V422" s="79">
        <v>0.35284659954048198</v>
      </c>
      <c r="W422" s="79">
        <v>1</v>
      </c>
    </row>
    <row r="423" spans="2:23" x14ac:dyDescent="0.2">
      <c r="B423" t="s">
        <v>1114</v>
      </c>
      <c r="C423" s="84">
        <v>5022</v>
      </c>
      <c r="D423" s="102">
        <v>4.39048878515855E-2</v>
      </c>
      <c r="E423" s="79">
        <v>3.3108796487510597E-2</v>
      </c>
      <c r="F423" s="79">
        <v>0.185154128469912</v>
      </c>
      <c r="G423" s="79">
        <v>0.83003013605610498</v>
      </c>
      <c r="H423" s="79">
        <v>1</v>
      </c>
      <c r="I423" s="102">
        <v>3.4792185993438203E-2</v>
      </c>
      <c r="J423" s="79">
        <v>3.19967481935425E-2</v>
      </c>
      <c r="K423" s="79">
        <v>0.27716729682111901</v>
      </c>
      <c r="L423" s="79">
        <v>0.69537030386512999</v>
      </c>
      <c r="M423" s="79">
        <v>1</v>
      </c>
      <c r="N423" s="102">
        <v>0.10648723190546799</v>
      </c>
      <c r="O423" s="79">
        <v>3.1742449411438597E-2</v>
      </c>
      <c r="P423" s="79">
        <v>8.2843152772425798E-4</v>
      </c>
      <c r="Q423" s="79">
        <v>3.7907576599143398E-3</v>
      </c>
      <c r="R423" s="79">
        <v>1</v>
      </c>
      <c r="S423" s="102">
        <v>6.1048568466234902E-2</v>
      </c>
      <c r="T423" s="79">
        <v>3.2858228083701903E-2</v>
      </c>
      <c r="U423" s="79">
        <v>6.3504438844508002E-2</v>
      </c>
      <c r="V423" s="79">
        <v>0.12280424589337501</v>
      </c>
      <c r="W423" s="79">
        <v>1</v>
      </c>
    </row>
    <row r="424" spans="2:23" x14ac:dyDescent="0.2">
      <c r="B424" t="s">
        <v>969</v>
      </c>
      <c r="C424" s="84">
        <v>5021</v>
      </c>
      <c r="D424" s="102">
        <v>4.7369546000606298E-2</v>
      </c>
      <c r="E424" s="79">
        <v>3.5897246380418697E-2</v>
      </c>
      <c r="F424" s="79">
        <v>0.187338475078422</v>
      </c>
      <c r="G424" s="79">
        <v>0.83003013605610498</v>
      </c>
      <c r="H424" s="79">
        <v>1</v>
      </c>
      <c r="I424" s="102">
        <v>0.111119833310448</v>
      </c>
      <c r="J424" s="79">
        <v>3.5260973362822599E-2</v>
      </c>
      <c r="K424" s="79">
        <v>1.68373701849929E-3</v>
      </c>
      <c r="L424" s="79">
        <v>0.113986182531366</v>
      </c>
      <c r="M424" s="79">
        <v>1</v>
      </c>
      <c r="N424" s="102">
        <v>1.14475568637048E-2</v>
      </c>
      <c r="O424" s="79">
        <v>3.5012143480933199E-2</v>
      </c>
      <c r="P424" s="79">
        <v>0.74378093914116605</v>
      </c>
      <c r="Q424" s="79">
        <v>0.82729147137566295</v>
      </c>
      <c r="R424" s="79">
        <v>1</v>
      </c>
      <c r="S424" s="102">
        <v>4.5898147801194597E-2</v>
      </c>
      <c r="T424" s="79">
        <v>3.48338493998267E-2</v>
      </c>
      <c r="U424" s="79">
        <v>0.18799093719482801</v>
      </c>
      <c r="V424" s="79">
        <v>0.28871862883775001</v>
      </c>
      <c r="W424" s="79">
        <v>1</v>
      </c>
    </row>
    <row r="425" spans="2:23" x14ac:dyDescent="0.2">
      <c r="B425" t="s">
        <v>3810</v>
      </c>
      <c r="C425" s="84">
        <v>584</v>
      </c>
      <c r="D425" s="102">
        <v>1.041023796848316</v>
      </c>
      <c r="E425" s="79">
        <v>4.4428126521240799E-2</v>
      </c>
      <c r="F425" s="79">
        <v>0.36549884208859701</v>
      </c>
      <c r="G425" s="79">
        <v>0.91752655785263504</v>
      </c>
      <c r="H425" s="79">
        <v>1</v>
      </c>
      <c r="I425" s="102">
        <v>1.0318554410775631</v>
      </c>
      <c r="J425" s="79">
        <v>4.39363672160493E-2</v>
      </c>
      <c r="K425" s="79">
        <v>0.475395877736286</v>
      </c>
      <c r="L425" s="79">
        <v>0.78475239999295898</v>
      </c>
      <c r="M425" s="79">
        <v>1</v>
      </c>
      <c r="N425" s="102">
        <v>1.2017345912337813</v>
      </c>
      <c r="O425" s="79">
        <v>7.6262604666757397E-2</v>
      </c>
      <c r="P425" s="79">
        <v>1.5967933673973402E-2</v>
      </c>
      <c r="Q425" s="79">
        <v>4.0737469342938197E-2</v>
      </c>
      <c r="R425" s="79">
        <v>1</v>
      </c>
      <c r="S425" s="102">
        <v>1.0916374265261199</v>
      </c>
      <c r="T425" s="79">
        <v>7.5340933886390404E-2</v>
      </c>
      <c r="U425" s="79">
        <v>0.24452112520078501</v>
      </c>
      <c r="V425" s="79">
        <v>0.354033150504384</v>
      </c>
      <c r="W425" s="79">
        <v>1</v>
      </c>
    </row>
    <row r="426" spans="2:23" x14ac:dyDescent="0.2">
      <c r="B426" t="s">
        <v>3811</v>
      </c>
      <c r="C426" s="84">
        <v>5025</v>
      </c>
      <c r="D426" s="102">
        <v>0.9719579951738534</v>
      </c>
      <c r="E426" s="79">
        <v>8.0667258128766905E-2</v>
      </c>
      <c r="F426" s="79">
        <v>0.72439377437210895</v>
      </c>
      <c r="G426" s="79">
        <v>0.97257456637072104</v>
      </c>
      <c r="H426" s="79">
        <v>1</v>
      </c>
      <c r="I426" s="102">
        <v>1.0386496199822233</v>
      </c>
      <c r="J426" s="79">
        <v>7.6786889062825894E-2</v>
      </c>
      <c r="K426" s="79">
        <v>0.62141007686576999</v>
      </c>
      <c r="L426" s="79">
        <v>0.87748013759880805</v>
      </c>
      <c r="M426" s="79">
        <v>1</v>
      </c>
      <c r="N426" s="102">
        <v>1.0096042582783067</v>
      </c>
      <c r="O426" s="79">
        <v>7.8306905604361807E-2</v>
      </c>
      <c r="P426" s="79">
        <v>0.90284857056530099</v>
      </c>
      <c r="Q426" s="79">
        <v>0.93600090485778498</v>
      </c>
      <c r="R426" s="79">
        <v>1</v>
      </c>
      <c r="S426" s="102">
        <v>1.1177124815096231</v>
      </c>
      <c r="T426" s="79">
        <v>7.92954792400654E-2</v>
      </c>
      <c r="U426" s="79">
        <v>0.16049423324635301</v>
      </c>
      <c r="V426" s="79">
        <v>0.25600492572440903</v>
      </c>
      <c r="W426" s="79">
        <v>1</v>
      </c>
    </row>
    <row r="427" spans="2:23" x14ac:dyDescent="0.2">
      <c r="B427" t="s">
        <v>3698</v>
      </c>
      <c r="C427" s="84">
        <v>854</v>
      </c>
      <c r="D427" s="102">
        <v>1.0519012898053988</v>
      </c>
      <c r="E427" s="79">
        <v>7.7689329852691405E-2</v>
      </c>
      <c r="F427" s="79">
        <v>0.51485103408566302</v>
      </c>
      <c r="G427" s="79">
        <v>0.91752655785263504</v>
      </c>
      <c r="H427" s="79">
        <v>1</v>
      </c>
      <c r="I427" s="102">
        <v>0.94112775320318443</v>
      </c>
      <c r="J427" s="79">
        <v>7.6713317959555494E-2</v>
      </c>
      <c r="K427" s="79">
        <v>0.42897327177891398</v>
      </c>
      <c r="L427" s="79">
        <v>0.78475239999295898</v>
      </c>
      <c r="M427" s="79">
        <v>1</v>
      </c>
      <c r="N427" s="102">
        <v>1.2017345912337813</v>
      </c>
      <c r="O427" s="79">
        <v>7.6262604666757397E-2</v>
      </c>
      <c r="P427" s="79">
        <v>1.5967933673973402E-2</v>
      </c>
      <c r="Q427" s="79">
        <v>4.0737469342938197E-2</v>
      </c>
      <c r="R427" s="79">
        <v>1</v>
      </c>
      <c r="S427" s="102">
        <v>1.0916374265261199</v>
      </c>
      <c r="T427" s="79">
        <v>7.5340933886390404E-2</v>
      </c>
      <c r="U427" s="79">
        <v>0.24452112520078501</v>
      </c>
      <c r="V427" s="79">
        <v>0.354033150504384</v>
      </c>
      <c r="W427" s="79">
        <v>1</v>
      </c>
    </row>
    <row r="428" spans="2:23" x14ac:dyDescent="0.2">
      <c r="B428" t="s">
        <v>3697</v>
      </c>
      <c r="C428" s="84">
        <v>5039</v>
      </c>
      <c r="D428" s="102">
        <v>1.0146321857611134</v>
      </c>
      <c r="E428" s="79">
        <v>3.9338140367274899E-2</v>
      </c>
      <c r="F428" s="79">
        <v>0.71193078196735304</v>
      </c>
      <c r="G428" s="79">
        <v>0.97160036230239</v>
      </c>
      <c r="H428" s="79">
        <v>1</v>
      </c>
      <c r="I428" s="102">
        <v>1.1560704182677133</v>
      </c>
      <c r="J428" s="79">
        <v>3.9512372537344097E-2</v>
      </c>
      <c r="K428" s="79">
        <v>2.42159889503142E-4</v>
      </c>
      <c r="L428" s="79">
        <v>5.1277356602290297E-2</v>
      </c>
      <c r="M428" s="79">
        <v>0.41021885281832299</v>
      </c>
      <c r="N428" s="102">
        <v>1.1155992228627774</v>
      </c>
      <c r="O428" s="79">
        <v>3.8872140685637699E-2</v>
      </c>
      <c r="P428" s="79">
        <v>4.8907789627861704E-3</v>
      </c>
      <c r="Q428" s="79">
        <v>1.5721023838633299E-2</v>
      </c>
      <c r="R428" s="79">
        <v>1</v>
      </c>
      <c r="S428" s="107">
        <v>1.2044458428775713</v>
      </c>
      <c r="T428" s="81">
        <v>3.9094287642985802E-2</v>
      </c>
      <c r="U428" s="81">
        <v>1.9529870264993801E-6</v>
      </c>
      <c r="V428" s="81">
        <v>3.2120000222232501E-5</v>
      </c>
      <c r="W428" s="81">
        <v>3.3083600228899501E-3</v>
      </c>
    </row>
    <row r="429" spans="2:23" x14ac:dyDescent="0.2">
      <c r="B429" t="s">
        <v>3379</v>
      </c>
      <c r="C429" s="84">
        <v>5022</v>
      </c>
      <c r="D429" s="102">
        <v>5.3576774459846599E-2</v>
      </c>
      <c r="E429" s="79">
        <v>7.0926777182020007E-2</v>
      </c>
      <c r="F429" s="79">
        <v>0.45086147439512803</v>
      </c>
      <c r="G429" s="79">
        <v>0.90900414379806505</v>
      </c>
      <c r="H429" s="79">
        <v>1</v>
      </c>
      <c r="I429" s="102">
        <v>4.5356847316681201E-2</v>
      </c>
      <c r="J429" s="79">
        <v>6.1166233765534699E-2</v>
      </c>
      <c r="K429" s="79">
        <v>0.45916614343100498</v>
      </c>
      <c r="L429" s="79">
        <v>0.799032058493933</v>
      </c>
      <c r="M429" s="79">
        <v>1</v>
      </c>
      <c r="N429" s="102">
        <v>0.100651661264511</v>
      </c>
      <c r="O429" s="79">
        <v>7.0487385215211806E-2</v>
      </c>
      <c r="P429" s="79">
        <v>0.15463411348696801</v>
      </c>
      <c r="Q429" s="79">
        <v>0.24533388598504299</v>
      </c>
      <c r="R429" s="79">
        <v>1</v>
      </c>
      <c r="S429" s="102">
        <v>0.155793550271004</v>
      </c>
      <c r="T429" s="79">
        <v>6.34868769895751E-2</v>
      </c>
      <c r="U429" s="79">
        <v>1.4863682065822101E-2</v>
      </c>
      <c r="V429" s="79">
        <v>3.8500118378444401E-2</v>
      </c>
      <c r="W429" s="79">
        <v>1</v>
      </c>
    </row>
    <row r="430" spans="2:23" x14ac:dyDescent="0.2">
      <c r="B430" t="s">
        <v>959</v>
      </c>
      <c r="C430" s="84">
        <v>5037</v>
      </c>
      <c r="D430" s="102">
        <v>1.29100152949264E-2</v>
      </c>
      <c r="E430" s="79">
        <v>2.8807473585531301E-2</v>
      </c>
      <c r="F430" s="79">
        <v>0.65412107597433899</v>
      </c>
      <c r="G430" s="79">
        <v>0.95767440062337605</v>
      </c>
      <c r="H430" s="79">
        <v>1</v>
      </c>
      <c r="I430" s="102">
        <v>9.6430196228287392E-3</v>
      </c>
      <c r="J430" s="79">
        <v>2.7900909706089501E-2</v>
      </c>
      <c r="K430" s="79">
        <v>0.72968853583219695</v>
      </c>
      <c r="L430" s="79">
        <v>0.91860526947379795</v>
      </c>
      <c r="M430" s="79">
        <v>1</v>
      </c>
      <c r="N430" s="102">
        <v>7.2328042096030207E-2</v>
      </c>
      <c r="O430" s="79">
        <v>2.90472881871955E-2</v>
      </c>
      <c r="P430" s="79">
        <v>1.2897395583572E-2</v>
      </c>
      <c r="Q430" s="79">
        <v>3.4137793935267099E-2</v>
      </c>
      <c r="R430" s="79">
        <v>1</v>
      </c>
      <c r="S430" s="102">
        <v>3.5269286145129398E-2</v>
      </c>
      <c r="T430" s="79">
        <v>2.6903679143133699E-2</v>
      </c>
      <c r="U430" s="79">
        <v>0.19011109049420699</v>
      </c>
      <c r="V430" s="79">
        <v>0.29073209300411701</v>
      </c>
      <c r="W430" s="79">
        <v>1</v>
      </c>
    </row>
    <row r="431" spans="2:23" x14ac:dyDescent="0.2">
      <c r="B431" t="s">
        <v>3793</v>
      </c>
      <c r="C431" s="84">
        <v>3169</v>
      </c>
      <c r="D431" s="102">
        <v>1.1360350783644382</v>
      </c>
      <c r="E431" s="79">
        <v>6.9986095536846399E-2</v>
      </c>
      <c r="F431" s="79">
        <v>6.8390982294823696E-2</v>
      </c>
      <c r="G431" s="79">
        <v>0.91151047511105199</v>
      </c>
      <c r="H431" s="79">
        <v>1</v>
      </c>
      <c r="I431" s="102">
        <v>1.0074227021287272</v>
      </c>
      <c r="J431" s="79">
        <v>6.8299875245133701E-2</v>
      </c>
      <c r="K431" s="79">
        <v>0.91377615423521896</v>
      </c>
      <c r="L431" s="79">
        <v>0.96184556338691496</v>
      </c>
      <c r="M431" s="79">
        <v>1</v>
      </c>
      <c r="N431" s="102">
        <v>1.032020012161293</v>
      </c>
      <c r="O431" s="79">
        <v>5.9187862528937499E-2</v>
      </c>
      <c r="P431" s="79">
        <v>0.594373638625455</v>
      </c>
      <c r="Q431" s="79">
        <v>0.69776087583612001</v>
      </c>
      <c r="R431" s="79">
        <v>1</v>
      </c>
      <c r="S431" s="102">
        <v>1.1139030531127232</v>
      </c>
      <c r="T431" s="79">
        <v>5.4907136348865897E-2</v>
      </c>
      <c r="U431" s="79">
        <v>4.94614976838645E-2</v>
      </c>
      <c r="V431" s="79">
        <v>0.101199245341802</v>
      </c>
      <c r="W431" s="79">
        <v>1</v>
      </c>
    </row>
    <row r="432" spans="2:23" x14ac:dyDescent="0.2">
      <c r="B432" t="s">
        <v>3794</v>
      </c>
      <c r="C432" s="84">
        <v>1973</v>
      </c>
      <c r="D432" s="102">
        <v>0.79331382752681645</v>
      </c>
      <c r="E432" s="79">
        <v>0.160329500631923</v>
      </c>
      <c r="F432" s="79">
        <v>0.148702855055904</v>
      </c>
      <c r="G432" s="79">
        <v>0.80938271582532695</v>
      </c>
      <c r="H432" s="79">
        <v>1</v>
      </c>
      <c r="I432" s="102">
        <v>0.97574242047896931</v>
      </c>
      <c r="J432" s="79">
        <v>0.135886587934897</v>
      </c>
      <c r="K432" s="79">
        <v>0.85659188450187096</v>
      </c>
      <c r="L432" s="79">
        <v>0.96224579068048399</v>
      </c>
      <c r="M432" s="79">
        <v>1</v>
      </c>
      <c r="N432" s="102">
        <v>1.1707079824065219</v>
      </c>
      <c r="O432" s="79">
        <v>0.15376968087745299</v>
      </c>
      <c r="P432" s="79">
        <v>0.30537927905078399</v>
      </c>
      <c r="Q432" s="79">
        <v>0.420579267245551</v>
      </c>
      <c r="R432" s="79">
        <v>1</v>
      </c>
      <c r="S432" s="102">
        <v>0.96911463566299694</v>
      </c>
      <c r="T432" s="79">
        <v>0.13972611115814401</v>
      </c>
      <c r="U432" s="79">
        <v>0.822346778707711</v>
      </c>
      <c r="V432" s="79">
        <v>0.869030220293739</v>
      </c>
      <c r="W432" s="79">
        <v>1</v>
      </c>
    </row>
    <row r="433" spans="2:23" x14ac:dyDescent="0.2">
      <c r="B433" t="s">
        <v>3680</v>
      </c>
      <c r="C433" s="84">
        <v>1335</v>
      </c>
      <c r="D433" s="102">
        <v>0.95764079370428423</v>
      </c>
      <c r="E433" s="79">
        <v>5.8580884478148597E-2</v>
      </c>
      <c r="F433" s="79">
        <v>0.45999768007213399</v>
      </c>
      <c r="G433" s="79">
        <v>0.91151047511105199</v>
      </c>
      <c r="H433" s="79">
        <v>1</v>
      </c>
      <c r="I433" s="102">
        <v>1.0105825914543545</v>
      </c>
      <c r="J433" s="79">
        <v>5.6603296205201402E-2</v>
      </c>
      <c r="K433" s="79">
        <v>0.85246173732986397</v>
      </c>
      <c r="L433" s="79">
        <v>0.96184556338691496</v>
      </c>
      <c r="M433" s="79">
        <v>1</v>
      </c>
      <c r="N433" s="102">
        <v>1.032020012161293</v>
      </c>
      <c r="O433" s="79">
        <v>5.9187862528937499E-2</v>
      </c>
      <c r="P433" s="79">
        <v>0.594373638625455</v>
      </c>
      <c r="Q433" s="79">
        <v>0.69776087583612001</v>
      </c>
      <c r="R433" s="79">
        <v>1</v>
      </c>
      <c r="S433" s="102">
        <v>1.1139030531127232</v>
      </c>
      <c r="T433" s="79">
        <v>5.4907136348865897E-2</v>
      </c>
      <c r="U433" s="79">
        <v>4.94614976838645E-2</v>
      </c>
      <c r="V433" s="79">
        <v>0.101199245341802</v>
      </c>
      <c r="W433" s="79">
        <v>1</v>
      </c>
    </row>
    <row r="434" spans="2:23" x14ac:dyDescent="0.2">
      <c r="B434" t="s">
        <v>3679</v>
      </c>
      <c r="C434" s="84">
        <v>5039</v>
      </c>
      <c r="D434" s="102">
        <v>0.98204130918562604</v>
      </c>
      <c r="E434" s="79">
        <v>3.3220579171363097E-2</v>
      </c>
      <c r="F434" s="79">
        <v>0.58540804141546599</v>
      </c>
      <c r="G434" s="79">
        <v>0.93838695059676502</v>
      </c>
      <c r="H434" s="79">
        <v>1</v>
      </c>
      <c r="I434" s="102">
        <v>1.0014097580432724</v>
      </c>
      <c r="J434" s="79">
        <v>3.3037508402885198E-2</v>
      </c>
      <c r="K434" s="79">
        <v>0.96598740134687899</v>
      </c>
      <c r="L434" s="79">
        <v>0.99551534580938295</v>
      </c>
      <c r="M434" s="79">
        <v>1</v>
      </c>
      <c r="N434" s="102">
        <v>1.045982081534877</v>
      </c>
      <c r="O434" s="79">
        <v>3.2737151209657797E-2</v>
      </c>
      <c r="P434" s="79">
        <v>0.169675189947049</v>
      </c>
      <c r="Q434" s="79">
        <v>0.26473513528122</v>
      </c>
      <c r="R434" s="79">
        <v>1</v>
      </c>
      <c r="S434" s="102">
        <v>1.0744904706417051</v>
      </c>
      <c r="T434" s="79">
        <v>3.2727510719373902E-2</v>
      </c>
      <c r="U434" s="79">
        <v>2.81423825130168E-2</v>
      </c>
      <c r="V434" s="79">
        <v>6.5485159309135302E-2</v>
      </c>
      <c r="W434" s="79">
        <v>1</v>
      </c>
    </row>
    <row r="435" spans="2:23" x14ac:dyDescent="0.2">
      <c r="B435" t="s">
        <v>3790</v>
      </c>
      <c r="C435" s="84">
        <v>5047</v>
      </c>
      <c r="D435" s="102">
        <v>1.0071711690461993</v>
      </c>
      <c r="E435" s="79">
        <v>6.2448392903376601E-2</v>
      </c>
      <c r="F435" s="79">
        <v>0.90890189819256295</v>
      </c>
      <c r="G435" s="79">
        <v>0.99533029194181499</v>
      </c>
      <c r="H435" s="79">
        <v>1</v>
      </c>
      <c r="I435" s="102">
        <v>1.0873610769232713</v>
      </c>
      <c r="J435" s="79">
        <v>6.2681449052690894E-2</v>
      </c>
      <c r="K435" s="79">
        <v>0.181490280386952</v>
      </c>
      <c r="L435" s="79">
        <v>0.61735850396686098</v>
      </c>
      <c r="M435" s="79">
        <v>1</v>
      </c>
      <c r="N435" s="102">
        <v>1.1102723760301738</v>
      </c>
      <c r="O435" s="79">
        <v>6.1860844374502399E-2</v>
      </c>
      <c r="P435" s="79">
        <v>9.0840874426951101E-2</v>
      </c>
      <c r="Q435" s="79">
        <v>0.16198362239921599</v>
      </c>
      <c r="R435" s="79">
        <v>1</v>
      </c>
      <c r="S435" s="102">
        <v>1.154042835129079</v>
      </c>
      <c r="T435" s="79">
        <v>6.1200946299258402E-2</v>
      </c>
      <c r="U435" s="79">
        <v>1.92322757414575E-2</v>
      </c>
      <c r="V435" s="79">
        <v>4.7353888235507298E-2</v>
      </c>
      <c r="W435" s="79">
        <v>1</v>
      </c>
    </row>
    <row r="436" spans="2:23" x14ac:dyDescent="0.2">
      <c r="B436" t="s">
        <v>1105</v>
      </c>
      <c r="C436" s="84">
        <v>5022</v>
      </c>
      <c r="D436" s="102">
        <v>-2.7526231984419398E-2</v>
      </c>
      <c r="E436" s="79">
        <v>1.7927056095108199E-2</v>
      </c>
      <c r="F436" s="79">
        <v>0.12477241526312</v>
      </c>
      <c r="G436" s="79">
        <v>0.80938271582532695</v>
      </c>
      <c r="H436" s="79">
        <v>1</v>
      </c>
      <c r="I436" s="102">
        <v>1.33573625643136E-2</v>
      </c>
      <c r="J436" s="79">
        <v>1.7891198760077599E-2</v>
      </c>
      <c r="K436" s="79">
        <v>0.45536808179909599</v>
      </c>
      <c r="L436" s="79">
        <v>0.79746066051088205</v>
      </c>
      <c r="M436" s="79">
        <v>1</v>
      </c>
      <c r="N436" s="102">
        <v>1.9287866109291299E-2</v>
      </c>
      <c r="O436" s="79">
        <v>1.7682108821354799E-2</v>
      </c>
      <c r="P436" s="79">
        <v>0.27543934767769701</v>
      </c>
      <c r="Q436" s="79">
        <v>0.38814028691803598</v>
      </c>
      <c r="R436" s="79">
        <v>1</v>
      </c>
      <c r="S436" s="102">
        <v>3.1063937644617699E-2</v>
      </c>
      <c r="T436" s="79">
        <v>1.7581563990425101E-2</v>
      </c>
      <c r="U436" s="79">
        <v>7.7351458023934894E-2</v>
      </c>
      <c r="V436" s="79">
        <v>0.14289353314345199</v>
      </c>
      <c r="W436" s="79">
        <v>1</v>
      </c>
    </row>
    <row r="437" spans="2:23" x14ac:dyDescent="0.2">
      <c r="B437" t="s">
        <v>957</v>
      </c>
      <c r="C437" s="84">
        <v>5037</v>
      </c>
      <c r="D437" s="102">
        <v>-4.1088089704052103E-2</v>
      </c>
      <c r="E437" s="79">
        <v>1.6714977328413601E-2</v>
      </c>
      <c r="F437" s="79">
        <v>1.4010860379759699E-2</v>
      </c>
      <c r="G437" s="79">
        <v>0.51179689736838596</v>
      </c>
      <c r="H437" s="79">
        <v>1</v>
      </c>
      <c r="I437" s="102">
        <v>2.5433352695550401E-2</v>
      </c>
      <c r="J437" s="79">
        <v>1.66659494227985E-2</v>
      </c>
      <c r="K437" s="79">
        <v>0.12708014596709299</v>
      </c>
      <c r="L437" s="79">
        <v>0.55552266356551805</v>
      </c>
      <c r="M437" s="79">
        <v>1</v>
      </c>
      <c r="N437" s="102">
        <v>9.9790213330229003E-3</v>
      </c>
      <c r="O437" s="79">
        <v>1.6545019007145199E-2</v>
      </c>
      <c r="P437" s="79">
        <v>0.54645073505319497</v>
      </c>
      <c r="Q437" s="79">
        <v>0.658852345323924</v>
      </c>
      <c r="R437" s="79">
        <v>1</v>
      </c>
      <c r="S437" s="102">
        <v>3.6847358189262498E-2</v>
      </c>
      <c r="T437" s="79">
        <v>1.6408265852712999E-2</v>
      </c>
      <c r="U437" s="79">
        <v>2.47852279927121E-2</v>
      </c>
      <c r="V437" s="79">
        <v>5.8886642664311803E-2</v>
      </c>
      <c r="W437" s="79">
        <v>1</v>
      </c>
    </row>
    <row r="438" spans="2:23" x14ac:dyDescent="0.2">
      <c r="B438" t="s">
        <v>3788</v>
      </c>
      <c r="C438" s="84">
        <v>5047</v>
      </c>
      <c r="D438" s="102">
        <v>0.95441804355745041</v>
      </c>
      <c r="E438" s="79">
        <v>4.0597723277070501E-2</v>
      </c>
      <c r="F438" s="79">
        <v>0.25048774634918503</v>
      </c>
      <c r="G438" s="79">
        <v>0.91678121217168596</v>
      </c>
      <c r="H438" s="79">
        <v>1</v>
      </c>
      <c r="I438" s="102">
        <v>0.99620929089303367</v>
      </c>
      <c r="J438" s="79">
        <v>4.04451379836663E-2</v>
      </c>
      <c r="K438" s="79">
        <v>0.92518636270982801</v>
      </c>
      <c r="L438" s="79">
        <v>0.76304312491983595</v>
      </c>
      <c r="M438" s="79">
        <v>1</v>
      </c>
      <c r="N438" s="102">
        <v>1.0166842936374987</v>
      </c>
      <c r="O438" s="79">
        <v>3.8169569812279001E-2</v>
      </c>
      <c r="P438" s="79">
        <v>0.66464906773907595</v>
      </c>
      <c r="Q438" s="79">
        <v>0.75921478135535703</v>
      </c>
      <c r="R438" s="79">
        <v>1</v>
      </c>
      <c r="S438" s="102">
        <v>1.0697718065125721</v>
      </c>
      <c r="T438" s="79">
        <v>3.8056271982052498E-2</v>
      </c>
      <c r="U438" s="79">
        <v>7.6352488211997693E-2</v>
      </c>
      <c r="V438" s="79">
        <v>0.14166606246563401</v>
      </c>
      <c r="W438" s="79">
        <v>1</v>
      </c>
    </row>
    <row r="439" spans="2:23" x14ac:dyDescent="0.2">
      <c r="B439" t="s">
        <v>3789</v>
      </c>
      <c r="C439" s="84">
        <v>5047</v>
      </c>
      <c r="D439" s="102">
        <v>0.98124138537541949</v>
      </c>
      <c r="E439" s="79">
        <v>5.2040740983083797E-2</v>
      </c>
      <c r="F439" s="79">
        <v>0.71594468794738397</v>
      </c>
      <c r="G439" s="79">
        <v>0.97160036230239</v>
      </c>
      <c r="H439" s="79">
        <v>1</v>
      </c>
      <c r="I439" s="102">
        <v>1.0599093651941136</v>
      </c>
      <c r="J439" s="79">
        <v>5.2290652780504002E-2</v>
      </c>
      <c r="K439" s="79">
        <v>0.26584065935273599</v>
      </c>
      <c r="L439" s="79">
        <v>0.68382629307189902</v>
      </c>
      <c r="M439" s="79">
        <v>1</v>
      </c>
      <c r="N439" s="102">
        <v>1.0400122775651768</v>
      </c>
      <c r="O439" s="79">
        <v>5.1229587752381997E-2</v>
      </c>
      <c r="P439" s="79">
        <v>0.44378485793116801</v>
      </c>
      <c r="Q439" s="79">
        <v>0.561023544280148</v>
      </c>
      <c r="R439" s="79">
        <v>1</v>
      </c>
      <c r="S439" s="102">
        <v>1.05668682284906</v>
      </c>
      <c r="T439" s="79">
        <v>5.1159155655400697E-2</v>
      </c>
      <c r="U439" s="79">
        <v>0.281131427734714</v>
      </c>
      <c r="V439" s="79">
        <v>0.39358399882860001</v>
      </c>
      <c r="W439" s="79">
        <v>1</v>
      </c>
    </row>
    <row r="440" spans="2:23" x14ac:dyDescent="0.2">
      <c r="B440" t="s">
        <v>3676</v>
      </c>
      <c r="C440" s="84">
        <v>3816</v>
      </c>
      <c r="D440" s="102">
        <v>0.97389596753635577</v>
      </c>
      <c r="E440" s="79">
        <v>3.86698625739176E-2</v>
      </c>
      <c r="F440" s="79">
        <v>0.49396529375484499</v>
      </c>
      <c r="G440" s="79">
        <v>0.91678121217168596</v>
      </c>
      <c r="H440" s="79">
        <v>1</v>
      </c>
      <c r="I440" s="102">
        <v>1.0333598562597266</v>
      </c>
      <c r="J440" s="79">
        <v>3.8593747500352299E-2</v>
      </c>
      <c r="K440" s="79">
        <v>0.39516945891224098</v>
      </c>
      <c r="L440" s="79">
        <v>0.76304312491983595</v>
      </c>
      <c r="M440" s="79">
        <v>1</v>
      </c>
      <c r="N440" s="102">
        <v>1.0166842936374987</v>
      </c>
      <c r="O440" s="79">
        <v>3.8169569812279001E-2</v>
      </c>
      <c r="P440" s="79">
        <v>0.66464906773907595</v>
      </c>
      <c r="Q440" s="79">
        <v>0.75921478135535703</v>
      </c>
      <c r="R440" s="79">
        <v>1</v>
      </c>
      <c r="S440" s="102">
        <v>1.0697718065125721</v>
      </c>
      <c r="T440" s="79">
        <v>3.8056271982052498E-2</v>
      </c>
      <c r="U440" s="79">
        <v>7.6352488211997693E-2</v>
      </c>
      <c r="V440" s="79">
        <v>0.14166606246563401</v>
      </c>
      <c r="W440" s="79">
        <v>1</v>
      </c>
    </row>
    <row r="441" spans="2:23" x14ac:dyDescent="0.2">
      <c r="B441" t="s">
        <v>3675</v>
      </c>
      <c r="C441" s="84">
        <v>5039</v>
      </c>
      <c r="D441" s="102">
        <v>0.92206485207654787</v>
      </c>
      <c r="E441" s="79">
        <v>3.5327613615674498E-2</v>
      </c>
      <c r="F441" s="79">
        <v>2.1631382786783299E-2</v>
      </c>
      <c r="G441" s="79">
        <v>0.56979784415816803</v>
      </c>
      <c r="H441" s="79">
        <v>1</v>
      </c>
      <c r="I441" s="102">
        <v>0.97341264278659312</v>
      </c>
      <c r="J441" s="79">
        <v>3.5076176100707998E-2</v>
      </c>
      <c r="K441" s="79">
        <v>0.44234000958018099</v>
      </c>
      <c r="L441" s="79">
        <v>0.792097226457534</v>
      </c>
      <c r="M441" s="79">
        <v>1</v>
      </c>
      <c r="N441" s="102">
        <v>1.0444063340996979</v>
      </c>
      <c r="O441" s="79">
        <v>3.4721310259050703E-2</v>
      </c>
      <c r="P441" s="79">
        <v>0.21080564441194399</v>
      </c>
      <c r="Q441" s="79">
        <v>0.31490719720796601</v>
      </c>
      <c r="R441" s="79">
        <v>1</v>
      </c>
      <c r="S441" s="102">
        <v>1.0461523534297694</v>
      </c>
      <c r="T441" s="79">
        <v>3.4741637647097902E-2</v>
      </c>
      <c r="U441" s="79">
        <v>0.19404647325353899</v>
      </c>
      <c r="V441" s="79">
        <v>0.29454724524327502</v>
      </c>
      <c r="W441" s="79">
        <v>1</v>
      </c>
    </row>
    <row r="442" spans="2:23" x14ac:dyDescent="0.2">
      <c r="B442" t="s">
        <v>3800</v>
      </c>
      <c r="C442" s="84">
        <v>240</v>
      </c>
      <c r="D442" s="102">
        <v>1.0516092513135313</v>
      </c>
      <c r="E442" s="79">
        <v>0.15445366860009699</v>
      </c>
      <c r="F442" s="79">
        <v>0.744572710166854</v>
      </c>
      <c r="G442" s="79">
        <v>0.979098679061011</v>
      </c>
      <c r="H442" s="79">
        <v>1</v>
      </c>
      <c r="I442" s="102">
        <v>0.88223342879674282</v>
      </c>
      <c r="J442" s="79">
        <v>0.13901261578904001</v>
      </c>
      <c r="K442" s="79">
        <v>0.367403869597069</v>
      </c>
      <c r="L442" s="79">
        <v>0.74754780849462499</v>
      </c>
      <c r="M442" s="79">
        <v>1</v>
      </c>
      <c r="N442" s="102">
        <v>1.3271523561414813</v>
      </c>
      <c r="O442" s="79">
        <v>0.161707603391852</v>
      </c>
      <c r="P442" s="79">
        <v>8.00679015368716E-2</v>
      </c>
      <c r="Q442" s="79">
        <v>0.146474109290994</v>
      </c>
      <c r="R442" s="79">
        <v>1</v>
      </c>
      <c r="S442" s="102">
        <v>1.1080050590944086</v>
      </c>
      <c r="T442" s="79">
        <v>0.13889193450458501</v>
      </c>
      <c r="U442" s="79">
        <v>0.46025676289620698</v>
      </c>
      <c r="V442" s="79">
        <v>0.57413472484990802</v>
      </c>
      <c r="W442" s="79">
        <v>1</v>
      </c>
    </row>
    <row r="443" spans="2:23" x14ac:dyDescent="0.2">
      <c r="B443" t="s">
        <v>1108</v>
      </c>
      <c r="C443" s="84">
        <v>5022</v>
      </c>
      <c r="D443" s="102">
        <v>2.6284544677747899E-2</v>
      </c>
      <c r="E443" s="79">
        <v>3.9636428721464903E-2</v>
      </c>
      <c r="F443" s="79">
        <v>0.50746145896516803</v>
      </c>
      <c r="G443" s="79">
        <v>0.91752655785263504</v>
      </c>
      <c r="H443" s="79">
        <v>1</v>
      </c>
      <c r="I443" s="102">
        <v>5.5544451331774901E-2</v>
      </c>
      <c r="J443" s="79">
        <v>3.7651390298298899E-2</v>
      </c>
      <c r="K443" s="79">
        <v>0.14060413525054899</v>
      </c>
      <c r="L443" s="79">
        <v>0.58956288394660905</v>
      </c>
      <c r="M443" s="79">
        <v>1</v>
      </c>
      <c r="N443" s="102">
        <v>5.1960549009847902E-2</v>
      </c>
      <c r="O443" s="79">
        <v>3.9017919732657398E-2</v>
      </c>
      <c r="P443" s="79">
        <v>0.18339214626945799</v>
      </c>
      <c r="Q443" s="79">
        <v>0.28160199103890898</v>
      </c>
      <c r="R443" s="79">
        <v>1</v>
      </c>
      <c r="S443" s="102">
        <v>3.1945415452604202E-2</v>
      </c>
      <c r="T443" s="79">
        <v>3.7519899020513899E-2</v>
      </c>
      <c r="U443" s="79">
        <v>0.39482973581299202</v>
      </c>
      <c r="V443" s="79">
        <v>0.51364018138693102</v>
      </c>
      <c r="W443" s="79">
        <v>1</v>
      </c>
    </row>
    <row r="444" spans="2:23" x14ac:dyDescent="0.2">
      <c r="B444" t="s">
        <v>962</v>
      </c>
      <c r="C444" s="84">
        <v>1853</v>
      </c>
      <c r="D444" s="102">
        <v>9.2725397967673998E-2</v>
      </c>
      <c r="E444" s="79">
        <v>5.2296426349775799E-2</v>
      </c>
      <c r="F444" s="79">
        <v>7.7087486424167295E-2</v>
      </c>
      <c r="G444" s="79">
        <v>0.73538141425839998</v>
      </c>
      <c r="H444" s="79">
        <v>1</v>
      </c>
      <c r="I444" s="102">
        <v>4.8388359674406502E-2</v>
      </c>
      <c r="J444" s="79">
        <v>4.79066797934792E-2</v>
      </c>
      <c r="K444" s="79">
        <v>0.31320084885975702</v>
      </c>
      <c r="L444" s="79">
        <v>0.71287249273680797</v>
      </c>
      <c r="M444" s="79">
        <v>1</v>
      </c>
      <c r="N444" s="102">
        <v>-5.2083094370906999E-3</v>
      </c>
      <c r="O444" s="79">
        <v>4.7941630291875099E-2</v>
      </c>
      <c r="P444" s="79">
        <v>0.91355121901696301</v>
      </c>
      <c r="Q444" s="79">
        <v>0.943631564033375</v>
      </c>
      <c r="R444" s="79">
        <v>1</v>
      </c>
      <c r="S444" s="102">
        <v>-7.7795270152360698E-3</v>
      </c>
      <c r="T444" s="79">
        <v>4.59815538259912E-2</v>
      </c>
      <c r="U444" s="79">
        <v>0.86574502884214299</v>
      </c>
      <c r="V444" s="79">
        <v>0.90529140670283403</v>
      </c>
      <c r="W444" s="79">
        <v>1</v>
      </c>
    </row>
    <row r="445" spans="2:23" x14ac:dyDescent="0.2">
      <c r="B445" t="s">
        <v>3798</v>
      </c>
      <c r="C445" s="84">
        <v>256</v>
      </c>
      <c r="D445" s="102">
        <v>0.93802496230678079</v>
      </c>
      <c r="E445" s="79">
        <v>5.0460347575052501E-2</v>
      </c>
      <c r="F445" s="79">
        <v>0.20483335712793899</v>
      </c>
      <c r="G445" s="79">
        <v>0.99533029194181499</v>
      </c>
      <c r="H445" s="79">
        <v>1</v>
      </c>
      <c r="I445" s="102">
        <v>0.97497894981738698</v>
      </c>
      <c r="J445" s="79">
        <v>4.9808535385467603E-2</v>
      </c>
      <c r="K445" s="79">
        <v>0.61093724142026196</v>
      </c>
      <c r="L445" s="79">
        <v>0.99421745281696505</v>
      </c>
      <c r="M445" s="79">
        <v>1</v>
      </c>
      <c r="N445" s="102">
        <v>1.1075150218864083</v>
      </c>
      <c r="O445" s="79">
        <v>0.10369971938127601</v>
      </c>
      <c r="P445" s="79">
        <v>0.32474457415810998</v>
      </c>
      <c r="Q445" s="79">
        <v>0.44087176414652202</v>
      </c>
      <c r="R445" s="79">
        <v>1</v>
      </c>
      <c r="S445" s="102">
        <v>1.0984446077631238</v>
      </c>
      <c r="T445" s="79">
        <v>9.9036392612596696E-2</v>
      </c>
      <c r="U445" s="79">
        <v>0.34308480665348901</v>
      </c>
      <c r="V445" s="79">
        <v>0.46125846227857997</v>
      </c>
      <c r="W445" s="79">
        <v>1</v>
      </c>
    </row>
    <row r="446" spans="2:23" x14ac:dyDescent="0.2">
      <c r="B446" t="s">
        <v>3799</v>
      </c>
      <c r="C446" s="84">
        <v>5025</v>
      </c>
      <c r="D446" s="102">
        <v>0.81724249559679052</v>
      </c>
      <c r="E446" s="79">
        <v>8.8224245922580796E-2</v>
      </c>
      <c r="F446" s="79">
        <v>2.21623911529427E-2</v>
      </c>
      <c r="G446" s="79">
        <v>0.56979784415816803</v>
      </c>
      <c r="H446" s="79">
        <v>1</v>
      </c>
      <c r="I446" s="102">
        <v>0.95708892617914854</v>
      </c>
      <c r="J446" s="79">
        <v>8.3384986534151606E-2</v>
      </c>
      <c r="K446" s="79">
        <v>0.59890097975071299</v>
      </c>
      <c r="L446" s="79">
        <v>0.86877257647115202</v>
      </c>
      <c r="M446" s="79">
        <v>1</v>
      </c>
      <c r="N446" s="102">
        <v>1.1700427616844717</v>
      </c>
      <c r="O446" s="79">
        <v>8.6811140410911702E-2</v>
      </c>
      <c r="P446" s="79">
        <v>7.0452893925573107E-2</v>
      </c>
      <c r="Q446" s="79">
        <v>0.13455152458841099</v>
      </c>
      <c r="R446" s="79">
        <v>1</v>
      </c>
      <c r="S446" s="102">
        <v>1.0011322162313046</v>
      </c>
      <c r="T446" s="79">
        <v>8.2345453567050406E-2</v>
      </c>
      <c r="U446" s="79">
        <v>0.989035965284499</v>
      </c>
      <c r="V446" s="79">
        <v>0.99313984895787899</v>
      </c>
      <c r="W446" s="79">
        <v>1</v>
      </c>
    </row>
    <row r="447" spans="2:23" x14ac:dyDescent="0.2">
      <c r="B447" t="s">
        <v>3686</v>
      </c>
      <c r="C447" s="84">
        <v>423</v>
      </c>
      <c r="D447" s="102">
        <v>0.98811618339639595</v>
      </c>
      <c r="E447" s="79">
        <v>0.11307551281021699</v>
      </c>
      <c r="F447" s="79">
        <v>0.91579994777032503</v>
      </c>
      <c r="G447" s="79">
        <v>0.99533029194181499</v>
      </c>
      <c r="H447" s="79">
        <v>1</v>
      </c>
      <c r="I447" s="102">
        <v>0.99443700350089193</v>
      </c>
      <c r="J447" s="79">
        <v>0.10267542374883699</v>
      </c>
      <c r="K447" s="79">
        <v>0.95667091507987201</v>
      </c>
      <c r="L447" s="79">
        <v>0.99421745281696505</v>
      </c>
      <c r="M447" s="79">
        <v>1</v>
      </c>
      <c r="N447" s="102">
        <v>1.1075150218864083</v>
      </c>
      <c r="O447" s="79">
        <v>0.10369971938127601</v>
      </c>
      <c r="P447" s="79">
        <v>0.32474457415810998</v>
      </c>
      <c r="Q447" s="79">
        <v>0.44087176414652202</v>
      </c>
      <c r="R447" s="79">
        <v>1</v>
      </c>
      <c r="S447" s="102">
        <v>1.0984446077631238</v>
      </c>
      <c r="T447" s="79">
        <v>9.9036392612596696E-2</v>
      </c>
      <c r="U447" s="79">
        <v>0.34308480665348901</v>
      </c>
      <c r="V447" s="79">
        <v>0.46125846227857997</v>
      </c>
      <c r="W447" s="79">
        <v>1</v>
      </c>
    </row>
    <row r="448" spans="2:23" x14ac:dyDescent="0.2">
      <c r="B448" t="s">
        <v>3685</v>
      </c>
      <c r="C448" s="84">
        <v>5039</v>
      </c>
      <c r="D448" s="102">
        <v>0.97562716952859119</v>
      </c>
      <c r="E448" s="79">
        <v>5.4333338012130999E-2</v>
      </c>
      <c r="F448" s="79">
        <v>0.64973042448671003</v>
      </c>
      <c r="G448" s="79">
        <v>0.95767440062337605</v>
      </c>
      <c r="H448" s="79">
        <v>1</v>
      </c>
      <c r="I448" s="102">
        <v>1.0415824609337165</v>
      </c>
      <c r="J448" s="79">
        <v>5.3515796882422299E-2</v>
      </c>
      <c r="K448" s="79">
        <v>0.44648261412823997</v>
      </c>
      <c r="L448" s="79">
        <v>0.79654740721961403</v>
      </c>
      <c r="M448" s="79">
        <v>1</v>
      </c>
      <c r="N448" s="102">
        <v>1.1903744964647534</v>
      </c>
      <c r="O448" s="79">
        <v>5.3294359303688699E-2</v>
      </c>
      <c r="P448" s="79">
        <v>1.0758026480631401E-3</v>
      </c>
      <c r="Q448" s="79">
        <v>4.6728453482537402E-3</v>
      </c>
      <c r="R448" s="79">
        <v>1</v>
      </c>
      <c r="S448" s="102">
        <v>1.167201717113028</v>
      </c>
      <c r="T448" s="79">
        <v>5.3438418313941902E-2</v>
      </c>
      <c r="U448" s="79">
        <v>3.8131209022381702E-3</v>
      </c>
      <c r="V448" s="79">
        <v>1.29707365630351E-2</v>
      </c>
      <c r="W448" s="79">
        <v>1</v>
      </c>
    </row>
    <row r="449" spans="2:23" x14ac:dyDescent="0.2">
      <c r="B449" t="s">
        <v>3397</v>
      </c>
      <c r="C449" s="84">
        <v>5030</v>
      </c>
      <c r="D449" s="102">
        <v>6.8857181696997602E-2</v>
      </c>
      <c r="E449" s="79">
        <v>0.120029963464736</v>
      </c>
      <c r="F449" s="79">
        <v>0.56763951429714599</v>
      </c>
      <c r="G449" s="79">
        <v>0.93167796111031398</v>
      </c>
      <c r="H449" s="79">
        <v>1</v>
      </c>
      <c r="I449" s="102">
        <v>1.56682666931235E-2</v>
      </c>
      <c r="J449" s="79">
        <v>9.55620000737923E-2</v>
      </c>
      <c r="K449" s="79">
        <v>0.87013497373972004</v>
      </c>
      <c r="L449" s="79">
        <v>0.96974252994413501</v>
      </c>
      <c r="M449" s="79">
        <v>1</v>
      </c>
      <c r="N449" s="102">
        <v>-0.23780158476913599</v>
      </c>
      <c r="O449" s="79">
        <v>9.2896594863784002E-2</v>
      </c>
      <c r="P449" s="79">
        <v>1.2122802412076901E-2</v>
      </c>
      <c r="Q449" s="79">
        <v>3.26486920287095E-2</v>
      </c>
      <c r="R449" s="79">
        <v>1</v>
      </c>
      <c r="S449" s="102">
        <v>-7.5063678973252404E-2</v>
      </c>
      <c r="T449" s="79">
        <v>9.6309127759388796E-2</v>
      </c>
      <c r="U449" s="79">
        <v>0.43774264863854101</v>
      </c>
      <c r="V449" s="79">
        <v>0.55421229207301104</v>
      </c>
      <c r="W449" s="79">
        <v>1</v>
      </c>
    </row>
    <row r="450" spans="2:23" x14ac:dyDescent="0.2">
      <c r="B450" t="s">
        <v>971</v>
      </c>
      <c r="C450" s="84">
        <v>5021</v>
      </c>
      <c r="D450" s="102">
        <v>-3.0305475740358901E-2</v>
      </c>
      <c r="E450" s="79">
        <v>8.9682393466251994E-2</v>
      </c>
      <c r="F450" s="79">
        <v>0.73593826841723997</v>
      </c>
      <c r="G450" s="79">
        <v>0.97725225651372905</v>
      </c>
      <c r="H450" s="79">
        <v>1</v>
      </c>
      <c r="I450" s="102">
        <v>-1.8170785091489599E-2</v>
      </c>
      <c r="J450" s="79">
        <v>8.3763489479632094E-2</v>
      </c>
      <c r="K450" s="79">
        <v>0.82858194973225596</v>
      </c>
      <c r="L450" s="79">
        <v>0.95354471660763696</v>
      </c>
      <c r="M450" s="79">
        <v>1</v>
      </c>
      <c r="N450" s="102">
        <v>0.223205597491311</v>
      </c>
      <c r="O450" s="79">
        <v>8.1791662055585898E-2</v>
      </c>
      <c r="P450" s="79">
        <v>7.1901422974189099E-3</v>
      </c>
      <c r="Q450" s="79">
        <v>2.1443839879978201E-2</v>
      </c>
      <c r="R450" s="79">
        <v>1</v>
      </c>
      <c r="S450" s="102">
        <v>-9.5605330697458198E-3</v>
      </c>
      <c r="T450" s="79">
        <v>8.6727568763811005E-2</v>
      </c>
      <c r="U450" s="79">
        <v>0.91239570877017695</v>
      </c>
      <c r="V450" s="79">
        <v>0.93957345328673503</v>
      </c>
      <c r="W450" s="79">
        <v>1</v>
      </c>
    </row>
    <row r="451" spans="2:23" x14ac:dyDescent="0.2">
      <c r="B451" t="s">
        <v>3814</v>
      </c>
      <c r="C451" s="84">
        <v>5025</v>
      </c>
      <c r="D451" s="102">
        <v>0.89989123340435784</v>
      </c>
      <c r="E451" s="79">
        <v>0.163496567469888</v>
      </c>
      <c r="F451" s="79">
        <v>0.51882378510138105</v>
      </c>
      <c r="G451" s="79">
        <v>0.91901439037128496</v>
      </c>
      <c r="H451" s="79">
        <v>1</v>
      </c>
      <c r="I451" s="102">
        <v>1.0327116461485173</v>
      </c>
      <c r="J451" s="79">
        <v>0.16148001797042899</v>
      </c>
      <c r="K451" s="79">
        <v>0.842003659022591</v>
      </c>
      <c r="L451" s="79">
        <v>0.95812349699803201</v>
      </c>
      <c r="M451" s="79">
        <v>1</v>
      </c>
      <c r="N451" s="102">
        <v>0.96493483791576007</v>
      </c>
      <c r="O451" s="79">
        <v>0.15820181862778701</v>
      </c>
      <c r="P451" s="79">
        <v>0.82149102962840803</v>
      </c>
      <c r="Q451" s="79">
        <v>0.87687826351009701</v>
      </c>
      <c r="R451" s="79">
        <v>1</v>
      </c>
      <c r="S451" s="102">
        <v>1.0570590183369306</v>
      </c>
      <c r="T451" s="79">
        <v>0.15985675632784899</v>
      </c>
      <c r="U451" s="79">
        <v>0.72849616963945796</v>
      </c>
      <c r="V451" s="79">
        <v>0.78854473569919603</v>
      </c>
      <c r="W451" s="79">
        <v>1</v>
      </c>
    </row>
    <row r="452" spans="2:23" x14ac:dyDescent="0.2">
      <c r="B452" t="s">
        <v>3701</v>
      </c>
      <c r="C452" s="84">
        <v>5039</v>
      </c>
      <c r="D452" s="102">
        <v>1.1863509956928806</v>
      </c>
      <c r="E452" s="79">
        <v>8.4527335656798305E-2</v>
      </c>
      <c r="F452" s="79">
        <v>4.3215558665798702E-2</v>
      </c>
      <c r="G452" s="79">
        <v>0.67784404055428704</v>
      </c>
      <c r="H452" s="79">
        <v>1</v>
      </c>
      <c r="I452" s="102">
        <v>1.1854405107100612</v>
      </c>
      <c r="J452" s="79">
        <v>8.3497775906600097E-2</v>
      </c>
      <c r="K452" s="79">
        <v>4.1614679865165601E-2</v>
      </c>
      <c r="L452" s="79">
        <v>0.37900681554618598</v>
      </c>
      <c r="M452" s="79">
        <v>1</v>
      </c>
      <c r="N452" s="102">
        <v>1.0579687775471245</v>
      </c>
      <c r="O452" s="79">
        <v>8.2420202184583805E-2</v>
      </c>
      <c r="P452" s="79">
        <v>0.49416362772979699</v>
      </c>
      <c r="Q452" s="79">
        <v>0.61058583907678798</v>
      </c>
      <c r="R452" s="79">
        <v>1</v>
      </c>
      <c r="S452" s="102">
        <v>1.2621270548209653</v>
      </c>
      <c r="T452" s="79">
        <v>8.3369096309591495E-2</v>
      </c>
      <c r="U452" s="79">
        <v>5.2321406451125803E-3</v>
      </c>
      <c r="V452" s="79">
        <v>1.6628979836436599E-2</v>
      </c>
      <c r="W452" s="79">
        <v>1</v>
      </c>
    </row>
    <row r="453" spans="2:23" x14ac:dyDescent="0.2">
      <c r="B453" t="s">
        <v>3380</v>
      </c>
      <c r="C453" s="84">
        <v>5022</v>
      </c>
      <c r="D453" s="102">
        <v>-4.79742423854366E-2</v>
      </c>
      <c r="E453" s="79">
        <v>7.2307565488970604E-2</v>
      </c>
      <c r="F453" s="79">
        <v>0.50777706228651798</v>
      </c>
      <c r="G453" s="79">
        <v>0.91752655785263504</v>
      </c>
      <c r="H453" s="79">
        <v>1</v>
      </c>
      <c r="I453" s="102">
        <v>-1.7267442195393799E-2</v>
      </c>
      <c r="J453" s="79">
        <v>6.2218136343432803E-2</v>
      </c>
      <c r="K453" s="79">
        <v>0.78164589223276804</v>
      </c>
      <c r="L453" s="79">
        <v>0.92863930730510702</v>
      </c>
      <c r="M453" s="79">
        <v>1</v>
      </c>
      <c r="N453" s="102">
        <v>0.113183225572988</v>
      </c>
      <c r="O453" s="79">
        <v>6.3972290284979097E-2</v>
      </c>
      <c r="P453" s="79">
        <v>7.8237310621018005E-2</v>
      </c>
      <c r="Q453" s="79">
        <v>0.14450136600017399</v>
      </c>
      <c r="R453" s="79">
        <v>1</v>
      </c>
      <c r="S453" s="102">
        <v>1.2794950554982599E-2</v>
      </c>
      <c r="T453" s="79">
        <v>6.3508080767267494E-2</v>
      </c>
      <c r="U453" s="79">
        <v>0.84051466161708599</v>
      </c>
      <c r="V453" s="79">
        <v>0.88491723852041204</v>
      </c>
      <c r="W453" s="79">
        <v>1</v>
      </c>
    </row>
    <row r="454" spans="2:23" x14ac:dyDescent="0.2">
      <c r="B454" t="s">
        <v>960</v>
      </c>
      <c r="C454" s="84">
        <v>1853</v>
      </c>
      <c r="D454" s="102">
        <v>-5.1552830980675701E-2</v>
      </c>
      <c r="E454" s="79">
        <v>3.3966613614073202E-2</v>
      </c>
      <c r="F454" s="79">
        <v>0.12940824514374499</v>
      </c>
      <c r="G454" s="79">
        <v>0.80938271582532695</v>
      </c>
      <c r="H454" s="79">
        <v>1</v>
      </c>
      <c r="I454" s="102">
        <v>-1.49975670017532E-2</v>
      </c>
      <c r="J454" s="79">
        <v>3.1987903331450102E-2</v>
      </c>
      <c r="K454" s="79">
        <v>0.63928280097650203</v>
      </c>
      <c r="L454" s="79">
        <v>0.88187708864348102</v>
      </c>
      <c r="M454" s="79">
        <v>1</v>
      </c>
      <c r="N454" s="102">
        <v>4.3178861013816197E-2</v>
      </c>
      <c r="O454" s="79">
        <v>3.2010581017441898E-2</v>
      </c>
      <c r="P454" s="79">
        <v>0.17769894839824499</v>
      </c>
      <c r="Q454" s="79">
        <v>0.27540898315336398</v>
      </c>
      <c r="R454" s="79">
        <v>1</v>
      </c>
      <c r="S454" s="102">
        <v>1.4767288219440599E-2</v>
      </c>
      <c r="T454" s="79">
        <v>3.1780554913112997E-2</v>
      </c>
      <c r="U454" s="79">
        <v>0.64227823895280101</v>
      </c>
      <c r="V454" s="79">
        <v>0.71584296924146695</v>
      </c>
      <c r="W454" s="79">
        <v>1</v>
      </c>
    </row>
    <row r="455" spans="2:23" x14ac:dyDescent="0.2">
      <c r="B455" t="s">
        <v>1107</v>
      </c>
      <c r="C455" s="84">
        <v>5022</v>
      </c>
      <c r="D455" s="102">
        <v>-2.3432835791476699E-2</v>
      </c>
      <c r="E455" s="79">
        <v>9.6871672433442704E-2</v>
      </c>
      <c r="F455" s="79">
        <v>0.809255719316747</v>
      </c>
      <c r="G455" s="79">
        <v>0.99362338620020496</v>
      </c>
      <c r="H455" s="79">
        <v>1</v>
      </c>
      <c r="I455" s="102">
        <v>0.144639777635552</v>
      </c>
      <c r="J455" s="79">
        <v>7.9918228285786902E-2</v>
      </c>
      <c r="K455" s="79">
        <v>7.2732095164003793E-2</v>
      </c>
      <c r="L455" s="79">
        <v>0.45523555939255</v>
      </c>
      <c r="M455" s="79">
        <v>1</v>
      </c>
      <c r="N455" s="102">
        <v>-0.11880850329142199</v>
      </c>
      <c r="O455" s="79">
        <v>9.2426302659360707E-2</v>
      </c>
      <c r="P455" s="79">
        <v>0.20123983503895199</v>
      </c>
      <c r="Q455" s="79">
        <v>0.30383269211763297</v>
      </c>
      <c r="R455" s="79">
        <v>1</v>
      </c>
      <c r="S455" s="102">
        <v>4.8039736090568802E-2</v>
      </c>
      <c r="T455" s="79">
        <v>8.65550573388425E-2</v>
      </c>
      <c r="U455" s="79">
        <v>0.57987519490043304</v>
      </c>
      <c r="V455" s="79">
        <v>0.673275243427919</v>
      </c>
      <c r="W455" s="79">
        <v>1</v>
      </c>
    </row>
    <row r="456" spans="2:23" x14ac:dyDescent="0.2">
      <c r="B456" t="s">
        <v>961</v>
      </c>
      <c r="C456" s="84">
        <v>1853</v>
      </c>
      <c r="D456" s="102">
        <v>-3.0702668348654601E-2</v>
      </c>
      <c r="E456" s="79">
        <v>4.0780352187919602E-2</v>
      </c>
      <c r="F456" s="79">
        <v>0.45181906084886098</v>
      </c>
      <c r="G456" s="79">
        <v>0.90900414379806505</v>
      </c>
      <c r="H456" s="79">
        <v>1</v>
      </c>
      <c r="I456" s="102">
        <v>3.7339526877855897E-2</v>
      </c>
      <c r="J456" s="79">
        <v>3.9089405061962602E-2</v>
      </c>
      <c r="K456" s="79">
        <v>0.33984867900375998</v>
      </c>
      <c r="L456" s="79">
        <v>0.73338046144250901</v>
      </c>
      <c r="M456" s="79">
        <v>1</v>
      </c>
      <c r="N456" s="102">
        <v>1.4224821725165E-2</v>
      </c>
      <c r="O456" s="79">
        <v>4.2952032373734302E-2</v>
      </c>
      <c r="P456" s="79">
        <v>0.74062496669459799</v>
      </c>
      <c r="Q456" s="79">
        <v>0.82652747760068701</v>
      </c>
      <c r="R456" s="79">
        <v>1</v>
      </c>
      <c r="S456" s="102">
        <v>0.121936750036247</v>
      </c>
      <c r="T456" s="79">
        <v>3.9396074168017402E-2</v>
      </c>
      <c r="U456" s="79">
        <v>2.0612009439757101E-3</v>
      </c>
      <c r="V456" s="79">
        <v>7.9176290228908201E-3</v>
      </c>
      <c r="W456" s="79">
        <v>1</v>
      </c>
    </row>
    <row r="457" spans="2:23" x14ac:dyDescent="0.2">
      <c r="B457" t="s">
        <v>3797</v>
      </c>
      <c r="C457" s="84">
        <v>5025</v>
      </c>
      <c r="D457" s="102">
        <v>1.010142229464428</v>
      </c>
      <c r="E457" s="79">
        <v>9.3512555004510903E-2</v>
      </c>
      <c r="F457" s="79">
        <v>0.91406536783369496</v>
      </c>
      <c r="G457" s="79">
        <v>0.98006352001698205</v>
      </c>
      <c r="H457" s="79">
        <v>1</v>
      </c>
      <c r="I457" s="102">
        <v>0.96177909374232706</v>
      </c>
      <c r="J457" s="79">
        <v>9.1291670147825202E-2</v>
      </c>
      <c r="K457" s="79">
        <v>0.66946754079762605</v>
      </c>
      <c r="L457" s="79">
        <v>0.48713190240675902</v>
      </c>
      <c r="M457" s="79">
        <v>1</v>
      </c>
      <c r="N457" s="102">
        <v>1.0537080953941085</v>
      </c>
      <c r="O457" s="79">
        <v>8.71705536467373E-2</v>
      </c>
      <c r="P457" s="79">
        <v>0.54840585484453197</v>
      </c>
      <c r="Q457" s="79">
        <v>0.65954164348361399</v>
      </c>
      <c r="R457" s="79">
        <v>1</v>
      </c>
      <c r="S457" s="102">
        <v>1.0625855868793663</v>
      </c>
      <c r="T457" s="79">
        <v>8.0404250085928802E-2</v>
      </c>
      <c r="U457" s="79">
        <v>0.45024926493915601</v>
      </c>
      <c r="V457" s="79">
        <v>0.566237754125412</v>
      </c>
      <c r="W457" s="79">
        <v>1</v>
      </c>
    </row>
    <row r="458" spans="2:23" x14ac:dyDescent="0.2">
      <c r="B458" t="s">
        <v>3684</v>
      </c>
      <c r="C458" s="84">
        <v>620</v>
      </c>
      <c r="D458" s="102">
        <v>0.97423499677803405</v>
      </c>
      <c r="E458" s="79">
        <v>8.2592943490130105E-2</v>
      </c>
      <c r="F458" s="79">
        <v>0.75197158866352898</v>
      </c>
      <c r="G458" s="79">
        <v>0.98006352001698205</v>
      </c>
      <c r="H458" s="79">
        <v>1</v>
      </c>
      <c r="I458" s="102">
        <v>1.1468694263555506</v>
      </c>
      <c r="J458" s="79">
        <v>7.9592094870192406E-2</v>
      </c>
      <c r="K458" s="79">
        <v>8.5118679523258897E-2</v>
      </c>
      <c r="L458" s="79">
        <v>0.48713190240675902</v>
      </c>
      <c r="M458" s="79">
        <v>1</v>
      </c>
      <c r="N458" s="102">
        <v>1.0537080953941085</v>
      </c>
      <c r="O458" s="79">
        <v>8.71705536467373E-2</v>
      </c>
      <c r="P458" s="79">
        <v>0.54840585484453197</v>
      </c>
      <c r="Q458" s="79">
        <v>0.65954164348361399</v>
      </c>
      <c r="R458" s="79">
        <v>1</v>
      </c>
      <c r="S458" s="102">
        <v>1.0625855868793663</v>
      </c>
      <c r="T458" s="79">
        <v>8.0404250085928802E-2</v>
      </c>
      <c r="U458" s="79">
        <v>0.45024926493915601</v>
      </c>
      <c r="V458" s="79">
        <v>0.566237754125412</v>
      </c>
      <c r="W458" s="79">
        <v>1</v>
      </c>
    </row>
    <row r="459" spans="2:23" x14ac:dyDescent="0.2">
      <c r="B459" t="s">
        <v>3683</v>
      </c>
      <c r="C459" s="84">
        <v>5039</v>
      </c>
      <c r="D459" s="102">
        <v>0.99370491090300295</v>
      </c>
      <c r="E459" s="79">
        <v>4.47697203234627E-2</v>
      </c>
      <c r="F459" s="79">
        <v>0.887826601992738</v>
      </c>
      <c r="G459" s="79">
        <v>0.99362338620020496</v>
      </c>
      <c r="H459" s="79">
        <v>1</v>
      </c>
      <c r="I459" s="102">
        <v>1.0381002566623543</v>
      </c>
      <c r="J459" s="79">
        <v>4.4288035429714198E-2</v>
      </c>
      <c r="K459" s="79">
        <v>0.39850206177789799</v>
      </c>
      <c r="L459" s="79">
        <v>0.76356901891713402</v>
      </c>
      <c r="M459" s="79">
        <v>1</v>
      </c>
      <c r="N459" s="102">
        <v>0.99627158956021167</v>
      </c>
      <c r="O459" s="79">
        <v>4.4153416271510502E-2</v>
      </c>
      <c r="P459" s="79">
        <v>0.93257941221143803</v>
      </c>
      <c r="Q459" s="79">
        <v>0.95225408335513895</v>
      </c>
      <c r="R459" s="79">
        <v>1</v>
      </c>
      <c r="S459" s="102">
        <v>1.1730677884568743</v>
      </c>
      <c r="T459" s="79">
        <v>4.4173591908444103E-2</v>
      </c>
      <c r="U459" s="79">
        <v>3.0206274411039599E-4</v>
      </c>
      <c r="V459" s="79">
        <v>1.7523777004212701E-3</v>
      </c>
      <c r="W459" s="79">
        <v>0.51169428852301102</v>
      </c>
    </row>
    <row r="460" spans="2:23" x14ac:dyDescent="0.2">
      <c r="B460" t="s">
        <v>3795</v>
      </c>
      <c r="C460" s="84">
        <v>5025</v>
      </c>
      <c r="D460" s="102">
        <v>1.0935015776850938</v>
      </c>
      <c r="E460" s="79">
        <v>7.1542183474166507E-2</v>
      </c>
      <c r="F460" s="79">
        <v>0.21151778704469601</v>
      </c>
      <c r="G460" s="79">
        <v>0.85990749347533801</v>
      </c>
      <c r="H460" s="79">
        <v>1</v>
      </c>
      <c r="I460" s="102">
        <v>1.1002837141127344</v>
      </c>
      <c r="J460" s="79">
        <v>6.9646347864808902E-2</v>
      </c>
      <c r="K460" s="79">
        <v>0.170004090334401</v>
      </c>
      <c r="L460" s="79">
        <v>0.74754780849462499</v>
      </c>
      <c r="M460" s="79">
        <v>1</v>
      </c>
      <c r="N460" s="102">
        <v>1.20541465271556</v>
      </c>
      <c r="O460" s="79">
        <v>6.5911865956530799E-2</v>
      </c>
      <c r="P460" s="79">
        <v>4.5905230528067199E-3</v>
      </c>
      <c r="Q460" s="79">
        <v>1.4932724930438099E-2</v>
      </c>
      <c r="R460" s="79">
        <v>1</v>
      </c>
      <c r="S460" s="102">
        <v>1.0358532205426618</v>
      </c>
      <c r="T460" s="79">
        <v>6.4354436400681905E-2</v>
      </c>
      <c r="U460" s="79">
        <v>0.58412704905760304</v>
      </c>
      <c r="V460" s="79">
        <v>0.67687167820805205</v>
      </c>
      <c r="W460" s="79">
        <v>1</v>
      </c>
    </row>
    <row r="461" spans="2:23" x14ac:dyDescent="0.2">
      <c r="B461" t="s">
        <v>3796</v>
      </c>
      <c r="C461" s="84">
        <v>477</v>
      </c>
      <c r="D461" s="102">
        <v>0.98268910376235596</v>
      </c>
      <c r="E461" s="79">
        <v>0.155812065352262</v>
      </c>
      <c r="F461" s="79">
        <v>0.91076473086986998</v>
      </c>
      <c r="G461" s="79">
        <v>0.99533029194181499</v>
      </c>
      <c r="H461" s="79">
        <v>1</v>
      </c>
      <c r="I461" s="102">
        <v>0.88424122384651005</v>
      </c>
      <c r="J461" s="79">
        <v>0.13109001777975099</v>
      </c>
      <c r="K461" s="79">
        <v>0.34799772756789599</v>
      </c>
      <c r="L461" s="79">
        <v>0.74109458643718196</v>
      </c>
      <c r="M461" s="79">
        <v>1</v>
      </c>
      <c r="N461" s="102">
        <v>1.322027695426703</v>
      </c>
      <c r="O461" s="79">
        <v>0.141101011115004</v>
      </c>
      <c r="P461" s="79">
        <v>4.7873654193672399E-2</v>
      </c>
      <c r="Q461" s="79">
        <v>9.7826260801062798E-2</v>
      </c>
      <c r="R461" s="79">
        <v>1</v>
      </c>
      <c r="S461" s="102">
        <v>1.0991734888724731</v>
      </c>
      <c r="T461" s="79">
        <v>0.135998573495277</v>
      </c>
      <c r="U461" s="79">
        <v>0.48687323220879603</v>
      </c>
      <c r="V461" s="79">
        <v>0.59722176347697398</v>
      </c>
      <c r="W461" s="79">
        <v>1</v>
      </c>
    </row>
    <row r="462" spans="2:23" x14ac:dyDescent="0.2">
      <c r="B462" t="s">
        <v>3682</v>
      </c>
      <c r="C462" s="84">
        <v>975</v>
      </c>
      <c r="D462" s="102">
        <v>1.0815516342707097</v>
      </c>
      <c r="E462" s="79">
        <v>6.9286053897622796E-2</v>
      </c>
      <c r="F462" s="79">
        <v>0.25784750543111201</v>
      </c>
      <c r="G462" s="79">
        <v>0.85990749347533801</v>
      </c>
      <c r="H462" s="79">
        <v>1</v>
      </c>
      <c r="I462" s="102">
        <v>1.0601813739739743</v>
      </c>
      <c r="J462" s="79">
        <v>6.4981912423084903E-2</v>
      </c>
      <c r="K462" s="79">
        <v>0.36847840619422201</v>
      </c>
      <c r="L462" s="79">
        <v>0.74754780849462499</v>
      </c>
      <c r="M462" s="79">
        <v>1</v>
      </c>
      <c r="N462" s="102">
        <v>1.20541465271556</v>
      </c>
      <c r="O462" s="79">
        <v>6.5911865956530799E-2</v>
      </c>
      <c r="P462" s="79">
        <v>4.5905230528067199E-3</v>
      </c>
      <c r="Q462" s="79">
        <v>1.4932724930438099E-2</v>
      </c>
      <c r="R462" s="79">
        <v>1</v>
      </c>
      <c r="S462" s="102">
        <v>1.0358532205426618</v>
      </c>
      <c r="T462" s="79">
        <v>6.4354436400681905E-2</v>
      </c>
      <c r="U462" s="79">
        <v>0.58412704905760304</v>
      </c>
      <c r="V462" s="79">
        <v>0.67687167820805205</v>
      </c>
      <c r="W462" s="79">
        <v>1</v>
      </c>
    </row>
    <row r="463" spans="2:23" x14ac:dyDescent="0.2">
      <c r="B463" t="s">
        <v>3681</v>
      </c>
      <c r="C463" s="84">
        <v>5039</v>
      </c>
      <c r="D463" s="102">
        <v>1.0440977808841361</v>
      </c>
      <c r="E463" s="79">
        <v>3.7357154584902297E-2</v>
      </c>
      <c r="F463" s="79">
        <v>0.24802870113520001</v>
      </c>
      <c r="G463" s="79">
        <v>0.85990749347533801</v>
      </c>
      <c r="H463" s="79">
        <v>1</v>
      </c>
      <c r="I463" s="102">
        <v>1.0524642122781778</v>
      </c>
      <c r="J463" s="79">
        <v>3.7006634777829901E-2</v>
      </c>
      <c r="K463" s="79">
        <v>0.167045440048712</v>
      </c>
      <c r="L463" s="79">
        <v>0.61332119194255397</v>
      </c>
      <c r="M463" s="79">
        <v>1</v>
      </c>
      <c r="N463" s="102">
        <v>1.1502908762625983</v>
      </c>
      <c r="O463" s="79">
        <v>3.6798996919806801E-2</v>
      </c>
      <c r="P463" s="79">
        <v>1.4188730171980099E-4</v>
      </c>
      <c r="Q463" s="79">
        <v>9.1044351936872298E-4</v>
      </c>
      <c r="R463" s="79">
        <v>0.240357089113343</v>
      </c>
      <c r="S463" s="102">
        <v>1.1231356228986993</v>
      </c>
      <c r="T463" s="79">
        <v>3.6825899817962297E-2</v>
      </c>
      <c r="U463" s="79">
        <v>1.6141587975166099E-3</v>
      </c>
      <c r="V463" s="79">
        <v>6.6368568033813996E-3</v>
      </c>
      <c r="W463" s="79">
        <v>1</v>
      </c>
    </row>
    <row r="464" spans="2:23" x14ac:dyDescent="0.2">
      <c r="B464" t="s">
        <v>1110</v>
      </c>
      <c r="C464" s="84">
        <v>5022</v>
      </c>
      <c r="D464" s="102">
        <v>3.3185468166065102E-2</v>
      </c>
      <c r="E464" s="79">
        <v>8.1393229909084097E-2</v>
      </c>
      <c r="F464" s="79">
        <v>0.68417004376332402</v>
      </c>
      <c r="G464" s="79">
        <v>0.96670198527320195</v>
      </c>
      <c r="H464" s="79">
        <v>1</v>
      </c>
      <c r="I464" s="102">
        <v>-4.5624375600839102E-2</v>
      </c>
      <c r="J464" s="79">
        <v>8.4573504668061197E-2</v>
      </c>
      <c r="K464" s="79">
        <v>0.59051364786451599</v>
      </c>
      <c r="L464" s="79">
        <v>0.86707114921454997</v>
      </c>
      <c r="M464" s="79">
        <v>1</v>
      </c>
      <c r="N464" s="102">
        <v>7.8230375046060605E-2</v>
      </c>
      <c r="O464" s="79">
        <v>8.2453653789750295E-2</v>
      </c>
      <c r="P464" s="79">
        <v>0.34447360001893401</v>
      </c>
      <c r="Q464" s="79">
        <v>0.46129508176448603</v>
      </c>
      <c r="R464" s="79">
        <v>1</v>
      </c>
      <c r="S464" s="102">
        <v>8.3396727322691003E-2</v>
      </c>
      <c r="T464" s="79">
        <v>9.1829675980341099E-2</v>
      </c>
      <c r="U464" s="79">
        <v>0.36545941202361298</v>
      </c>
      <c r="V464" s="79">
        <v>0.48328512409680002</v>
      </c>
      <c r="W464" s="79">
        <v>1</v>
      </c>
    </row>
    <row r="465" spans="2:23" x14ac:dyDescent="0.2">
      <c r="B465" t="s">
        <v>964</v>
      </c>
      <c r="C465" s="84">
        <v>5037</v>
      </c>
      <c r="D465" s="102">
        <v>-3.8360679111932097E-2</v>
      </c>
      <c r="E465" s="79">
        <v>4.1618940111798598E-2</v>
      </c>
      <c r="F465" s="79">
        <v>0.35707623397232102</v>
      </c>
      <c r="G465" s="79">
        <v>0.89461055933914202</v>
      </c>
      <c r="H465" s="79">
        <v>1</v>
      </c>
      <c r="I465" s="102">
        <v>-3.3135553080240299E-2</v>
      </c>
      <c r="J465" s="79">
        <v>4.1081969459789501E-2</v>
      </c>
      <c r="K465" s="79">
        <v>0.42025715137973002</v>
      </c>
      <c r="L465" s="79">
        <v>0.77720045244242597</v>
      </c>
      <c r="M465" s="79">
        <v>1</v>
      </c>
      <c r="N465" s="102">
        <v>4.60976357293068E-2</v>
      </c>
      <c r="O465" s="79">
        <v>4.3203810372947397E-2</v>
      </c>
      <c r="P465" s="79">
        <v>0.28644381892412002</v>
      </c>
      <c r="Q465" s="79">
        <v>0.39871473233973598</v>
      </c>
      <c r="R465" s="79">
        <v>1</v>
      </c>
      <c r="S465" s="102">
        <v>1.3955442878711199E-2</v>
      </c>
      <c r="T465" s="79">
        <v>4.2527290681147599E-2</v>
      </c>
      <c r="U465" s="79">
        <v>0.742919017319987</v>
      </c>
      <c r="V465" s="79">
        <v>0.80108517844688598</v>
      </c>
      <c r="W465" s="79">
        <v>1</v>
      </c>
    </row>
    <row r="466" spans="2:23" x14ac:dyDescent="0.2">
      <c r="B466" t="s">
        <v>3803</v>
      </c>
      <c r="C466" s="84">
        <v>711</v>
      </c>
      <c r="D466" s="102">
        <v>0.95514132377466821</v>
      </c>
      <c r="E466" s="79">
        <v>8.70974291062898E-2</v>
      </c>
      <c r="F466" s="79">
        <v>0.59822850069994105</v>
      </c>
      <c r="G466" s="79">
        <v>0.89461055933914202</v>
      </c>
      <c r="H466" s="79">
        <v>1</v>
      </c>
      <c r="I466" s="102">
        <v>0.90057789023963875</v>
      </c>
      <c r="J466" s="79">
        <v>8.5886768116074999E-2</v>
      </c>
      <c r="K466" s="79">
        <v>0.22274410926651</v>
      </c>
      <c r="L466" s="79">
        <v>0.99629532610271199</v>
      </c>
      <c r="M466" s="79">
        <v>1</v>
      </c>
      <c r="N466" s="102">
        <v>1.0932087785103377</v>
      </c>
      <c r="O466" s="79">
        <v>9.5671760575176706E-2</v>
      </c>
      <c r="P466" s="79">
        <v>0.35160060418593603</v>
      </c>
      <c r="Q466" s="79">
        <v>0.46824797444259098</v>
      </c>
      <c r="R466" s="79">
        <v>1</v>
      </c>
      <c r="S466" s="102">
        <v>1.0140239745924091</v>
      </c>
      <c r="T466" s="79">
        <v>9.3957077032542594E-2</v>
      </c>
      <c r="U466" s="79">
        <v>0.88216721229072403</v>
      </c>
      <c r="V466" s="79">
        <v>0.91632321302480402</v>
      </c>
      <c r="W466" s="79">
        <v>1</v>
      </c>
    </row>
    <row r="467" spans="2:23" x14ac:dyDescent="0.2">
      <c r="B467" t="s">
        <v>3690</v>
      </c>
      <c r="C467" s="84">
        <v>577</v>
      </c>
      <c r="D467" s="102">
        <v>0.92520266484309088</v>
      </c>
      <c r="E467" s="79">
        <v>9.2014400799682497E-2</v>
      </c>
      <c r="F467" s="79">
        <v>0.398169701962304</v>
      </c>
      <c r="G467" s="79">
        <v>0.89461055933914202</v>
      </c>
      <c r="H467" s="79">
        <v>1</v>
      </c>
      <c r="I467" s="102">
        <v>1.0016018331850582</v>
      </c>
      <c r="J467" s="79">
        <v>9.1362126670983104E-2</v>
      </c>
      <c r="K467" s="79">
        <v>0.986022762911275</v>
      </c>
      <c r="L467" s="79">
        <v>0.99629532610271199</v>
      </c>
      <c r="M467" s="79">
        <v>1</v>
      </c>
      <c r="N467" s="102">
        <v>1.0932087785103377</v>
      </c>
      <c r="O467" s="79">
        <v>9.5671760575176706E-2</v>
      </c>
      <c r="P467" s="79">
        <v>0.35160060418593603</v>
      </c>
      <c r="Q467" s="79">
        <v>0.46824797444259098</v>
      </c>
      <c r="R467" s="79">
        <v>1</v>
      </c>
      <c r="S467" s="102">
        <v>1.0140239745924091</v>
      </c>
      <c r="T467" s="79">
        <v>9.3957077032542594E-2</v>
      </c>
      <c r="U467" s="79">
        <v>0.88216721229072403</v>
      </c>
      <c r="V467" s="79">
        <v>0.91632321302480402</v>
      </c>
      <c r="W467" s="79">
        <v>1</v>
      </c>
    </row>
    <row r="468" spans="2:23" x14ac:dyDescent="0.2">
      <c r="B468" t="s">
        <v>3689</v>
      </c>
      <c r="C468" s="84">
        <v>5039</v>
      </c>
      <c r="D468" s="102">
        <v>0.98626912130906585</v>
      </c>
      <c r="E468" s="79">
        <v>4.612537157879E-2</v>
      </c>
      <c r="F468" s="79">
        <v>0.76436886573288898</v>
      </c>
      <c r="G468" s="79">
        <v>0.98333051768739199</v>
      </c>
      <c r="H468" s="79">
        <v>1</v>
      </c>
      <c r="I468" s="102">
        <v>1.020288756462939</v>
      </c>
      <c r="J468" s="79">
        <v>4.6102304646252201E-2</v>
      </c>
      <c r="K468" s="79">
        <v>0.66307159874179999</v>
      </c>
      <c r="L468" s="79">
        <v>0.88734337255888895</v>
      </c>
      <c r="M468" s="79">
        <v>1</v>
      </c>
      <c r="N468" s="102">
        <v>1.0826518538453564</v>
      </c>
      <c r="O468" s="79">
        <v>4.5580225052846798E-2</v>
      </c>
      <c r="P468" s="79">
        <v>8.1459702125892E-2</v>
      </c>
      <c r="Q468" s="79">
        <v>0.14869906832032401</v>
      </c>
      <c r="R468" s="79">
        <v>1</v>
      </c>
      <c r="S468" s="102">
        <v>1.1573103974090257</v>
      </c>
      <c r="T468" s="79">
        <v>4.5577615410094099E-2</v>
      </c>
      <c r="U468" s="79">
        <v>1.3483170790530899E-3</v>
      </c>
      <c r="V468" s="79">
        <v>5.7077075613328502E-3</v>
      </c>
      <c r="W468" s="79">
        <v>1</v>
      </c>
    </row>
    <row r="469" spans="2:23" x14ac:dyDescent="0.2">
      <c r="B469" t="s">
        <v>3396</v>
      </c>
      <c r="C469" s="84">
        <v>1540</v>
      </c>
      <c r="D469" s="102">
        <v>-0.114147970978073</v>
      </c>
      <c r="E469" s="79">
        <v>0.108514858165046</v>
      </c>
      <c r="F469" s="79">
        <v>0.29573421563959801</v>
      </c>
      <c r="G469" s="79">
        <v>0.87846938063621105</v>
      </c>
      <c r="H469" s="79">
        <v>1</v>
      </c>
      <c r="I469" s="102">
        <v>-2.3010891943882401E-2</v>
      </c>
      <c r="J469" s="79">
        <v>9.5339224994931596E-2</v>
      </c>
      <c r="K469" s="79">
        <v>0.80982175764748898</v>
      </c>
      <c r="L469" s="79">
        <v>0.94394379443547805</v>
      </c>
      <c r="M469" s="79">
        <v>1</v>
      </c>
      <c r="N469" s="102">
        <v>-4.6541286033004198E-2</v>
      </c>
      <c r="O469" s="79">
        <v>0.113489986618466</v>
      </c>
      <c r="P469" s="79">
        <v>0.68281638423358004</v>
      </c>
      <c r="Q469" s="79">
        <v>0.77526203410970795</v>
      </c>
      <c r="R469" s="79">
        <v>1</v>
      </c>
      <c r="S469" s="102">
        <v>-0.12662616783461</v>
      </c>
      <c r="T469" s="79">
        <v>9.2185817209313806E-2</v>
      </c>
      <c r="U469" s="79">
        <v>0.17307434153222601</v>
      </c>
      <c r="V469" s="79">
        <v>0.27065668006466898</v>
      </c>
      <c r="W469" s="79">
        <v>1</v>
      </c>
    </row>
    <row r="470" spans="2:23" x14ac:dyDescent="0.2">
      <c r="B470" t="s">
        <v>965</v>
      </c>
      <c r="C470" s="84">
        <v>5037</v>
      </c>
      <c r="D470" s="102">
        <v>1.68339875430683E-2</v>
      </c>
      <c r="E470" s="79">
        <v>3.6536900353683101E-2</v>
      </c>
      <c r="F470" s="79">
        <v>0.64512004692873204</v>
      </c>
      <c r="G470" s="79">
        <v>0.95767440062337605</v>
      </c>
      <c r="H470" s="79">
        <v>1</v>
      </c>
      <c r="I470" s="102">
        <v>-3.3188991482031097E-2</v>
      </c>
      <c r="J470" s="79">
        <v>3.5624773501437099E-2</v>
      </c>
      <c r="K470" s="79">
        <v>0.35183281795257898</v>
      </c>
      <c r="L470" s="79">
        <v>0.74233974250717605</v>
      </c>
      <c r="M470" s="79">
        <v>1</v>
      </c>
      <c r="N470" s="102">
        <v>-1.0556048107236499E-2</v>
      </c>
      <c r="O470" s="79">
        <v>3.5715573754246902E-2</v>
      </c>
      <c r="P470" s="79">
        <v>0.76764916223129098</v>
      </c>
      <c r="Q470" s="79">
        <v>0.84192765831788996</v>
      </c>
      <c r="R470" s="79">
        <v>1</v>
      </c>
      <c r="S470" s="102">
        <v>1.0693781935156001E-2</v>
      </c>
      <c r="T470" s="79">
        <v>3.5481540753480999E-2</v>
      </c>
      <c r="U470" s="79">
        <v>0.76320062956643897</v>
      </c>
      <c r="V470" s="79">
        <v>0.81878522260009401</v>
      </c>
      <c r="W470" s="79">
        <v>1</v>
      </c>
    </row>
    <row r="471" spans="2:23" x14ac:dyDescent="0.2">
      <c r="B471" t="s">
        <v>3792</v>
      </c>
      <c r="C471" s="84">
        <v>5025</v>
      </c>
      <c r="D471" s="102">
        <v>0.97591379284991642</v>
      </c>
      <c r="E471" s="79">
        <v>0.117760944372785</v>
      </c>
      <c r="F471" s="79">
        <v>0.83597996238167105</v>
      </c>
      <c r="G471" s="79">
        <v>0.99362338620020496</v>
      </c>
      <c r="H471" s="79">
        <v>1</v>
      </c>
      <c r="I471" s="102">
        <v>1.1324528780758805</v>
      </c>
      <c r="J471" s="79">
        <v>0.110506139787953</v>
      </c>
      <c r="K471" s="79">
        <v>0.26033388019428799</v>
      </c>
      <c r="L471" s="79">
        <v>0.68025543872958705</v>
      </c>
      <c r="M471" s="79">
        <v>1</v>
      </c>
      <c r="N471" s="102">
        <v>0.96789147693928412</v>
      </c>
      <c r="O471" s="79">
        <v>0.116358191836522</v>
      </c>
      <c r="P471" s="79">
        <v>0.779114786034797</v>
      </c>
      <c r="Q471" s="79">
        <v>0.85094806417984903</v>
      </c>
      <c r="R471" s="79">
        <v>1</v>
      </c>
      <c r="S471" s="102">
        <v>0.99808857211358404</v>
      </c>
      <c r="T471" s="79">
        <v>0.11732205214734701</v>
      </c>
      <c r="U471" s="79">
        <v>0.98698888631846904</v>
      </c>
      <c r="V471" s="79">
        <v>0.99226063704657896</v>
      </c>
      <c r="W471" s="79">
        <v>1</v>
      </c>
    </row>
    <row r="472" spans="2:23" x14ac:dyDescent="0.2">
      <c r="B472" t="s">
        <v>3804</v>
      </c>
      <c r="C472" s="84">
        <v>351</v>
      </c>
      <c r="D472" s="102">
        <v>1.0189224549579223</v>
      </c>
      <c r="E472" s="79">
        <v>0.101204913571386</v>
      </c>
      <c r="F472" s="79">
        <v>0.853052777636505</v>
      </c>
      <c r="G472" s="79">
        <v>0.99362338620020496</v>
      </c>
      <c r="H472" s="79">
        <v>1</v>
      </c>
      <c r="I472" s="102">
        <v>1.1192581862359701</v>
      </c>
      <c r="J472" s="79">
        <v>0.100785930536923</v>
      </c>
      <c r="K472" s="79">
        <v>0.26362012922304801</v>
      </c>
      <c r="L472" s="79">
        <v>0.68025543872958705</v>
      </c>
      <c r="M472" s="79">
        <v>1</v>
      </c>
      <c r="N472" s="102">
        <v>0.96789147693928412</v>
      </c>
      <c r="O472" s="79">
        <v>0.116358191836522</v>
      </c>
      <c r="P472" s="79">
        <v>0.779114786034797</v>
      </c>
      <c r="Q472" s="79">
        <v>0.85094806417984903</v>
      </c>
      <c r="R472" s="79">
        <v>1</v>
      </c>
      <c r="S472" s="102">
        <v>0.99808857211358404</v>
      </c>
      <c r="T472" s="79">
        <v>0.11732205214734701</v>
      </c>
      <c r="U472" s="79">
        <v>0.98698888631846904</v>
      </c>
      <c r="V472" s="79">
        <v>0.99226063704657896</v>
      </c>
      <c r="W472" s="79">
        <v>1</v>
      </c>
    </row>
    <row r="473" spans="2:23" x14ac:dyDescent="0.2">
      <c r="B473" t="s">
        <v>3692</v>
      </c>
      <c r="C473" s="84">
        <v>775</v>
      </c>
      <c r="D473" s="102">
        <v>1.0134247152458853</v>
      </c>
      <c r="E473" s="79">
        <v>8.3840117984932697E-2</v>
      </c>
      <c r="F473" s="79">
        <v>0.873623547174604</v>
      </c>
      <c r="G473" s="79">
        <v>0.99362338620020496</v>
      </c>
      <c r="H473" s="79">
        <v>1</v>
      </c>
      <c r="I473" s="102">
        <v>0.95383371265616113</v>
      </c>
      <c r="J473" s="79">
        <v>8.1311082247460503E-2</v>
      </c>
      <c r="K473" s="79">
        <v>0.56103997115733895</v>
      </c>
      <c r="L473" s="79">
        <v>0.85878159627519401</v>
      </c>
      <c r="M473" s="79">
        <v>1</v>
      </c>
      <c r="N473" s="102">
        <v>1.0594511831685751</v>
      </c>
      <c r="O473" s="79">
        <v>8.1566291762068893E-2</v>
      </c>
      <c r="P473" s="79">
        <v>0.47892936266064001</v>
      </c>
      <c r="Q473" s="79">
        <v>0.596840743293925</v>
      </c>
      <c r="R473" s="79">
        <v>1</v>
      </c>
      <c r="S473" s="102">
        <v>1.0341049507407112</v>
      </c>
      <c r="T473" s="79">
        <v>8.1571348113216896E-2</v>
      </c>
      <c r="U473" s="79">
        <v>0.68097863036480499</v>
      </c>
      <c r="V473" s="79">
        <v>0.74907649340128601</v>
      </c>
      <c r="W473" s="79">
        <v>1</v>
      </c>
    </row>
    <row r="474" spans="2:23" x14ac:dyDescent="0.2">
      <c r="B474" t="s">
        <v>3691</v>
      </c>
      <c r="C474" s="84">
        <v>5039</v>
      </c>
      <c r="D474" s="102">
        <v>1.027052142789856</v>
      </c>
      <c r="E474" s="79">
        <v>4.0891967911193303E-2</v>
      </c>
      <c r="F474" s="79">
        <v>0.51391005863792805</v>
      </c>
      <c r="G474" s="79">
        <v>0.91752655785263504</v>
      </c>
      <c r="H474" s="79">
        <v>1</v>
      </c>
      <c r="I474" s="102">
        <v>1.013438067194987</v>
      </c>
      <c r="J474" s="79">
        <v>4.0637879203065302E-2</v>
      </c>
      <c r="K474" s="79">
        <v>0.74255161688896698</v>
      </c>
      <c r="L474" s="79">
        <v>0.91967633960533601</v>
      </c>
      <c r="M474" s="79">
        <v>1</v>
      </c>
      <c r="N474" s="102">
        <v>0.97116024042759586</v>
      </c>
      <c r="O474" s="79">
        <v>4.0357444488234202E-2</v>
      </c>
      <c r="P474" s="79">
        <v>0.46838133456432601</v>
      </c>
      <c r="Q474" s="79">
        <v>0.58686241179879295</v>
      </c>
      <c r="R474" s="79">
        <v>1</v>
      </c>
      <c r="S474" s="102">
        <v>1.1228344567067794</v>
      </c>
      <c r="T474" s="79">
        <v>4.0315386464474003E-2</v>
      </c>
      <c r="U474" s="79">
        <v>4.0563272825436701E-3</v>
      </c>
      <c r="V474" s="79">
        <v>1.3633766699660699E-2</v>
      </c>
      <c r="W474" s="79">
        <v>1</v>
      </c>
    </row>
    <row r="475" spans="2:23" x14ac:dyDescent="0.2">
      <c r="B475" t="s">
        <v>1106</v>
      </c>
      <c r="C475" s="84">
        <v>5022</v>
      </c>
      <c r="D475" s="102">
        <v>0.113213009861341</v>
      </c>
      <c r="E475" s="79">
        <v>4.6296272753716103E-2</v>
      </c>
      <c r="F475" s="79">
        <v>1.4846923042698501E-2</v>
      </c>
      <c r="G475" s="79">
        <v>0.51533919718045895</v>
      </c>
      <c r="H475" s="79">
        <v>1</v>
      </c>
      <c r="I475" s="102">
        <v>6.6476863242201895E-2</v>
      </c>
      <c r="J475" s="79">
        <v>4.3289186538793198E-2</v>
      </c>
      <c r="K475" s="79">
        <v>0.12532672644371101</v>
      </c>
      <c r="L475" s="79">
        <v>0.55552266356551805</v>
      </c>
      <c r="M475" s="79">
        <v>1</v>
      </c>
      <c r="N475" s="102">
        <v>0.118594450188532</v>
      </c>
      <c r="O475" s="79">
        <v>4.6725126418204997E-2</v>
      </c>
      <c r="P475" s="79">
        <v>1.14742386322178E-2</v>
      </c>
      <c r="Q475" s="79">
        <v>3.1050096234787501E-2</v>
      </c>
      <c r="R475" s="79">
        <v>1</v>
      </c>
      <c r="S475" s="102">
        <v>0.145141879217695</v>
      </c>
      <c r="T475" s="79">
        <v>4.6693804761604403E-2</v>
      </c>
      <c r="U475" s="79">
        <v>1.9975711796042001E-3</v>
      </c>
      <c r="V475" s="79">
        <v>7.7716301541054999E-3</v>
      </c>
      <c r="W475" s="79">
        <v>1</v>
      </c>
    </row>
    <row r="476" spans="2:23" x14ac:dyDescent="0.2">
      <c r="B476" t="s">
        <v>958</v>
      </c>
      <c r="C476" s="84">
        <v>4477</v>
      </c>
      <c r="D476" s="102">
        <v>-3.9167375228163201E-2</v>
      </c>
      <c r="E476" s="79">
        <v>2.4378179267704501E-2</v>
      </c>
      <c r="F476" s="79">
        <v>0.108310000647396</v>
      </c>
      <c r="G476" s="79">
        <v>0.80938271582532695</v>
      </c>
      <c r="H476" s="79">
        <v>1</v>
      </c>
      <c r="I476" s="102">
        <v>-1.00834560840097E-2</v>
      </c>
      <c r="J476" s="79">
        <v>2.36937953153936E-2</v>
      </c>
      <c r="K476" s="79">
        <v>0.67047108024041902</v>
      </c>
      <c r="L476" s="79">
        <v>0.89010815825021194</v>
      </c>
      <c r="M476" s="79">
        <v>1</v>
      </c>
      <c r="N476" s="102">
        <v>3.9528782908121998E-3</v>
      </c>
      <c r="O476" s="79">
        <v>2.40540873707944E-2</v>
      </c>
      <c r="P476" s="79">
        <v>0.86948805609632795</v>
      </c>
      <c r="Q476" s="79">
        <v>0.91428477158732402</v>
      </c>
      <c r="R476" s="79">
        <v>1</v>
      </c>
      <c r="S476" s="102">
        <v>4.3983232657907401E-3</v>
      </c>
      <c r="T476" s="79">
        <v>2.3678550098543898E-2</v>
      </c>
      <c r="U476" s="79">
        <v>0.852661483361006</v>
      </c>
      <c r="V476" s="79">
        <v>0.89437062093717901</v>
      </c>
      <c r="W476" s="79">
        <v>1</v>
      </c>
    </row>
    <row r="477" spans="2:23" x14ac:dyDescent="0.2">
      <c r="B477" t="s">
        <v>3791</v>
      </c>
      <c r="C477" s="84">
        <v>5047</v>
      </c>
      <c r="D477" s="102">
        <v>0.97201058452849798</v>
      </c>
      <c r="E477" s="79">
        <v>5.7406452820869397E-2</v>
      </c>
      <c r="F477" s="79">
        <v>0.62093964817679503</v>
      </c>
      <c r="G477" s="79">
        <v>0.99840985319461195</v>
      </c>
      <c r="H477" s="79">
        <v>1</v>
      </c>
      <c r="I477" s="102">
        <v>0.96534795222740222</v>
      </c>
      <c r="J477" s="79">
        <v>5.6293013833057501E-2</v>
      </c>
      <c r="K477" s="79">
        <v>0.53099755271566296</v>
      </c>
      <c r="L477" s="79">
        <v>0.86322748372014602</v>
      </c>
      <c r="M477" s="79">
        <v>1</v>
      </c>
      <c r="N477" s="102">
        <v>1.0921955997361541</v>
      </c>
      <c r="O477" s="79">
        <v>5.0680127895925201E-2</v>
      </c>
      <c r="P477" s="79">
        <v>8.1836294137870302E-2</v>
      </c>
      <c r="Q477" s="79">
        <v>0.149065249752207</v>
      </c>
      <c r="R477" s="79">
        <v>1</v>
      </c>
      <c r="S477" s="102">
        <v>0.97733455737218322</v>
      </c>
      <c r="T477" s="79">
        <v>4.98647320582397E-2</v>
      </c>
      <c r="U477" s="79">
        <v>0.64568211978080803</v>
      </c>
      <c r="V477" s="79">
        <v>0.718650138573383</v>
      </c>
      <c r="W477" s="79">
        <v>1</v>
      </c>
    </row>
    <row r="478" spans="2:23" x14ac:dyDescent="0.2">
      <c r="B478" t="s">
        <v>3678</v>
      </c>
      <c r="C478" s="84">
        <v>1816</v>
      </c>
      <c r="D478" s="102">
        <v>1.0017327130375362</v>
      </c>
      <c r="E478" s="79">
        <v>5.1463052048036403E-2</v>
      </c>
      <c r="F478" s="79">
        <v>0.97316427835920105</v>
      </c>
      <c r="G478" s="79">
        <v>0.99840985319461195</v>
      </c>
      <c r="H478" s="79">
        <v>1</v>
      </c>
      <c r="I478" s="102">
        <v>0.97278628585163618</v>
      </c>
      <c r="J478" s="79">
        <v>4.9845399031366602E-2</v>
      </c>
      <c r="K478" s="79">
        <v>0.57990134384505698</v>
      </c>
      <c r="L478" s="79">
        <v>0.86322748372014602</v>
      </c>
      <c r="M478" s="79">
        <v>1</v>
      </c>
      <c r="N478" s="102">
        <v>1.0921955997361541</v>
      </c>
      <c r="O478" s="79">
        <v>5.0680127895925201E-2</v>
      </c>
      <c r="P478" s="79">
        <v>8.1836294137870302E-2</v>
      </c>
      <c r="Q478" s="79">
        <v>0.149065249752207</v>
      </c>
      <c r="R478" s="79">
        <v>1</v>
      </c>
      <c r="S478" s="102">
        <v>0.97733455737218322</v>
      </c>
      <c r="T478" s="79">
        <v>4.98647320582397E-2</v>
      </c>
      <c r="U478" s="79">
        <v>0.64568211978080803</v>
      </c>
      <c r="V478" s="79">
        <v>0.718650138573383</v>
      </c>
      <c r="W478" s="79">
        <v>1</v>
      </c>
    </row>
    <row r="479" spans="2:23" x14ac:dyDescent="0.2">
      <c r="B479" t="s">
        <v>3677</v>
      </c>
      <c r="C479" s="84">
        <v>5039</v>
      </c>
      <c r="D479" s="102">
        <v>1.0226612920999221</v>
      </c>
      <c r="E479" s="79">
        <v>3.12435207171472E-2</v>
      </c>
      <c r="F479" s="79">
        <v>0.47324109631434702</v>
      </c>
      <c r="G479" s="79">
        <v>0.91151047511105199</v>
      </c>
      <c r="H479" s="79">
        <v>1</v>
      </c>
      <c r="I479" s="102">
        <v>0.99803744119031024</v>
      </c>
      <c r="J479" s="79">
        <v>3.0983156601300799E-2</v>
      </c>
      <c r="K479" s="79">
        <v>0.94944400308214805</v>
      </c>
      <c r="L479" s="79">
        <v>0.99158948287371096</v>
      </c>
      <c r="M479" s="79">
        <v>1</v>
      </c>
      <c r="N479" s="102">
        <v>1.0456981241030159</v>
      </c>
      <c r="O479" s="79">
        <v>3.0774277249745099E-2</v>
      </c>
      <c r="P479" s="79">
        <v>0.14649733036193499</v>
      </c>
      <c r="Q479" s="79">
        <v>0.235892543340533</v>
      </c>
      <c r="R479" s="79">
        <v>1</v>
      </c>
      <c r="S479" s="102">
        <v>1.0445600128736197</v>
      </c>
      <c r="T479" s="79">
        <v>3.0744157047703499E-2</v>
      </c>
      <c r="U479" s="79">
        <v>0.15618562023174401</v>
      </c>
      <c r="V479" s="79">
        <v>0.251169072451153</v>
      </c>
      <c r="W479" s="79">
        <v>1</v>
      </c>
    </row>
    <row r="480" spans="2:23" x14ac:dyDescent="0.2">
      <c r="B480" t="s">
        <v>3381</v>
      </c>
      <c r="C480" s="84">
        <v>5022</v>
      </c>
      <c r="D480" s="102">
        <v>-5.2108562773502599E-2</v>
      </c>
      <c r="E480" s="79">
        <v>9.4562005719647305E-2</v>
      </c>
      <c r="F480" s="79">
        <v>0.58307252270451904</v>
      </c>
      <c r="G480" s="79">
        <v>0.93838695059676502</v>
      </c>
      <c r="H480" s="79">
        <v>1</v>
      </c>
      <c r="I480" s="102">
        <v>-5.3838277582440898E-2</v>
      </c>
      <c r="J480" s="79">
        <v>9.4512515545179199E-2</v>
      </c>
      <c r="K480" s="79">
        <v>0.57032425962785904</v>
      </c>
      <c r="L480" s="79">
        <v>0.85878159627519401</v>
      </c>
      <c r="M480" s="79">
        <v>1</v>
      </c>
      <c r="N480" s="102">
        <v>-0.18627575266917501</v>
      </c>
      <c r="O480" s="79">
        <v>8.8331436408074199E-2</v>
      </c>
      <c r="P480" s="79">
        <v>3.91936139144346E-2</v>
      </c>
      <c r="Q480" s="79">
        <v>8.2682418394834603E-2</v>
      </c>
      <c r="R480" s="79">
        <v>1</v>
      </c>
      <c r="S480" s="102">
        <v>7.3391174319797706E-2</v>
      </c>
      <c r="T480" s="79">
        <v>0.100376385839299</v>
      </c>
      <c r="U480" s="79">
        <v>0.46657156484159501</v>
      </c>
      <c r="V480" s="79">
        <v>0.57987691184274504</v>
      </c>
      <c r="W480" s="79">
        <v>1</v>
      </c>
    </row>
    <row r="481" spans="2:23" x14ac:dyDescent="0.2">
      <c r="B481" t="s">
        <v>1971</v>
      </c>
      <c r="C481" s="84">
        <v>5021</v>
      </c>
      <c r="D481" s="102">
        <v>0.108124421623781</v>
      </c>
      <c r="E481" s="79">
        <v>8.1105022285277703E-2</v>
      </c>
      <c r="F481" s="79">
        <v>0.18449576077320301</v>
      </c>
      <c r="G481" s="79">
        <v>0.83003013605610498</v>
      </c>
      <c r="H481" s="79">
        <v>1</v>
      </c>
      <c r="I481" s="102">
        <v>-3.4038566661744603E-2</v>
      </c>
      <c r="J481" s="79">
        <v>7.7971973987507506E-2</v>
      </c>
      <c r="K481" s="79">
        <v>0.66304506555675702</v>
      </c>
      <c r="L481" s="79">
        <v>0.88734337255888895</v>
      </c>
      <c r="M481" s="79">
        <v>1</v>
      </c>
      <c r="N481" s="102">
        <v>2.8026438718611001E-2</v>
      </c>
      <c r="O481" s="79">
        <v>8.6324516591066797E-2</v>
      </c>
      <c r="P481" s="79">
        <v>0.74586454554009496</v>
      </c>
      <c r="Q481" s="79">
        <v>0.82820424668463299</v>
      </c>
      <c r="R481" s="79">
        <v>1</v>
      </c>
      <c r="S481" s="102">
        <v>-5.1534926559543602E-3</v>
      </c>
      <c r="T481" s="79">
        <v>7.9684052944073894E-2</v>
      </c>
      <c r="U481" s="79">
        <v>0.94851655276968705</v>
      </c>
      <c r="V481" s="79">
        <v>0.96330158296873503</v>
      </c>
      <c r="W481" s="79">
        <v>1</v>
      </c>
    </row>
    <row r="482" spans="2:23" x14ac:dyDescent="0.2">
      <c r="B482" t="s">
        <v>3829</v>
      </c>
      <c r="C482" s="84">
        <v>2222</v>
      </c>
      <c r="D482" s="102">
        <v>1.0414762732960019</v>
      </c>
      <c r="E482" s="79">
        <v>0.16203701093871001</v>
      </c>
      <c r="F482" s="79">
        <v>0.80196722498348205</v>
      </c>
      <c r="G482" s="79">
        <v>0.99362338620020496</v>
      </c>
      <c r="H482" s="79">
        <v>1</v>
      </c>
      <c r="I482" s="102">
        <v>0.92889785753022502</v>
      </c>
      <c r="J482" s="79">
        <v>0.15892110247348201</v>
      </c>
      <c r="K482" s="79">
        <v>0.64257064076757997</v>
      </c>
      <c r="L482" s="79">
        <v>0.88295581341012397</v>
      </c>
      <c r="M482" s="79">
        <v>1</v>
      </c>
      <c r="N482" s="102">
        <v>1.4528345211262472</v>
      </c>
      <c r="O482" s="79">
        <v>0.16220239023923499</v>
      </c>
      <c r="P482" s="79">
        <v>2.12912000113798E-2</v>
      </c>
      <c r="Q482" s="79">
        <v>5.1014558443108003E-2</v>
      </c>
      <c r="R482" s="79">
        <v>1</v>
      </c>
      <c r="S482" s="102">
        <v>1.3179274578027096</v>
      </c>
      <c r="T482" s="79">
        <v>0.159852687658155</v>
      </c>
      <c r="U482" s="79">
        <v>8.4173502037567502E-2</v>
      </c>
      <c r="V482" s="79">
        <v>0.153652922900473</v>
      </c>
      <c r="W482" s="79">
        <v>1</v>
      </c>
    </row>
    <row r="483" spans="2:23" x14ac:dyDescent="0.2">
      <c r="B483" t="s">
        <v>3713</v>
      </c>
      <c r="C483" s="84">
        <v>5039</v>
      </c>
      <c r="D483" s="102">
        <v>1.0376757558551777</v>
      </c>
      <c r="E483" s="79">
        <v>8.2530972520818799E-2</v>
      </c>
      <c r="F483" s="79">
        <v>0.65407024450875195</v>
      </c>
      <c r="G483" s="79">
        <v>0.95767440062337605</v>
      </c>
      <c r="H483" s="79">
        <v>1</v>
      </c>
      <c r="I483" s="102">
        <v>1.1040621226276188</v>
      </c>
      <c r="J483" s="79">
        <v>8.1662998651756205E-2</v>
      </c>
      <c r="K483" s="79">
        <v>0.22541554129619901</v>
      </c>
      <c r="L483" s="79">
        <v>0.65836883957889802</v>
      </c>
      <c r="M483" s="79">
        <v>1</v>
      </c>
      <c r="N483" s="102">
        <v>1.2169964305448746</v>
      </c>
      <c r="O483" s="79">
        <v>8.1629951819657501E-2</v>
      </c>
      <c r="P483" s="79">
        <v>1.6136802658308001E-2</v>
      </c>
      <c r="Q483" s="79">
        <v>4.0983123992764298E-2</v>
      </c>
      <c r="R483" s="79">
        <v>1</v>
      </c>
      <c r="S483" s="107">
        <v>1.4368595158417166</v>
      </c>
      <c r="T483" s="81">
        <v>8.3096938485912403E-2</v>
      </c>
      <c r="U483" s="81">
        <v>1.2894273956672999E-5</v>
      </c>
      <c r="V483" s="81">
        <v>1.5064069022485601E-4</v>
      </c>
      <c r="W483" s="81">
        <v>2.1842900082604099E-2</v>
      </c>
    </row>
    <row r="484" spans="2:23" x14ac:dyDescent="0.2">
      <c r="B484" t="s">
        <v>3809</v>
      </c>
      <c r="C484" s="84">
        <v>5025</v>
      </c>
      <c r="D484" s="102">
        <v>1.0935201672737147</v>
      </c>
      <c r="E484" s="79">
        <v>0.14482921833804899</v>
      </c>
      <c r="F484" s="79">
        <v>0.53704175107774998</v>
      </c>
      <c r="G484" s="79">
        <v>0.92176676956083303</v>
      </c>
      <c r="H484" s="79">
        <v>1</v>
      </c>
      <c r="I484" s="102">
        <v>1.0005085584556948</v>
      </c>
      <c r="J484" s="79">
        <v>0.14301303758530801</v>
      </c>
      <c r="K484" s="79">
        <v>0.99716342685793202</v>
      </c>
      <c r="L484" s="79">
        <v>0.99775241884071897</v>
      </c>
      <c r="M484" s="79">
        <v>1</v>
      </c>
      <c r="N484" s="102">
        <v>1.1044393614590198</v>
      </c>
      <c r="O484" s="79">
        <v>0.14836407547494701</v>
      </c>
      <c r="P484" s="79">
        <v>0.50314179878530296</v>
      </c>
      <c r="Q484" s="79">
        <v>0.61942020867900005</v>
      </c>
      <c r="R484" s="79">
        <v>1</v>
      </c>
      <c r="S484" s="102">
        <v>1.2068457809364199</v>
      </c>
      <c r="T484" s="79">
        <v>0.145002453382614</v>
      </c>
      <c r="U484" s="79">
        <v>0.19476889440179301</v>
      </c>
      <c r="V484" s="79">
        <v>0.29537914692626399</v>
      </c>
      <c r="W484" s="79">
        <v>1</v>
      </c>
    </row>
    <row r="485" spans="2:23" x14ac:dyDescent="0.2">
      <c r="B485" t="s">
        <v>1113</v>
      </c>
      <c r="C485" s="84">
        <v>5022</v>
      </c>
      <c r="D485" s="102">
        <v>3.56781278323723E-2</v>
      </c>
      <c r="E485" s="79">
        <v>3.5510350153914398E-2</v>
      </c>
      <c r="F485" s="79">
        <v>0.31536701286809898</v>
      </c>
      <c r="G485" s="79">
        <v>0.88730162874475904</v>
      </c>
      <c r="H485" s="79">
        <v>1</v>
      </c>
      <c r="I485" s="102">
        <v>5.1385518926703101E-2</v>
      </c>
      <c r="J485" s="79">
        <v>3.45808372350749E-2</v>
      </c>
      <c r="K485" s="79">
        <v>0.137712264606488</v>
      </c>
      <c r="L485" s="79">
        <v>0.583070994269827</v>
      </c>
      <c r="M485" s="79">
        <v>1</v>
      </c>
      <c r="N485" s="102">
        <v>3.9834009070284802E-2</v>
      </c>
      <c r="O485" s="79">
        <v>3.47707627067586E-2</v>
      </c>
      <c r="P485" s="79">
        <v>0.25232922939666802</v>
      </c>
      <c r="Q485" s="79">
        <v>0.36347424710710502</v>
      </c>
      <c r="R485" s="79">
        <v>1</v>
      </c>
      <c r="S485" s="102">
        <v>7.4439349307115696E-2</v>
      </c>
      <c r="T485" s="79">
        <v>3.5738877354614E-2</v>
      </c>
      <c r="U485" s="79">
        <v>3.7601510415842698E-2</v>
      </c>
      <c r="V485" s="79">
        <v>8.2633049665133601E-2</v>
      </c>
      <c r="W485" s="79">
        <v>1</v>
      </c>
    </row>
    <row r="486" spans="2:23" x14ac:dyDescent="0.2">
      <c r="B486" t="s">
        <v>967</v>
      </c>
      <c r="C486" s="84">
        <v>192</v>
      </c>
      <c r="D486" s="102">
        <v>-4.2075562185338998E-2</v>
      </c>
      <c r="E486" s="79">
        <v>4.8467639513835002E-2</v>
      </c>
      <c r="F486" s="79">
        <v>0.385756485755685</v>
      </c>
      <c r="G486" s="79">
        <v>0.89461055933914202</v>
      </c>
      <c r="H486" s="79">
        <v>1</v>
      </c>
      <c r="I486" s="102">
        <v>4.5519066286404897E-2</v>
      </c>
      <c r="J486" s="79">
        <v>4.4750658609583799E-2</v>
      </c>
      <c r="K486" s="79">
        <v>0.30959049373657199</v>
      </c>
      <c r="L486" s="79">
        <v>0.712776365212754</v>
      </c>
      <c r="M486" s="79">
        <v>1</v>
      </c>
      <c r="N486" s="102">
        <v>-1.4648263319859099E-2</v>
      </c>
      <c r="O486" s="79">
        <v>4.5435835754822601E-2</v>
      </c>
      <c r="P486" s="79">
        <v>0.74728997585607304</v>
      </c>
      <c r="Q486" s="79">
        <v>0.82891866855485397</v>
      </c>
      <c r="R486" s="79">
        <v>1</v>
      </c>
      <c r="S486" s="102">
        <v>-1.4486928978246799E-2</v>
      </c>
      <c r="T486" s="79">
        <v>4.5333508917905503E-2</v>
      </c>
      <c r="U486" s="79">
        <v>0.74943657578715095</v>
      </c>
      <c r="V486" s="79">
        <v>0.80708554315539305</v>
      </c>
      <c r="W486" s="79">
        <v>1</v>
      </c>
    </row>
    <row r="487" spans="2:23" x14ac:dyDescent="0.2">
      <c r="B487" t="s">
        <v>3807</v>
      </c>
      <c r="C487" s="84">
        <v>5025</v>
      </c>
      <c r="D487" s="102">
        <v>0.95391206097180803</v>
      </c>
      <c r="E487" s="79">
        <v>4.7827348076053197E-2</v>
      </c>
      <c r="F487" s="79">
        <v>0.32386615509567102</v>
      </c>
      <c r="G487" s="79">
        <v>0.80938271582532695</v>
      </c>
      <c r="H487" s="79">
        <v>1</v>
      </c>
      <c r="I487" s="102">
        <v>1.0054284446981636</v>
      </c>
      <c r="J487" s="79">
        <v>4.7390604368266503E-2</v>
      </c>
      <c r="K487" s="79">
        <v>0.909049866477594</v>
      </c>
      <c r="L487" s="79">
        <v>0.52118112107649095</v>
      </c>
      <c r="M487" s="79">
        <v>1</v>
      </c>
      <c r="N487" s="102">
        <v>1.1462011957907765</v>
      </c>
      <c r="O487" s="79">
        <v>9.6461599620159003E-2</v>
      </c>
      <c r="P487" s="79">
        <v>0.15719010440172601</v>
      </c>
      <c r="Q487" s="79">
        <v>0.24862748539358001</v>
      </c>
      <c r="R487" s="79">
        <v>1</v>
      </c>
      <c r="S487" s="102">
        <v>0.98504781126737861</v>
      </c>
      <c r="T487" s="79">
        <v>9.5699058908470899E-2</v>
      </c>
      <c r="U487" s="79">
        <v>0.87491258592757204</v>
      </c>
      <c r="V487" s="79">
        <v>0.91038201508679795</v>
      </c>
      <c r="W487" s="79">
        <v>1</v>
      </c>
    </row>
    <row r="488" spans="2:23" x14ac:dyDescent="0.2">
      <c r="B488" t="s">
        <v>3808</v>
      </c>
      <c r="C488" s="84">
        <v>5020</v>
      </c>
      <c r="D488" s="102">
        <v>0.87814937916586899</v>
      </c>
      <c r="E488" s="79">
        <v>9.0260646599244404E-2</v>
      </c>
      <c r="F488" s="79">
        <v>0.149982678218994</v>
      </c>
      <c r="G488" s="79">
        <v>0.80938271582532695</v>
      </c>
      <c r="H488" s="79">
        <v>1</v>
      </c>
      <c r="I488" s="102">
        <v>1.1545927263724509</v>
      </c>
      <c r="J488" s="79">
        <v>8.6058592731079603E-2</v>
      </c>
      <c r="K488" s="79">
        <v>9.4850840111409901E-2</v>
      </c>
      <c r="L488" s="79">
        <v>0.51214458025897003</v>
      </c>
      <c r="M488" s="79">
        <v>1</v>
      </c>
      <c r="N488" s="102">
        <v>1.3296226070694726</v>
      </c>
      <c r="O488" s="79">
        <v>8.8576649581680406E-2</v>
      </c>
      <c r="P488" s="79">
        <v>1.2982400293038701E-3</v>
      </c>
      <c r="Q488" s="79">
        <v>5.4034855273728602E-3</v>
      </c>
      <c r="R488" s="79">
        <v>1</v>
      </c>
      <c r="S488" s="102">
        <v>1.1807267379390836</v>
      </c>
      <c r="T488" s="79">
        <v>8.7952364454928905E-2</v>
      </c>
      <c r="U488" s="79">
        <v>5.8909942260644901E-2</v>
      </c>
      <c r="V488" s="79">
        <v>0.116038886266898</v>
      </c>
      <c r="W488" s="79">
        <v>1</v>
      </c>
    </row>
    <row r="489" spans="2:23" x14ac:dyDescent="0.2">
      <c r="B489" t="s">
        <v>3696</v>
      </c>
      <c r="C489" s="84">
        <v>521</v>
      </c>
      <c r="D489" s="102">
        <v>0.85015890109939807</v>
      </c>
      <c r="E489" s="79">
        <v>0.102858998682949</v>
      </c>
      <c r="F489" s="79">
        <v>0.114519820354339</v>
      </c>
      <c r="G489" s="79">
        <v>0.80938271582532695</v>
      </c>
      <c r="H489" s="79">
        <v>1</v>
      </c>
      <c r="I489" s="102">
        <v>1.1673493697158082</v>
      </c>
      <c r="J489" s="79">
        <v>9.4069974413799606E-2</v>
      </c>
      <c r="K489" s="79">
        <v>9.9990474822821501E-2</v>
      </c>
      <c r="L489" s="79">
        <v>0.52118112107649095</v>
      </c>
      <c r="M489" s="79">
        <v>1</v>
      </c>
      <c r="N489" s="102">
        <v>1.1462011957907765</v>
      </c>
      <c r="O489" s="79">
        <v>9.6461599620159003E-2</v>
      </c>
      <c r="P489" s="79">
        <v>0.15719010440172601</v>
      </c>
      <c r="Q489" s="79">
        <v>0.24862748539358001</v>
      </c>
      <c r="R489" s="79">
        <v>1</v>
      </c>
      <c r="S489" s="102">
        <v>0.98504781126737861</v>
      </c>
      <c r="T489" s="79">
        <v>9.5699058908470899E-2</v>
      </c>
      <c r="U489" s="79">
        <v>0.87491258592757204</v>
      </c>
      <c r="V489" s="79">
        <v>0.91038201508679795</v>
      </c>
      <c r="W489" s="79">
        <v>1</v>
      </c>
    </row>
    <row r="490" spans="2:23" x14ac:dyDescent="0.2">
      <c r="B490" t="s">
        <v>3695</v>
      </c>
      <c r="C490" s="84">
        <v>5039</v>
      </c>
      <c r="D490" s="102">
        <v>1.0429637714857403</v>
      </c>
      <c r="E490" s="79">
        <v>5.0236510058401698E-2</v>
      </c>
      <c r="F490" s="79">
        <v>0.40238580815464298</v>
      </c>
      <c r="G490" s="79">
        <v>0.89461055933914202</v>
      </c>
      <c r="H490" s="79">
        <v>1</v>
      </c>
      <c r="I490" s="102">
        <v>0.9904788198750264</v>
      </c>
      <c r="J490" s="79">
        <v>4.9419886682597697E-2</v>
      </c>
      <c r="K490" s="79">
        <v>0.84650325950065297</v>
      </c>
      <c r="L490" s="79">
        <v>0.95866825390514199</v>
      </c>
      <c r="M490" s="79">
        <v>1</v>
      </c>
      <c r="N490" s="102">
        <v>1.0948991490020668</v>
      </c>
      <c r="O490" s="79">
        <v>4.9307267076727501E-2</v>
      </c>
      <c r="P490" s="79">
        <v>6.5956381551406595E-2</v>
      </c>
      <c r="Q490" s="79">
        <v>0.12711047821169799</v>
      </c>
      <c r="R490" s="79">
        <v>1</v>
      </c>
      <c r="S490" s="102">
        <v>1.1021865923764382</v>
      </c>
      <c r="T490" s="79">
        <v>4.9363617239989603E-2</v>
      </c>
      <c r="U490" s="79">
        <v>4.8723114891130001E-2</v>
      </c>
      <c r="V490" s="79">
        <v>9.9923676302148004E-2</v>
      </c>
      <c r="W490" s="79">
        <v>1</v>
      </c>
    </row>
    <row r="491" spans="2:23" x14ac:dyDescent="0.2">
      <c r="B491" t="s">
        <v>1972</v>
      </c>
      <c r="C491" s="84">
        <v>5022</v>
      </c>
      <c r="D491" s="102">
        <v>5.8755028349291298E-2</v>
      </c>
      <c r="E491" s="79">
        <v>9.51978428926398E-2</v>
      </c>
      <c r="F491" s="79">
        <v>0.53869608965399995</v>
      </c>
      <c r="G491" s="79">
        <v>0.92176886451906703</v>
      </c>
      <c r="H491" s="79">
        <v>1</v>
      </c>
      <c r="I491" s="102">
        <v>-2.9080977899476699E-2</v>
      </c>
      <c r="J491" s="79">
        <v>9.1808638576768797E-2</v>
      </c>
      <c r="K491" s="79">
        <v>0.75226449406906903</v>
      </c>
      <c r="L491" s="79">
        <v>0.92209555206440197</v>
      </c>
      <c r="M491" s="79">
        <v>1</v>
      </c>
      <c r="N491" s="102">
        <v>-5.5872281293623503E-2</v>
      </c>
      <c r="O491" s="79">
        <v>9.9927206931594403E-2</v>
      </c>
      <c r="P491" s="79">
        <v>0.57763160493530596</v>
      </c>
      <c r="Q491" s="79">
        <v>0.68484486394882604</v>
      </c>
      <c r="R491" s="79">
        <v>1</v>
      </c>
      <c r="S491" s="102">
        <v>7.0206621644709005E-2</v>
      </c>
      <c r="T491" s="79">
        <v>0.10904933276979301</v>
      </c>
      <c r="U491" s="79">
        <v>0.52124657100298299</v>
      </c>
      <c r="V491" s="79">
        <v>0.62540367168191902</v>
      </c>
      <c r="W491" s="79">
        <v>1</v>
      </c>
    </row>
    <row r="492" spans="2:23" x14ac:dyDescent="0.2">
      <c r="B492" t="s">
        <v>1970</v>
      </c>
      <c r="C492" s="84">
        <v>5021</v>
      </c>
      <c r="D492" s="102">
        <v>-4.5422952429954401E-2</v>
      </c>
      <c r="E492" s="79">
        <v>8.6526583552177502E-2</v>
      </c>
      <c r="F492" s="79">
        <v>0.60038775354420904</v>
      </c>
      <c r="G492" s="79">
        <v>0.94340566501007395</v>
      </c>
      <c r="H492" s="79">
        <v>1</v>
      </c>
      <c r="I492" s="102">
        <v>2.26850850189198E-2</v>
      </c>
      <c r="J492" s="79">
        <v>8.0306704309996396E-2</v>
      </c>
      <c r="K492" s="79">
        <v>0.777974402096268</v>
      </c>
      <c r="L492" s="79">
        <v>0.92863930730510702</v>
      </c>
      <c r="M492" s="79">
        <v>1</v>
      </c>
      <c r="N492" s="102">
        <v>4.7708108992132903E-2</v>
      </c>
      <c r="O492" s="79">
        <v>8.5958376188737307E-2</v>
      </c>
      <c r="P492" s="79">
        <v>0.57969723941649498</v>
      </c>
      <c r="Q492" s="79">
        <v>0.68528061658865502</v>
      </c>
      <c r="R492" s="79">
        <v>1</v>
      </c>
      <c r="S492" s="102">
        <v>-6.4820264349852802E-2</v>
      </c>
      <c r="T492" s="79">
        <v>7.8954644844083599E-2</v>
      </c>
      <c r="U492" s="79">
        <v>0.41297694393177198</v>
      </c>
      <c r="V492" s="79">
        <v>0.53015297121358596</v>
      </c>
      <c r="W492" s="79">
        <v>1</v>
      </c>
    </row>
    <row r="493" spans="2:23" x14ac:dyDescent="0.2">
      <c r="B493" t="s">
        <v>3823</v>
      </c>
      <c r="C493" s="84">
        <v>312</v>
      </c>
      <c r="D493" s="102">
        <v>0.96372149680625674</v>
      </c>
      <c r="E493" s="79">
        <v>0.15692224807472799</v>
      </c>
      <c r="F493" s="79">
        <v>0.81383185368974498</v>
      </c>
      <c r="G493" s="79">
        <v>0.99362338620020496</v>
      </c>
      <c r="H493" s="79">
        <v>1</v>
      </c>
      <c r="I493" s="102">
        <v>0.9954996467616487</v>
      </c>
      <c r="J493" s="79">
        <v>0.15418121591061201</v>
      </c>
      <c r="K493" s="79">
        <v>0.976661532681803</v>
      </c>
      <c r="L493" s="79">
        <v>0.99629532610271199</v>
      </c>
      <c r="M493" s="79">
        <v>1</v>
      </c>
      <c r="N493" s="102">
        <v>1.1625352330766858</v>
      </c>
      <c r="O493" s="79">
        <v>0.15576223428613301</v>
      </c>
      <c r="P493" s="79">
        <v>0.33360474174754401</v>
      </c>
      <c r="Q493" s="79">
        <v>0.450299946231346</v>
      </c>
      <c r="R493" s="79">
        <v>1</v>
      </c>
      <c r="S493" s="102">
        <v>1.2717960646986499</v>
      </c>
      <c r="T493" s="79">
        <v>0.15706559190570901</v>
      </c>
      <c r="U493" s="79">
        <v>0.125828089031603</v>
      </c>
      <c r="V493" s="79">
        <v>0.212377498088407</v>
      </c>
      <c r="W493" s="79">
        <v>1</v>
      </c>
    </row>
    <row r="494" spans="2:23" x14ac:dyDescent="0.2">
      <c r="B494" t="s">
        <v>3708</v>
      </c>
      <c r="C494" s="84">
        <v>5039</v>
      </c>
      <c r="D494" s="102">
        <v>1.0586586241559219</v>
      </c>
      <c r="E494" s="79">
        <v>8.3140994658988096E-2</v>
      </c>
      <c r="F494" s="79">
        <v>0.49295633879624101</v>
      </c>
      <c r="G494" s="79">
        <v>0.91678121217168596</v>
      </c>
      <c r="H494" s="79">
        <v>1</v>
      </c>
      <c r="I494" s="102">
        <v>1.197237832174302</v>
      </c>
      <c r="J494" s="79">
        <v>8.26129435326272E-2</v>
      </c>
      <c r="K494" s="79">
        <v>2.9328527293348901E-2</v>
      </c>
      <c r="L494" s="79">
        <v>0.33059084247570197</v>
      </c>
      <c r="M494" s="79">
        <v>1</v>
      </c>
      <c r="N494" s="102">
        <v>1.1963090163515331</v>
      </c>
      <c r="O494" s="79">
        <v>8.1561650160584101E-2</v>
      </c>
      <c r="P494" s="79">
        <v>2.7976648512961302E-2</v>
      </c>
      <c r="Q494" s="79">
        <v>6.36140168871899E-2</v>
      </c>
      <c r="R494" s="79">
        <v>1</v>
      </c>
      <c r="S494" s="102">
        <v>1.3207522169419033</v>
      </c>
      <c r="T494" s="79">
        <v>8.2067219891222898E-2</v>
      </c>
      <c r="U494" s="79">
        <v>6.9912632613221997E-4</v>
      </c>
      <c r="V494" s="79">
        <v>3.4032183806551198E-3</v>
      </c>
      <c r="W494" s="79">
        <v>1</v>
      </c>
    </row>
    <row r="495" spans="2:23" x14ac:dyDescent="0.2">
      <c r="B495" t="s">
        <v>1116</v>
      </c>
      <c r="C495" s="84">
        <v>5022</v>
      </c>
      <c r="D495" s="102">
        <v>-3.8866019789862198E-2</v>
      </c>
      <c r="E495" s="79">
        <v>3.5617811935513499E-2</v>
      </c>
      <c r="F495" s="79">
        <v>0.27550184265794597</v>
      </c>
      <c r="G495" s="79">
        <v>0.86861170490914397</v>
      </c>
      <c r="H495" s="79">
        <v>1</v>
      </c>
      <c r="I495" s="102">
        <v>7.7676010223089098E-3</v>
      </c>
      <c r="J495" s="79">
        <v>3.3334436638267101E-2</v>
      </c>
      <c r="K495" s="79">
        <v>0.81580370229004595</v>
      </c>
      <c r="L495" s="79">
        <v>0.94785423297622595</v>
      </c>
      <c r="M495" s="79">
        <v>1</v>
      </c>
      <c r="N495" s="102">
        <v>7.3747188257402299E-2</v>
      </c>
      <c r="O495" s="79">
        <v>3.3958194124741103E-2</v>
      </c>
      <c r="P495" s="79">
        <v>3.01591373681399E-2</v>
      </c>
      <c r="Q495" s="79">
        <v>6.7489535933459702E-2</v>
      </c>
      <c r="R495" s="79">
        <v>1</v>
      </c>
      <c r="S495" s="102">
        <v>8.6563512572206694E-2</v>
      </c>
      <c r="T495" s="79">
        <v>3.5103016761785198E-2</v>
      </c>
      <c r="U495" s="79">
        <v>1.38694274404396E-2</v>
      </c>
      <c r="V495" s="79">
        <v>3.63696750527936E-2</v>
      </c>
      <c r="W495" s="79">
        <v>1</v>
      </c>
    </row>
    <row r="496" spans="2:23" x14ac:dyDescent="0.2">
      <c r="B496" t="s">
        <v>972</v>
      </c>
      <c r="C496" s="84">
        <v>5021</v>
      </c>
      <c r="D496" s="102">
        <v>4.5506490695793399E-2</v>
      </c>
      <c r="E496" s="79">
        <v>4.2597606773982097E-2</v>
      </c>
      <c r="F496" s="79">
        <v>0.28586553519497299</v>
      </c>
      <c r="G496" s="79">
        <v>0.86861170490914397</v>
      </c>
      <c r="H496" s="79">
        <v>1</v>
      </c>
      <c r="I496" s="102">
        <v>5.7110440044182899E-2</v>
      </c>
      <c r="J496" s="79">
        <v>4.00428610785665E-2</v>
      </c>
      <c r="K496" s="79">
        <v>0.15437583028191201</v>
      </c>
      <c r="L496" s="79">
        <v>0.59601477595142704</v>
      </c>
      <c r="M496" s="79">
        <v>1</v>
      </c>
      <c r="N496" s="102">
        <v>1.8306659002565701E-2</v>
      </c>
      <c r="O496" s="79">
        <v>4.5013719739460903E-2</v>
      </c>
      <c r="P496" s="79">
        <v>0.68439545389866996</v>
      </c>
      <c r="Q496" s="79">
        <v>0.77612928139715698</v>
      </c>
      <c r="R496" s="79">
        <v>1</v>
      </c>
      <c r="S496" s="102">
        <v>2.99537528981767E-2</v>
      </c>
      <c r="T496" s="79">
        <v>4.3175047926940199E-2</v>
      </c>
      <c r="U496" s="79">
        <v>0.48812022933384303</v>
      </c>
      <c r="V496" s="79">
        <v>0.59831813928475397</v>
      </c>
      <c r="W496" s="79">
        <v>1</v>
      </c>
    </row>
    <row r="497" spans="2:23" x14ac:dyDescent="0.2">
      <c r="B497" t="s">
        <v>3815</v>
      </c>
      <c r="C497" s="84">
        <v>916</v>
      </c>
      <c r="D497" s="102">
        <v>0.98901930413744055</v>
      </c>
      <c r="E497" s="79">
        <v>4.3558557675322802E-2</v>
      </c>
      <c r="F497" s="79">
        <v>0.799893668967816</v>
      </c>
      <c r="G497" s="79">
        <v>0.84071215771938901</v>
      </c>
      <c r="H497" s="79">
        <v>1</v>
      </c>
      <c r="I497" s="102">
        <v>1.1021252118602616</v>
      </c>
      <c r="J497" s="79">
        <v>4.31830694081487E-2</v>
      </c>
      <c r="K497" s="79">
        <v>2.4333902104972299E-2</v>
      </c>
      <c r="L497" s="79">
        <v>0.838479597790041</v>
      </c>
      <c r="M497" s="79">
        <v>1</v>
      </c>
      <c r="N497" s="102">
        <v>0.91714032449006699</v>
      </c>
      <c r="O497" s="79">
        <v>9.4327834383955297E-2</v>
      </c>
      <c r="P497" s="79">
        <v>0.359163924415561</v>
      </c>
      <c r="Q497" s="79">
        <v>0.47570264891318298</v>
      </c>
      <c r="R497" s="79">
        <v>1</v>
      </c>
      <c r="S497" s="102">
        <v>1.1023627482243294</v>
      </c>
      <c r="T497" s="79">
        <v>9.0225082604679305E-2</v>
      </c>
      <c r="U497" s="79">
        <v>0.28007930669626702</v>
      </c>
      <c r="V497" s="79">
        <v>0.39308562182558099</v>
      </c>
      <c r="W497" s="79">
        <v>1</v>
      </c>
    </row>
    <row r="498" spans="2:23" x14ac:dyDescent="0.2">
      <c r="B498" t="s">
        <v>3816</v>
      </c>
      <c r="C498" s="84">
        <v>537</v>
      </c>
      <c r="D498" s="102">
        <v>1.0167652094299977</v>
      </c>
      <c r="E498" s="79">
        <v>8.5870521836026503E-2</v>
      </c>
      <c r="F498" s="79">
        <v>0.84647367276468299</v>
      </c>
      <c r="G498" s="79">
        <v>0.99362338620020496</v>
      </c>
      <c r="H498" s="79">
        <v>1</v>
      </c>
      <c r="I498" s="102">
        <v>1.0901834607747032</v>
      </c>
      <c r="J498" s="79">
        <v>7.9862870078017997E-2</v>
      </c>
      <c r="K498" s="79">
        <v>0.27961784992857702</v>
      </c>
      <c r="L498" s="79">
        <v>0.69537030386512999</v>
      </c>
      <c r="M498" s="79">
        <v>1</v>
      </c>
      <c r="N498" s="102">
        <v>1.0229112273737755</v>
      </c>
      <c r="O498" s="79">
        <v>8.1222823900502894E-2</v>
      </c>
      <c r="P498" s="79">
        <v>0.78032477298997605</v>
      </c>
      <c r="Q498" s="79">
        <v>0.85136497526611998</v>
      </c>
      <c r="R498" s="79">
        <v>1</v>
      </c>
      <c r="S498" s="102">
        <v>1.1845307832185978</v>
      </c>
      <c r="T498" s="79">
        <v>8.4667940700368302E-2</v>
      </c>
      <c r="U498" s="79">
        <v>4.5486426450034999E-2</v>
      </c>
      <c r="V498" s="79">
        <v>9.4777375653578494E-2</v>
      </c>
      <c r="W498" s="79">
        <v>1</v>
      </c>
    </row>
    <row r="499" spans="2:23" x14ac:dyDescent="0.2">
      <c r="B499" t="s">
        <v>3703</v>
      </c>
      <c r="C499" s="84">
        <v>559</v>
      </c>
      <c r="D499" s="102">
        <v>0.89747388297693642</v>
      </c>
      <c r="E499" s="79">
        <v>8.9404181283754394E-2</v>
      </c>
      <c r="F499" s="79">
        <v>0.226312374459434</v>
      </c>
      <c r="G499" s="79">
        <v>0.84071215771938901</v>
      </c>
      <c r="H499" s="79">
        <v>1</v>
      </c>
      <c r="I499" s="102">
        <v>1.0540300083231693</v>
      </c>
      <c r="J499" s="79">
        <v>8.3411647254688498E-2</v>
      </c>
      <c r="K499" s="79">
        <v>0.52813325315346704</v>
      </c>
      <c r="L499" s="79">
        <v>0.838479597790041</v>
      </c>
      <c r="M499" s="79">
        <v>1</v>
      </c>
      <c r="N499" s="102">
        <v>0.91714032449006699</v>
      </c>
      <c r="O499" s="79">
        <v>9.4327834383955297E-2</v>
      </c>
      <c r="P499" s="79">
        <v>0.359163924415561</v>
      </c>
      <c r="Q499" s="79">
        <v>0.47570264891318298</v>
      </c>
      <c r="R499" s="79">
        <v>1</v>
      </c>
      <c r="S499" s="102">
        <v>1.1023627482243294</v>
      </c>
      <c r="T499" s="79">
        <v>9.0225082604679305E-2</v>
      </c>
      <c r="U499" s="79">
        <v>0.28007930669626702</v>
      </c>
      <c r="V499" s="79">
        <v>0.39308562182558099</v>
      </c>
      <c r="W499" s="79">
        <v>1</v>
      </c>
    </row>
    <row r="500" spans="2:23" x14ac:dyDescent="0.2">
      <c r="B500" t="s">
        <v>3702</v>
      </c>
      <c r="C500" s="84">
        <v>5039</v>
      </c>
      <c r="D500" s="102">
        <v>0.99528633188403326</v>
      </c>
      <c r="E500" s="79">
        <v>4.7650745023963603E-2</v>
      </c>
      <c r="F500" s="79">
        <v>0.92101515584417903</v>
      </c>
      <c r="G500" s="79">
        <v>0.99605333311574995</v>
      </c>
      <c r="H500" s="79">
        <v>1</v>
      </c>
      <c r="I500" s="102">
        <v>1.1170392152646522</v>
      </c>
      <c r="J500" s="79">
        <v>4.7186820674492799E-2</v>
      </c>
      <c r="K500" s="79">
        <v>1.8996243775515901E-2</v>
      </c>
      <c r="L500" s="79">
        <v>0.27486214009729198</v>
      </c>
      <c r="M500" s="79">
        <v>1</v>
      </c>
      <c r="N500" s="107">
        <v>1.2449756815613613</v>
      </c>
      <c r="O500" s="81">
        <v>4.72345134646667E-2</v>
      </c>
      <c r="P500" s="81">
        <v>3.5027520550957401E-6</v>
      </c>
      <c r="Q500" s="81">
        <v>3.85302726060531E-5</v>
      </c>
      <c r="R500" s="81">
        <v>5.9336619813321802E-3</v>
      </c>
      <c r="S500" s="102">
        <v>1.2017506216045033</v>
      </c>
      <c r="T500" s="79">
        <v>4.7267013475168901E-2</v>
      </c>
      <c r="U500" s="79">
        <v>1.01027865586961E-4</v>
      </c>
      <c r="V500" s="79">
        <v>7.1308835126796595E-4</v>
      </c>
      <c r="W500" s="79">
        <v>0.17114120430431201</v>
      </c>
    </row>
    <row r="501" spans="2:23" x14ac:dyDescent="0.2">
      <c r="B501" t="s">
        <v>3723</v>
      </c>
      <c r="C501" s="84">
        <v>1796</v>
      </c>
      <c r="D501" s="102">
        <v>1.1690864869979423</v>
      </c>
      <c r="E501" s="79">
        <v>7.6571931762385803E-2</v>
      </c>
      <c r="F501" s="79">
        <v>4.13296188276603E-2</v>
      </c>
      <c r="G501" s="79">
        <v>0.67784404055428704</v>
      </c>
      <c r="H501" s="79">
        <v>1</v>
      </c>
      <c r="I501" s="102">
        <v>1.0572426652628863</v>
      </c>
      <c r="J501" s="79">
        <v>7.4463145340531098E-2</v>
      </c>
      <c r="K501" s="79">
        <v>0.45473701783935699</v>
      </c>
      <c r="L501" s="79">
        <v>0.79746066051088205</v>
      </c>
      <c r="M501" s="79">
        <v>1</v>
      </c>
      <c r="N501" s="102">
        <v>1.0381489209114738</v>
      </c>
      <c r="O501" s="79">
        <v>7.2943574935243102E-2</v>
      </c>
      <c r="P501" s="79">
        <v>0.60776730996249095</v>
      </c>
      <c r="Q501" s="79">
        <v>0.70906186162290596</v>
      </c>
      <c r="R501" s="79">
        <v>1</v>
      </c>
      <c r="S501" s="102">
        <v>1.1140104012790608</v>
      </c>
      <c r="T501" s="79">
        <v>7.44769559343543E-2</v>
      </c>
      <c r="U501" s="79">
        <v>0.14715255222551499</v>
      </c>
      <c r="V501" s="79">
        <v>0.24084678596137399</v>
      </c>
      <c r="W501" s="79">
        <v>1</v>
      </c>
    </row>
    <row r="502" spans="2:23" x14ac:dyDescent="0.2">
      <c r="B502" t="s">
        <v>1122</v>
      </c>
      <c r="C502" s="84">
        <v>5022</v>
      </c>
      <c r="D502" s="102">
        <v>6.42548148099292E-2</v>
      </c>
      <c r="E502" s="79">
        <v>2.6854638155015799E-2</v>
      </c>
      <c r="F502" s="79">
        <v>1.68549341438613E-2</v>
      </c>
      <c r="G502" s="79">
        <v>0.55281858177092402</v>
      </c>
      <c r="H502" s="79">
        <v>1</v>
      </c>
      <c r="I502" s="102">
        <v>2.0669797855128999E-2</v>
      </c>
      <c r="J502" s="79">
        <v>2.6630593846088398E-2</v>
      </c>
      <c r="K502" s="79">
        <v>0.43777849045901801</v>
      </c>
      <c r="L502" s="79">
        <v>0.78893272642295398</v>
      </c>
      <c r="M502" s="79">
        <v>1</v>
      </c>
      <c r="N502" s="102">
        <v>-1.23401041819642E-3</v>
      </c>
      <c r="O502" s="79">
        <v>2.5691336822618802E-2</v>
      </c>
      <c r="P502" s="79">
        <v>0.96169733353732201</v>
      </c>
      <c r="Q502" s="79">
        <v>0.97162446917484802</v>
      </c>
      <c r="R502" s="79">
        <v>1</v>
      </c>
      <c r="S502" s="102">
        <v>6.5599917303115707E-2</v>
      </c>
      <c r="T502" s="79">
        <v>2.6233436097425799E-2</v>
      </c>
      <c r="U502" s="79">
        <v>1.25104629349872E-2</v>
      </c>
      <c r="V502" s="79">
        <v>3.3321893414887303E-2</v>
      </c>
      <c r="W502" s="79">
        <v>1</v>
      </c>
    </row>
    <row r="503" spans="2:23" x14ac:dyDescent="0.2">
      <c r="B503" t="s">
        <v>979</v>
      </c>
      <c r="C503" s="84">
        <v>5021</v>
      </c>
      <c r="D503" s="102">
        <v>-2.8324485317702201E-2</v>
      </c>
      <c r="E503" s="79">
        <v>2.0875402518872599E-2</v>
      </c>
      <c r="F503" s="79">
        <v>0.174964557617381</v>
      </c>
      <c r="G503" s="79">
        <v>0.82269534195605698</v>
      </c>
      <c r="H503" s="79">
        <v>1</v>
      </c>
      <c r="I503" s="102">
        <v>4.5738486116038901E-3</v>
      </c>
      <c r="J503" s="79">
        <v>2.0408296785546901E-2</v>
      </c>
      <c r="K503" s="79">
        <v>0.82268638423993901</v>
      </c>
      <c r="L503" s="79">
        <v>0.94998686769083596</v>
      </c>
      <c r="M503" s="79">
        <v>1</v>
      </c>
      <c r="N503" s="102">
        <v>-3.1288100116320598E-2</v>
      </c>
      <c r="O503" s="79">
        <v>2.0544105479200801E-2</v>
      </c>
      <c r="P503" s="79">
        <v>0.127903265361104</v>
      </c>
      <c r="Q503" s="79">
        <v>0.21117751610303101</v>
      </c>
      <c r="R503" s="79">
        <v>1</v>
      </c>
      <c r="S503" s="102">
        <v>-1.9813467056534001E-2</v>
      </c>
      <c r="T503" s="79">
        <v>2.0463882378593801E-2</v>
      </c>
      <c r="U503" s="79">
        <v>0.33303794591333002</v>
      </c>
      <c r="V503" s="79">
        <v>0.44953488476269399</v>
      </c>
      <c r="W503" s="79">
        <v>1</v>
      </c>
    </row>
    <row r="504" spans="2:23" x14ac:dyDescent="0.2">
      <c r="B504" t="s">
        <v>3827</v>
      </c>
      <c r="C504" s="84">
        <v>5025</v>
      </c>
      <c r="D504" s="102">
        <v>1.0197467842176655</v>
      </c>
      <c r="E504" s="79">
        <v>3.9902126476987702E-2</v>
      </c>
      <c r="F504" s="79">
        <v>0.62409304493117002</v>
      </c>
      <c r="G504" s="79">
        <v>0.72211647124377798</v>
      </c>
      <c r="H504" s="79">
        <v>1</v>
      </c>
      <c r="I504" s="102">
        <v>0.95671627415028138</v>
      </c>
      <c r="J504" s="79">
        <v>3.9721460520360199E-2</v>
      </c>
      <c r="K504" s="79">
        <v>0.26529324124986398</v>
      </c>
      <c r="L504" s="79">
        <v>0.59040772609061598</v>
      </c>
      <c r="M504" s="79">
        <v>1</v>
      </c>
      <c r="N504" s="102">
        <v>1.1720192378483894</v>
      </c>
      <c r="O504" s="79">
        <v>5.3922653239374403E-2</v>
      </c>
      <c r="P504" s="79">
        <v>3.2439210646251801E-3</v>
      </c>
      <c r="Q504" s="79">
        <v>1.11014187544951E-2</v>
      </c>
      <c r="R504" s="79">
        <v>1</v>
      </c>
      <c r="S504" s="102">
        <v>1.1165982527719773</v>
      </c>
      <c r="T504" s="79">
        <v>5.3958110111976501E-2</v>
      </c>
      <c r="U504" s="79">
        <v>4.09601166454579E-2</v>
      </c>
      <c r="V504" s="79">
        <v>8.7503324525656401E-2</v>
      </c>
      <c r="W504" s="79">
        <v>1</v>
      </c>
    </row>
    <row r="505" spans="2:23" x14ac:dyDescent="0.2">
      <c r="B505" t="s">
        <v>3828</v>
      </c>
      <c r="C505" s="84">
        <v>5025</v>
      </c>
      <c r="D505" s="102">
        <v>0.90346614894109933</v>
      </c>
      <c r="E505" s="79">
        <v>6.7473699764428102E-2</v>
      </c>
      <c r="F505" s="79">
        <v>0.13244331245480401</v>
      </c>
      <c r="G505" s="79">
        <v>0.80938271582532695</v>
      </c>
      <c r="H505" s="79">
        <v>1</v>
      </c>
      <c r="I505" s="102">
        <v>1.0739330199134094</v>
      </c>
      <c r="J505" s="79">
        <v>6.6241521648582602E-2</v>
      </c>
      <c r="K505" s="79">
        <v>0.28157799982766102</v>
      </c>
      <c r="L505" s="79">
        <v>0.69629861564010298</v>
      </c>
      <c r="M505" s="79">
        <v>1</v>
      </c>
      <c r="N505" s="102">
        <v>1.1206228380134375</v>
      </c>
      <c r="O505" s="79">
        <v>6.3878503329108799E-2</v>
      </c>
      <c r="P505" s="79">
        <v>7.4613664538371899E-2</v>
      </c>
      <c r="Q505" s="79">
        <v>0.140283626779137</v>
      </c>
      <c r="R505" s="79">
        <v>1</v>
      </c>
      <c r="S505" s="102">
        <v>1.1894793214507275</v>
      </c>
      <c r="T505" s="79">
        <v>6.6533200556018399E-2</v>
      </c>
      <c r="U505" s="79">
        <v>9.1084634507899807E-3</v>
      </c>
      <c r="V505" s="79">
        <v>2.62422608663209E-2</v>
      </c>
      <c r="W505" s="79">
        <v>1</v>
      </c>
    </row>
    <row r="506" spans="2:23" x14ac:dyDescent="0.2">
      <c r="B506" t="s">
        <v>3712</v>
      </c>
      <c r="C506" s="84">
        <v>2425</v>
      </c>
      <c r="D506" s="102">
        <v>0.90251060258855764</v>
      </c>
      <c r="E506" s="79">
        <v>5.5079232335001602E-2</v>
      </c>
      <c r="F506" s="79">
        <v>6.2558804018458203E-2</v>
      </c>
      <c r="G506" s="79">
        <v>0.72211647124377798</v>
      </c>
      <c r="H506" s="79">
        <v>1</v>
      </c>
      <c r="I506" s="102">
        <v>1.081180822778756</v>
      </c>
      <c r="J506" s="79">
        <v>5.3481235235427901E-2</v>
      </c>
      <c r="K506" s="79">
        <v>0.14443815809073901</v>
      </c>
      <c r="L506" s="79">
        <v>0.59040772609061598</v>
      </c>
      <c r="M506" s="79">
        <v>1</v>
      </c>
      <c r="N506" s="102">
        <v>1.1720192378483894</v>
      </c>
      <c r="O506" s="79">
        <v>5.3922653239374403E-2</v>
      </c>
      <c r="P506" s="79">
        <v>3.2439210646251801E-3</v>
      </c>
      <c r="Q506" s="79">
        <v>1.11014187544951E-2</v>
      </c>
      <c r="R506" s="79">
        <v>1</v>
      </c>
      <c r="S506" s="102">
        <v>1.1165982527719773</v>
      </c>
      <c r="T506" s="79">
        <v>5.3958110111976501E-2</v>
      </c>
      <c r="U506" s="79">
        <v>4.09601166454579E-2</v>
      </c>
      <c r="V506" s="79">
        <v>8.7503324525656401E-2</v>
      </c>
      <c r="W506" s="79">
        <v>1</v>
      </c>
    </row>
    <row r="507" spans="2:23" x14ac:dyDescent="0.2">
      <c r="B507" t="s">
        <v>3711</v>
      </c>
      <c r="C507" s="84">
        <v>5039</v>
      </c>
      <c r="D507" s="102">
        <v>0.98688981174060042</v>
      </c>
      <c r="E507" s="79">
        <v>3.2318876445914899E-2</v>
      </c>
      <c r="F507" s="79">
        <v>0.68302872490179101</v>
      </c>
      <c r="G507" s="79">
        <v>0.96670198527320195</v>
      </c>
      <c r="H507" s="79">
        <v>1</v>
      </c>
      <c r="I507" s="102">
        <v>1.0086383784897659</v>
      </c>
      <c r="J507" s="79">
        <v>3.2110111346202001E-2</v>
      </c>
      <c r="K507" s="79">
        <v>0.78880068928364799</v>
      </c>
      <c r="L507" s="79">
        <v>0.93377244419741401</v>
      </c>
      <c r="M507" s="79">
        <v>1</v>
      </c>
      <c r="N507" s="102">
        <v>0.9649418591752309</v>
      </c>
      <c r="O507" s="79">
        <v>3.1861985804547702E-2</v>
      </c>
      <c r="P507" s="79">
        <v>0.26268694826452799</v>
      </c>
      <c r="Q507" s="79">
        <v>0.37488769196302502</v>
      </c>
      <c r="R507" s="79">
        <v>1</v>
      </c>
      <c r="S507" s="102">
        <v>1.0197074248515432</v>
      </c>
      <c r="T507" s="79">
        <v>3.1810053370555702E-2</v>
      </c>
      <c r="U507" s="79">
        <v>0.539539963840165</v>
      </c>
      <c r="V507" s="79">
        <v>0.64093024758337103</v>
      </c>
      <c r="W507" s="79">
        <v>1</v>
      </c>
    </row>
    <row r="508" spans="2:23" x14ac:dyDescent="0.2">
      <c r="B508" t="s">
        <v>1124</v>
      </c>
      <c r="C508" s="84">
        <v>5022</v>
      </c>
      <c r="D508" s="102">
        <v>3.81774230152419E-2</v>
      </c>
      <c r="E508" s="79">
        <v>2.6003686113794201E-2</v>
      </c>
      <c r="F508" s="79">
        <v>0.142273425979</v>
      </c>
      <c r="G508" s="79">
        <v>0.80938271582532695</v>
      </c>
      <c r="H508" s="79">
        <v>1</v>
      </c>
      <c r="I508" s="102">
        <v>3.2688757104431601E-2</v>
      </c>
      <c r="J508" s="79">
        <v>2.6210863279506499E-2</v>
      </c>
      <c r="K508" s="79">
        <v>0.21253826324213801</v>
      </c>
      <c r="L508" s="79">
        <v>0.64989136810863102</v>
      </c>
      <c r="M508" s="79">
        <v>1</v>
      </c>
      <c r="N508" s="102">
        <v>2.9817642473876999E-2</v>
      </c>
      <c r="O508" s="79">
        <v>2.4864394927662799E-2</v>
      </c>
      <c r="P508" s="79">
        <v>0.23063503903374999</v>
      </c>
      <c r="Q508" s="79">
        <v>0.33767999664924198</v>
      </c>
      <c r="R508" s="79">
        <v>1</v>
      </c>
      <c r="S508" s="102">
        <v>4.8237749854707503E-2</v>
      </c>
      <c r="T508" s="79">
        <v>2.5857695599347402E-2</v>
      </c>
      <c r="U508" s="79">
        <v>6.2304251719249401E-2</v>
      </c>
      <c r="V508" s="79">
        <v>0.121174974067059</v>
      </c>
      <c r="W508" s="79">
        <v>1</v>
      </c>
    </row>
    <row r="509" spans="2:23" x14ac:dyDescent="0.2">
      <c r="B509" t="s">
        <v>981</v>
      </c>
      <c r="C509" s="84">
        <v>5021</v>
      </c>
      <c r="D509" s="102">
        <v>-2.5031199241753701E-2</v>
      </c>
      <c r="E509" s="79">
        <v>2.36281653682337E-2</v>
      </c>
      <c r="F509" s="79">
        <v>0.28956151707656802</v>
      </c>
      <c r="G509" s="79">
        <v>0.86861170490914397</v>
      </c>
      <c r="H509" s="79">
        <v>1</v>
      </c>
      <c r="I509" s="102">
        <v>4.4513882487636604E-3</v>
      </c>
      <c r="J509" s="79">
        <v>2.2623864907148301E-2</v>
      </c>
      <c r="K509" s="79">
        <v>0.84404039324079005</v>
      </c>
      <c r="L509" s="79">
        <v>0.95812349699803201</v>
      </c>
      <c r="M509" s="79">
        <v>1</v>
      </c>
      <c r="N509" s="102">
        <v>-1.9473656279953E-3</v>
      </c>
      <c r="O509" s="79">
        <v>2.2228410652664E-2</v>
      </c>
      <c r="P509" s="79">
        <v>0.93019859314759801</v>
      </c>
      <c r="Q509" s="79">
        <v>0.95061921202892796</v>
      </c>
      <c r="R509" s="79">
        <v>1</v>
      </c>
      <c r="S509" s="102">
        <v>5.1442050853886196E-3</v>
      </c>
      <c r="T509" s="79">
        <v>2.2345391149410199E-2</v>
      </c>
      <c r="U509" s="79">
        <v>0.81795169328950201</v>
      </c>
      <c r="V509" s="79">
        <v>0.86546543937065401</v>
      </c>
      <c r="W509" s="79">
        <v>1</v>
      </c>
    </row>
    <row r="510" spans="2:23" x14ac:dyDescent="0.2">
      <c r="B510" t="s">
        <v>3831</v>
      </c>
      <c r="C510" s="84">
        <v>5025</v>
      </c>
      <c r="D510" s="102">
        <v>1.0353239759998931</v>
      </c>
      <c r="E510" s="79">
        <v>3.6195776911896002E-2</v>
      </c>
      <c r="F510" s="79">
        <v>0.337521892136176</v>
      </c>
      <c r="G510" s="79">
        <v>0.91474555648546896</v>
      </c>
      <c r="H510" s="79">
        <v>1</v>
      </c>
      <c r="I510" s="102">
        <v>0.98885329720688908</v>
      </c>
      <c r="J510" s="79">
        <v>3.5954923089844402E-2</v>
      </c>
      <c r="K510" s="79">
        <v>0.75522322101530903</v>
      </c>
      <c r="L510" s="79">
        <v>0.48713190240675902</v>
      </c>
      <c r="M510" s="79">
        <v>1</v>
      </c>
      <c r="N510" s="102">
        <v>1.0469740768920357</v>
      </c>
      <c r="O510" s="79">
        <v>4.6786413522314697E-2</v>
      </c>
      <c r="P510" s="79">
        <v>0.32652212231046901</v>
      </c>
      <c r="Q510" s="79">
        <v>0.44285706580779399</v>
      </c>
      <c r="R510" s="79">
        <v>1</v>
      </c>
      <c r="S510" s="102">
        <v>1.0838322302304577</v>
      </c>
      <c r="T510" s="79">
        <v>4.7063177493246899E-2</v>
      </c>
      <c r="U510" s="79">
        <v>8.7167342024343702E-2</v>
      </c>
      <c r="V510" s="79">
        <v>0.15758962368115101</v>
      </c>
      <c r="W510" s="79">
        <v>1</v>
      </c>
    </row>
    <row r="511" spans="2:23" x14ac:dyDescent="0.2">
      <c r="B511" t="s">
        <v>3832</v>
      </c>
      <c r="C511" s="84">
        <v>1449</v>
      </c>
      <c r="D511" s="102">
        <v>0.94086064910942857</v>
      </c>
      <c r="E511" s="79">
        <v>6.1361126446211098E-2</v>
      </c>
      <c r="F511" s="79">
        <v>0.32048254968787998</v>
      </c>
      <c r="G511" s="79">
        <v>0.88730162874475904</v>
      </c>
      <c r="H511" s="79">
        <v>1</v>
      </c>
      <c r="I511" s="102">
        <v>1.0746831158834027</v>
      </c>
      <c r="J511" s="79">
        <v>6.05567074550089E-2</v>
      </c>
      <c r="K511" s="79">
        <v>0.23428428603815399</v>
      </c>
      <c r="L511" s="79">
        <v>0.66141104862732303</v>
      </c>
      <c r="M511" s="79">
        <v>1</v>
      </c>
      <c r="N511" s="102">
        <v>1.113411724500099</v>
      </c>
      <c r="O511" s="79">
        <v>5.81867071996282E-2</v>
      </c>
      <c r="P511" s="79">
        <v>6.4851626779243804E-2</v>
      </c>
      <c r="Q511" s="79">
        <v>0.125266426184765</v>
      </c>
      <c r="R511" s="79">
        <v>1</v>
      </c>
      <c r="S511" s="102">
        <v>1.1249389143280031</v>
      </c>
      <c r="T511" s="79">
        <v>6.03721967214726E-2</v>
      </c>
      <c r="U511" s="79">
        <v>5.1170290959345201E-2</v>
      </c>
      <c r="V511" s="79">
        <v>0.104185664525398</v>
      </c>
      <c r="W511" s="79">
        <v>1</v>
      </c>
    </row>
    <row r="512" spans="2:23" x14ac:dyDescent="0.2">
      <c r="B512" t="s">
        <v>3717</v>
      </c>
      <c r="C512" s="84">
        <v>1972</v>
      </c>
      <c r="D512" s="102">
        <v>1.0355863338350875</v>
      </c>
      <c r="E512" s="79">
        <v>4.9697289913452902E-2</v>
      </c>
      <c r="F512" s="79">
        <v>0.48167239456023497</v>
      </c>
      <c r="G512" s="79">
        <v>0.91474555648546896</v>
      </c>
      <c r="H512" s="79">
        <v>1</v>
      </c>
      <c r="I512" s="102">
        <v>1.0856262533596461</v>
      </c>
      <c r="J512" s="79">
        <v>4.7670923141325802E-2</v>
      </c>
      <c r="K512" s="79">
        <v>8.4812638029720597E-2</v>
      </c>
      <c r="L512" s="79">
        <v>0.48713190240675902</v>
      </c>
      <c r="M512" s="79">
        <v>1</v>
      </c>
      <c r="N512" s="102">
        <v>1.0469740768920357</v>
      </c>
      <c r="O512" s="79">
        <v>4.6786413522314697E-2</v>
      </c>
      <c r="P512" s="79">
        <v>0.32652212231046901</v>
      </c>
      <c r="Q512" s="79">
        <v>0.44285706580779399</v>
      </c>
      <c r="R512" s="79">
        <v>1</v>
      </c>
      <c r="S512" s="102">
        <v>1.0838322302304577</v>
      </c>
      <c r="T512" s="79">
        <v>4.7063177493246899E-2</v>
      </c>
      <c r="U512" s="79">
        <v>8.7167342024343702E-2</v>
      </c>
      <c r="V512" s="79">
        <v>0.15758962368115101</v>
      </c>
      <c r="W512" s="79">
        <v>1</v>
      </c>
    </row>
    <row r="513" spans="2:23" x14ac:dyDescent="0.2">
      <c r="B513" t="s">
        <v>3716</v>
      </c>
      <c r="C513" s="84">
        <v>5039</v>
      </c>
      <c r="D513" s="102">
        <v>1.0281397379844379</v>
      </c>
      <c r="E513" s="79">
        <v>3.1206016985771499E-2</v>
      </c>
      <c r="F513" s="79">
        <v>0.37384912388935798</v>
      </c>
      <c r="G513" s="79">
        <v>0.89461055933914202</v>
      </c>
      <c r="H513" s="79">
        <v>1</v>
      </c>
      <c r="I513" s="102">
        <v>1.0471259311765293</v>
      </c>
      <c r="J513" s="79">
        <v>3.0955416398437002E-2</v>
      </c>
      <c r="K513" s="79">
        <v>0.136857049999485</v>
      </c>
      <c r="L513" s="79">
        <v>0.583070994269827</v>
      </c>
      <c r="M513" s="79">
        <v>1</v>
      </c>
      <c r="N513" s="102">
        <v>1.0364775868087905</v>
      </c>
      <c r="O513" s="79">
        <v>3.0715265657483799E-2</v>
      </c>
      <c r="P513" s="79">
        <v>0.243429828110931</v>
      </c>
      <c r="Q513" s="79">
        <v>0.35366220310455998</v>
      </c>
      <c r="R513" s="79">
        <v>1</v>
      </c>
      <c r="S513" s="102">
        <v>0.99835173170379787</v>
      </c>
      <c r="T513" s="79">
        <v>3.0657835908036599E-2</v>
      </c>
      <c r="U513" s="79">
        <v>0.95708836046228996</v>
      </c>
      <c r="V513" s="79">
        <v>0.969681628363109</v>
      </c>
      <c r="W513" s="79">
        <v>1</v>
      </c>
    </row>
    <row r="514" spans="2:23" x14ac:dyDescent="0.2">
      <c r="B514" t="s">
        <v>1125</v>
      </c>
      <c r="C514" s="84">
        <v>5022</v>
      </c>
      <c r="D514" s="102">
        <v>1.42119109854333E-2</v>
      </c>
      <c r="E514" s="79">
        <v>3.23912504476669E-2</v>
      </c>
      <c r="F514" s="79">
        <v>0.66095521973411697</v>
      </c>
      <c r="G514" s="79">
        <v>0.95861142314177605</v>
      </c>
      <c r="H514" s="79">
        <v>1</v>
      </c>
      <c r="I514" s="102">
        <v>-1.57997186745239E-3</v>
      </c>
      <c r="J514" s="79">
        <v>3.2666778502896197E-2</v>
      </c>
      <c r="K514" s="79">
        <v>0.96143536211929104</v>
      </c>
      <c r="L514" s="79">
        <v>0.99551534580938295</v>
      </c>
      <c r="M514" s="79">
        <v>1</v>
      </c>
      <c r="N514" s="102">
        <v>-2.6774796522945499E-3</v>
      </c>
      <c r="O514" s="79">
        <v>3.06539616323467E-2</v>
      </c>
      <c r="P514" s="79">
        <v>0.93041715085239796</v>
      </c>
      <c r="Q514" s="79">
        <v>0.95061921202892796</v>
      </c>
      <c r="R514" s="79">
        <v>1</v>
      </c>
      <c r="S514" s="102">
        <v>2.0796126878360799E-2</v>
      </c>
      <c r="T514" s="79">
        <v>3.1609484687354299E-2</v>
      </c>
      <c r="U514" s="79">
        <v>0.51077839870712605</v>
      </c>
      <c r="V514" s="79">
        <v>0.61672031889513301</v>
      </c>
      <c r="W514" s="79">
        <v>1</v>
      </c>
    </row>
    <row r="515" spans="2:23" x14ac:dyDescent="0.2">
      <c r="B515" t="s">
        <v>982</v>
      </c>
      <c r="C515" s="84">
        <v>5021</v>
      </c>
      <c r="D515" s="102">
        <v>2.0223740491262101E-2</v>
      </c>
      <c r="E515" s="79">
        <v>2.35663388285779E-2</v>
      </c>
      <c r="F515" s="79">
        <v>0.39091466061306901</v>
      </c>
      <c r="G515" s="79">
        <v>0.89461055933914202</v>
      </c>
      <c r="H515" s="79">
        <v>1</v>
      </c>
      <c r="I515" s="102">
        <v>-1.7729357821084401E-3</v>
      </c>
      <c r="J515" s="79">
        <v>2.3425868066451298E-2</v>
      </c>
      <c r="K515" s="79">
        <v>0.93967957984962702</v>
      </c>
      <c r="L515" s="79">
        <v>0.98659835007379004</v>
      </c>
      <c r="M515" s="79">
        <v>1</v>
      </c>
      <c r="N515" s="102">
        <v>-4.2436136099668197E-2</v>
      </c>
      <c r="O515" s="79">
        <v>2.3174126720791301E-2</v>
      </c>
      <c r="P515" s="79">
        <v>6.7234468164332706E-2</v>
      </c>
      <c r="Q515" s="79">
        <v>0.12939149371220801</v>
      </c>
      <c r="R515" s="79">
        <v>1</v>
      </c>
      <c r="S515" s="102">
        <v>-3.0892820564010201E-2</v>
      </c>
      <c r="T515" s="79">
        <v>2.2911224375418801E-2</v>
      </c>
      <c r="U515" s="79">
        <v>0.17770380009487299</v>
      </c>
      <c r="V515" s="79">
        <v>0.27592139079808897</v>
      </c>
      <c r="W515" s="79">
        <v>1</v>
      </c>
    </row>
    <row r="516" spans="2:23" x14ac:dyDescent="0.2">
      <c r="B516" t="s">
        <v>3833</v>
      </c>
      <c r="C516" s="84">
        <v>5025</v>
      </c>
      <c r="D516" s="102">
        <v>1.0507076504379791</v>
      </c>
      <c r="E516" s="79">
        <v>4.3413113633876198E-2</v>
      </c>
      <c r="F516" s="79">
        <v>0.25454607166204501</v>
      </c>
      <c r="G516" s="79">
        <v>0.988344463507694</v>
      </c>
      <c r="H516" s="79">
        <v>1</v>
      </c>
      <c r="I516" s="102">
        <v>0.89447404580225187</v>
      </c>
      <c r="J516" s="79">
        <v>4.3254496793265797E-2</v>
      </c>
      <c r="K516" s="79">
        <v>9.9312189560852703E-3</v>
      </c>
      <c r="L516" s="79">
        <v>0.91399514845934504</v>
      </c>
      <c r="M516" s="79">
        <v>1</v>
      </c>
      <c r="N516" s="102">
        <v>1.3999056423895746</v>
      </c>
      <c r="O516" s="79">
        <v>8.5352939167189598E-2</v>
      </c>
      <c r="P516" s="79">
        <v>8.1028139923369601E-5</v>
      </c>
      <c r="Q516" s="79">
        <v>5.6719697946358701E-4</v>
      </c>
      <c r="R516" s="79">
        <v>0.13726166903018799</v>
      </c>
      <c r="S516" s="102">
        <v>1.2716325343662969</v>
      </c>
      <c r="T516" s="79">
        <v>8.4341695769238806E-2</v>
      </c>
      <c r="U516" s="79">
        <v>4.3837200061591104E-3</v>
      </c>
      <c r="V516" s="79">
        <v>1.44475130164077E-2</v>
      </c>
      <c r="W516" s="79">
        <v>1</v>
      </c>
    </row>
    <row r="517" spans="2:23" x14ac:dyDescent="0.2">
      <c r="B517" t="s">
        <v>3834</v>
      </c>
      <c r="C517" s="84">
        <v>5025</v>
      </c>
      <c r="D517" s="102">
        <v>0.91203776983431672</v>
      </c>
      <c r="E517" s="79">
        <v>0.10521946576167999</v>
      </c>
      <c r="F517" s="79">
        <v>0.38153852060140298</v>
      </c>
      <c r="G517" s="79">
        <v>0.89461055933914202</v>
      </c>
      <c r="H517" s="79">
        <v>1</v>
      </c>
      <c r="I517" s="102">
        <v>1.1161919487908867</v>
      </c>
      <c r="J517" s="79">
        <v>0.104263992837191</v>
      </c>
      <c r="K517" s="79">
        <v>0.29175735928458701</v>
      </c>
      <c r="L517" s="79">
        <v>0.70524280748930701</v>
      </c>
      <c r="M517" s="79">
        <v>1</v>
      </c>
      <c r="N517" s="102">
        <v>1.1693689060581225</v>
      </c>
      <c r="O517" s="79">
        <v>9.8950450829953296E-2</v>
      </c>
      <c r="P517" s="79">
        <v>0.113823644126538</v>
      </c>
      <c r="Q517" s="79">
        <v>0.19285849851541001</v>
      </c>
      <c r="R517" s="79">
        <v>1</v>
      </c>
      <c r="S517" s="102">
        <v>1.2738099305489912</v>
      </c>
      <c r="T517" s="79">
        <v>0.102250130784296</v>
      </c>
      <c r="U517" s="79">
        <v>1.7939428186526201E-2</v>
      </c>
      <c r="V517" s="79">
        <v>4.5155113444242799E-2</v>
      </c>
      <c r="W517" s="79">
        <v>1</v>
      </c>
    </row>
    <row r="518" spans="2:23" x14ac:dyDescent="0.2">
      <c r="B518" t="s">
        <v>3719</v>
      </c>
      <c r="C518" s="84">
        <v>1910</v>
      </c>
      <c r="D518" s="102">
        <v>0.97673630112979304</v>
      </c>
      <c r="E518" s="79">
        <v>8.5227529935478899E-2</v>
      </c>
      <c r="F518" s="79">
        <v>0.78240593489677301</v>
      </c>
      <c r="G518" s="79">
        <v>0.988344463507694</v>
      </c>
      <c r="H518" s="79">
        <v>1</v>
      </c>
      <c r="I518" s="102">
        <v>1.0314989515581519</v>
      </c>
      <c r="J518" s="79">
        <v>8.5239172807311206E-2</v>
      </c>
      <c r="K518" s="79">
        <v>0.71598085124294597</v>
      </c>
      <c r="L518" s="79">
        <v>0.91399514845934504</v>
      </c>
      <c r="M518" s="79">
        <v>1</v>
      </c>
      <c r="N518" s="102">
        <v>1.3999056423895746</v>
      </c>
      <c r="O518" s="79">
        <v>8.5352939167189598E-2</v>
      </c>
      <c r="P518" s="79">
        <v>8.1028139923369601E-5</v>
      </c>
      <c r="Q518" s="79">
        <v>5.6719697946358701E-4</v>
      </c>
      <c r="R518" s="79">
        <v>0.13726166903018799</v>
      </c>
      <c r="S518" s="102">
        <v>1.2716325343662969</v>
      </c>
      <c r="T518" s="79">
        <v>8.4341695769238806E-2</v>
      </c>
      <c r="U518" s="79">
        <v>4.3837200061591104E-3</v>
      </c>
      <c r="V518" s="79">
        <v>1.44475130164077E-2</v>
      </c>
      <c r="W518" s="79">
        <v>1</v>
      </c>
    </row>
    <row r="519" spans="2:23" x14ac:dyDescent="0.2">
      <c r="B519" t="s">
        <v>3718</v>
      </c>
      <c r="C519" s="84">
        <v>5039</v>
      </c>
      <c r="D519" s="102">
        <v>1.0587735948521395</v>
      </c>
      <c r="E519" s="79">
        <v>3.3007230427052003E-2</v>
      </c>
      <c r="F519" s="79">
        <v>8.3582957342334493E-2</v>
      </c>
      <c r="G519" s="79">
        <v>0.74561034814826599</v>
      </c>
      <c r="H519" s="79">
        <v>1</v>
      </c>
      <c r="I519" s="102">
        <v>0.97159038709426582</v>
      </c>
      <c r="J519" s="79">
        <v>3.2769604611273297E-2</v>
      </c>
      <c r="K519" s="79">
        <v>0.37912843801065099</v>
      </c>
      <c r="L519" s="79">
        <v>0.75782823609722505</v>
      </c>
      <c r="M519" s="79">
        <v>1</v>
      </c>
      <c r="N519" s="102">
        <v>0.96629192170734068</v>
      </c>
      <c r="O519" s="79">
        <v>3.2434171509076001E-2</v>
      </c>
      <c r="P519" s="79">
        <v>0.29042189662997597</v>
      </c>
      <c r="Q519" s="79">
        <v>0.40292767640555199</v>
      </c>
      <c r="R519" s="79">
        <v>1</v>
      </c>
      <c r="S519" s="102">
        <v>0.99187405374221482</v>
      </c>
      <c r="T519" s="79">
        <v>3.2296025189693503E-2</v>
      </c>
      <c r="U519" s="79">
        <v>0.80054943425428304</v>
      </c>
      <c r="V519" s="79">
        <v>0.85077210892519195</v>
      </c>
      <c r="W519" s="79">
        <v>1</v>
      </c>
    </row>
    <row r="520" spans="2:23" x14ac:dyDescent="0.2">
      <c r="B520" t="s">
        <v>1103</v>
      </c>
      <c r="C520" s="84">
        <v>5022</v>
      </c>
      <c r="D520" s="102">
        <v>1.5681540561618801E-2</v>
      </c>
      <c r="E520" s="79">
        <v>1.36248597973224E-2</v>
      </c>
      <c r="F520" s="79">
        <v>0.24982190710111299</v>
      </c>
      <c r="G520" s="79">
        <v>0.85990749347533801</v>
      </c>
      <c r="H520" s="79">
        <v>1</v>
      </c>
      <c r="I520" s="102">
        <v>-2.6041096037243599E-3</v>
      </c>
      <c r="J520" s="79">
        <v>1.3625470169426401E-2</v>
      </c>
      <c r="K520" s="79">
        <v>0.84844044214744496</v>
      </c>
      <c r="L520" s="79">
        <v>0.95881128018530504</v>
      </c>
      <c r="M520" s="79">
        <v>1</v>
      </c>
      <c r="N520" s="107">
        <v>5.9560740789015298E-2</v>
      </c>
      <c r="O520" s="81">
        <v>1.34294489233106E-2</v>
      </c>
      <c r="P520" s="81">
        <v>9.4464873228001408E-6</v>
      </c>
      <c r="Q520" s="81">
        <v>9.3580991373236496E-5</v>
      </c>
      <c r="R520" s="81">
        <v>1.6002349524823399E-2</v>
      </c>
      <c r="S520" s="107">
        <v>7.1766601308395198E-2</v>
      </c>
      <c r="T520" s="81">
        <v>1.3624066094307099E-2</v>
      </c>
      <c r="U520" s="81">
        <v>1.45045021176759E-7</v>
      </c>
      <c r="V520" s="81">
        <v>3.24960499419727E-6</v>
      </c>
      <c r="W520" s="81">
        <v>2.4570626587342998E-4</v>
      </c>
    </row>
    <row r="521" spans="2:23" x14ac:dyDescent="0.2">
      <c r="B521" t="s">
        <v>3377</v>
      </c>
      <c r="C521" s="84">
        <v>4068</v>
      </c>
      <c r="D521" s="102">
        <v>6.8875838301667098E-3</v>
      </c>
      <c r="E521" s="79">
        <v>2.0862635617930801E-2</v>
      </c>
      <c r="F521" s="79">
        <v>0.74132394750141795</v>
      </c>
      <c r="G521" s="79">
        <v>0.979098679061011</v>
      </c>
      <c r="H521" s="79">
        <v>1</v>
      </c>
      <c r="I521" s="102">
        <v>3.04209574204885E-2</v>
      </c>
      <c r="J521" s="79">
        <v>2.09810612116293E-2</v>
      </c>
      <c r="K521" s="79">
        <v>0.14721335266844099</v>
      </c>
      <c r="L521" s="79">
        <v>0.59094649151739098</v>
      </c>
      <c r="M521" s="79">
        <v>1</v>
      </c>
      <c r="N521" s="102">
        <v>5.2448348187171201E-2</v>
      </c>
      <c r="O521" s="79">
        <v>2.0552906123872301E-2</v>
      </c>
      <c r="P521" s="79">
        <v>1.07778183209727E-2</v>
      </c>
      <c r="Q521" s="79">
        <v>2.9543081287585399E-2</v>
      </c>
      <c r="R521" s="79">
        <v>1</v>
      </c>
      <c r="S521" s="102">
        <v>3.59305846196862E-2</v>
      </c>
      <c r="T521" s="79">
        <v>2.05467869081996E-2</v>
      </c>
      <c r="U521" s="79">
        <v>8.0470833982833598E-2</v>
      </c>
      <c r="V521" s="79">
        <v>0.14804499453678399</v>
      </c>
      <c r="W521" s="79">
        <v>1</v>
      </c>
    </row>
    <row r="522" spans="2:23" x14ac:dyDescent="0.2">
      <c r="B522" t="s">
        <v>1102</v>
      </c>
      <c r="C522" s="84">
        <v>4068</v>
      </c>
      <c r="D522" s="102">
        <v>-1.7375591471179899E-3</v>
      </c>
      <c r="E522" s="79">
        <v>1.3046540789734501E-2</v>
      </c>
      <c r="F522" s="79">
        <v>0.894056315719439</v>
      </c>
      <c r="G522" s="79">
        <v>0.99362338620020496</v>
      </c>
      <c r="H522" s="79">
        <v>1</v>
      </c>
      <c r="I522" s="102">
        <v>5.6315224287174503E-3</v>
      </c>
      <c r="J522" s="79">
        <v>1.3146606935064699E-2</v>
      </c>
      <c r="K522" s="79">
        <v>0.66840831932870204</v>
      </c>
      <c r="L522" s="79">
        <v>0.89010642208003798</v>
      </c>
      <c r="M522" s="79">
        <v>1</v>
      </c>
      <c r="N522" s="107">
        <v>5.8908519099837402E-2</v>
      </c>
      <c r="O522" s="81">
        <v>1.28842384876746E-2</v>
      </c>
      <c r="P522" s="81">
        <v>4.9689561828917604E-6</v>
      </c>
      <c r="Q522" s="81">
        <v>5.2939696690683303E-5</v>
      </c>
      <c r="R522" s="81">
        <v>8.4174117738186408E-3</v>
      </c>
      <c r="S522" s="107">
        <v>5.6085062009623397E-2</v>
      </c>
      <c r="T522" s="81">
        <v>1.29818537615005E-2</v>
      </c>
      <c r="U522" s="81">
        <v>1.59380619181408E-5</v>
      </c>
      <c r="V522" s="81">
        <v>1.7418759283439E-4</v>
      </c>
      <c r="W522" s="81">
        <v>2.6999076889330498E-2</v>
      </c>
    </row>
    <row r="523" spans="2:23" x14ac:dyDescent="0.2">
      <c r="B523" t="s">
        <v>3376</v>
      </c>
      <c r="C523" s="84">
        <v>4068</v>
      </c>
      <c r="D523" s="102">
        <v>6.3615819695370696E-2</v>
      </c>
      <c r="E523" s="79">
        <v>1.70694326208881E-2</v>
      </c>
      <c r="F523" s="79">
        <v>1.9697171029740899E-4</v>
      </c>
      <c r="G523" s="79">
        <v>8.3417519310952704E-2</v>
      </c>
      <c r="H523" s="79">
        <v>0.33367007724381098</v>
      </c>
      <c r="I523" s="102">
        <v>1.89138799197022E-3</v>
      </c>
      <c r="J523" s="79">
        <v>1.69978157085191E-2</v>
      </c>
      <c r="K523" s="79">
        <v>0.91140676932560605</v>
      </c>
      <c r="L523" s="79">
        <v>0.98168469912841005</v>
      </c>
      <c r="M523" s="79">
        <v>1</v>
      </c>
      <c r="N523" s="102">
        <v>1.5191786490532599E-2</v>
      </c>
      <c r="O523" s="79">
        <v>1.68864108546612E-2</v>
      </c>
      <c r="P523" s="79">
        <v>0.368371543460777</v>
      </c>
      <c r="Q523" s="79">
        <v>0.48509383377704801</v>
      </c>
      <c r="R523" s="79">
        <v>1</v>
      </c>
      <c r="S523" s="102">
        <v>4.8486086638316099E-2</v>
      </c>
      <c r="T523" s="79">
        <v>1.70591252283314E-2</v>
      </c>
      <c r="U523" s="79">
        <v>4.5059081984553297E-3</v>
      </c>
      <c r="V523" s="79">
        <v>1.46788624772756E-2</v>
      </c>
      <c r="W523" s="79">
        <v>1</v>
      </c>
    </row>
    <row r="524" spans="2:23" x14ac:dyDescent="0.2">
      <c r="B524" t="s">
        <v>1101</v>
      </c>
      <c r="C524" s="84">
        <v>4068</v>
      </c>
      <c r="D524" s="102">
        <v>1.06639266905263E-2</v>
      </c>
      <c r="E524" s="79">
        <v>1.38445466888754E-2</v>
      </c>
      <c r="F524" s="79">
        <v>0.44118195283652301</v>
      </c>
      <c r="G524" s="79">
        <v>0.90581448957043498</v>
      </c>
      <c r="H524" s="79">
        <v>1</v>
      </c>
      <c r="I524" s="102">
        <v>-2.70518014239855E-2</v>
      </c>
      <c r="J524" s="79">
        <v>1.38706529122669E-2</v>
      </c>
      <c r="K524" s="79">
        <v>5.1198021354089997E-2</v>
      </c>
      <c r="L524" s="79">
        <v>0.40662098777829397</v>
      </c>
      <c r="M524" s="79">
        <v>1</v>
      </c>
      <c r="N524" s="102">
        <v>1.18238530135605E-2</v>
      </c>
      <c r="O524" s="79">
        <v>1.36840988101783E-2</v>
      </c>
      <c r="P524" s="79">
        <v>0.38759851114187799</v>
      </c>
      <c r="Q524" s="79">
        <v>0.50429483707706702</v>
      </c>
      <c r="R524" s="79">
        <v>1</v>
      </c>
      <c r="S524" s="102">
        <v>2.8207441032659701E-2</v>
      </c>
      <c r="T524" s="79">
        <v>1.37143273094773E-2</v>
      </c>
      <c r="U524" s="79">
        <v>3.9759313645273998E-2</v>
      </c>
      <c r="V524" s="79">
        <v>8.6117383126179406E-2</v>
      </c>
      <c r="W524" s="79">
        <v>1</v>
      </c>
    </row>
    <row r="525" spans="2:23" x14ac:dyDescent="0.2">
      <c r="B525" t="s">
        <v>3378</v>
      </c>
      <c r="C525" s="84">
        <v>4068</v>
      </c>
      <c r="D525" s="102">
        <v>2.5672229523349702E-2</v>
      </c>
      <c r="E525" s="79">
        <v>1.46337575956646E-2</v>
      </c>
      <c r="F525" s="79">
        <v>7.9442029993676E-2</v>
      </c>
      <c r="G525" s="79">
        <v>0.73538141425839998</v>
      </c>
      <c r="H525" s="79">
        <v>1</v>
      </c>
      <c r="I525" s="102">
        <v>2.7419411707510701E-2</v>
      </c>
      <c r="J525" s="79">
        <v>1.45497102829533E-2</v>
      </c>
      <c r="K525" s="79">
        <v>5.9554553060197399E-2</v>
      </c>
      <c r="L525" s="79">
        <v>0.42388828942846402</v>
      </c>
      <c r="M525" s="79">
        <v>1</v>
      </c>
      <c r="N525" s="102">
        <v>2.0216603586934001E-2</v>
      </c>
      <c r="O525" s="79">
        <v>1.43928512710616E-2</v>
      </c>
      <c r="P525" s="79">
        <v>0.16019809113034</v>
      </c>
      <c r="Q525" s="79">
        <v>0.252473664084294</v>
      </c>
      <c r="R525" s="79">
        <v>1</v>
      </c>
      <c r="S525" s="102">
        <v>5.6406116491226899E-2</v>
      </c>
      <c r="T525" s="79">
        <v>1.4500167887216401E-2</v>
      </c>
      <c r="U525" s="79">
        <v>1.01613560241264E-4</v>
      </c>
      <c r="V525" s="79">
        <v>7.1424635289917503E-4</v>
      </c>
      <c r="W525" s="79">
        <v>0.17213337104870099</v>
      </c>
    </row>
    <row r="526" spans="2:23" x14ac:dyDescent="0.2">
      <c r="B526" t="s">
        <v>1100</v>
      </c>
      <c r="C526" s="84">
        <v>4068</v>
      </c>
      <c r="D526" s="102">
        <v>-4.6438158727181702E-3</v>
      </c>
      <c r="E526" s="79">
        <v>1.31076403148799E-2</v>
      </c>
      <c r="F526" s="79">
        <v>0.723144493535675</v>
      </c>
      <c r="G526" s="79">
        <v>0.97257456637072104</v>
      </c>
      <c r="H526" s="79">
        <v>1</v>
      </c>
      <c r="I526" s="102">
        <v>8.3541470177178195E-3</v>
      </c>
      <c r="J526" s="79">
        <v>1.3201354471236699E-2</v>
      </c>
      <c r="K526" s="79">
        <v>0.52688099483722495</v>
      </c>
      <c r="L526" s="79">
        <v>0.83741543994435796</v>
      </c>
      <c r="M526" s="79">
        <v>1</v>
      </c>
      <c r="N526" s="107">
        <v>5.4692878504990897E-2</v>
      </c>
      <c r="O526" s="81">
        <v>1.29495315676703E-2</v>
      </c>
      <c r="P526" s="81">
        <v>2.45535394200861E-5</v>
      </c>
      <c r="Q526" s="81">
        <v>2.0489505309175299E-4</v>
      </c>
      <c r="R526" s="81">
        <v>4.1593695777625901E-2</v>
      </c>
      <c r="S526" s="107">
        <v>6.0417836975672302E-2</v>
      </c>
      <c r="T526" s="81">
        <v>1.3028034514792E-2</v>
      </c>
      <c r="U526" s="81">
        <v>3.62900165688284E-6</v>
      </c>
      <c r="V526" s="81">
        <v>5.2542981254354998E-5</v>
      </c>
      <c r="W526" s="81">
        <v>6.14752880675953E-3</v>
      </c>
    </row>
    <row r="527" spans="2:23" x14ac:dyDescent="0.2">
      <c r="B527" t="s">
        <v>1099</v>
      </c>
      <c r="C527" s="84">
        <v>4068</v>
      </c>
      <c r="D527" s="102">
        <v>-1.09317057665963E-2</v>
      </c>
      <c r="E527" s="79">
        <v>1.38705806189306E-2</v>
      </c>
      <c r="F527" s="79">
        <v>0.43066391884755101</v>
      </c>
      <c r="G527" s="79">
        <v>0.90114499904005696</v>
      </c>
      <c r="H527" s="79">
        <v>1</v>
      </c>
      <c r="I527" s="102">
        <v>-3.3980123298585699E-2</v>
      </c>
      <c r="J527" s="79">
        <v>1.38954127943011E-2</v>
      </c>
      <c r="K527" s="79">
        <v>1.45030188398825E-2</v>
      </c>
      <c r="L527" s="79">
        <v>0.23613138685496901</v>
      </c>
      <c r="M527" s="79">
        <v>1</v>
      </c>
      <c r="N527" s="102">
        <v>6.4510724711454599E-3</v>
      </c>
      <c r="O527" s="79">
        <v>1.37100664804513E-2</v>
      </c>
      <c r="P527" s="79">
        <v>0.63799350668398702</v>
      </c>
      <c r="Q527" s="79">
        <v>0.73732866233904004</v>
      </c>
      <c r="R527" s="79">
        <v>1</v>
      </c>
      <c r="S527" s="102">
        <v>7.2560374055812603E-3</v>
      </c>
      <c r="T527" s="79">
        <v>1.37442112243637E-2</v>
      </c>
      <c r="U527" s="79">
        <v>0.59756888029890998</v>
      </c>
      <c r="V527" s="79">
        <v>0.68629266659413801</v>
      </c>
      <c r="W527" s="79">
        <v>1</v>
      </c>
    </row>
    <row r="528" spans="2:23" x14ac:dyDescent="0.2">
      <c r="B528" t="s">
        <v>1098</v>
      </c>
      <c r="C528" s="84">
        <v>4068</v>
      </c>
      <c r="D528" s="102">
        <v>-7.5254571375562901E-4</v>
      </c>
      <c r="E528" s="79">
        <v>1.30298187219324E-2</v>
      </c>
      <c r="F528" s="79">
        <v>0.95394606112706004</v>
      </c>
      <c r="G528" s="79">
        <v>0.99840985319461195</v>
      </c>
      <c r="H528" s="79">
        <v>1</v>
      </c>
      <c r="I528" s="102">
        <v>-6.8460184264902803E-3</v>
      </c>
      <c r="J528" s="79">
        <v>1.3121695205766001E-2</v>
      </c>
      <c r="K528" s="79">
        <v>0.60188331919094695</v>
      </c>
      <c r="L528" s="79">
        <v>0.86995763029817796</v>
      </c>
      <c r="M528" s="79">
        <v>1</v>
      </c>
      <c r="N528" s="102">
        <v>4.0376453438680099E-2</v>
      </c>
      <c r="O528" s="79">
        <v>1.2922653807446401E-2</v>
      </c>
      <c r="P528" s="79">
        <v>1.79345056328947E-3</v>
      </c>
      <c r="Q528" s="79">
        <v>6.9673154635377403E-3</v>
      </c>
      <c r="R528" s="79">
        <v>1</v>
      </c>
      <c r="S528" s="107">
        <v>5.7438460253428601E-2</v>
      </c>
      <c r="T528" s="81">
        <v>1.29646905652818E-2</v>
      </c>
      <c r="U528" s="81">
        <v>9.6421384421484195E-6</v>
      </c>
      <c r="V528" s="81">
        <v>1.1786855289704599E-4</v>
      </c>
      <c r="W528" s="81">
        <v>1.6333782520999401E-2</v>
      </c>
    </row>
    <row r="529" spans="2:23" x14ac:dyDescent="0.2">
      <c r="B529" t="s">
        <v>3826</v>
      </c>
      <c r="C529" s="84">
        <v>465</v>
      </c>
      <c r="D529" s="102">
        <v>0.99633570966803409</v>
      </c>
      <c r="E529" s="79">
        <v>9.7478656623284102E-2</v>
      </c>
      <c r="F529" s="79">
        <v>0.96995898073682196</v>
      </c>
      <c r="G529" s="79">
        <v>0.99840985319461195</v>
      </c>
      <c r="H529" s="79">
        <v>1</v>
      </c>
      <c r="I529" s="102">
        <v>0.95792609277060958</v>
      </c>
      <c r="J529" s="79">
        <v>9.68191878868776E-2</v>
      </c>
      <c r="K529" s="79">
        <v>0.65706549424446203</v>
      </c>
      <c r="L529" s="79">
        <v>0.88461842882311004</v>
      </c>
      <c r="M529" s="79">
        <v>1</v>
      </c>
      <c r="N529" s="102">
        <v>1.0040833617558396</v>
      </c>
      <c r="O529" s="79">
        <v>9.5546068558930303E-2</v>
      </c>
      <c r="P529" s="79">
        <v>0.96598047378013396</v>
      </c>
      <c r="Q529" s="79">
        <v>0.97287212995454597</v>
      </c>
      <c r="R529" s="79">
        <v>1</v>
      </c>
      <c r="S529" s="102">
        <v>1.1409268073129148</v>
      </c>
      <c r="T529" s="79">
        <v>9.8865609328407406E-2</v>
      </c>
      <c r="U529" s="79">
        <v>0.182355731594562</v>
      </c>
      <c r="V529" s="79">
        <v>0.28169682082597702</v>
      </c>
      <c r="W529" s="79">
        <v>1</v>
      </c>
    </row>
    <row r="530" spans="2:23" x14ac:dyDescent="0.2">
      <c r="B530" t="s">
        <v>3722</v>
      </c>
      <c r="C530" s="84">
        <v>2282</v>
      </c>
      <c r="D530" s="102">
        <v>1.0632702099388458</v>
      </c>
      <c r="E530" s="79">
        <v>7.2231628677667997E-2</v>
      </c>
      <c r="F530" s="79">
        <v>0.39569173512378902</v>
      </c>
      <c r="G530" s="79">
        <v>0.89461055933914202</v>
      </c>
      <c r="H530" s="79">
        <v>1</v>
      </c>
      <c r="I530" s="102">
        <v>1.0107672905158578</v>
      </c>
      <c r="J530" s="79">
        <v>7.0107935487055198E-2</v>
      </c>
      <c r="K530" s="79">
        <v>0.878587005255279</v>
      </c>
      <c r="L530" s="79">
        <v>0.97367036309529298</v>
      </c>
      <c r="M530" s="79">
        <v>1</v>
      </c>
      <c r="N530" s="102">
        <v>1.167307934267259</v>
      </c>
      <c r="O530" s="79">
        <v>6.9097968019488906E-2</v>
      </c>
      <c r="P530" s="79">
        <v>2.5165488314838599E-2</v>
      </c>
      <c r="Q530" s="79">
        <v>5.8200379877476102E-2</v>
      </c>
      <c r="R530" s="79">
        <v>1</v>
      </c>
      <c r="S530" s="102">
        <v>1.1759295526652755</v>
      </c>
      <c r="T530" s="79">
        <v>7.0113514220641104E-2</v>
      </c>
      <c r="U530" s="79">
        <v>2.0811899080110201E-2</v>
      </c>
      <c r="V530" s="79">
        <v>5.0509107509608402E-2</v>
      </c>
      <c r="W530" s="79">
        <v>1</v>
      </c>
    </row>
    <row r="531" spans="2:23" x14ac:dyDescent="0.2">
      <c r="B531" t="s">
        <v>1121</v>
      </c>
      <c r="C531" s="84">
        <v>5022</v>
      </c>
      <c r="D531" s="102">
        <v>2.02315704322375E-2</v>
      </c>
      <c r="E531" s="79">
        <v>2.16613335744145E-2</v>
      </c>
      <c r="F531" s="79">
        <v>0.35040902435935201</v>
      </c>
      <c r="G531" s="79">
        <v>0.89461055933914202</v>
      </c>
      <c r="H531" s="79">
        <v>1</v>
      </c>
      <c r="I531" s="102">
        <v>1.40356707349564E-2</v>
      </c>
      <c r="J531" s="79">
        <v>2.1476022654509E-2</v>
      </c>
      <c r="K531" s="79">
        <v>0.51346941580160399</v>
      </c>
      <c r="L531" s="79">
        <v>0.82746883238231095</v>
      </c>
      <c r="M531" s="79">
        <v>1</v>
      </c>
      <c r="N531" s="102">
        <v>-1.44975461297002E-2</v>
      </c>
      <c r="O531" s="79">
        <v>2.0991462342452898E-2</v>
      </c>
      <c r="P531" s="79">
        <v>0.48986464568395799</v>
      </c>
      <c r="Q531" s="79">
        <v>0.60660139604431595</v>
      </c>
      <c r="R531" s="79">
        <v>1</v>
      </c>
      <c r="S531" s="102">
        <v>7.3080630235688296E-2</v>
      </c>
      <c r="T531" s="79">
        <v>2.1688790348617801E-2</v>
      </c>
      <c r="U531" s="79">
        <v>7.6598690040228297E-4</v>
      </c>
      <c r="V531" s="79">
        <v>3.65516002614498E-3</v>
      </c>
      <c r="W531" s="79">
        <v>1</v>
      </c>
    </row>
    <row r="532" spans="2:23" x14ac:dyDescent="0.2">
      <c r="B532" t="s">
        <v>977</v>
      </c>
      <c r="C532" s="84">
        <v>5021</v>
      </c>
      <c r="D532" s="102">
        <v>-1.15373439611322E-2</v>
      </c>
      <c r="E532" s="79">
        <v>1.9653365375212901E-2</v>
      </c>
      <c r="F532" s="79">
        <v>0.55722609725069605</v>
      </c>
      <c r="G532" s="79">
        <v>0.93167796111031398</v>
      </c>
      <c r="H532" s="79">
        <v>1</v>
      </c>
      <c r="I532" s="102">
        <v>-1.39842650446876E-2</v>
      </c>
      <c r="J532" s="79">
        <v>1.9576270088384602E-2</v>
      </c>
      <c r="K532" s="79">
        <v>0.475077841734657</v>
      </c>
      <c r="L532" s="79">
        <v>0.80532061688526901</v>
      </c>
      <c r="M532" s="79">
        <v>1</v>
      </c>
      <c r="N532" s="102">
        <v>-2.9607919363089201E-2</v>
      </c>
      <c r="O532" s="79">
        <v>1.9288124812180799E-2</v>
      </c>
      <c r="P532" s="79">
        <v>0.12489723763852</v>
      </c>
      <c r="Q532" s="79">
        <v>0.20742737309769901</v>
      </c>
      <c r="R532" s="79">
        <v>1</v>
      </c>
      <c r="S532" s="102">
        <v>-3.04863039579201E-2</v>
      </c>
      <c r="T532" s="79">
        <v>1.9504143123117702E-2</v>
      </c>
      <c r="U532" s="79">
        <v>0.118157576057311</v>
      </c>
      <c r="V532" s="79">
        <v>0.201164757629231</v>
      </c>
      <c r="W532" s="79">
        <v>1</v>
      </c>
    </row>
    <row r="533" spans="2:23" x14ac:dyDescent="0.2">
      <c r="B533" t="s">
        <v>3824</v>
      </c>
      <c r="C533" s="84">
        <v>5025</v>
      </c>
      <c r="D533" s="102">
        <v>0.96387051289736658</v>
      </c>
      <c r="E533" s="79">
        <v>3.4591403739839197E-2</v>
      </c>
      <c r="F533" s="79">
        <v>0.287419562630639</v>
      </c>
      <c r="G533" s="79">
        <v>0.99962502278478604</v>
      </c>
      <c r="H533" s="79">
        <v>1</v>
      </c>
      <c r="I533" s="102">
        <v>0.96633322575013303</v>
      </c>
      <c r="J533" s="79">
        <v>3.4370304895089403E-2</v>
      </c>
      <c r="K533" s="79">
        <v>0.319056140184175</v>
      </c>
      <c r="L533" s="79">
        <v>0.55552266356551805</v>
      </c>
      <c r="M533" s="79">
        <v>1</v>
      </c>
      <c r="N533" s="102">
        <v>1.082065488292288</v>
      </c>
      <c r="O533" s="79">
        <v>4.1434931012711597E-2</v>
      </c>
      <c r="P533" s="79">
        <v>5.6974350099876801E-2</v>
      </c>
      <c r="Q533" s="79">
        <v>0.112896879853931</v>
      </c>
      <c r="R533" s="79">
        <v>1</v>
      </c>
      <c r="S533" s="102">
        <v>0.94426913895701536</v>
      </c>
      <c r="T533" s="79">
        <v>4.1926349958317503E-2</v>
      </c>
      <c r="U533" s="79">
        <v>0.171395694553201</v>
      </c>
      <c r="V533" s="79">
        <v>0.26858862772721798</v>
      </c>
      <c r="W533" s="79">
        <v>1</v>
      </c>
    </row>
    <row r="534" spans="2:23" x14ac:dyDescent="0.2">
      <c r="B534" t="s">
        <v>3825</v>
      </c>
      <c r="C534" s="84">
        <v>688</v>
      </c>
      <c r="D534" s="102">
        <v>0.95916441740958436</v>
      </c>
      <c r="E534" s="79">
        <v>5.1528411892673202E-2</v>
      </c>
      <c r="F534" s="79">
        <v>0.41844497068619402</v>
      </c>
      <c r="G534" s="79">
        <v>0.89561567502544503</v>
      </c>
      <c r="H534" s="79">
        <v>1</v>
      </c>
      <c r="I534" s="102">
        <v>1.0313192362776149</v>
      </c>
      <c r="J534" s="79">
        <v>5.09229973921351E-2</v>
      </c>
      <c r="K534" s="79">
        <v>0.54478265360335498</v>
      </c>
      <c r="L534" s="79">
        <v>0.85041882730688301</v>
      </c>
      <c r="M534" s="79">
        <v>1</v>
      </c>
      <c r="N534" s="102">
        <v>1.0156799874581128</v>
      </c>
      <c r="O534" s="79">
        <v>4.9985993999703202E-2</v>
      </c>
      <c r="P534" s="79">
        <v>0.75560774727408297</v>
      </c>
      <c r="Q534" s="79">
        <v>0.83296493787329695</v>
      </c>
      <c r="R534" s="79">
        <v>1</v>
      </c>
      <c r="S534" s="102">
        <v>1.008675224388681</v>
      </c>
      <c r="T534" s="79">
        <v>5.1697856525147301E-2</v>
      </c>
      <c r="U534" s="79">
        <v>0.86730507848372895</v>
      </c>
      <c r="V534" s="79">
        <v>0.90545460358382202</v>
      </c>
      <c r="W534" s="79">
        <v>1</v>
      </c>
    </row>
    <row r="535" spans="2:23" x14ac:dyDescent="0.2">
      <c r="B535" t="s">
        <v>3710</v>
      </c>
      <c r="C535" s="84">
        <v>2747</v>
      </c>
      <c r="D535" s="102">
        <v>0.99965207029666669</v>
      </c>
      <c r="E535" s="79">
        <v>4.2177722168951999E-2</v>
      </c>
      <c r="F535" s="79">
        <v>0.99341707234562404</v>
      </c>
      <c r="G535" s="79">
        <v>0.99962502278478604</v>
      </c>
      <c r="H535" s="79">
        <v>1</v>
      </c>
      <c r="I535" s="102">
        <v>1.0672153929325419</v>
      </c>
      <c r="J535" s="79">
        <v>4.1992260823115898E-2</v>
      </c>
      <c r="K535" s="79">
        <v>0.121342753268753</v>
      </c>
      <c r="L535" s="79">
        <v>0.55552266356551805</v>
      </c>
      <c r="M535" s="79">
        <v>1</v>
      </c>
      <c r="N535" s="102">
        <v>1.082065488292288</v>
      </c>
      <c r="O535" s="79">
        <v>4.1434931012711597E-2</v>
      </c>
      <c r="P535" s="79">
        <v>5.6974350099876801E-2</v>
      </c>
      <c r="Q535" s="79">
        <v>0.112896879853931</v>
      </c>
      <c r="R535" s="79">
        <v>1</v>
      </c>
      <c r="S535" s="102">
        <v>0.94426913895701536</v>
      </c>
      <c r="T535" s="79">
        <v>4.1926349958317503E-2</v>
      </c>
      <c r="U535" s="79">
        <v>0.171395694553201</v>
      </c>
      <c r="V535" s="79">
        <v>0.26858862772721798</v>
      </c>
      <c r="W535" s="79">
        <v>1</v>
      </c>
    </row>
    <row r="536" spans="2:23" x14ac:dyDescent="0.2">
      <c r="B536" t="s">
        <v>3709</v>
      </c>
      <c r="C536" s="84">
        <v>5039</v>
      </c>
      <c r="D536" s="102">
        <v>0.98004566764136292</v>
      </c>
      <c r="E536" s="79">
        <v>3.1859624160317401E-2</v>
      </c>
      <c r="F536" s="79">
        <v>0.52695981813107995</v>
      </c>
      <c r="G536" s="79">
        <v>0.92176676956083303</v>
      </c>
      <c r="H536" s="79">
        <v>1</v>
      </c>
      <c r="I536" s="102">
        <v>0.99760434134660525</v>
      </c>
      <c r="J536" s="79">
        <v>3.1628590897668903E-2</v>
      </c>
      <c r="K536" s="79">
        <v>0.93955090750546399</v>
      </c>
      <c r="L536" s="79">
        <v>0.98659835007379004</v>
      </c>
      <c r="M536" s="79">
        <v>1</v>
      </c>
      <c r="N536" s="102">
        <v>1.0104107604258505</v>
      </c>
      <c r="O536" s="79">
        <v>3.13879904043542E-2</v>
      </c>
      <c r="P536" s="79">
        <v>0.741426326157965</v>
      </c>
      <c r="Q536" s="79">
        <v>0.82652747760068701</v>
      </c>
      <c r="R536" s="79">
        <v>1</v>
      </c>
      <c r="S536" s="102">
        <v>1.015986204995633</v>
      </c>
      <c r="T536" s="79">
        <v>3.1352493126464702E-2</v>
      </c>
      <c r="U536" s="79">
        <v>0.61295943233082695</v>
      </c>
      <c r="V536" s="79">
        <v>0.69781806341963803</v>
      </c>
      <c r="W536" s="79">
        <v>1</v>
      </c>
    </row>
    <row r="537" spans="2:23" x14ac:dyDescent="0.2">
      <c r="B537" t="s">
        <v>3822</v>
      </c>
      <c r="C537" s="84">
        <v>437</v>
      </c>
      <c r="D537" s="102">
        <v>1.1771610045933765</v>
      </c>
      <c r="E537" s="79">
        <v>0.121525207706215</v>
      </c>
      <c r="F537" s="79">
        <v>0.17954588750968201</v>
      </c>
      <c r="G537" s="79">
        <v>0.83003013605610498</v>
      </c>
      <c r="H537" s="79">
        <v>1</v>
      </c>
      <c r="I537" s="102">
        <v>1.0720695968096174</v>
      </c>
      <c r="J537" s="79">
        <v>0.12341297668602499</v>
      </c>
      <c r="K537" s="79">
        <v>0.572830984077771</v>
      </c>
      <c r="L537" s="79">
        <v>0.86026213388984396</v>
      </c>
      <c r="M537" s="79">
        <v>1</v>
      </c>
      <c r="N537" s="102">
        <v>1.1169532531943633</v>
      </c>
      <c r="O537" s="79">
        <v>0.12666976648559899</v>
      </c>
      <c r="P537" s="79">
        <v>0.382568578821122</v>
      </c>
      <c r="Q537" s="79">
        <v>0.49966936971702502</v>
      </c>
      <c r="R537" s="79">
        <v>1</v>
      </c>
      <c r="S537" s="102">
        <v>1.2081484150452306</v>
      </c>
      <c r="T537" s="79">
        <v>0.11969350557181301</v>
      </c>
      <c r="U537" s="79">
        <v>0.114158126535384</v>
      </c>
      <c r="V537" s="79">
        <v>0.19612968189750599</v>
      </c>
      <c r="W537" s="79">
        <v>1</v>
      </c>
    </row>
    <row r="538" spans="2:23" x14ac:dyDescent="0.2">
      <c r="B538" t="s">
        <v>1119</v>
      </c>
      <c r="C538" s="84">
        <v>5022</v>
      </c>
      <c r="D538" s="102">
        <v>3.0622678886845198E-2</v>
      </c>
      <c r="E538" s="79">
        <v>3.8853971613862101E-2</v>
      </c>
      <c r="F538" s="79">
        <v>0.43088987557405301</v>
      </c>
      <c r="G538" s="79">
        <v>0.90114499904005696</v>
      </c>
      <c r="H538" s="79">
        <v>1</v>
      </c>
      <c r="I538" s="102">
        <v>-2.6053328418737701E-2</v>
      </c>
      <c r="J538" s="79">
        <v>3.78635795148601E-2</v>
      </c>
      <c r="K538" s="79">
        <v>0.49163728073909002</v>
      </c>
      <c r="L538" s="79">
        <v>0.81451663972478505</v>
      </c>
      <c r="M538" s="79">
        <v>1</v>
      </c>
      <c r="N538" s="102">
        <v>9.0993900136011496E-2</v>
      </c>
      <c r="O538" s="79">
        <v>3.85716004283004E-2</v>
      </c>
      <c r="P538" s="79">
        <v>1.8606791829239799E-2</v>
      </c>
      <c r="Q538" s="79">
        <v>4.6006555457572297E-2</v>
      </c>
      <c r="R538" s="79">
        <v>1</v>
      </c>
      <c r="S538" s="102">
        <v>3.71850264257974E-2</v>
      </c>
      <c r="T538" s="79">
        <v>3.76904848704913E-2</v>
      </c>
      <c r="U538" s="79">
        <v>0.32420287213309701</v>
      </c>
      <c r="V538" s="79">
        <v>0.440063834449893</v>
      </c>
      <c r="W538" s="79">
        <v>1</v>
      </c>
    </row>
    <row r="539" spans="2:23" x14ac:dyDescent="0.2">
      <c r="B539" t="s">
        <v>975</v>
      </c>
      <c r="C539" s="84">
        <v>5021</v>
      </c>
      <c r="D539" s="102">
        <v>3.7115253190244599E-2</v>
      </c>
      <c r="E539" s="79">
        <v>3.5717892906888503E-2</v>
      </c>
      <c r="F539" s="79">
        <v>0.299037101351527</v>
      </c>
      <c r="G539" s="79">
        <v>0.87874159579827504</v>
      </c>
      <c r="H539" s="79">
        <v>1</v>
      </c>
      <c r="I539" s="102">
        <v>5.3904171348721899E-2</v>
      </c>
      <c r="J539" s="79">
        <v>3.4296302122349402E-2</v>
      </c>
      <c r="K539" s="79">
        <v>0.116384291253772</v>
      </c>
      <c r="L539" s="79">
        <v>0.54991179036125304</v>
      </c>
      <c r="M539" s="79">
        <v>1</v>
      </c>
      <c r="N539" s="102">
        <v>-8.2145443681459096E-2</v>
      </c>
      <c r="O539" s="79">
        <v>3.5198540309701397E-2</v>
      </c>
      <c r="P539" s="79">
        <v>1.9838193912821302E-2</v>
      </c>
      <c r="Q539" s="79">
        <v>4.8493362898007597E-2</v>
      </c>
      <c r="R539" s="79">
        <v>1</v>
      </c>
      <c r="S539" s="102">
        <v>9.5292928906895405E-2</v>
      </c>
      <c r="T539" s="79">
        <v>3.3781350466864597E-2</v>
      </c>
      <c r="U539" s="79">
        <v>4.9008078777877401E-3</v>
      </c>
      <c r="V539" s="79">
        <v>1.5723425274568999E-2</v>
      </c>
      <c r="W539" s="79">
        <v>1</v>
      </c>
    </row>
    <row r="540" spans="2:23" x14ac:dyDescent="0.2">
      <c r="B540" t="s">
        <v>3820</v>
      </c>
      <c r="C540" s="84">
        <v>853</v>
      </c>
      <c r="D540" s="102">
        <v>1.0342842119965008</v>
      </c>
      <c r="E540" s="79">
        <v>6.2628728503653294E-2</v>
      </c>
      <c r="F540" s="79">
        <v>0.59040786291434399</v>
      </c>
      <c r="G540" s="79">
        <v>0.99362338620020496</v>
      </c>
      <c r="H540" s="79">
        <v>1</v>
      </c>
      <c r="I540" s="102">
        <v>1.0411050699711815</v>
      </c>
      <c r="J540" s="79">
        <v>6.1891395834848602E-2</v>
      </c>
      <c r="K540" s="79">
        <v>0.51513600479371502</v>
      </c>
      <c r="L540" s="79">
        <v>0.64803390121802296</v>
      </c>
      <c r="M540" s="79">
        <v>1</v>
      </c>
      <c r="N540" s="102">
        <v>0.99895712775974144</v>
      </c>
      <c r="O540" s="79">
        <v>0.117303657798561</v>
      </c>
      <c r="P540" s="79">
        <v>0.99290290787777502</v>
      </c>
      <c r="Q540" s="79">
        <v>0.99407655197692202</v>
      </c>
      <c r="R540" s="79">
        <v>1</v>
      </c>
      <c r="S540" s="102">
        <v>1.0675685056365671</v>
      </c>
      <c r="T540" s="79">
        <v>0.114080901081</v>
      </c>
      <c r="U540" s="79">
        <v>0.56655399869622902</v>
      </c>
      <c r="V540" s="79">
        <v>0.66148980826584303</v>
      </c>
      <c r="W540" s="79">
        <v>1</v>
      </c>
    </row>
    <row r="541" spans="2:23" x14ac:dyDescent="0.2">
      <c r="B541" t="s">
        <v>3821</v>
      </c>
      <c r="C541" s="84">
        <v>5025</v>
      </c>
      <c r="D541" s="102">
        <v>0.95539764287078166</v>
      </c>
      <c r="E541" s="79">
        <v>0.13125005242052201</v>
      </c>
      <c r="F541" s="79">
        <v>0.72811126617589506</v>
      </c>
      <c r="G541" s="79">
        <v>0.97286923276174297</v>
      </c>
      <c r="H541" s="79">
        <v>1</v>
      </c>
      <c r="I541" s="102">
        <v>1.1897576710945943</v>
      </c>
      <c r="J541" s="79">
        <v>0.128041714017018</v>
      </c>
      <c r="K541" s="79">
        <v>0.17478854924474699</v>
      </c>
      <c r="L541" s="79">
        <v>0.61396896490869202</v>
      </c>
      <c r="M541" s="79">
        <v>1</v>
      </c>
      <c r="N541" s="102">
        <v>0.89826608342429182</v>
      </c>
      <c r="O541" s="79">
        <v>0.12795715355652501</v>
      </c>
      <c r="P541" s="79">
        <v>0.40176366008147602</v>
      </c>
      <c r="Q541" s="79">
        <v>0.51834549899316096</v>
      </c>
      <c r="R541" s="79">
        <v>1</v>
      </c>
      <c r="S541" s="102">
        <v>1.0841874441394799</v>
      </c>
      <c r="T541" s="79">
        <v>0.12540634935650199</v>
      </c>
      <c r="U541" s="79">
        <v>0.51921809861104096</v>
      </c>
      <c r="V541" s="79">
        <v>0.62379819790574698</v>
      </c>
      <c r="W541" s="79">
        <v>1</v>
      </c>
    </row>
    <row r="542" spans="2:23" x14ac:dyDescent="0.2">
      <c r="B542" t="s">
        <v>3707</v>
      </c>
      <c r="C542" s="84">
        <v>907</v>
      </c>
      <c r="D542" s="102">
        <v>0.97892838155253936</v>
      </c>
      <c r="E542" s="79">
        <v>0.121996111437829</v>
      </c>
      <c r="F542" s="79">
        <v>0.86141795692032097</v>
      </c>
      <c r="G542" s="79">
        <v>0.99362338620020496</v>
      </c>
      <c r="H542" s="79">
        <v>1</v>
      </c>
      <c r="I542" s="102">
        <v>1.1586762132845592</v>
      </c>
      <c r="J542" s="79">
        <v>0.117512600946182</v>
      </c>
      <c r="K542" s="79">
        <v>0.21009773955222799</v>
      </c>
      <c r="L542" s="79">
        <v>0.64803390121802296</v>
      </c>
      <c r="M542" s="79">
        <v>1</v>
      </c>
      <c r="N542" s="102">
        <v>0.99895712775974144</v>
      </c>
      <c r="O542" s="79">
        <v>0.117303657798561</v>
      </c>
      <c r="P542" s="79">
        <v>0.99290290787777502</v>
      </c>
      <c r="Q542" s="79">
        <v>0.99407655197692202</v>
      </c>
      <c r="R542" s="79">
        <v>1</v>
      </c>
      <c r="S542" s="102">
        <v>1.0675685056365671</v>
      </c>
      <c r="T542" s="79">
        <v>0.114080901081</v>
      </c>
      <c r="U542" s="79">
        <v>0.56655399869622902</v>
      </c>
      <c r="V542" s="79">
        <v>0.66148980826584303</v>
      </c>
      <c r="W542" s="79">
        <v>1</v>
      </c>
    </row>
    <row r="543" spans="2:23" x14ac:dyDescent="0.2">
      <c r="B543" t="s">
        <v>3706</v>
      </c>
      <c r="C543" s="84">
        <v>5039</v>
      </c>
      <c r="D543" s="102">
        <v>1.0429918390492869</v>
      </c>
      <c r="E543" s="79">
        <v>4.8504154918396297E-2</v>
      </c>
      <c r="F543" s="79">
        <v>0.38548750888725197</v>
      </c>
      <c r="G543" s="79">
        <v>0.89461055933914202</v>
      </c>
      <c r="H543" s="79">
        <v>1</v>
      </c>
      <c r="I543" s="102">
        <v>1.1220783666828669</v>
      </c>
      <c r="J543" s="79">
        <v>4.7899925428048801E-2</v>
      </c>
      <c r="K543" s="79">
        <v>1.6187873902908601E-2</v>
      </c>
      <c r="L543" s="79">
        <v>0.253909799921548</v>
      </c>
      <c r="M543" s="79">
        <v>1</v>
      </c>
      <c r="N543" s="102">
        <v>1.2198780409085852</v>
      </c>
      <c r="O543" s="79">
        <v>4.8363776776541398E-2</v>
      </c>
      <c r="P543" s="79">
        <v>3.9651860992135799E-5</v>
      </c>
      <c r="Q543" s="79">
        <v>3.0812042440678001E-4</v>
      </c>
      <c r="R543" s="79">
        <v>6.7170252520678E-2</v>
      </c>
      <c r="S543" s="107">
        <v>1.2318331907610112</v>
      </c>
      <c r="T543" s="81">
        <v>4.7867686351521603E-2</v>
      </c>
      <c r="U543" s="81">
        <v>1.32564207908349E-5</v>
      </c>
      <c r="V543" s="81">
        <v>1.53810800134756E-4</v>
      </c>
      <c r="W543" s="81">
        <v>2.2456376819674301E-2</v>
      </c>
    </row>
    <row r="544" spans="2:23" x14ac:dyDescent="0.2">
      <c r="B544" t="s">
        <v>3819</v>
      </c>
      <c r="C544" s="84">
        <v>5025</v>
      </c>
      <c r="D544" s="102">
        <v>1.1592720423357972</v>
      </c>
      <c r="E544" s="79">
        <v>0.15315947122683099</v>
      </c>
      <c r="F544" s="79">
        <v>0.334566498418435</v>
      </c>
      <c r="G544" s="79">
        <v>0.887497895560034</v>
      </c>
      <c r="H544" s="79">
        <v>1</v>
      </c>
      <c r="I544" s="102">
        <v>1.2900885894969061</v>
      </c>
      <c r="J544" s="79">
        <v>0.150968924983549</v>
      </c>
      <c r="K544" s="79">
        <v>9.15698419482356E-2</v>
      </c>
      <c r="L544" s="79">
        <v>0.50527463276974305</v>
      </c>
      <c r="M544" s="79">
        <v>1</v>
      </c>
      <c r="N544" s="102">
        <v>1.2431025376191134</v>
      </c>
      <c r="O544" s="79">
        <v>0.142236116017912</v>
      </c>
      <c r="P544" s="79">
        <v>0.126035796742096</v>
      </c>
      <c r="Q544" s="79">
        <v>0.20890864939443299</v>
      </c>
      <c r="R544" s="79">
        <v>1</v>
      </c>
      <c r="S544" s="102">
        <v>0.96148022339390404</v>
      </c>
      <c r="T544" s="79">
        <v>0.14078641562276401</v>
      </c>
      <c r="U544" s="79">
        <v>0.78023461669642502</v>
      </c>
      <c r="V544" s="79">
        <v>0.83441757618923196</v>
      </c>
      <c r="W544" s="79">
        <v>1</v>
      </c>
    </row>
    <row r="545" spans="2:23" x14ac:dyDescent="0.2">
      <c r="B545" t="s">
        <v>3721</v>
      </c>
      <c r="C545" s="84">
        <v>315</v>
      </c>
      <c r="D545" s="102">
        <v>1.1296019959650732</v>
      </c>
      <c r="E545" s="79">
        <v>0.127865470922125</v>
      </c>
      <c r="F545" s="79">
        <v>0.34055218664489301</v>
      </c>
      <c r="G545" s="79">
        <v>0.88889892785277203</v>
      </c>
      <c r="H545" s="79">
        <v>1</v>
      </c>
      <c r="I545" s="102">
        <v>1.0671994015265776</v>
      </c>
      <c r="J545" s="79">
        <v>0.118572048735855</v>
      </c>
      <c r="K545" s="79">
        <v>0.58334245403690099</v>
      </c>
      <c r="L545" s="79">
        <v>0.86416823426642797</v>
      </c>
      <c r="M545" s="79">
        <v>1</v>
      </c>
      <c r="N545" s="102">
        <v>1.1822547686104083</v>
      </c>
      <c r="O545" s="79">
        <v>0.116498485731085</v>
      </c>
      <c r="P545" s="79">
        <v>0.150681138230187</v>
      </c>
      <c r="Q545" s="79">
        <v>0.24044368136264699</v>
      </c>
      <c r="R545" s="79">
        <v>1</v>
      </c>
      <c r="S545" s="102">
        <v>1.0524356207859848</v>
      </c>
      <c r="T545" s="79">
        <v>0.118074785220801</v>
      </c>
      <c r="U545" s="79">
        <v>0.66513330819712202</v>
      </c>
      <c r="V545" s="79">
        <v>0.73560696015710703</v>
      </c>
      <c r="W545" s="79">
        <v>1</v>
      </c>
    </row>
    <row r="546" spans="2:23" x14ac:dyDescent="0.2">
      <c r="B546" t="s">
        <v>1117</v>
      </c>
      <c r="C546" s="84">
        <v>5022</v>
      </c>
      <c r="D546" s="102">
        <v>9.5225227301253407E-2</v>
      </c>
      <c r="E546" s="79">
        <v>5.0956862644621403E-2</v>
      </c>
      <c r="F546" s="79">
        <v>6.2358109979872497E-2</v>
      </c>
      <c r="G546" s="79">
        <v>0.72211647124377798</v>
      </c>
      <c r="H546" s="79">
        <v>1</v>
      </c>
      <c r="I546" s="102">
        <v>4.8852723245419699E-2</v>
      </c>
      <c r="J546" s="79">
        <v>4.7909308682446701E-2</v>
      </c>
      <c r="K546" s="79">
        <v>0.308463317137954</v>
      </c>
      <c r="L546" s="79">
        <v>0.712776365212754</v>
      </c>
      <c r="M546" s="79">
        <v>1</v>
      </c>
      <c r="N546" s="102">
        <v>1.59805791791723E-2</v>
      </c>
      <c r="O546" s="79">
        <v>4.65439045740021E-2</v>
      </c>
      <c r="P546" s="79">
        <v>0.73151209796962002</v>
      </c>
      <c r="Q546" s="79">
        <v>0.82006085972429699</v>
      </c>
      <c r="R546" s="79">
        <v>1</v>
      </c>
      <c r="S546" s="102">
        <v>5.6235197325506199E-2</v>
      </c>
      <c r="T546" s="79">
        <v>4.6518082641234998E-2</v>
      </c>
      <c r="U546" s="79">
        <v>0.22739892760626401</v>
      </c>
      <c r="V546" s="79">
        <v>0.33467748337533598</v>
      </c>
      <c r="W546" s="79">
        <v>1</v>
      </c>
    </row>
    <row r="547" spans="2:23" x14ac:dyDescent="0.2">
      <c r="B547" t="s">
        <v>974</v>
      </c>
      <c r="C547" s="84">
        <v>5021</v>
      </c>
      <c r="D547" s="102">
        <v>-9.1945573286510596E-2</v>
      </c>
      <c r="E547" s="79">
        <v>4.7083392525342702E-2</v>
      </c>
      <c r="F547" s="79">
        <v>5.14273492214199E-2</v>
      </c>
      <c r="G547" s="79">
        <v>0.70184175957025496</v>
      </c>
      <c r="H547" s="79">
        <v>1</v>
      </c>
      <c r="I547" s="102">
        <v>-7.7723789291276907E-2</v>
      </c>
      <c r="J547" s="79">
        <v>4.37198344969075E-2</v>
      </c>
      <c r="K547" s="79">
        <v>7.6081408024533503E-2</v>
      </c>
      <c r="L547" s="79">
        <v>0.46226633181563198</v>
      </c>
      <c r="M547" s="79">
        <v>1</v>
      </c>
      <c r="N547" s="102">
        <v>7.2168031365822505E-2</v>
      </c>
      <c r="O547" s="79">
        <v>4.365791760466E-2</v>
      </c>
      <c r="P547" s="79">
        <v>9.8984642503260195E-2</v>
      </c>
      <c r="Q547" s="79">
        <v>0.17286596329950801</v>
      </c>
      <c r="R547" s="79">
        <v>1</v>
      </c>
      <c r="S547" s="102">
        <v>1.47240723123487E-2</v>
      </c>
      <c r="T547" s="79">
        <v>4.4703735885081898E-2</v>
      </c>
      <c r="U547" s="79">
        <v>0.74202117656136501</v>
      </c>
      <c r="V547" s="79">
        <v>0.80075263788957896</v>
      </c>
      <c r="W547" s="79">
        <v>1</v>
      </c>
    </row>
    <row r="548" spans="2:23" x14ac:dyDescent="0.2">
      <c r="B548" t="s">
        <v>3817</v>
      </c>
      <c r="C548" s="84">
        <v>5025</v>
      </c>
      <c r="D548" s="102">
        <v>0.98833789307210218</v>
      </c>
      <c r="E548" s="79">
        <v>7.5238762490416999E-2</v>
      </c>
      <c r="F548" s="79">
        <v>0.87610221110141995</v>
      </c>
      <c r="G548" s="79">
        <v>0.99362338620020496</v>
      </c>
      <c r="H548" s="79">
        <v>1</v>
      </c>
      <c r="I548" s="102">
        <v>1.0063698670074863</v>
      </c>
      <c r="J548" s="79">
        <v>7.41473216087008E-2</v>
      </c>
      <c r="K548" s="79">
        <v>0.93175593929443501</v>
      </c>
      <c r="L548" s="79">
        <v>0.91151343546303598</v>
      </c>
      <c r="M548" s="79">
        <v>1</v>
      </c>
      <c r="N548" s="102">
        <v>1.030226068689948</v>
      </c>
      <c r="O548" s="79">
        <v>9.5912184749034901E-2</v>
      </c>
      <c r="P548" s="79">
        <v>0.75620034850598195</v>
      </c>
      <c r="Q548" s="79">
        <v>0.83296493787329695</v>
      </c>
      <c r="R548" s="79">
        <v>1</v>
      </c>
      <c r="S548" s="102">
        <v>1.04309537449642</v>
      </c>
      <c r="T548" s="79">
        <v>9.8175303944504105E-2</v>
      </c>
      <c r="U548" s="79">
        <v>0.667364336521867</v>
      </c>
      <c r="V548" s="79">
        <v>0.73649197789448995</v>
      </c>
      <c r="W548" s="79">
        <v>1</v>
      </c>
    </row>
    <row r="549" spans="2:23" x14ac:dyDescent="0.2">
      <c r="B549" t="s">
        <v>3818</v>
      </c>
      <c r="C549" s="84">
        <v>5025</v>
      </c>
      <c r="D549" s="102">
        <v>1.0384384265523818</v>
      </c>
      <c r="E549" s="79">
        <v>0.13375853020190001</v>
      </c>
      <c r="F549" s="79">
        <v>0.77795402212140496</v>
      </c>
      <c r="G549" s="79">
        <v>0.98707149633086799</v>
      </c>
      <c r="H549" s="79">
        <v>1</v>
      </c>
      <c r="I549" s="102">
        <v>0.96673643177304358</v>
      </c>
      <c r="J549" s="79">
        <v>0.126275284518093</v>
      </c>
      <c r="K549" s="79">
        <v>0.78877486264117003</v>
      </c>
      <c r="L549" s="79">
        <v>0.93377244419741401</v>
      </c>
      <c r="M549" s="79">
        <v>1</v>
      </c>
      <c r="N549" s="102">
        <v>0.78808031389422761</v>
      </c>
      <c r="O549" s="79">
        <v>0.123351269525145</v>
      </c>
      <c r="P549" s="79">
        <v>5.3519182816525603E-2</v>
      </c>
      <c r="Q549" s="79">
        <v>0.106912141145276</v>
      </c>
      <c r="R549" s="79">
        <v>1</v>
      </c>
      <c r="S549" s="102">
        <v>0.91347602718679377</v>
      </c>
      <c r="T549" s="79">
        <v>0.12102439641669201</v>
      </c>
      <c r="U549" s="79">
        <v>0.45460022922090698</v>
      </c>
      <c r="V549" s="79">
        <v>0.57041070341710598</v>
      </c>
      <c r="W549" s="79">
        <v>1</v>
      </c>
    </row>
    <row r="550" spans="2:23" x14ac:dyDescent="0.2">
      <c r="B550" t="s">
        <v>3705</v>
      </c>
      <c r="C550" s="84">
        <v>491</v>
      </c>
      <c r="D550" s="102">
        <v>1.0137175587590554</v>
      </c>
      <c r="E550" s="79">
        <v>0.103311484782727</v>
      </c>
      <c r="F550" s="79">
        <v>0.89508222393241599</v>
      </c>
      <c r="G550" s="79">
        <v>0.99362338620020496</v>
      </c>
      <c r="H550" s="79">
        <v>1</v>
      </c>
      <c r="I550" s="102">
        <v>0.96509157295814796</v>
      </c>
      <c r="J550" s="79">
        <v>9.6396783580722803E-2</v>
      </c>
      <c r="K550" s="79">
        <v>0.71242254341975197</v>
      </c>
      <c r="L550" s="79">
        <v>0.91151343546303598</v>
      </c>
      <c r="M550" s="79">
        <v>1</v>
      </c>
      <c r="N550" s="102">
        <v>1.030226068689948</v>
      </c>
      <c r="O550" s="79">
        <v>9.5912184749034901E-2</v>
      </c>
      <c r="P550" s="79">
        <v>0.75620034850598195</v>
      </c>
      <c r="Q550" s="79">
        <v>0.83296493787329695</v>
      </c>
      <c r="R550" s="79">
        <v>1</v>
      </c>
      <c r="S550" s="102">
        <v>1.04309537449642</v>
      </c>
      <c r="T550" s="79">
        <v>9.8175303944504105E-2</v>
      </c>
      <c r="U550" s="79">
        <v>0.667364336521867</v>
      </c>
      <c r="V550" s="79">
        <v>0.73649197789448995</v>
      </c>
      <c r="W550" s="79">
        <v>1</v>
      </c>
    </row>
    <row r="551" spans="2:23" x14ac:dyDescent="0.2">
      <c r="B551" t="s">
        <v>3704</v>
      </c>
      <c r="C551" s="84">
        <v>5039</v>
      </c>
      <c r="D551" s="102">
        <v>1.0169865798509068</v>
      </c>
      <c r="E551" s="79">
        <v>5.5363264857504202E-2</v>
      </c>
      <c r="F551" s="79">
        <v>0.76094228061154801</v>
      </c>
      <c r="G551" s="79">
        <v>0.98179149829045598</v>
      </c>
      <c r="H551" s="79">
        <v>1</v>
      </c>
      <c r="I551" s="102">
        <v>1.037305484503269</v>
      </c>
      <c r="J551" s="79">
        <v>5.44482022405154E-2</v>
      </c>
      <c r="K551" s="79">
        <v>0.50114792508823403</v>
      </c>
      <c r="L551" s="79">
        <v>0.82115645345515598</v>
      </c>
      <c r="M551" s="79">
        <v>1</v>
      </c>
      <c r="N551" s="102">
        <v>1.0308374363773978</v>
      </c>
      <c r="O551" s="79">
        <v>5.4199927263527403E-2</v>
      </c>
      <c r="P551" s="79">
        <v>0.57523333467209503</v>
      </c>
      <c r="Q551" s="79">
        <v>0.68334170332014699</v>
      </c>
      <c r="R551" s="79">
        <v>1</v>
      </c>
      <c r="S551" s="102">
        <v>1.0623914729771984</v>
      </c>
      <c r="T551" s="79">
        <v>5.4346184551243702E-2</v>
      </c>
      <c r="U551" s="79">
        <v>0.26543059057271901</v>
      </c>
      <c r="V551" s="79">
        <v>0.37563861355905298</v>
      </c>
      <c r="W551" s="79">
        <v>1</v>
      </c>
    </row>
    <row r="552" spans="2:23" x14ac:dyDescent="0.2">
      <c r="B552" t="s">
        <v>1123</v>
      </c>
      <c r="C552" s="84">
        <v>5022</v>
      </c>
      <c r="D552" s="102">
        <v>3.8445076838745401E-2</v>
      </c>
      <c r="E552" s="79">
        <v>5.6413809644647303E-2</v>
      </c>
      <c r="F552" s="79">
        <v>0.49609087869496998</v>
      </c>
      <c r="G552" s="79">
        <v>0.91678121217168596</v>
      </c>
      <c r="H552" s="79">
        <v>1</v>
      </c>
      <c r="I552" s="102">
        <v>2.33315340104722E-2</v>
      </c>
      <c r="J552" s="79">
        <v>5.7426430403802103E-2</v>
      </c>
      <c r="K552" s="79">
        <v>0.68482360059441905</v>
      </c>
      <c r="L552" s="79">
        <v>0.89513208287572998</v>
      </c>
      <c r="M552" s="79">
        <v>1</v>
      </c>
      <c r="N552" s="102">
        <v>8.2063864186588106E-2</v>
      </c>
      <c r="O552" s="79">
        <v>6.2954102796963798E-2</v>
      </c>
      <c r="P552" s="79">
        <v>0.19338813826974799</v>
      </c>
      <c r="Q552" s="79">
        <v>0.29249955913299402</v>
      </c>
      <c r="R552" s="79">
        <v>1</v>
      </c>
      <c r="S552" s="102">
        <v>9.1232205144597997E-2</v>
      </c>
      <c r="T552" s="79">
        <v>5.7883398959744502E-2</v>
      </c>
      <c r="U552" s="79">
        <v>0.116048376528693</v>
      </c>
      <c r="V552" s="79">
        <v>0.19857166650465299</v>
      </c>
      <c r="W552" s="79">
        <v>1</v>
      </c>
    </row>
    <row r="553" spans="2:23" x14ac:dyDescent="0.2">
      <c r="B553" t="s">
        <v>980</v>
      </c>
      <c r="C553" s="84">
        <v>5021</v>
      </c>
      <c r="D553" s="102">
        <v>8.7219335454115199E-2</v>
      </c>
      <c r="E553" s="79">
        <v>4.6056620889071302E-2</v>
      </c>
      <c r="F553" s="79">
        <v>5.8860267178321199E-2</v>
      </c>
      <c r="G553" s="79">
        <v>0.71323882218720602</v>
      </c>
      <c r="H553" s="79">
        <v>1</v>
      </c>
      <c r="I553" s="102">
        <v>6.0368431695179602E-2</v>
      </c>
      <c r="J553" s="79">
        <v>4.6069671356442299E-2</v>
      </c>
      <c r="K553" s="79">
        <v>0.190739050495527</v>
      </c>
      <c r="L553" s="79">
        <v>0.63287844491831902</v>
      </c>
      <c r="M553" s="79">
        <v>1</v>
      </c>
      <c r="N553" s="102">
        <v>-3.71319637011572E-3</v>
      </c>
      <c r="O553" s="79">
        <v>4.6957129228120301E-2</v>
      </c>
      <c r="P553" s="79">
        <v>0.93700495712175202</v>
      </c>
      <c r="Q553" s="79">
        <v>0.95504596712650303</v>
      </c>
      <c r="R553" s="79">
        <v>1</v>
      </c>
      <c r="S553" s="102">
        <v>2.9867169255767E-2</v>
      </c>
      <c r="T553" s="79">
        <v>4.2420491503831502E-2</v>
      </c>
      <c r="U553" s="79">
        <v>0.48173837425340499</v>
      </c>
      <c r="V553" s="79">
        <v>0.59436620974892096</v>
      </c>
      <c r="W553" s="79">
        <v>1</v>
      </c>
    </row>
    <row r="554" spans="2:23" x14ac:dyDescent="0.2">
      <c r="B554" t="s">
        <v>3830</v>
      </c>
      <c r="C554" s="84">
        <v>2025</v>
      </c>
      <c r="D554" s="102">
        <v>1.0220020213766965</v>
      </c>
      <c r="E554" s="79">
        <v>8.9616287076183104E-2</v>
      </c>
      <c r="F554" s="79">
        <v>0.80812026623679301</v>
      </c>
      <c r="G554" s="79">
        <v>0.80206892239377803</v>
      </c>
      <c r="H554" s="79">
        <v>1</v>
      </c>
      <c r="I554" s="102">
        <v>1.007033859503587</v>
      </c>
      <c r="J554" s="79">
        <v>8.9400697091423301E-2</v>
      </c>
      <c r="K554" s="79">
        <v>0.93750789248646904</v>
      </c>
      <c r="L554" s="79">
        <v>0.91147887477217104</v>
      </c>
      <c r="M554" s="79">
        <v>1</v>
      </c>
      <c r="N554" s="102">
        <v>1.1989104263361798</v>
      </c>
      <c r="O554" s="79">
        <v>0.12498059260302601</v>
      </c>
      <c r="P554" s="79">
        <v>0.14663214175772199</v>
      </c>
      <c r="Q554" s="79">
        <v>0.235892543340533</v>
      </c>
      <c r="R554" s="79">
        <v>1</v>
      </c>
      <c r="S554" s="102">
        <v>1.1344229163043567</v>
      </c>
      <c r="T554" s="79">
        <v>0.11227888363007101</v>
      </c>
      <c r="U554" s="79">
        <v>0.26130553651015098</v>
      </c>
      <c r="V554" s="79">
        <v>0.37135199567801702</v>
      </c>
      <c r="W554" s="79">
        <v>1</v>
      </c>
    </row>
    <row r="555" spans="2:23" x14ac:dyDescent="0.2">
      <c r="B555" t="s">
        <v>3715</v>
      </c>
      <c r="C555" s="84">
        <v>510</v>
      </c>
      <c r="D555" s="102">
        <v>0.81919990908873841</v>
      </c>
      <c r="E555" s="79">
        <v>0.122725183809031</v>
      </c>
      <c r="F555" s="79">
        <v>0.104164795116075</v>
      </c>
      <c r="G555" s="79">
        <v>0.80206892239377803</v>
      </c>
      <c r="H555" s="79">
        <v>1</v>
      </c>
      <c r="I555" s="102">
        <v>1.045766136502795</v>
      </c>
      <c r="J555" s="79">
        <v>0.120917632080575</v>
      </c>
      <c r="K555" s="79">
        <v>0.71131940522361903</v>
      </c>
      <c r="L555" s="79">
        <v>0.91147887477217104</v>
      </c>
      <c r="M555" s="79">
        <v>1</v>
      </c>
      <c r="N555" s="102">
        <v>1.1989104263361798</v>
      </c>
      <c r="O555" s="79">
        <v>0.12498059260302601</v>
      </c>
      <c r="P555" s="79">
        <v>0.14663214175772199</v>
      </c>
      <c r="Q555" s="79">
        <v>0.235892543340533</v>
      </c>
      <c r="R555" s="79">
        <v>1</v>
      </c>
      <c r="S555" s="102">
        <v>1.1344229163043567</v>
      </c>
      <c r="T555" s="79">
        <v>0.11227888363007101</v>
      </c>
      <c r="U555" s="79">
        <v>0.26130553651015098</v>
      </c>
      <c r="V555" s="79">
        <v>0.37135199567801702</v>
      </c>
      <c r="W555" s="79">
        <v>1</v>
      </c>
    </row>
    <row r="556" spans="2:23" x14ac:dyDescent="0.2">
      <c r="B556" t="s">
        <v>3714</v>
      </c>
      <c r="C556" s="84">
        <v>5039</v>
      </c>
      <c r="D556" s="102">
        <v>1.045196394171017</v>
      </c>
      <c r="E556" s="79">
        <v>5.5381079648408299E-2</v>
      </c>
      <c r="F556" s="79">
        <v>0.424758345407732</v>
      </c>
      <c r="G556" s="79">
        <v>0.89813936408249395</v>
      </c>
      <c r="H556" s="79">
        <v>1</v>
      </c>
      <c r="I556" s="102">
        <v>1.0794894239477439</v>
      </c>
      <c r="J556" s="79">
        <v>5.4973688510551497E-2</v>
      </c>
      <c r="K556" s="79">
        <v>0.16411638428019501</v>
      </c>
      <c r="L556" s="79">
        <v>0.60729780659882704</v>
      </c>
      <c r="M556" s="79">
        <v>1</v>
      </c>
      <c r="N556" s="107">
        <v>1.3329625750303802</v>
      </c>
      <c r="O556" s="81">
        <v>5.53352880752538E-2</v>
      </c>
      <c r="P556" s="81">
        <v>2.0597354377607501E-7</v>
      </c>
      <c r="Q556" s="81">
        <v>3.0877803819174398E-6</v>
      </c>
      <c r="R556" s="81">
        <v>3.4891918315667098E-4</v>
      </c>
      <c r="S556" s="102">
        <v>1.1754608068415753</v>
      </c>
      <c r="T556" s="79">
        <v>5.4468578688106201E-2</v>
      </c>
      <c r="U556" s="79">
        <v>2.9978899930060399E-3</v>
      </c>
      <c r="V556" s="79">
        <v>1.06465946502143E-2</v>
      </c>
      <c r="W556" s="79">
        <v>1</v>
      </c>
    </row>
    <row r="557" spans="2:23" x14ac:dyDescent="0.2">
      <c r="B557" t="s">
        <v>1109</v>
      </c>
      <c r="C557" s="84">
        <v>5022</v>
      </c>
      <c r="D557" s="102">
        <v>4.5338323195198003E-2</v>
      </c>
      <c r="E557" s="79">
        <v>4.2271821854056299E-2</v>
      </c>
      <c r="F557" s="79">
        <v>0.28392396563842598</v>
      </c>
      <c r="G557" s="79">
        <v>0.86861170490914397</v>
      </c>
      <c r="H557" s="79">
        <v>1</v>
      </c>
      <c r="I557" s="102">
        <v>7.7677069911648799E-2</v>
      </c>
      <c r="J557" s="79">
        <v>3.94830384132051E-2</v>
      </c>
      <c r="K557" s="79">
        <v>4.9624283309517001E-2</v>
      </c>
      <c r="L557" s="79">
        <v>0.40415161503039299</v>
      </c>
      <c r="M557" s="79">
        <v>1</v>
      </c>
      <c r="N557" s="102">
        <v>0.108226976114491</v>
      </c>
      <c r="O557" s="79">
        <v>3.7930069810217203E-2</v>
      </c>
      <c r="P557" s="79">
        <v>4.48752244826452E-3</v>
      </c>
      <c r="Q557" s="79">
        <v>1.4675411249729899E-2</v>
      </c>
      <c r="R557" s="79">
        <v>1</v>
      </c>
      <c r="S557" s="102">
        <v>0.11061182627230701</v>
      </c>
      <c r="T557" s="79">
        <v>4.0286807507401302E-2</v>
      </c>
      <c r="U557" s="79">
        <v>6.2299662489835404E-3</v>
      </c>
      <c r="V557" s="79">
        <v>1.9223247405788901E-2</v>
      </c>
      <c r="W557" s="79">
        <v>1</v>
      </c>
    </row>
    <row r="558" spans="2:23" x14ac:dyDescent="0.2">
      <c r="B558" t="s">
        <v>963</v>
      </c>
      <c r="C558" s="84">
        <v>5037</v>
      </c>
      <c r="D558" s="102">
        <v>5.0402687074116201E-2</v>
      </c>
      <c r="E558" s="79">
        <v>4.3391617931979501E-2</v>
      </c>
      <c r="F558" s="79">
        <v>0.245875340412716</v>
      </c>
      <c r="G558" s="79">
        <v>0.85990749347533801</v>
      </c>
      <c r="H558" s="79">
        <v>1</v>
      </c>
      <c r="I558" s="102">
        <v>4.4713255094462202E-2</v>
      </c>
      <c r="J558" s="79">
        <v>4.13537901501752E-2</v>
      </c>
      <c r="K558" s="79">
        <v>0.28002761493995498</v>
      </c>
      <c r="L558" s="79">
        <v>0.69537030386512999</v>
      </c>
      <c r="M558" s="79">
        <v>1</v>
      </c>
      <c r="N558" s="102">
        <v>5.2799223430497399E-3</v>
      </c>
      <c r="O558" s="79">
        <v>4.0888326224092601E-2</v>
      </c>
      <c r="P558" s="79">
        <v>0.89729816330108803</v>
      </c>
      <c r="Q558" s="79">
        <v>0.93081634331417196</v>
      </c>
      <c r="R558" s="79">
        <v>1</v>
      </c>
      <c r="S558" s="102">
        <v>3.4627236404740101E-2</v>
      </c>
      <c r="T558" s="79">
        <v>4.0687310235434197E-2</v>
      </c>
      <c r="U558" s="79">
        <v>0.395084507879086</v>
      </c>
      <c r="V558" s="79">
        <v>0.51364018138693102</v>
      </c>
      <c r="W558" s="79">
        <v>1</v>
      </c>
    </row>
    <row r="559" spans="2:23" x14ac:dyDescent="0.2">
      <c r="B559" t="s">
        <v>3801</v>
      </c>
      <c r="C559" s="84">
        <v>5025</v>
      </c>
      <c r="D559" s="102">
        <v>0.99187995941083762</v>
      </c>
      <c r="E559" s="79">
        <v>5.5621290004683903E-2</v>
      </c>
      <c r="F559" s="79">
        <v>0.88346043302000099</v>
      </c>
      <c r="G559" s="79">
        <v>0.89461055933914202</v>
      </c>
      <c r="H559" s="79">
        <v>1</v>
      </c>
      <c r="I559" s="102">
        <v>1.0735408216959503</v>
      </c>
      <c r="J559" s="79">
        <v>5.4351559871229103E-2</v>
      </c>
      <c r="K559" s="79">
        <v>0.191682562046192</v>
      </c>
      <c r="L559" s="79">
        <v>0.90623303456965298</v>
      </c>
      <c r="M559" s="79">
        <v>1</v>
      </c>
      <c r="N559" s="102">
        <v>1.0231210336497452</v>
      </c>
      <c r="O559" s="79">
        <v>8.2796806595116706E-2</v>
      </c>
      <c r="P559" s="79">
        <v>0.78249357821626297</v>
      </c>
      <c r="Q559" s="79">
        <v>0.85298849517268305</v>
      </c>
      <c r="R559" s="79">
        <v>1</v>
      </c>
      <c r="S559" s="102">
        <v>1.0402845481422562</v>
      </c>
      <c r="T559" s="79">
        <v>8.2325622697642598E-2</v>
      </c>
      <c r="U559" s="79">
        <v>0.63141758989784202</v>
      </c>
      <c r="V559" s="79">
        <v>0.71020892111419798</v>
      </c>
      <c r="W559" s="79">
        <v>1</v>
      </c>
    </row>
    <row r="560" spans="2:23" x14ac:dyDescent="0.2">
      <c r="B560" t="s">
        <v>3802</v>
      </c>
      <c r="C560" s="84">
        <v>5025</v>
      </c>
      <c r="D560" s="102">
        <v>1.0142370172450548</v>
      </c>
      <c r="E560" s="79">
        <v>0.10387834465945101</v>
      </c>
      <c r="F560" s="79">
        <v>0.89175151218051296</v>
      </c>
      <c r="G560" s="79">
        <v>0.99362338620020496</v>
      </c>
      <c r="H560" s="79">
        <v>1</v>
      </c>
      <c r="I560" s="102">
        <v>1.1162710682073713</v>
      </c>
      <c r="J560" s="79">
        <v>9.8333650396223701E-2</v>
      </c>
      <c r="K560" s="79">
        <v>0.26332078137064002</v>
      </c>
      <c r="L560" s="79">
        <v>0.68382629307189902</v>
      </c>
      <c r="M560" s="79">
        <v>1</v>
      </c>
      <c r="N560" s="102">
        <v>0.92887871780222453</v>
      </c>
      <c r="O560" s="79">
        <v>9.5575644954955893E-2</v>
      </c>
      <c r="P560" s="79">
        <v>0.44015965322348899</v>
      </c>
      <c r="Q560" s="79">
        <v>0.55810662616810702</v>
      </c>
      <c r="R560" s="79">
        <v>1</v>
      </c>
      <c r="S560" s="102">
        <v>1.1227165776102825</v>
      </c>
      <c r="T560" s="79">
        <v>0.100715255319342</v>
      </c>
      <c r="U560" s="79">
        <v>0.25043548525122999</v>
      </c>
      <c r="V560" s="79">
        <v>0.36013388116772799</v>
      </c>
      <c r="W560" s="79">
        <v>1</v>
      </c>
    </row>
    <row r="561" spans="2:23" x14ac:dyDescent="0.2">
      <c r="B561" t="s">
        <v>3688</v>
      </c>
      <c r="C561" s="84">
        <v>618</v>
      </c>
      <c r="D561" s="102">
        <v>1.0799301711801887</v>
      </c>
      <c r="E561" s="79">
        <v>8.8315396714265998E-2</v>
      </c>
      <c r="F561" s="79">
        <v>0.38391694690518502</v>
      </c>
      <c r="G561" s="79">
        <v>0.89461055933914202</v>
      </c>
      <c r="H561" s="79">
        <v>1</v>
      </c>
      <c r="I561" s="102">
        <v>1.0328730826641956</v>
      </c>
      <c r="J561" s="79">
        <v>8.4402552081943694E-2</v>
      </c>
      <c r="K561" s="79">
        <v>0.701560394519125</v>
      </c>
      <c r="L561" s="79">
        <v>0.90623303456965298</v>
      </c>
      <c r="M561" s="79">
        <v>1</v>
      </c>
      <c r="N561" s="102">
        <v>1.0231210336497452</v>
      </c>
      <c r="O561" s="79">
        <v>8.2796806595116706E-2</v>
      </c>
      <c r="P561" s="79">
        <v>0.78249357821626297</v>
      </c>
      <c r="Q561" s="79">
        <v>0.85298849517268305</v>
      </c>
      <c r="R561" s="79">
        <v>1</v>
      </c>
      <c r="S561" s="102">
        <v>1.0402845481422562</v>
      </c>
      <c r="T561" s="79">
        <v>8.2325622697642598E-2</v>
      </c>
      <c r="U561" s="79">
        <v>0.63141758989784202</v>
      </c>
      <c r="V561" s="79">
        <v>0.71020892111419798</v>
      </c>
      <c r="W561" s="79">
        <v>1</v>
      </c>
    </row>
    <row r="562" spans="2:23" x14ac:dyDescent="0.2">
      <c r="B562" t="s">
        <v>3687</v>
      </c>
      <c r="C562" s="84">
        <v>5038</v>
      </c>
      <c r="D562" s="102">
        <v>0.9833502290625058</v>
      </c>
      <c r="E562" s="79">
        <v>4.6834015651212799E-2</v>
      </c>
      <c r="F562" s="79">
        <v>0.71997009839973403</v>
      </c>
      <c r="G562" s="79">
        <v>0.97160036230239</v>
      </c>
      <c r="H562" s="79">
        <v>1</v>
      </c>
      <c r="I562" s="102">
        <v>1.1388596993039166</v>
      </c>
      <c r="J562" s="79">
        <v>4.6394319818069303E-2</v>
      </c>
      <c r="K562" s="79">
        <v>5.0683090852694001E-3</v>
      </c>
      <c r="L562" s="79">
        <v>0.143721784187822</v>
      </c>
      <c r="M562" s="79">
        <v>1</v>
      </c>
      <c r="N562" s="102">
        <v>1.1877726323501676</v>
      </c>
      <c r="O562" s="79">
        <v>4.5894229926679297E-2</v>
      </c>
      <c r="P562" s="79">
        <v>1.7719672442676E-4</v>
      </c>
      <c r="Q562" s="79">
        <v>1.09153182246884E-3</v>
      </c>
      <c r="R562" s="79">
        <v>0.30017125117893101</v>
      </c>
      <c r="S562" s="107">
        <v>1.2847724379229986</v>
      </c>
      <c r="T562" s="81">
        <v>4.64836509833026E-2</v>
      </c>
      <c r="U562" s="81">
        <v>7.0165321397961099E-8</v>
      </c>
      <c r="V562" s="81">
        <v>1.88666753092295E-6</v>
      </c>
      <c r="W562" s="81">
        <v>1.1886005444814599E-4</v>
      </c>
    </row>
    <row r="563" spans="2:23" x14ac:dyDescent="0.2">
      <c r="B563" t="s">
        <v>954</v>
      </c>
      <c r="C563" s="84">
        <v>5037</v>
      </c>
      <c r="D563" s="102">
        <v>8.3218770194227396E-3</v>
      </c>
      <c r="E563" s="79">
        <v>1.45210725430118E-2</v>
      </c>
      <c r="F563" s="79">
        <v>0.56661068181943097</v>
      </c>
      <c r="G563" s="79">
        <v>0.93167796111031398</v>
      </c>
      <c r="H563" s="79">
        <v>1</v>
      </c>
      <c r="I563" s="102">
        <v>3.9237446049132402E-2</v>
      </c>
      <c r="J563" s="79">
        <v>1.4469630503234999E-2</v>
      </c>
      <c r="K563" s="79">
        <v>6.7177713275386004E-3</v>
      </c>
      <c r="L563" s="79">
        <v>0.153782494984465</v>
      </c>
      <c r="M563" s="79">
        <v>1</v>
      </c>
      <c r="N563" s="102">
        <v>5.3400221339372798E-2</v>
      </c>
      <c r="O563" s="79">
        <v>1.4330532888101001E-2</v>
      </c>
      <c r="P563" s="79">
        <v>1.9653225469806201E-4</v>
      </c>
      <c r="Q563" s="79">
        <v>1.19328186185848E-3</v>
      </c>
      <c r="R563" s="79">
        <v>0.332925639458517</v>
      </c>
      <c r="S563" s="107">
        <v>8.9318172883029498E-2</v>
      </c>
      <c r="T563" s="81">
        <v>1.4312751178544801E-2</v>
      </c>
      <c r="U563" s="81">
        <v>4.7411063291432495E-10</v>
      </c>
      <c r="V563" s="81">
        <v>3.6506518734402999E-8</v>
      </c>
      <c r="W563" s="81">
        <v>8.0314341215686703E-7</v>
      </c>
    </row>
    <row r="564" spans="2:23" x14ac:dyDescent="0.2">
      <c r="B564" t="s">
        <v>3250</v>
      </c>
      <c r="C564" s="84">
        <v>5037</v>
      </c>
      <c r="D564" s="102">
        <v>-2.3865407156150601E-2</v>
      </c>
      <c r="E564" s="79">
        <v>1.6047146280081501E-2</v>
      </c>
      <c r="F564" s="79">
        <v>0.13704304805444201</v>
      </c>
      <c r="G564" s="79">
        <v>0.80938271582532695</v>
      </c>
      <c r="H564" s="79">
        <v>1</v>
      </c>
      <c r="I564" s="102">
        <v>-2.3154281936288898E-3</v>
      </c>
      <c r="J564" s="79">
        <v>1.5963937276280399E-2</v>
      </c>
      <c r="K564" s="79">
        <v>0.88468614391600298</v>
      </c>
      <c r="L564" s="79">
        <v>0.97675355714987899</v>
      </c>
      <c r="M564" s="79">
        <v>1</v>
      </c>
      <c r="N564" s="102">
        <v>2.6751822025098501E-2</v>
      </c>
      <c r="O564" s="79">
        <v>1.5849017832730999E-2</v>
      </c>
      <c r="P564" s="79">
        <v>9.1510459491861498E-2</v>
      </c>
      <c r="Q564" s="79">
        <v>0.16283478821345901</v>
      </c>
      <c r="R564" s="79">
        <v>1</v>
      </c>
      <c r="S564" s="102">
        <v>3.2437932542321801E-2</v>
      </c>
      <c r="T564" s="79">
        <v>1.5729878399978799E-2</v>
      </c>
      <c r="U564" s="79">
        <v>3.9259091066025903E-2</v>
      </c>
      <c r="V564" s="79">
        <v>8.5553089655611897E-2</v>
      </c>
      <c r="W564" s="79">
        <v>1</v>
      </c>
    </row>
    <row r="565" spans="2:23" x14ac:dyDescent="0.2">
      <c r="B565" t="s">
        <v>956</v>
      </c>
      <c r="C565" s="84">
        <v>5037</v>
      </c>
      <c r="D565" s="102">
        <v>1.2844333146336699E-2</v>
      </c>
      <c r="E565" s="79">
        <v>1.4507356559599199E-2</v>
      </c>
      <c r="F565" s="79">
        <v>0.37600201827808599</v>
      </c>
      <c r="G565" s="79">
        <v>0.89461055933914202</v>
      </c>
      <c r="H565" s="79">
        <v>1</v>
      </c>
      <c r="I565" s="102">
        <v>4.2791004576626303E-2</v>
      </c>
      <c r="J565" s="79">
        <v>1.4434969310433501E-2</v>
      </c>
      <c r="K565" s="79">
        <v>3.0474847895581901E-3</v>
      </c>
      <c r="L565" s="79">
        <v>0.13952538468950201</v>
      </c>
      <c r="M565" s="79">
        <v>1</v>
      </c>
      <c r="N565" s="107">
        <v>6.4390298795587095E-2</v>
      </c>
      <c r="O565" s="81">
        <v>1.42782591827956E-2</v>
      </c>
      <c r="P565" s="81">
        <v>6.6444946636137697E-6</v>
      </c>
      <c r="Q565" s="81">
        <v>6.9480086173837806E-5</v>
      </c>
      <c r="R565" s="81">
        <v>1.12557739601617E-2</v>
      </c>
      <c r="S565" s="107">
        <v>0.104143397453868</v>
      </c>
      <c r="T565" s="81">
        <v>1.42242458232888E-2</v>
      </c>
      <c r="U565" s="81">
        <v>2.85319458796414E-13</v>
      </c>
      <c r="V565" s="81">
        <v>8.05551938668542E-11</v>
      </c>
      <c r="W565" s="81">
        <v>4.8333116320112499E-10</v>
      </c>
    </row>
    <row r="566" spans="2:23" x14ac:dyDescent="0.2">
      <c r="B566" t="s">
        <v>3249</v>
      </c>
      <c r="C566" s="84">
        <v>5037</v>
      </c>
      <c r="D566" s="102">
        <v>3.0715587117358801E-3</v>
      </c>
      <c r="E566" s="79">
        <v>1.7012937430913699E-2</v>
      </c>
      <c r="F566" s="79">
        <v>0.85673691977327604</v>
      </c>
      <c r="G566" s="79">
        <v>0.99362338620020496</v>
      </c>
      <c r="H566" s="79">
        <v>1</v>
      </c>
      <c r="I566" s="102">
        <v>-8.6659918892536807E-3</v>
      </c>
      <c r="J566" s="79">
        <v>1.6672187425367899E-2</v>
      </c>
      <c r="K566" s="79">
        <v>0.60324442593421201</v>
      </c>
      <c r="L566" s="79">
        <v>0.87118163472511101</v>
      </c>
      <c r="M566" s="79">
        <v>1</v>
      </c>
      <c r="N566" s="102">
        <v>-2.2561690673446599E-2</v>
      </c>
      <c r="O566" s="79">
        <v>1.6445988363348301E-2</v>
      </c>
      <c r="P566" s="79">
        <v>0.17019168307924501</v>
      </c>
      <c r="Q566" s="79">
        <v>0.26522972505634002</v>
      </c>
      <c r="R566" s="79">
        <v>1</v>
      </c>
      <c r="S566" s="102">
        <v>-8.8353004225269899E-3</v>
      </c>
      <c r="T566" s="79">
        <v>1.64858144538522E-2</v>
      </c>
      <c r="U566" s="79">
        <v>0.59203809599063395</v>
      </c>
      <c r="V566" s="79">
        <v>0.68225342490349306</v>
      </c>
      <c r="W566" s="79">
        <v>1</v>
      </c>
    </row>
    <row r="567" spans="2:23" x14ac:dyDescent="0.2">
      <c r="B567" t="s">
        <v>955</v>
      </c>
      <c r="C567" s="84">
        <v>5037</v>
      </c>
      <c r="D567" s="102">
        <v>-2.52508556418475E-3</v>
      </c>
      <c r="E567" s="79">
        <v>1.4293644329204099E-2</v>
      </c>
      <c r="F567" s="79">
        <v>0.85978449570760995</v>
      </c>
      <c r="G567" s="79">
        <v>0.99362338620020496</v>
      </c>
      <c r="H567" s="79">
        <v>1</v>
      </c>
      <c r="I567" s="102">
        <v>1.5826579417824199E-2</v>
      </c>
      <c r="J567" s="79">
        <v>1.4215799258378899E-2</v>
      </c>
      <c r="K567" s="79">
        <v>0.26563206911626702</v>
      </c>
      <c r="L567" s="79">
        <v>0.68382629307189902</v>
      </c>
      <c r="M567" s="79">
        <v>1</v>
      </c>
      <c r="N567" s="102">
        <v>-1.2198760636181199E-2</v>
      </c>
      <c r="O567" s="79">
        <v>1.40891810529185E-2</v>
      </c>
      <c r="P567" s="79">
        <v>0.386629678348962</v>
      </c>
      <c r="Q567" s="79">
        <v>0.50342096473723397</v>
      </c>
      <c r="R567" s="79">
        <v>1</v>
      </c>
      <c r="S567" s="102">
        <v>-6.68818482202772E-3</v>
      </c>
      <c r="T567" s="79">
        <v>1.4085999631156801E-2</v>
      </c>
      <c r="U567" s="79">
        <v>0.63494352105162</v>
      </c>
      <c r="V567" s="79">
        <v>0.71278616611096401</v>
      </c>
      <c r="W567" s="79">
        <v>1</v>
      </c>
    </row>
    <row r="568" spans="2:23" x14ac:dyDescent="0.2">
      <c r="B568" t="s">
        <v>953</v>
      </c>
      <c r="C568" s="84">
        <v>5037</v>
      </c>
      <c r="D568" s="102">
        <v>2.2595215143601601E-2</v>
      </c>
      <c r="E568" s="79">
        <v>1.4504022326413899E-2</v>
      </c>
      <c r="F568" s="79">
        <v>0.11933110464899201</v>
      </c>
      <c r="G568" s="79">
        <v>0.80938271582532695</v>
      </c>
      <c r="H568" s="79">
        <v>1</v>
      </c>
      <c r="I568" s="102">
        <v>4.9668861901893097E-2</v>
      </c>
      <c r="J568" s="79">
        <v>1.44285384768093E-2</v>
      </c>
      <c r="K568" s="79">
        <v>5.8143896858922899E-4</v>
      </c>
      <c r="L568" s="79">
        <v>7.0354115199296699E-2</v>
      </c>
      <c r="M568" s="79">
        <v>0.98495761279015404</v>
      </c>
      <c r="N568" s="107">
        <v>6.1273716459790302E-2</v>
      </c>
      <c r="O568" s="81">
        <v>1.42795680446466E-2</v>
      </c>
      <c r="P568" s="81">
        <v>1.8130228398208601E-5</v>
      </c>
      <c r="Q568" s="81">
        <v>1.59961494305028E-4</v>
      </c>
      <c r="R568" s="81">
        <v>3.0712606906565399E-2</v>
      </c>
      <c r="S568" s="107">
        <v>0.10545100457538201</v>
      </c>
      <c r="T568" s="81">
        <v>1.4222491986575899E-2</v>
      </c>
      <c r="U568" s="81">
        <v>1.43331746501955E-13</v>
      </c>
      <c r="V568" s="81">
        <v>8.05551938668542E-11</v>
      </c>
      <c r="W568" s="81">
        <v>2.42803978574312E-10</v>
      </c>
    </row>
    <row r="569" spans="2:23" x14ac:dyDescent="0.2">
      <c r="B569" t="s">
        <v>952</v>
      </c>
      <c r="C569" s="84">
        <v>5037</v>
      </c>
      <c r="D569" s="102">
        <v>-3.4465048480038202E-4</v>
      </c>
      <c r="E569" s="79">
        <v>1.42263799036434E-2</v>
      </c>
      <c r="F569" s="79">
        <v>0.98067321733400203</v>
      </c>
      <c r="G569" s="79">
        <v>0.99840985319461195</v>
      </c>
      <c r="H569" s="79">
        <v>1</v>
      </c>
      <c r="I569" s="102">
        <v>2.62083662340203E-2</v>
      </c>
      <c r="J569" s="79">
        <v>1.41420001884612E-2</v>
      </c>
      <c r="K569" s="79">
        <v>6.3911596617455102E-2</v>
      </c>
      <c r="L569" s="79">
        <v>0.43517978594622803</v>
      </c>
      <c r="M569" s="79">
        <v>1</v>
      </c>
      <c r="N569" s="102">
        <v>1.1016813219422E-2</v>
      </c>
      <c r="O569" s="79">
        <v>1.4020865206024601E-2</v>
      </c>
      <c r="P569" s="79">
        <v>0.43205628939415103</v>
      </c>
      <c r="Q569" s="79">
        <v>0.54947699266793704</v>
      </c>
      <c r="R569" s="79">
        <v>1</v>
      </c>
      <c r="S569" s="102">
        <v>5.1180781597863299E-3</v>
      </c>
      <c r="T569" s="79">
        <v>1.40178941460566E-2</v>
      </c>
      <c r="U569" s="79">
        <v>0.71504520244056502</v>
      </c>
      <c r="V569" s="79">
        <v>0.77796183232775695</v>
      </c>
      <c r="W569" s="79">
        <v>1</v>
      </c>
    </row>
    <row r="570" spans="2:23" x14ac:dyDescent="0.2">
      <c r="B570" t="s">
        <v>951</v>
      </c>
      <c r="C570" s="84">
        <v>5037</v>
      </c>
      <c r="D570" s="102">
        <v>1.8212193882956602E-2</v>
      </c>
      <c r="E570" s="79">
        <v>1.41616584266451E-2</v>
      </c>
      <c r="F570" s="79">
        <v>0.198495566020401</v>
      </c>
      <c r="G570" s="79">
        <v>0.83003013605610498</v>
      </c>
      <c r="H570" s="79">
        <v>1</v>
      </c>
      <c r="I570" s="102">
        <v>3.8196321296475003E-2</v>
      </c>
      <c r="J570" s="79">
        <v>1.41227319013312E-2</v>
      </c>
      <c r="K570" s="79">
        <v>6.8622303723583399E-3</v>
      </c>
      <c r="L570" s="79">
        <v>0.154994910010334</v>
      </c>
      <c r="M570" s="79">
        <v>1</v>
      </c>
      <c r="N570" s="107">
        <v>6.6478039529997299E-2</v>
      </c>
      <c r="O570" s="81">
        <v>1.39520718019778E-2</v>
      </c>
      <c r="P570" s="81">
        <v>1.9450712789303598E-6</v>
      </c>
      <c r="Q570" s="81">
        <v>2.22631807196488E-5</v>
      </c>
      <c r="R570" s="81">
        <v>3.2949507465080299E-3</v>
      </c>
      <c r="S570" s="107">
        <v>9.7876070838985002E-2</v>
      </c>
      <c r="T570" s="81">
        <v>1.39096156230202E-2</v>
      </c>
      <c r="U570" s="81">
        <v>2.2400303006995802E-12</v>
      </c>
      <c r="V570" s="81">
        <v>4.4454215489607099E-10</v>
      </c>
      <c r="W570" s="81">
        <v>3.7946113293850904E-9</v>
      </c>
    </row>
    <row r="571" spans="2:23" x14ac:dyDescent="0.2">
      <c r="B571" t="s">
        <v>209</v>
      </c>
      <c r="C571" s="84">
        <v>5037</v>
      </c>
      <c r="D571" s="102">
        <v>-2.1642975457709299E-2</v>
      </c>
      <c r="E571" s="79">
        <v>1.43735823358896E-2</v>
      </c>
      <c r="F571" s="79">
        <v>0.132197373238085</v>
      </c>
      <c r="G571" s="79">
        <v>0.80938271582532695</v>
      </c>
      <c r="H571" s="79">
        <v>1</v>
      </c>
      <c r="I571" s="102">
        <v>-2.4824093762193002E-2</v>
      </c>
      <c r="J571" s="79">
        <v>1.42951067508161E-2</v>
      </c>
      <c r="K571" s="79">
        <v>8.2532112951199194E-2</v>
      </c>
      <c r="L571" s="79">
        <v>0.48466229106755998</v>
      </c>
      <c r="M571" s="79">
        <v>1</v>
      </c>
      <c r="N571" s="107">
        <v>-8.5275198621940607E-2</v>
      </c>
      <c r="O571" s="81">
        <v>1.4126548266534899E-2</v>
      </c>
      <c r="P571" s="81">
        <v>1.69324897884715E-9</v>
      </c>
      <c r="Q571" s="81">
        <v>4.3460057123743502E-8</v>
      </c>
      <c r="R571" s="81">
        <v>2.8683637701670701E-6</v>
      </c>
      <c r="S571" s="102">
        <v>-4.2649685070563999E-2</v>
      </c>
      <c r="T571" s="79">
        <v>1.4154364666606099E-2</v>
      </c>
      <c r="U571" s="79">
        <v>2.5987220437862601E-3</v>
      </c>
      <c r="V571" s="79">
        <v>9.4875757374438003E-3</v>
      </c>
      <c r="W571" s="79">
        <v>1</v>
      </c>
    </row>
    <row r="572" spans="2:23" x14ac:dyDescent="0.2">
      <c r="B572" t="s">
        <v>3602</v>
      </c>
      <c r="C572" s="84">
        <v>5037</v>
      </c>
      <c r="D572" s="102">
        <v>1.0460450733277267</v>
      </c>
      <c r="E572" s="79">
        <v>4.3652362067771198E-2</v>
      </c>
      <c r="F572" s="79">
        <v>0.30242405569680902</v>
      </c>
      <c r="G572" s="79">
        <v>0.87874159579827504</v>
      </c>
      <c r="H572" s="79">
        <v>1</v>
      </c>
      <c r="I572" s="102">
        <v>0.99289968326371669</v>
      </c>
      <c r="J572" s="79">
        <v>4.3146921812977301E-2</v>
      </c>
      <c r="K572" s="79">
        <v>0.86882719943291697</v>
      </c>
      <c r="L572" s="79">
        <v>0.96892249890675497</v>
      </c>
      <c r="M572" s="79">
        <v>1</v>
      </c>
      <c r="N572" s="102">
        <v>1.0358971857983894</v>
      </c>
      <c r="O572" s="79">
        <v>4.2930599345731998E-2</v>
      </c>
      <c r="P572" s="79">
        <v>0.411356085883052</v>
      </c>
      <c r="Q572" s="79">
        <v>0.528007458644836</v>
      </c>
      <c r="R572" s="79">
        <v>1</v>
      </c>
      <c r="S572" s="102">
        <v>1.045196963318789</v>
      </c>
      <c r="T572" s="79">
        <v>4.3048099532610497E-2</v>
      </c>
      <c r="U572" s="79">
        <v>0.30447569460235202</v>
      </c>
      <c r="V572" s="79">
        <v>0.41899417275092199</v>
      </c>
      <c r="W572" s="79">
        <v>1</v>
      </c>
    </row>
    <row r="573" spans="2:23" x14ac:dyDescent="0.2">
      <c r="B573" t="s">
        <v>3601</v>
      </c>
      <c r="C573" s="84">
        <v>5037</v>
      </c>
      <c r="D573" s="102">
        <v>0.94875211313212315</v>
      </c>
      <c r="E573" s="79">
        <v>2.9691288662504998E-2</v>
      </c>
      <c r="F573" s="79">
        <v>7.6423860357412193E-2</v>
      </c>
      <c r="G573" s="79">
        <v>0.73538141425839998</v>
      </c>
      <c r="H573" s="79">
        <v>1</v>
      </c>
      <c r="I573" s="102">
        <v>0.97507265218644001</v>
      </c>
      <c r="J573" s="79">
        <v>2.9417135564056101E-2</v>
      </c>
      <c r="K573" s="79">
        <v>0.39082876992320298</v>
      </c>
      <c r="L573" s="79">
        <v>0.76088358311707605</v>
      </c>
      <c r="M573" s="79">
        <v>1</v>
      </c>
      <c r="N573" s="102">
        <v>0.9978757256590719</v>
      </c>
      <c r="O573" s="79">
        <v>2.9200493729332502E-2</v>
      </c>
      <c r="P573" s="79">
        <v>0.94194516255314897</v>
      </c>
      <c r="Q573" s="79">
        <v>0.95835141463365403</v>
      </c>
      <c r="R573" s="79">
        <v>1</v>
      </c>
      <c r="S573" s="102">
        <v>1.0261863115716263</v>
      </c>
      <c r="T573" s="79">
        <v>2.9160957485008101E-2</v>
      </c>
      <c r="U573" s="79">
        <v>0.37538266456561797</v>
      </c>
      <c r="V573" s="79">
        <v>0.49370980883086701</v>
      </c>
      <c r="W573" s="79">
        <v>1</v>
      </c>
    </row>
    <row r="574" spans="2:23" x14ac:dyDescent="0.2">
      <c r="B574" t="s">
        <v>3600</v>
      </c>
      <c r="C574" s="84">
        <v>5037</v>
      </c>
      <c r="D574" s="102">
        <v>0.97536540793905935</v>
      </c>
      <c r="E574" s="79">
        <v>3.0999484052477301E-2</v>
      </c>
      <c r="F574" s="79">
        <v>0.42103348615239</v>
      </c>
      <c r="G574" s="79">
        <v>0.89561567502544503</v>
      </c>
      <c r="H574" s="79">
        <v>1</v>
      </c>
      <c r="I574" s="102">
        <v>0.99832279428227577</v>
      </c>
      <c r="J574" s="79">
        <v>3.0774970660297499E-2</v>
      </c>
      <c r="K574" s="79">
        <v>0.95650113762400601</v>
      </c>
      <c r="L574" s="79">
        <v>0.99421745281696505</v>
      </c>
      <c r="M574" s="79">
        <v>1</v>
      </c>
      <c r="N574" s="102">
        <v>0.98747341073202544</v>
      </c>
      <c r="O574" s="79">
        <v>3.0559539151423499E-2</v>
      </c>
      <c r="P574" s="79">
        <v>0.67997541439341103</v>
      </c>
      <c r="Q574" s="79">
        <v>0.77307271945130096</v>
      </c>
      <c r="R574" s="79">
        <v>1</v>
      </c>
      <c r="S574" s="102">
        <v>1.0144736669157155</v>
      </c>
      <c r="T574" s="79">
        <v>3.0466097522434302E-2</v>
      </c>
      <c r="U574" s="79">
        <v>0.63716284534652701</v>
      </c>
      <c r="V574" s="79">
        <v>0.71378756886191097</v>
      </c>
      <c r="W574" s="79">
        <v>1</v>
      </c>
    </row>
    <row r="575" spans="2:23" x14ac:dyDescent="0.2">
      <c r="B575" t="s">
        <v>855</v>
      </c>
      <c r="C575" s="84">
        <v>2630</v>
      </c>
      <c r="D575" s="102">
        <v>2.9915769336186698E-2</v>
      </c>
      <c r="E575" s="79">
        <v>2.0130956633772699E-2</v>
      </c>
      <c r="F575" s="79">
        <v>0.137389450893173</v>
      </c>
      <c r="G575" s="79">
        <v>0.80938271582532695</v>
      </c>
      <c r="H575" s="79">
        <v>1</v>
      </c>
      <c r="I575" s="102">
        <v>2.1171305964677802E-3</v>
      </c>
      <c r="J575" s="79">
        <v>1.9939667223461501E-2</v>
      </c>
      <c r="K575" s="79">
        <v>0.91545048630817005</v>
      </c>
      <c r="L575" s="79">
        <v>0.98193837767293402</v>
      </c>
      <c r="M575" s="79">
        <v>1</v>
      </c>
      <c r="N575" s="102">
        <v>3.31921996878334E-2</v>
      </c>
      <c r="O575" s="79">
        <v>1.9937330443419499E-2</v>
      </c>
      <c r="P575" s="79">
        <v>9.6072958932372401E-2</v>
      </c>
      <c r="Q575" s="79">
        <v>0.169176291508772</v>
      </c>
      <c r="R575" s="79">
        <v>1</v>
      </c>
      <c r="S575" s="102">
        <v>3.7197845437983899E-2</v>
      </c>
      <c r="T575" s="79">
        <v>1.97807895463122E-2</v>
      </c>
      <c r="U575" s="79">
        <v>6.01535458428165E-2</v>
      </c>
      <c r="V575" s="79">
        <v>0.11766755965096</v>
      </c>
      <c r="W575" s="79">
        <v>1</v>
      </c>
    </row>
    <row r="576" spans="2:23" x14ac:dyDescent="0.2">
      <c r="B576" t="s">
        <v>854</v>
      </c>
      <c r="C576" s="84">
        <v>3224</v>
      </c>
      <c r="D576" s="102">
        <v>-1.64939378683072E-3</v>
      </c>
      <c r="E576" s="79">
        <v>1.7977123621941801E-2</v>
      </c>
      <c r="F576" s="79">
        <v>0.926903044125302</v>
      </c>
      <c r="G576" s="79">
        <v>0.99840985319461195</v>
      </c>
      <c r="H576" s="79">
        <v>1</v>
      </c>
      <c r="I576" s="102">
        <v>-2.7124599448867501E-2</v>
      </c>
      <c r="J576" s="79">
        <v>1.7760648151063398E-2</v>
      </c>
      <c r="K576" s="79">
        <v>0.126809741122867</v>
      </c>
      <c r="L576" s="79">
        <v>0.55552266356551805</v>
      </c>
      <c r="M576" s="79">
        <v>1</v>
      </c>
      <c r="N576" s="102">
        <v>4.0326727184501997E-2</v>
      </c>
      <c r="O576" s="79">
        <v>1.7612518471713901E-2</v>
      </c>
      <c r="P576" s="79">
        <v>2.21089900264493E-2</v>
      </c>
      <c r="Q576" s="79">
        <v>5.22566992928351E-2</v>
      </c>
      <c r="R576" s="79">
        <v>1</v>
      </c>
      <c r="S576" s="102">
        <v>4.3272722089060002E-2</v>
      </c>
      <c r="T576" s="79">
        <v>1.77784612162213E-2</v>
      </c>
      <c r="U576" s="79">
        <v>1.49905493918501E-2</v>
      </c>
      <c r="V576" s="79">
        <v>3.8769451404265798E-2</v>
      </c>
      <c r="W576" s="79">
        <v>1</v>
      </c>
    </row>
    <row r="577" spans="2:23" x14ac:dyDescent="0.2">
      <c r="B577" t="s">
        <v>853</v>
      </c>
      <c r="C577" s="84">
        <v>5037</v>
      </c>
      <c r="D577" s="102">
        <v>-1.9378171259387001E-2</v>
      </c>
      <c r="E577" s="79">
        <v>1.433450909883E-2</v>
      </c>
      <c r="F577" s="79">
        <v>0.17648694230807599</v>
      </c>
      <c r="G577" s="79">
        <v>0.82588088472342802</v>
      </c>
      <c r="H577" s="79">
        <v>1</v>
      </c>
      <c r="I577" s="102">
        <v>-1.4800935032659E-2</v>
      </c>
      <c r="J577" s="79">
        <v>1.42319531361037E-2</v>
      </c>
      <c r="K577" s="79">
        <v>0.29840430704698501</v>
      </c>
      <c r="L577" s="79">
        <v>0.70600202719357597</v>
      </c>
      <c r="M577" s="79">
        <v>1</v>
      </c>
      <c r="N577" s="102">
        <v>7.8665821135586005E-3</v>
      </c>
      <c r="O577" s="79">
        <v>1.41289639180918E-2</v>
      </c>
      <c r="P577" s="79">
        <v>0.57771151746332505</v>
      </c>
      <c r="Q577" s="79">
        <v>0.68484486394882604</v>
      </c>
      <c r="R577" s="79">
        <v>1</v>
      </c>
      <c r="S577" s="102">
        <v>2.6539279529963201E-2</v>
      </c>
      <c r="T577" s="79">
        <v>1.4107470388849601E-2</v>
      </c>
      <c r="U577" s="79">
        <v>6.0004242289824601E-2</v>
      </c>
      <c r="V577" s="79">
        <v>0.11764720652657699</v>
      </c>
      <c r="W577" s="79">
        <v>1</v>
      </c>
    </row>
    <row r="578" spans="2:23" x14ac:dyDescent="0.2">
      <c r="B578" t="s">
        <v>3599</v>
      </c>
      <c r="C578" s="84">
        <v>5037</v>
      </c>
      <c r="D578" s="102">
        <v>0.93381351459940143</v>
      </c>
      <c r="E578" s="79">
        <v>2.99030848153354E-2</v>
      </c>
      <c r="F578" s="79">
        <v>2.2020425635495999E-2</v>
      </c>
      <c r="G578" s="79">
        <v>0.56979784415816803</v>
      </c>
      <c r="H578" s="79">
        <v>1</v>
      </c>
      <c r="I578" s="102">
        <v>0.96363525892211888</v>
      </c>
      <c r="J578" s="79">
        <v>2.9623833556142599E-2</v>
      </c>
      <c r="K578" s="79">
        <v>0.211143893058932</v>
      </c>
      <c r="L578" s="79">
        <v>0.64803390121802296</v>
      </c>
      <c r="M578" s="79">
        <v>1</v>
      </c>
      <c r="N578" s="102">
        <v>1.0009954813134565</v>
      </c>
      <c r="O578" s="79">
        <v>2.94216893929161E-2</v>
      </c>
      <c r="P578" s="79">
        <v>0.97302218848979505</v>
      </c>
      <c r="Q578" s="79">
        <v>0.97938181063678698</v>
      </c>
      <c r="R578" s="79">
        <v>1</v>
      </c>
      <c r="S578" s="102">
        <v>1.0383391598387801</v>
      </c>
      <c r="T578" s="79">
        <v>2.9422639496563499E-2</v>
      </c>
      <c r="U578" s="79">
        <v>0.20100576288698199</v>
      </c>
      <c r="V578" s="79">
        <v>0.30186503752708099</v>
      </c>
      <c r="W578" s="79">
        <v>1</v>
      </c>
    </row>
    <row r="579" spans="2:23" x14ac:dyDescent="0.2">
      <c r="B579" t="s">
        <v>119</v>
      </c>
      <c r="C579" s="84">
        <v>5048</v>
      </c>
      <c r="D579" s="102">
        <v>1.1832431054760501E-2</v>
      </c>
      <c r="E579" s="79">
        <v>1.4476100205967001E-2</v>
      </c>
      <c r="F579" s="79">
        <v>0.413753511403117</v>
      </c>
      <c r="G579" s="79">
        <v>0.89561567502544503</v>
      </c>
      <c r="H579" s="79">
        <v>1</v>
      </c>
      <c r="I579" s="102">
        <v>-2.4608946784129199E-2</v>
      </c>
      <c r="J579" s="79">
        <v>1.43835022377871E-2</v>
      </c>
      <c r="K579" s="79">
        <v>8.7162427130311207E-2</v>
      </c>
      <c r="L579" s="79">
        <v>0.49217717186249099</v>
      </c>
      <c r="M579" s="79">
        <v>1</v>
      </c>
      <c r="N579" s="102">
        <v>-5.7050636656738797E-2</v>
      </c>
      <c r="O579" s="79">
        <v>1.4241109472247901E-2</v>
      </c>
      <c r="P579" s="79">
        <v>6.2682554147553603E-5</v>
      </c>
      <c r="Q579" s="79">
        <v>4.6777201200861598E-4</v>
      </c>
      <c r="R579" s="79">
        <v>0.106184246725956</v>
      </c>
      <c r="S579" s="102">
        <v>-4.9431758875649802E-2</v>
      </c>
      <c r="T579" s="79">
        <v>1.4242896083560099E-2</v>
      </c>
      <c r="U579" s="79">
        <v>5.2384983036751905E-4</v>
      </c>
      <c r="V579" s="79">
        <v>2.7484516376776701E-3</v>
      </c>
      <c r="W579" s="79">
        <v>0.887401612642577</v>
      </c>
    </row>
    <row r="580" spans="2:23" x14ac:dyDescent="0.2">
      <c r="B580" t="s">
        <v>122</v>
      </c>
      <c r="C580" s="84">
        <v>5037</v>
      </c>
      <c r="D580" s="102">
        <v>1.6502646399237101E-2</v>
      </c>
      <c r="E580" s="79">
        <v>1.4399773261867499E-2</v>
      </c>
      <c r="F580" s="79">
        <v>0.25183875147430901</v>
      </c>
      <c r="G580" s="79">
        <v>0.85990749347533801</v>
      </c>
      <c r="H580" s="79">
        <v>1</v>
      </c>
      <c r="I580" s="102">
        <v>-5.2530942828718497E-4</v>
      </c>
      <c r="J580" s="79">
        <v>1.42923197783578E-2</v>
      </c>
      <c r="K580" s="79">
        <v>0.970682209947477</v>
      </c>
      <c r="L580" s="79">
        <v>0.99596345466446201</v>
      </c>
      <c r="M580" s="79">
        <v>1</v>
      </c>
      <c r="N580" s="102">
        <v>-4.18993519800245E-2</v>
      </c>
      <c r="O580" s="79">
        <v>1.4174920967019101E-2</v>
      </c>
      <c r="P580" s="79">
        <v>3.1334401815881398E-3</v>
      </c>
      <c r="Q580" s="79">
        <v>1.0810687714074001E-2</v>
      </c>
      <c r="R580" s="79">
        <v>1</v>
      </c>
      <c r="S580" s="102">
        <v>-3.4799154174525698E-2</v>
      </c>
      <c r="T580" s="79">
        <v>1.41605292059777E-2</v>
      </c>
      <c r="U580" s="79">
        <v>1.4027846068864201E-2</v>
      </c>
      <c r="V580" s="79">
        <v>3.6638970400994397E-2</v>
      </c>
      <c r="W580" s="79">
        <v>1</v>
      </c>
    </row>
    <row r="581" spans="2:23" x14ac:dyDescent="0.2">
      <c r="B581" t="s">
        <v>120</v>
      </c>
      <c r="C581" s="84">
        <v>5048</v>
      </c>
      <c r="D581" s="102">
        <v>-9.7805088514996402E-3</v>
      </c>
      <c r="E581" s="79">
        <v>1.4449280952940201E-2</v>
      </c>
      <c r="F581" s="79">
        <v>0.49851050115342699</v>
      </c>
      <c r="G581" s="79">
        <v>0.91752655785263504</v>
      </c>
      <c r="H581" s="79">
        <v>1</v>
      </c>
      <c r="I581" s="102">
        <v>-2.61169074789705E-2</v>
      </c>
      <c r="J581" s="79">
        <v>1.4374499222421001E-2</v>
      </c>
      <c r="K581" s="79">
        <v>6.9295419188656601E-2</v>
      </c>
      <c r="L581" s="79">
        <v>0.44786834481986898</v>
      </c>
      <c r="M581" s="79">
        <v>1</v>
      </c>
      <c r="N581" s="102">
        <v>-4.3886466879496898E-2</v>
      </c>
      <c r="O581" s="79">
        <v>1.42313579502197E-2</v>
      </c>
      <c r="P581" s="79">
        <v>2.05526362019117E-3</v>
      </c>
      <c r="Q581" s="79">
        <v>7.6184170078858696E-3</v>
      </c>
      <c r="R581" s="79">
        <v>1</v>
      </c>
      <c r="S581" s="102">
        <v>-2.91284032485561E-2</v>
      </c>
      <c r="T581" s="79">
        <v>1.42364497797996E-2</v>
      </c>
      <c r="U581" s="79">
        <v>4.0805590198135101E-2</v>
      </c>
      <c r="V581" s="79">
        <v>8.7503324525656401E-2</v>
      </c>
      <c r="W581" s="79">
        <v>1</v>
      </c>
    </row>
    <row r="582" spans="2:23" x14ac:dyDescent="0.2">
      <c r="B582" t="s">
        <v>123</v>
      </c>
      <c r="C582" s="84">
        <v>5037</v>
      </c>
      <c r="D582" s="102">
        <v>4.92899019055842E-3</v>
      </c>
      <c r="E582" s="79">
        <v>1.43985781160763E-2</v>
      </c>
      <c r="F582" s="79">
        <v>0.73212191372076796</v>
      </c>
      <c r="G582" s="79">
        <v>0.97577853803539005</v>
      </c>
      <c r="H582" s="79">
        <v>1</v>
      </c>
      <c r="I582" s="102">
        <v>-7.2953840633169301E-3</v>
      </c>
      <c r="J582" s="79">
        <v>1.42827671457002E-2</v>
      </c>
      <c r="K582" s="79">
        <v>0.60952828732686404</v>
      </c>
      <c r="L582" s="79">
        <v>0.87455910458575803</v>
      </c>
      <c r="M582" s="79">
        <v>1</v>
      </c>
      <c r="N582" s="102">
        <v>-2.3930509620146301E-3</v>
      </c>
      <c r="O582" s="79">
        <v>1.41790472392155E-2</v>
      </c>
      <c r="P582" s="79">
        <v>0.86598204528092704</v>
      </c>
      <c r="Q582" s="79">
        <v>0.911494781566623</v>
      </c>
      <c r="R582" s="79">
        <v>1</v>
      </c>
      <c r="S582" s="102">
        <v>-3.2366791039887799E-3</v>
      </c>
      <c r="T582" s="79">
        <v>1.4165046174799601E-2</v>
      </c>
      <c r="U582" s="79">
        <v>0.81926954873433899</v>
      </c>
      <c r="V582" s="79">
        <v>0.86631873630210399</v>
      </c>
      <c r="W582" s="79">
        <v>1</v>
      </c>
    </row>
    <row r="583" spans="2:23" x14ac:dyDescent="0.2">
      <c r="B583" t="s">
        <v>121</v>
      </c>
      <c r="C583" s="84">
        <v>5048</v>
      </c>
      <c r="D583" s="102">
        <v>-6.6671748872916201E-3</v>
      </c>
      <c r="E583" s="79">
        <v>1.44405499447781E-2</v>
      </c>
      <c r="F583" s="79">
        <v>0.64431848784745704</v>
      </c>
      <c r="G583" s="79">
        <v>0.95767440062337605</v>
      </c>
      <c r="H583" s="79">
        <v>1</v>
      </c>
      <c r="I583" s="102">
        <v>-2.1795659961048701E-2</v>
      </c>
      <c r="J583" s="79">
        <v>1.4357880699501901E-2</v>
      </c>
      <c r="K583" s="79">
        <v>0.12907351273188</v>
      </c>
      <c r="L583" s="79">
        <v>0.55920851807622696</v>
      </c>
      <c r="M583" s="79">
        <v>1</v>
      </c>
      <c r="N583" s="102">
        <v>-3.0459448204473501E-2</v>
      </c>
      <c r="O583" s="79">
        <v>1.4225229130541301E-2</v>
      </c>
      <c r="P583" s="79">
        <v>3.2305708956787901E-2</v>
      </c>
      <c r="Q583" s="79">
        <v>7.1072559704933397E-2</v>
      </c>
      <c r="R583" s="79">
        <v>1</v>
      </c>
      <c r="S583" s="102">
        <v>-1.3922018402412599E-2</v>
      </c>
      <c r="T583" s="79">
        <v>1.42267314564305E-2</v>
      </c>
      <c r="U583" s="79">
        <v>0.32783587424597499</v>
      </c>
      <c r="V583" s="79">
        <v>0.44424220772829698</v>
      </c>
      <c r="W583" s="79">
        <v>1</v>
      </c>
    </row>
    <row r="584" spans="2:23" x14ac:dyDescent="0.2">
      <c r="B584" t="s">
        <v>124</v>
      </c>
      <c r="C584" s="84">
        <v>5037</v>
      </c>
      <c r="D584" s="102">
        <v>-5.5401575737643403E-3</v>
      </c>
      <c r="E584" s="79">
        <v>1.4396583309849701E-2</v>
      </c>
      <c r="F584" s="79">
        <v>0.70038500606431697</v>
      </c>
      <c r="G584" s="79">
        <v>0.969323693033459</v>
      </c>
      <c r="H584" s="79">
        <v>1</v>
      </c>
      <c r="I584" s="102">
        <v>-3.2928477218568002E-2</v>
      </c>
      <c r="J584" s="79">
        <v>1.42716360016024E-2</v>
      </c>
      <c r="K584" s="79">
        <v>2.10845894410897E-2</v>
      </c>
      <c r="L584" s="79">
        <v>0.29518425217525601</v>
      </c>
      <c r="M584" s="79">
        <v>1</v>
      </c>
      <c r="N584" s="102">
        <v>-4.2729174976982497E-2</v>
      </c>
      <c r="O584" s="79">
        <v>1.4164855680877801E-2</v>
      </c>
      <c r="P584" s="79">
        <v>2.57059440062362E-3</v>
      </c>
      <c r="Q584" s="79">
        <v>9.0909956464643293E-3</v>
      </c>
      <c r="R584" s="79">
        <v>1</v>
      </c>
      <c r="S584" s="102">
        <v>-7.5912737222076096E-3</v>
      </c>
      <c r="T584" s="79">
        <v>1.4163990395428899E-2</v>
      </c>
      <c r="U584" s="79">
        <v>0.59201488199935004</v>
      </c>
      <c r="V584" s="79">
        <v>0.68225342490349306</v>
      </c>
      <c r="W584" s="79">
        <v>1</v>
      </c>
    </row>
    <row r="585" spans="2:23" x14ac:dyDescent="0.2">
      <c r="B585" t="s">
        <v>203</v>
      </c>
      <c r="C585" s="84">
        <v>5017</v>
      </c>
      <c r="D585" s="102">
        <v>4.70506226108013E-3</v>
      </c>
      <c r="E585" s="79">
        <v>1.4448365283079301E-2</v>
      </c>
      <c r="F585" s="79">
        <v>0.74470578758264205</v>
      </c>
      <c r="G585" s="79">
        <v>0.979098679061011</v>
      </c>
      <c r="H585" s="79">
        <v>1</v>
      </c>
      <c r="I585" s="102">
        <v>-2.16014441507951E-2</v>
      </c>
      <c r="J585" s="79">
        <v>1.43577412315647E-2</v>
      </c>
      <c r="K585" s="79">
        <v>0.13251500105567199</v>
      </c>
      <c r="L585" s="79">
        <v>0.57265411170486802</v>
      </c>
      <c r="M585" s="79">
        <v>1</v>
      </c>
      <c r="N585" s="102">
        <v>-5.07872076156285E-2</v>
      </c>
      <c r="O585" s="79">
        <v>1.4225159467864601E-2</v>
      </c>
      <c r="P585" s="79">
        <v>3.6015494442149599E-4</v>
      </c>
      <c r="Q585" s="79">
        <v>1.96807250274198E-3</v>
      </c>
      <c r="R585" s="79">
        <v>0.61010247585001398</v>
      </c>
      <c r="S585" s="102">
        <v>-3.4085888122889499E-2</v>
      </c>
      <c r="T585" s="79">
        <v>1.42382816614422E-2</v>
      </c>
      <c r="U585" s="79">
        <v>1.6705742646391301E-2</v>
      </c>
      <c r="V585" s="79">
        <v>4.2684054363479398E-2</v>
      </c>
      <c r="W585" s="79">
        <v>1</v>
      </c>
    </row>
    <row r="586" spans="2:23" x14ac:dyDescent="0.2">
      <c r="B586" t="s">
        <v>190</v>
      </c>
      <c r="C586" s="84">
        <v>5037</v>
      </c>
      <c r="D586" s="102">
        <v>5.6981830314034301E-3</v>
      </c>
      <c r="E586" s="79">
        <v>1.43197739532494E-2</v>
      </c>
      <c r="F586" s="79">
        <v>0.690704171007398</v>
      </c>
      <c r="G586" s="79">
        <v>0.96831418681398196</v>
      </c>
      <c r="H586" s="79">
        <v>1</v>
      </c>
      <c r="I586" s="102">
        <v>-1.9028658666060998E-2</v>
      </c>
      <c r="J586" s="79">
        <v>1.4211541487276901E-2</v>
      </c>
      <c r="K586" s="79">
        <v>0.180650305098914</v>
      </c>
      <c r="L586" s="79">
        <v>0.61697906620475895</v>
      </c>
      <c r="M586" s="79">
        <v>1</v>
      </c>
      <c r="N586" s="102">
        <v>-3.6524111460922097E-2</v>
      </c>
      <c r="O586" s="79">
        <v>1.4100627264466E-2</v>
      </c>
      <c r="P586" s="79">
        <v>9.6206290575704106E-3</v>
      </c>
      <c r="Q586" s="79">
        <v>2.7027107170023702E-2</v>
      </c>
      <c r="R586" s="79">
        <v>1</v>
      </c>
      <c r="S586" s="102">
        <v>-1.7505033583284198E-2</v>
      </c>
      <c r="T586" s="79">
        <v>1.4091404409352E-2</v>
      </c>
      <c r="U586" s="79">
        <v>0.21420715093273901</v>
      </c>
      <c r="V586" s="79">
        <v>0.31830431024566702</v>
      </c>
      <c r="W586" s="79">
        <v>1</v>
      </c>
    </row>
    <row r="587" spans="2:23" x14ac:dyDescent="0.2">
      <c r="B587" t="s">
        <v>149</v>
      </c>
      <c r="C587" s="84">
        <v>5022</v>
      </c>
      <c r="D587" s="102">
        <v>2.69358715334251E-3</v>
      </c>
      <c r="E587" s="79">
        <v>2.34643674272919E-2</v>
      </c>
      <c r="F587" s="79">
        <v>0.908621055014322</v>
      </c>
      <c r="G587" s="79">
        <v>0.99533029194181499</v>
      </c>
      <c r="H587" s="79">
        <v>1</v>
      </c>
      <c r="I587" s="102">
        <v>2.4671936196261901E-2</v>
      </c>
      <c r="J587" s="79">
        <v>2.3753722356342499E-2</v>
      </c>
      <c r="K587" s="79">
        <v>0.29910941206389602</v>
      </c>
      <c r="L587" s="79">
        <v>0.70600202719357597</v>
      </c>
      <c r="M587" s="79">
        <v>1</v>
      </c>
      <c r="N587" s="102">
        <v>4.4654236601206598E-2</v>
      </c>
      <c r="O587" s="79">
        <v>2.34724986794526E-2</v>
      </c>
      <c r="P587" s="79">
        <v>5.7283308509966803E-2</v>
      </c>
      <c r="Q587" s="79">
        <v>0.113362061467154</v>
      </c>
      <c r="R587" s="79">
        <v>1</v>
      </c>
      <c r="S587" s="102">
        <v>2.8659099706290801E-2</v>
      </c>
      <c r="T587" s="79">
        <v>2.3002861297550501E-2</v>
      </c>
      <c r="U587" s="79">
        <v>0.212971788410979</v>
      </c>
      <c r="V587" s="79">
        <v>0.317303614395953</v>
      </c>
      <c r="W587" s="79">
        <v>1</v>
      </c>
    </row>
    <row r="588" spans="2:23" x14ac:dyDescent="0.2">
      <c r="B588" t="s">
        <v>146</v>
      </c>
      <c r="C588" s="84">
        <v>5022</v>
      </c>
      <c r="D588" s="102">
        <v>2.2940226313975E-2</v>
      </c>
      <c r="E588" s="79">
        <v>2.3206479799651299E-2</v>
      </c>
      <c r="F588" s="79">
        <v>0.32303276103524498</v>
      </c>
      <c r="G588" s="79">
        <v>0.88730162874475904</v>
      </c>
      <c r="H588" s="79">
        <v>1</v>
      </c>
      <c r="I588" s="102">
        <v>1.7533868810522601E-2</v>
      </c>
      <c r="J588" s="79">
        <v>2.35057140558355E-2</v>
      </c>
      <c r="K588" s="79">
        <v>0.45580430548467399</v>
      </c>
      <c r="L588" s="79">
        <v>0.79746066051088205</v>
      </c>
      <c r="M588" s="79">
        <v>1</v>
      </c>
      <c r="N588" s="102">
        <v>5.9184270216602303E-2</v>
      </c>
      <c r="O588" s="79">
        <v>2.32005085697819E-2</v>
      </c>
      <c r="P588" s="79">
        <v>1.08270121409089E-2</v>
      </c>
      <c r="Q588" s="79">
        <v>2.9587752929881202E-2</v>
      </c>
      <c r="R588" s="79">
        <v>1</v>
      </c>
      <c r="S588" s="102">
        <v>1.7293264530065199E-2</v>
      </c>
      <c r="T588" s="79">
        <v>2.2763059262214301E-2</v>
      </c>
      <c r="U588" s="79">
        <v>0.44753278487882497</v>
      </c>
      <c r="V588" s="79">
        <v>0.56323962673456895</v>
      </c>
      <c r="W588" s="79">
        <v>1</v>
      </c>
    </row>
    <row r="589" spans="2:23" x14ac:dyDescent="0.2">
      <c r="B589" t="s">
        <v>138</v>
      </c>
      <c r="C589" s="84">
        <v>5022</v>
      </c>
      <c r="D589" s="102">
        <v>7.2760168366178398E-3</v>
      </c>
      <c r="E589" s="79">
        <v>2.36049743425043E-2</v>
      </c>
      <c r="F589" s="79">
        <v>0.75793603128385101</v>
      </c>
      <c r="G589" s="79">
        <v>0.98065979399160996</v>
      </c>
      <c r="H589" s="79">
        <v>1</v>
      </c>
      <c r="I589" s="102">
        <v>7.3017995848374002E-3</v>
      </c>
      <c r="J589" s="79">
        <v>2.38992530326404E-2</v>
      </c>
      <c r="K589" s="79">
        <v>0.76000349091121</v>
      </c>
      <c r="L589" s="79">
        <v>0.92637153989923704</v>
      </c>
      <c r="M589" s="79">
        <v>1</v>
      </c>
      <c r="N589" s="102">
        <v>-5.2073473783914699E-2</v>
      </c>
      <c r="O589" s="79">
        <v>2.36040506140902E-2</v>
      </c>
      <c r="P589" s="79">
        <v>2.7505631111257901E-2</v>
      </c>
      <c r="Q589" s="79">
        <v>6.2711358145990395E-2</v>
      </c>
      <c r="R589" s="79">
        <v>1</v>
      </c>
      <c r="S589" s="102">
        <v>-2.59350506364763E-2</v>
      </c>
      <c r="T589" s="79">
        <v>2.3142393546906601E-2</v>
      </c>
      <c r="U589" s="79">
        <v>0.26258196168023101</v>
      </c>
      <c r="V589" s="79">
        <v>0.37274216767746599</v>
      </c>
      <c r="W589" s="79">
        <v>1</v>
      </c>
    </row>
    <row r="590" spans="2:23" x14ac:dyDescent="0.2">
      <c r="B590" t="s">
        <v>137</v>
      </c>
      <c r="C590" s="84">
        <v>5022</v>
      </c>
      <c r="D590" s="102">
        <v>-1.3740670260859801E-2</v>
      </c>
      <c r="E590" s="79">
        <v>2.39460755939205E-2</v>
      </c>
      <c r="F590" s="79">
        <v>0.56616576583155998</v>
      </c>
      <c r="G590" s="79">
        <v>0.93167796111031398</v>
      </c>
      <c r="H590" s="79">
        <v>1</v>
      </c>
      <c r="I590" s="102">
        <v>-4.89112915243023E-3</v>
      </c>
      <c r="J590" s="79">
        <v>2.4243699639877402E-2</v>
      </c>
      <c r="K590" s="79">
        <v>0.84013693866665995</v>
      </c>
      <c r="L590" s="79">
        <v>0.95773349535755203</v>
      </c>
      <c r="M590" s="79">
        <v>1</v>
      </c>
      <c r="N590" s="102">
        <v>3.2536496474136999E-2</v>
      </c>
      <c r="O590" s="79">
        <v>2.39657771317895E-2</v>
      </c>
      <c r="P590" s="79">
        <v>0.17475940251310099</v>
      </c>
      <c r="Q590" s="79">
        <v>0.27134961306800498</v>
      </c>
      <c r="R590" s="79">
        <v>1</v>
      </c>
      <c r="S590" s="102">
        <v>1.24531983764723E-2</v>
      </c>
      <c r="T590" s="79">
        <v>2.3484005790457601E-2</v>
      </c>
      <c r="U590" s="79">
        <v>0.595982604599402</v>
      </c>
      <c r="V590" s="79">
        <v>0.68538756473453799</v>
      </c>
      <c r="W590" s="79">
        <v>1</v>
      </c>
    </row>
    <row r="591" spans="2:23" x14ac:dyDescent="0.2">
      <c r="B591" t="s">
        <v>145</v>
      </c>
      <c r="C591" s="84">
        <v>5022</v>
      </c>
      <c r="D591" s="102">
        <v>5.6314964899079898E-3</v>
      </c>
      <c r="E591" s="79">
        <v>2.35569152735432E-2</v>
      </c>
      <c r="F591" s="79">
        <v>0.81108795567471204</v>
      </c>
      <c r="G591" s="79">
        <v>0.99362338620020496</v>
      </c>
      <c r="H591" s="79">
        <v>1</v>
      </c>
      <c r="I591" s="102">
        <v>-1.41278637086013E-2</v>
      </c>
      <c r="J591" s="79">
        <v>2.38520205804542E-2</v>
      </c>
      <c r="K591" s="79">
        <v>0.55371805235034799</v>
      </c>
      <c r="L591" s="79">
        <v>0.85583793857800206</v>
      </c>
      <c r="M591" s="79">
        <v>1</v>
      </c>
      <c r="N591" s="102">
        <v>-2.7569353717787199E-2</v>
      </c>
      <c r="O591" s="79">
        <v>2.35797200003641E-2</v>
      </c>
      <c r="P591" s="79">
        <v>0.24248460717378401</v>
      </c>
      <c r="Q591" s="79">
        <v>0.35259135154711602</v>
      </c>
      <c r="R591" s="79">
        <v>1</v>
      </c>
      <c r="S591" s="102">
        <v>-2.0200456921764601E-3</v>
      </c>
      <c r="T591" s="79">
        <v>2.31034288162387E-2</v>
      </c>
      <c r="U591" s="79">
        <v>0.93033592884382399</v>
      </c>
      <c r="V591" s="79">
        <v>0.95225925284679003</v>
      </c>
      <c r="W591" s="79">
        <v>1</v>
      </c>
    </row>
    <row r="592" spans="2:23" x14ac:dyDescent="0.2">
      <c r="B592" t="s">
        <v>142</v>
      </c>
      <c r="C592" s="84">
        <v>5022</v>
      </c>
      <c r="D592" s="102">
        <v>3.2149363008847601E-3</v>
      </c>
      <c r="E592" s="79">
        <v>1.7608399182148501E-2</v>
      </c>
      <c r="F592" s="79">
        <v>0.85514927480221803</v>
      </c>
      <c r="G592" s="79">
        <v>0.99362338620020496</v>
      </c>
      <c r="H592" s="79">
        <v>1</v>
      </c>
      <c r="I592" s="102">
        <v>2.1437658095520098E-3</v>
      </c>
      <c r="J592" s="79">
        <v>1.78420094932338E-2</v>
      </c>
      <c r="K592" s="79">
        <v>0.90437617465433795</v>
      </c>
      <c r="L592" s="79">
        <v>0.98168469912841005</v>
      </c>
      <c r="M592" s="79">
        <v>1</v>
      </c>
      <c r="N592" s="102">
        <v>-6.3505754637689898E-2</v>
      </c>
      <c r="O592" s="79">
        <v>1.7558059308566101E-2</v>
      </c>
      <c r="P592" s="79">
        <v>3.0673430334997298E-4</v>
      </c>
      <c r="Q592" s="79">
        <v>1.7180522426608401E-3</v>
      </c>
      <c r="R592" s="79">
        <v>0.51960790987485395</v>
      </c>
      <c r="S592" s="102">
        <v>-1.4541908804697801E-2</v>
      </c>
      <c r="T592" s="79">
        <v>1.7263570917073801E-2</v>
      </c>
      <c r="U592" s="79">
        <v>0.399710805701951</v>
      </c>
      <c r="V592" s="79">
        <v>0.51770753318415796</v>
      </c>
      <c r="W592" s="79">
        <v>1</v>
      </c>
    </row>
    <row r="593" spans="2:23" x14ac:dyDescent="0.2">
      <c r="B593" t="s">
        <v>141</v>
      </c>
      <c r="C593" s="84">
        <v>5022</v>
      </c>
      <c r="D593" s="102">
        <v>-5.9813422156029796E-3</v>
      </c>
      <c r="E593" s="79">
        <v>2.3316821663863601E-2</v>
      </c>
      <c r="F593" s="79">
        <v>0.79757608762862298</v>
      </c>
      <c r="G593" s="79">
        <v>0.99362338620020496</v>
      </c>
      <c r="H593" s="79">
        <v>1</v>
      </c>
      <c r="I593" s="102">
        <v>1.6212848102263901E-2</v>
      </c>
      <c r="J593" s="79">
        <v>2.3610735865247701E-2</v>
      </c>
      <c r="K593" s="79">
        <v>0.492380691152766</v>
      </c>
      <c r="L593" s="79">
        <v>0.81454383868436098</v>
      </c>
      <c r="M593" s="79">
        <v>1</v>
      </c>
      <c r="N593" s="102">
        <v>7.1257809864880395E-2</v>
      </c>
      <c r="O593" s="79">
        <v>2.3288369527590901E-2</v>
      </c>
      <c r="P593" s="79">
        <v>2.24876116538693E-3</v>
      </c>
      <c r="Q593" s="79">
        <v>8.1746811462778107E-3</v>
      </c>
      <c r="R593" s="79">
        <v>1</v>
      </c>
      <c r="S593" s="102">
        <v>2.6336426214962599E-2</v>
      </c>
      <c r="T593" s="79">
        <v>2.2860826438134502E-2</v>
      </c>
      <c r="U593" s="79">
        <v>0.24946620336953601</v>
      </c>
      <c r="V593" s="79">
        <v>0.35965595617701601</v>
      </c>
      <c r="W593" s="79">
        <v>1</v>
      </c>
    </row>
    <row r="594" spans="2:23" x14ac:dyDescent="0.2">
      <c r="B594" t="s">
        <v>140</v>
      </c>
      <c r="C594" s="84">
        <v>5022</v>
      </c>
      <c r="D594" s="102">
        <v>2.7928474509602001E-2</v>
      </c>
      <c r="E594" s="79">
        <v>2.22432778524125E-2</v>
      </c>
      <c r="F594" s="79">
        <v>0.209433336991419</v>
      </c>
      <c r="G594" s="79">
        <v>0.83451685541571996</v>
      </c>
      <c r="H594" s="79">
        <v>1</v>
      </c>
      <c r="I594" s="102">
        <v>-4.8709226180722098E-4</v>
      </c>
      <c r="J594" s="79">
        <v>2.25392595245167E-2</v>
      </c>
      <c r="K594" s="79">
        <v>0.98276087516803901</v>
      </c>
      <c r="L594" s="79">
        <v>0.99629532610271199</v>
      </c>
      <c r="M594" s="79">
        <v>1</v>
      </c>
      <c r="N594" s="102">
        <v>-6.7259981360375198E-2</v>
      </c>
      <c r="O594" s="79">
        <v>2.2225915025593099E-2</v>
      </c>
      <c r="P594" s="79">
        <v>2.5129803147256398E-3</v>
      </c>
      <c r="Q594" s="79">
        <v>8.9432534729941907E-3</v>
      </c>
      <c r="R594" s="79">
        <v>1</v>
      </c>
      <c r="S594" s="102">
        <v>-3.8106497977798699E-2</v>
      </c>
      <c r="T594" s="79">
        <v>2.18085379905355E-2</v>
      </c>
      <c r="U594" s="79">
        <v>8.0758840075576599E-2</v>
      </c>
      <c r="V594" s="79">
        <v>0.14821828286893499</v>
      </c>
      <c r="W594" s="79">
        <v>1</v>
      </c>
    </row>
    <row r="595" spans="2:23" x14ac:dyDescent="0.2">
      <c r="B595" t="s">
        <v>144</v>
      </c>
      <c r="C595" s="84">
        <v>5022</v>
      </c>
      <c r="D595" s="102">
        <v>7.0245679088201301E-3</v>
      </c>
      <c r="E595" s="79">
        <v>1.8012915098946199E-2</v>
      </c>
      <c r="F595" s="79">
        <v>0.696603880095504</v>
      </c>
      <c r="G595" s="79">
        <v>0.969323693033459</v>
      </c>
      <c r="H595" s="79">
        <v>1</v>
      </c>
      <c r="I595" s="102">
        <v>5.4611664719913496E-3</v>
      </c>
      <c r="J595" s="79">
        <v>1.8240931439353899E-2</v>
      </c>
      <c r="K595" s="79">
        <v>0.76467792025950798</v>
      </c>
      <c r="L595" s="79">
        <v>0.92724724188948204</v>
      </c>
      <c r="M595" s="79">
        <v>1</v>
      </c>
      <c r="N595" s="102">
        <v>-6.0184948387085498E-2</v>
      </c>
      <c r="O595" s="79">
        <v>1.7974035284747499E-2</v>
      </c>
      <c r="P595" s="79">
        <v>8.3015365851051405E-4</v>
      </c>
      <c r="Q595" s="79">
        <v>3.7907576599143398E-3</v>
      </c>
      <c r="R595" s="79">
        <v>1</v>
      </c>
      <c r="S595" s="102">
        <v>-2.5456838288341201E-2</v>
      </c>
      <c r="T595" s="79">
        <v>1.7654921918989999E-2</v>
      </c>
      <c r="U595" s="79">
        <v>0.14950849725492399</v>
      </c>
      <c r="V595" s="79">
        <v>0.24352634072100099</v>
      </c>
      <c r="W595" s="79">
        <v>1</v>
      </c>
    </row>
    <row r="596" spans="2:23" x14ac:dyDescent="0.2">
      <c r="B596" t="s">
        <v>151</v>
      </c>
      <c r="C596" s="84">
        <v>5022</v>
      </c>
      <c r="D596" s="102">
        <v>2.1095256623679701E-2</v>
      </c>
      <c r="E596" s="79">
        <v>2.3414802684599102E-2</v>
      </c>
      <c r="F596" s="79">
        <v>0.36774706257169498</v>
      </c>
      <c r="G596" s="79">
        <v>0.89461055933914202</v>
      </c>
      <c r="H596" s="79">
        <v>1</v>
      </c>
      <c r="I596" s="102">
        <v>2.9239199480667898E-2</v>
      </c>
      <c r="J596" s="79">
        <v>2.37072670397213E-2</v>
      </c>
      <c r="K596" s="79">
        <v>0.21761467387756001</v>
      </c>
      <c r="L596" s="79">
        <v>0.65149810376204198</v>
      </c>
      <c r="M596" s="79">
        <v>1</v>
      </c>
      <c r="N596" s="102">
        <v>4.6277251959444897E-2</v>
      </c>
      <c r="O596" s="79">
        <v>2.3426624802950598E-2</v>
      </c>
      <c r="P596" s="79">
        <v>4.8379650208448102E-2</v>
      </c>
      <c r="Q596" s="79">
        <v>9.8503758958066207E-2</v>
      </c>
      <c r="R596" s="79">
        <v>1</v>
      </c>
      <c r="S596" s="102">
        <v>2.99314644260321E-2</v>
      </c>
      <c r="T596" s="79">
        <v>2.29590157406756E-2</v>
      </c>
      <c r="U596" s="79">
        <v>0.19251187989949101</v>
      </c>
      <c r="V596" s="79">
        <v>0.29247993233160302</v>
      </c>
      <c r="W596" s="79">
        <v>1</v>
      </c>
    </row>
    <row r="597" spans="2:23" x14ac:dyDescent="0.2">
      <c r="B597" t="s">
        <v>153</v>
      </c>
      <c r="C597" s="84">
        <v>5022</v>
      </c>
      <c r="D597" s="102">
        <v>-1.14961399149599E-3</v>
      </c>
      <c r="E597" s="79">
        <v>2.43777166652995E-2</v>
      </c>
      <c r="F597" s="79">
        <v>0.96239237981880399</v>
      </c>
      <c r="G597" s="79">
        <v>0.99840985319461195</v>
      </c>
      <c r="H597" s="79">
        <v>1</v>
      </c>
      <c r="I597" s="102">
        <v>3.1633071853276497E-2</v>
      </c>
      <c r="J597" s="79">
        <v>2.4644636785048302E-2</v>
      </c>
      <c r="K597" s="79">
        <v>0.19946308096714099</v>
      </c>
      <c r="L597" s="79">
        <v>0.64163197767429703</v>
      </c>
      <c r="M597" s="79">
        <v>1</v>
      </c>
      <c r="N597" s="102">
        <v>-2.3413097503772501E-3</v>
      </c>
      <c r="O597" s="79">
        <v>2.4398683517077101E-2</v>
      </c>
      <c r="P597" s="79">
        <v>0.92356294727836896</v>
      </c>
      <c r="Q597" s="79">
        <v>0.94876630241937998</v>
      </c>
      <c r="R597" s="79">
        <v>1</v>
      </c>
      <c r="S597" s="102">
        <v>-8.2233002634897001E-4</v>
      </c>
      <c r="T597" s="79">
        <v>2.3908209225110801E-2</v>
      </c>
      <c r="U597" s="79">
        <v>0.97256586519157295</v>
      </c>
      <c r="V597" s="79">
        <v>0.98183943720770195</v>
      </c>
      <c r="W597" s="79">
        <v>1</v>
      </c>
    </row>
    <row r="598" spans="2:23" x14ac:dyDescent="0.2">
      <c r="B598" t="s">
        <v>152</v>
      </c>
      <c r="C598" s="84">
        <v>5022</v>
      </c>
      <c r="D598" s="102">
        <v>-1.4096961286623201E-2</v>
      </c>
      <c r="E598" s="79">
        <v>2.3933024651723599E-2</v>
      </c>
      <c r="F598" s="79">
        <v>0.55592639408123401</v>
      </c>
      <c r="G598" s="79">
        <v>0.93167796111031398</v>
      </c>
      <c r="H598" s="79">
        <v>1</v>
      </c>
      <c r="I598" s="102">
        <v>2.7302031853736499E-2</v>
      </c>
      <c r="J598" s="79">
        <v>2.4221864042375502E-2</v>
      </c>
      <c r="K598" s="79">
        <v>0.25982819472919699</v>
      </c>
      <c r="L598" s="79">
        <v>0.68025543872958705</v>
      </c>
      <c r="M598" s="79">
        <v>1</v>
      </c>
      <c r="N598" s="102">
        <v>4.3589706128787702E-2</v>
      </c>
      <c r="O598" s="79">
        <v>2.39415415890833E-2</v>
      </c>
      <c r="P598" s="79">
        <v>6.8828548895394998E-2</v>
      </c>
      <c r="Q598" s="79">
        <v>0.13174639754666601</v>
      </c>
      <c r="R598" s="79">
        <v>1</v>
      </c>
      <c r="S598" s="102">
        <v>1.97671568551533E-2</v>
      </c>
      <c r="T598" s="79">
        <v>2.3468326928771498E-2</v>
      </c>
      <c r="U598" s="79">
        <v>0.39974111771244297</v>
      </c>
      <c r="V598" s="79">
        <v>0.51770753318415796</v>
      </c>
      <c r="W598" s="79">
        <v>1</v>
      </c>
    </row>
    <row r="599" spans="2:23" x14ac:dyDescent="0.2">
      <c r="B599" t="s">
        <v>155</v>
      </c>
      <c r="C599" s="84">
        <v>5022</v>
      </c>
      <c r="D599" s="102">
        <v>-2.43430535020401E-2</v>
      </c>
      <c r="E599" s="79">
        <v>1.9471886208173399E-2</v>
      </c>
      <c r="F599" s="79">
        <v>0.211412746261531</v>
      </c>
      <c r="G599" s="79">
        <v>0.83484403117679595</v>
      </c>
      <c r="H599" s="79">
        <v>1</v>
      </c>
      <c r="I599" s="102">
        <v>1.8448967892172301E-2</v>
      </c>
      <c r="J599" s="79">
        <v>1.9798508266046001E-2</v>
      </c>
      <c r="K599" s="79">
        <v>0.35155424109849898</v>
      </c>
      <c r="L599" s="79">
        <v>0.74233974250717605</v>
      </c>
      <c r="M599" s="79">
        <v>1</v>
      </c>
      <c r="N599" s="102">
        <v>7.3295478557232299E-2</v>
      </c>
      <c r="O599" s="79">
        <v>1.9446379232719298E-2</v>
      </c>
      <c r="P599" s="79">
        <v>1.6946371080640599E-4</v>
      </c>
      <c r="Q599" s="79">
        <v>1.0477062996571199E-3</v>
      </c>
      <c r="R599" s="79">
        <v>0.28707152610605202</v>
      </c>
      <c r="S599" s="102">
        <v>5.4384638303523997E-2</v>
      </c>
      <c r="T599" s="79">
        <v>1.90714143339555E-2</v>
      </c>
      <c r="U599" s="79">
        <v>4.40241157561321E-3</v>
      </c>
      <c r="V599" s="79">
        <v>1.4467390588392699E-2</v>
      </c>
      <c r="W599" s="79">
        <v>1</v>
      </c>
    </row>
    <row r="600" spans="2:23" x14ac:dyDescent="0.2">
      <c r="B600" t="s">
        <v>148</v>
      </c>
      <c r="C600" s="84">
        <v>5022</v>
      </c>
      <c r="D600" s="102">
        <v>-1.2532573209655101E-3</v>
      </c>
      <c r="E600" s="79">
        <v>2.3812370771550202E-2</v>
      </c>
      <c r="F600" s="79">
        <v>0.95803235773808304</v>
      </c>
      <c r="G600" s="79">
        <v>0.99840985319461195</v>
      </c>
      <c r="H600" s="79">
        <v>1</v>
      </c>
      <c r="I600" s="102">
        <v>3.3075143822288398E-2</v>
      </c>
      <c r="J600" s="79">
        <v>2.4096459686334899E-2</v>
      </c>
      <c r="K600" s="79">
        <v>0.170049246671199</v>
      </c>
      <c r="L600" s="79">
        <v>0.61396896490869202</v>
      </c>
      <c r="M600" s="79">
        <v>1</v>
      </c>
      <c r="N600" s="102">
        <v>5.9252634598134298E-2</v>
      </c>
      <c r="O600" s="79">
        <v>2.38019329886319E-2</v>
      </c>
      <c r="P600" s="79">
        <v>1.28886584852666E-2</v>
      </c>
      <c r="Q600" s="79">
        <v>3.4137793935267099E-2</v>
      </c>
      <c r="R600" s="79">
        <v>1</v>
      </c>
      <c r="S600" s="102">
        <v>4.4540536189139397E-2</v>
      </c>
      <c r="T600" s="79">
        <v>2.3328733211423799E-2</v>
      </c>
      <c r="U600" s="79">
        <v>5.63936135446029E-2</v>
      </c>
      <c r="V600" s="79">
        <v>0.11278722708920599</v>
      </c>
      <c r="W600" s="79">
        <v>1</v>
      </c>
    </row>
    <row r="601" spans="2:23" x14ac:dyDescent="0.2">
      <c r="B601" t="s">
        <v>143</v>
      </c>
      <c r="C601" s="84">
        <v>5022</v>
      </c>
      <c r="D601" s="102">
        <v>-4.6331559561206296E-3</v>
      </c>
      <c r="E601" s="79">
        <v>2.0902684522488099E-2</v>
      </c>
      <c r="F601" s="79">
        <v>0.824610297031387</v>
      </c>
      <c r="G601" s="79">
        <v>0.99362338620020496</v>
      </c>
      <c r="H601" s="79">
        <v>1</v>
      </c>
      <c r="I601" s="102">
        <v>2.5947146543309201E-2</v>
      </c>
      <c r="J601" s="79">
        <v>2.1235811098041301E-2</v>
      </c>
      <c r="K601" s="79">
        <v>0.22193155371235901</v>
      </c>
      <c r="L601" s="79">
        <v>0.65304481397729397</v>
      </c>
      <c r="M601" s="79">
        <v>1</v>
      </c>
      <c r="N601" s="102">
        <v>-3.1779777897775301E-2</v>
      </c>
      <c r="O601" s="79">
        <v>2.0949419406857898E-2</v>
      </c>
      <c r="P601" s="79">
        <v>0.12945954966706</v>
      </c>
      <c r="Q601" s="79">
        <v>0.21353892613047701</v>
      </c>
      <c r="R601" s="79">
        <v>1</v>
      </c>
      <c r="S601" s="102">
        <v>-2.8335432137164599E-3</v>
      </c>
      <c r="T601" s="79">
        <v>2.0524313273577701E-2</v>
      </c>
      <c r="U601" s="79">
        <v>0.89021110361560296</v>
      </c>
      <c r="V601" s="79">
        <v>0.92064567126058106</v>
      </c>
      <c r="W601" s="79">
        <v>1</v>
      </c>
    </row>
    <row r="602" spans="2:23" x14ac:dyDescent="0.2">
      <c r="B602" t="s">
        <v>150</v>
      </c>
      <c r="C602" s="84">
        <v>5022</v>
      </c>
      <c r="D602" s="102">
        <v>2.71778758192265E-2</v>
      </c>
      <c r="E602" s="79">
        <v>2.3840652909765399E-2</v>
      </c>
      <c r="F602" s="79">
        <v>0.25445168352352199</v>
      </c>
      <c r="G602" s="79">
        <v>0.85990749347533801</v>
      </c>
      <c r="H602" s="79">
        <v>1</v>
      </c>
      <c r="I602" s="102">
        <v>1.6241137191634801E-2</v>
      </c>
      <c r="J602" s="79">
        <v>2.41430900008224E-2</v>
      </c>
      <c r="K602" s="79">
        <v>0.50122536769340698</v>
      </c>
      <c r="L602" s="79">
        <v>0.82115645345515598</v>
      </c>
      <c r="M602" s="79">
        <v>1</v>
      </c>
      <c r="N602" s="102">
        <v>4.5479761119155797E-2</v>
      </c>
      <c r="O602" s="79">
        <v>2.38566601307879E-2</v>
      </c>
      <c r="P602" s="79">
        <v>5.6766253227824498E-2</v>
      </c>
      <c r="Q602" s="79">
        <v>0.112733919071436</v>
      </c>
      <c r="R602" s="79">
        <v>1</v>
      </c>
      <c r="S602" s="102">
        <v>5.1218068765346098E-2</v>
      </c>
      <c r="T602" s="79">
        <v>2.33578974887922E-2</v>
      </c>
      <c r="U602" s="79">
        <v>2.8457471699087401E-2</v>
      </c>
      <c r="V602" s="79">
        <v>6.5946589682974094E-2</v>
      </c>
      <c r="W602" s="79">
        <v>1</v>
      </c>
    </row>
    <row r="603" spans="2:23" x14ac:dyDescent="0.2">
      <c r="B603" t="s">
        <v>147</v>
      </c>
      <c r="C603" s="84">
        <v>5022</v>
      </c>
      <c r="D603" s="102">
        <v>-9.9055575006025691E-4</v>
      </c>
      <c r="E603" s="79">
        <v>2.2689659455249801E-2</v>
      </c>
      <c r="F603" s="79">
        <v>0.96518307539709502</v>
      </c>
      <c r="G603" s="79">
        <v>0.99840985319461195</v>
      </c>
      <c r="H603" s="79">
        <v>1</v>
      </c>
      <c r="I603" s="102">
        <v>3.66370170969657E-2</v>
      </c>
      <c r="J603" s="79">
        <v>2.29632437211322E-2</v>
      </c>
      <c r="K603" s="79">
        <v>0.11079058200193299</v>
      </c>
      <c r="L603" s="79">
        <v>0.53622641688935602</v>
      </c>
      <c r="M603" s="79">
        <v>1</v>
      </c>
      <c r="N603" s="102">
        <v>5.0774027043912699E-2</v>
      </c>
      <c r="O603" s="79">
        <v>2.2688990177256899E-2</v>
      </c>
      <c r="P603" s="79">
        <v>2.5358807269164101E-2</v>
      </c>
      <c r="Q603" s="79">
        <v>5.84460129441687E-2</v>
      </c>
      <c r="R603" s="79">
        <v>1</v>
      </c>
      <c r="S603" s="102">
        <v>6.3404787594886797E-2</v>
      </c>
      <c r="T603" s="79">
        <v>2.2202258053744199E-2</v>
      </c>
      <c r="U603" s="79">
        <v>4.3441720280858603E-3</v>
      </c>
      <c r="V603" s="79">
        <v>1.43731004210497E-2</v>
      </c>
      <c r="W603" s="79">
        <v>1</v>
      </c>
    </row>
    <row r="604" spans="2:23" x14ac:dyDescent="0.2">
      <c r="B604" t="s">
        <v>139</v>
      </c>
      <c r="C604" s="84">
        <v>5022</v>
      </c>
      <c r="D604" s="102">
        <v>1.71776188198569E-2</v>
      </c>
      <c r="E604" s="79">
        <v>2.3374514131101601E-2</v>
      </c>
      <c r="F604" s="79">
        <v>0.46250784637136599</v>
      </c>
      <c r="G604" s="79">
        <v>0.91151047511105199</v>
      </c>
      <c r="H604" s="79">
        <v>1</v>
      </c>
      <c r="I604" s="102">
        <v>1.7906709514873699E-2</v>
      </c>
      <c r="J604" s="79">
        <v>2.3669824692319499E-2</v>
      </c>
      <c r="K604" s="79">
        <v>0.449439706314677</v>
      </c>
      <c r="L604" s="79">
        <v>0.79746066051088205</v>
      </c>
      <c r="M604" s="79">
        <v>1</v>
      </c>
      <c r="N604" s="102">
        <v>-1.25329688643215E-2</v>
      </c>
      <c r="O604" s="79">
        <v>2.3406949266123401E-2</v>
      </c>
      <c r="P604" s="79">
        <v>0.59241565819173103</v>
      </c>
      <c r="Q604" s="79">
        <v>0.69691119790055001</v>
      </c>
      <c r="R604" s="79">
        <v>1</v>
      </c>
      <c r="S604" s="102">
        <v>-4.5442692258608801E-2</v>
      </c>
      <c r="T604" s="79">
        <v>2.2902259026717098E-2</v>
      </c>
      <c r="U604" s="79">
        <v>4.7390658393320899E-2</v>
      </c>
      <c r="V604" s="79">
        <v>9.8021703685330405E-2</v>
      </c>
      <c r="W604" s="79">
        <v>1</v>
      </c>
    </row>
    <row r="605" spans="2:23" x14ac:dyDescent="0.2">
      <c r="B605" t="s">
        <v>154</v>
      </c>
      <c r="C605" s="84">
        <v>5022</v>
      </c>
      <c r="D605" s="102">
        <v>-1.1767756295304599E-2</v>
      </c>
      <c r="E605" s="79">
        <v>1.8913373160708E-2</v>
      </c>
      <c r="F605" s="79">
        <v>0.53389957638816998</v>
      </c>
      <c r="G605" s="79">
        <v>0.92176676956083303</v>
      </c>
      <c r="H605" s="79">
        <v>1</v>
      </c>
      <c r="I605" s="102">
        <v>5.3585831283302398E-3</v>
      </c>
      <c r="J605" s="79">
        <v>1.9229940980901299E-2</v>
      </c>
      <c r="K605" s="79">
        <v>0.78054123395661201</v>
      </c>
      <c r="L605" s="79">
        <v>0.92863930730510702</v>
      </c>
      <c r="M605" s="79">
        <v>1</v>
      </c>
      <c r="N605" s="102">
        <v>6.8097914405539597E-2</v>
      </c>
      <c r="O605" s="79">
        <v>1.88880139588718E-2</v>
      </c>
      <c r="P605" s="79">
        <v>3.20806142672307E-4</v>
      </c>
      <c r="Q605" s="79">
        <v>1.78765001870687E-3</v>
      </c>
      <c r="R605" s="79">
        <v>0.54344560568688804</v>
      </c>
      <c r="S605" s="102">
        <v>2.0987691724612401E-2</v>
      </c>
      <c r="T605" s="79">
        <v>1.8556488478678902E-2</v>
      </c>
      <c r="U605" s="79">
        <v>0.258209107863349</v>
      </c>
      <c r="V605" s="79">
        <v>0.36849724407793899</v>
      </c>
      <c r="W605" s="79">
        <v>1</v>
      </c>
    </row>
    <row r="606" spans="2:23" x14ac:dyDescent="0.2">
      <c r="B606" t="s">
        <v>1179</v>
      </c>
      <c r="C606" s="84">
        <v>5022</v>
      </c>
      <c r="D606" s="102">
        <v>2.73253551778694E-3</v>
      </c>
      <c r="E606" s="79">
        <v>2.26262633726836E-2</v>
      </c>
      <c r="F606" s="79">
        <v>0.903888543170835</v>
      </c>
      <c r="G606" s="79">
        <v>0.99533029194181499</v>
      </c>
      <c r="H606" s="79">
        <v>1</v>
      </c>
      <c r="I606" s="102">
        <v>-3.4360199121862799E-2</v>
      </c>
      <c r="J606" s="79">
        <v>2.2901394867268901E-2</v>
      </c>
      <c r="K606" s="79">
        <v>0.13370458903445301</v>
      </c>
      <c r="L606" s="79">
        <v>0.57632461532916901</v>
      </c>
      <c r="M606" s="79">
        <v>1</v>
      </c>
      <c r="N606" s="102">
        <v>-7.81980746322056E-2</v>
      </c>
      <c r="O606" s="79">
        <v>2.2581756963963098E-2</v>
      </c>
      <c r="P606" s="79">
        <v>5.4738768508057797E-4</v>
      </c>
      <c r="Q606" s="79">
        <v>2.7515570876157302E-3</v>
      </c>
      <c r="R606" s="79">
        <v>0.927274738526499</v>
      </c>
      <c r="S606" s="102">
        <v>-7.4362938812420801E-2</v>
      </c>
      <c r="T606" s="79">
        <v>2.21216379425755E-2</v>
      </c>
      <c r="U606" s="79">
        <v>7.9189757738806798E-4</v>
      </c>
      <c r="V606" s="79">
        <v>3.7299738895570302E-3</v>
      </c>
      <c r="W606" s="79">
        <v>1</v>
      </c>
    </row>
    <row r="607" spans="2:23" x14ac:dyDescent="0.2">
      <c r="B607" t="s">
        <v>1231</v>
      </c>
      <c r="C607" s="84">
        <v>3169</v>
      </c>
      <c r="D607" s="102">
        <v>7.8606562596350397E-3</v>
      </c>
      <c r="E607" s="79">
        <v>2.2337320169178401E-2</v>
      </c>
      <c r="F607" s="79">
        <v>0.72495092178758302</v>
      </c>
      <c r="G607" s="79">
        <v>0.97257456637072104</v>
      </c>
      <c r="H607" s="79">
        <v>1</v>
      </c>
      <c r="I607" s="102">
        <v>-2.7221619616956998E-2</v>
      </c>
      <c r="J607" s="79">
        <v>2.2614613342096301E-2</v>
      </c>
      <c r="K607" s="79">
        <v>0.22886288623147699</v>
      </c>
      <c r="L607" s="79">
        <v>0.66141104862732303</v>
      </c>
      <c r="M607" s="79">
        <v>1</v>
      </c>
      <c r="N607" s="102">
        <v>-8.2503685846237004E-2</v>
      </c>
      <c r="O607" s="79">
        <v>2.2282603282653399E-2</v>
      </c>
      <c r="P607" s="79">
        <v>2.2007873252085299E-4</v>
      </c>
      <c r="Q607" s="79">
        <v>1.3060313369701901E-3</v>
      </c>
      <c r="R607" s="79">
        <v>0.37281337289032501</v>
      </c>
      <c r="S607" s="102">
        <v>-5.5720778463189097E-2</v>
      </c>
      <c r="T607" s="79">
        <v>2.1869073537409699E-2</v>
      </c>
      <c r="U607" s="79">
        <v>1.09222131124696E-2</v>
      </c>
      <c r="V607" s="79">
        <v>3.0381328427789001E-2</v>
      </c>
      <c r="W607" s="79">
        <v>1</v>
      </c>
    </row>
    <row r="608" spans="2:23" x14ac:dyDescent="0.2">
      <c r="B608" t="s">
        <v>1232</v>
      </c>
      <c r="C608" s="84">
        <v>477</v>
      </c>
      <c r="D608" s="102">
        <v>-5.0240140625233004E-4</v>
      </c>
      <c r="E608" s="79">
        <v>1.8621523979027398E-2</v>
      </c>
      <c r="F608" s="79">
        <v>0.97847910749294498</v>
      </c>
      <c r="G608" s="79">
        <v>0.99840985319461195</v>
      </c>
      <c r="H608" s="79">
        <v>1</v>
      </c>
      <c r="I608" s="102">
        <v>-2.77181984066401E-2</v>
      </c>
      <c r="J608" s="79">
        <v>1.8851911246012602E-2</v>
      </c>
      <c r="K608" s="79">
        <v>0.14165877560915199</v>
      </c>
      <c r="L608" s="79">
        <v>0.59040772609061598</v>
      </c>
      <c r="M608" s="79">
        <v>1</v>
      </c>
      <c r="N608" s="102">
        <v>-4.9294559261634202E-2</v>
      </c>
      <c r="O608" s="79">
        <v>1.86105976212819E-2</v>
      </c>
      <c r="P608" s="79">
        <v>8.1527507160846502E-3</v>
      </c>
      <c r="Q608" s="79">
        <v>2.3811654677667899E-2</v>
      </c>
      <c r="R608" s="79">
        <v>1</v>
      </c>
      <c r="S608" s="102">
        <v>-3.9168288175823497E-2</v>
      </c>
      <c r="T608" s="79">
        <v>1.82443991622665E-2</v>
      </c>
      <c r="U608" s="79">
        <v>3.1942342696248502E-2</v>
      </c>
      <c r="V608" s="79">
        <v>7.2631313459657704E-2</v>
      </c>
      <c r="W608" s="79">
        <v>1</v>
      </c>
    </row>
    <row r="609" spans="2:23" x14ac:dyDescent="0.2">
      <c r="B609" t="s">
        <v>1233</v>
      </c>
      <c r="C609" s="84">
        <v>256</v>
      </c>
      <c r="D609" s="102">
        <v>6.1901298058716697E-4</v>
      </c>
      <c r="E609" s="79">
        <v>2.30910850950642E-2</v>
      </c>
      <c r="F609" s="79">
        <v>0.97861639779645704</v>
      </c>
      <c r="G609" s="79">
        <v>0.99840985319461195</v>
      </c>
      <c r="H609" s="79">
        <v>1</v>
      </c>
      <c r="I609" s="102">
        <v>-3.2236759726272803E-2</v>
      </c>
      <c r="J609" s="79">
        <v>2.3372580627106E-2</v>
      </c>
      <c r="K609" s="79">
        <v>0.16799352601023901</v>
      </c>
      <c r="L609" s="79">
        <v>0.61332119194255397</v>
      </c>
      <c r="M609" s="79">
        <v>1</v>
      </c>
      <c r="N609" s="102">
        <v>-6.7325802456435505E-2</v>
      </c>
      <c r="O609" s="79">
        <v>2.3068006201286202E-2</v>
      </c>
      <c r="P609" s="79">
        <v>3.5615762200262198E-3</v>
      </c>
      <c r="Q609" s="79">
        <v>1.2042535163122601E-2</v>
      </c>
      <c r="R609" s="79">
        <v>1</v>
      </c>
      <c r="S609" s="102">
        <v>-7.59980103166394E-2</v>
      </c>
      <c r="T609" s="79">
        <v>2.2575390886577701E-2</v>
      </c>
      <c r="U609" s="79">
        <v>7.7814892814699003E-4</v>
      </c>
      <c r="V609" s="79">
        <v>3.6956612935530098E-3</v>
      </c>
      <c r="W609" s="79">
        <v>1</v>
      </c>
    </row>
    <row r="610" spans="2:23" x14ac:dyDescent="0.2">
      <c r="B610" t="s">
        <v>1180</v>
      </c>
      <c r="C610" s="84">
        <v>5022</v>
      </c>
      <c r="D610" s="102">
        <v>-4.5459537162901497E-3</v>
      </c>
      <c r="E610" s="79">
        <v>2.2140514863549302E-2</v>
      </c>
      <c r="F610" s="79">
        <v>0.837344049760959</v>
      </c>
      <c r="G610" s="79">
        <v>0.99362338620020496</v>
      </c>
      <c r="H610" s="79">
        <v>1</v>
      </c>
      <c r="I610" s="102">
        <v>-2.9073281217972102E-2</v>
      </c>
      <c r="J610" s="79">
        <v>2.2415780674709399E-2</v>
      </c>
      <c r="K610" s="79">
        <v>0.19480384936078199</v>
      </c>
      <c r="L610" s="79">
        <v>0.63930272249608699</v>
      </c>
      <c r="M610" s="79">
        <v>1</v>
      </c>
      <c r="N610" s="102">
        <v>-7.1252258156019599E-2</v>
      </c>
      <c r="O610" s="79">
        <v>2.21047464567832E-2</v>
      </c>
      <c r="P610" s="79">
        <v>1.2904189846862401E-3</v>
      </c>
      <c r="Q610" s="79">
        <v>5.3974561976752903E-3</v>
      </c>
      <c r="R610" s="79">
        <v>1</v>
      </c>
      <c r="S610" s="102">
        <v>-6.6784330643545803E-2</v>
      </c>
      <c r="T610" s="79">
        <v>2.1657911157683101E-2</v>
      </c>
      <c r="U610" s="79">
        <v>2.07743728230902E-3</v>
      </c>
      <c r="V610" s="79">
        <v>7.9540993567541202E-3</v>
      </c>
      <c r="W610" s="79">
        <v>1</v>
      </c>
    </row>
    <row r="611" spans="2:23" x14ac:dyDescent="0.2">
      <c r="B611" t="s">
        <v>1181</v>
      </c>
      <c r="C611" s="84">
        <v>4869</v>
      </c>
      <c r="D611" s="102">
        <v>1.18959641949174E-2</v>
      </c>
      <c r="E611" s="79">
        <v>2.28472498442365E-2</v>
      </c>
      <c r="F611" s="79">
        <v>0.60266050258506398</v>
      </c>
      <c r="G611" s="79">
        <v>0.94340566501007395</v>
      </c>
      <c r="H611" s="79">
        <v>1</v>
      </c>
      <c r="I611" s="102">
        <v>-5.6840659389025897E-3</v>
      </c>
      <c r="J611" s="79">
        <v>2.31394128066949E-2</v>
      </c>
      <c r="K611" s="79">
        <v>0.80598659013631202</v>
      </c>
      <c r="L611" s="79">
        <v>0.94195446220197998</v>
      </c>
      <c r="M611" s="79">
        <v>1</v>
      </c>
      <c r="N611" s="102">
        <v>-7.32116543189541E-2</v>
      </c>
      <c r="O611" s="79">
        <v>2.2813703314848399E-2</v>
      </c>
      <c r="P611" s="79">
        <v>1.3557971271462299E-3</v>
      </c>
      <c r="Q611" s="79">
        <v>5.6017569106968602E-3</v>
      </c>
      <c r="R611" s="79">
        <v>1</v>
      </c>
      <c r="S611" s="102">
        <v>-6.8028355451814196E-2</v>
      </c>
      <c r="T611" s="79">
        <v>2.2351668307898601E-2</v>
      </c>
      <c r="U611" s="79">
        <v>2.3731790952784102E-3</v>
      </c>
      <c r="V611" s="79">
        <v>8.8161521653544392E-3</v>
      </c>
      <c r="W611" s="79">
        <v>1</v>
      </c>
    </row>
    <row r="612" spans="2:23" x14ac:dyDescent="0.2">
      <c r="B612" t="s">
        <v>1182</v>
      </c>
      <c r="C612" s="84">
        <v>4506</v>
      </c>
      <c r="D612" s="102">
        <v>-1.09164875312662E-2</v>
      </c>
      <c r="E612" s="79">
        <v>1.91423629214886E-2</v>
      </c>
      <c r="F612" s="79">
        <v>0.56856277974926395</v>
      </c>
      <c r="G612" s="79">
        <v>0.93167796111031398</v>
      </c>
      <c r="H612" s="79">
        <v>1</v>
      </c>
      <c r="I612" s="102">
        <v>-7.6942605663121895E-4</v>
      </c>
      <c r="J612" s="79">
        <v>1.93827646948046E-2</v>
      </c>
      <c r="K612" s="79">
        <v>0.96833976236233998</v>
      </c>
      <c r="L612" s="79">
        <v>0.99551534580938295</v>
      </c>
      <c r="M612" s="79">
        <v>1</v>
      </c>
      <c r="N612" s="102">
        <v>-4.4150379221733801E-2</v>
      </c>
      <c r="O612" s="79">
        <v>1.9176930355641299E-2</v>
      </c>
      <c r="P612" s="79">
        <v>2.1438839702454499E-2</v>
      </c>
      <c r="Q612" s="79">
        <v>5.1291320049813301E-2</v>
      </c>
      <c r="R612" s="79">
        <v>1</v>
      </c>
      <c r="S612" s="102">
        <v>-3.9042911638150803E-2</v>
      </c>
      <c r="T612" s="79">
        <v>1.8734812353176099E-2</v>
      </c>
      <c r="U612" s="79">
        <v>3.7309111365014601E-2</v>
      </c>
      <c r="V612" s="79">
        <v>8.2293795120227498E-2</v>
      </c>
      <c r="W612" s="79">
        <v>1</v>
      </c>
    </row>
    <row r="613" spans="2:23" x14ac:dyDescent="0.2">
      <c r="B613" t="s">
        <v>1183</v>
      </c>
      <c r="C613" s="84">
        <v>4884</v>
      </c>
      <c r="D613" s="102">
        <v>4.4155894302510598E-3</v>
      </c>
      <c r="E613" s="79">
        <v>2.3648477927784701E-2</v>
      </c>
      <c r="F613" s="79">
        <v>0.85190388238553105</v>
      </c>
      <c r="G613" s="79">
        <v>0.99362338620020496</v>
      </c>
      <c r="H613" s="79">
        <v>1</v>
      </c>
      <c r="I613" s="102">
        <v>2.09095889142909E-2</v>
      </c>
      <c r="J613" s="79">
        <v>2.39288280544648E-2</v>
      </c>
      <c r="K613" s="79">
        <v>0.38233507677927298</v>
      </c>
      <c r="L613" s="79">
        <v>0.75782823609722505</v>
      </c>
      <c r="M613" s="79">
        <v>1</v>
      </c>
      <c r="N613" s="102">
        <v>-3.1383075587490698E-2</v>
      </c>
      <c r="O613" s="79">
        <v>2.3650187796544E-2</v>
      </c>
      <c r="P613" s="79">
        <v>0.18469391485335099</v>
      </c>
      <c r="Q613" s="79">
        <v>0.28237499256460002</v>
      </c>
      <c r="R613" s="79">
        <v>1</v>
      </c>
      <c r="S613" s="102">
        <v>-4.4607858616131299E-2</v>
      </c>
      <c r="T613" s="79">
        <v>2.3187437880996999E-2</v>
      </c>
      <c r="U613" s="79">
        <v>5.4544325441583198E-2</v>
      </c>
      <c r="V613" s="79">
        <v>0.109866929010751</v>
      </c>
      <c r="W613" s="79">
        <v>1</v>
      </c>
    </row>
    <row r="614" spans="2:23" x14ac:dyDescent="0.2">
      <c r="B614" t="s">
        <v>1184</v>
      </c>
      <c r="C614" s="84">
        <v>5022</v>
      </c>
      <c r="D614" s="102">
        <v>-1.8659040543096701E-3</v>
      </c>
      <c r="E614" s="79">
        <v>1.8998895108161801E-2</v>
      </c>
      <c r="F614" s="79">
        <v>0.92177597835222902</v>
      </c>
      <c r="G614" s="79">
        <v>0.99605333311574995</v>
      </c>
      <c r="H614" s="79">
        <v>1</v>
      </c>
      <c r="I614" s="102">
        <v>-4.9297468105563597E-2</v>
      </c>
      <c r="J614" s="79">
        <v>1.9216501626375899E-2</v>
      </c>
      <c r="K614" s="79">
        <v>1.03901569747152E-2</v>
      </c>
      <c r="L614" s="79">
        <v>0.19341676829854501</v>
      </c>
      <c r="M614" s="79">
        <v>1</v>
      </c>
      <c r="N614" s="102">
        <v>-6.2973103234168501E-3</v>
      </c>
      <c r="O614" s="79">
        <v>1.90263277864125E-2</v>
      </c>
      <c r="P614" s="79">
        <v>0.74070062087973998</v>
      </c>
      <c r="Q614" s="79">
        <v>0.82652747760068701</v>
      </c>
      <c r="R614" s="79">
        <v>1</v>
      </c>
      <c r="S614" s="102">
        <v>-6.5051349982784201E-3</v>
      </c>
      <c r="T614" s="79">
        <v>1.86437008971218E-2</v>
      </c>
      <c r="U614" s="79">
        <v>0.72719282614404401</v>
      </c>
      <c r="V614" s="79">
        <v>0.78763828784655199</v>
      </c>
      <c r="W614" s="79">
        <v>1</v>
      </c>
    </row>
    <row r="615" spans="2:23" x14ac:dyDescent="0.2">
      <c r="B615" t="s">
        <v>1185</v>
      </c>
      <c r="C615" s="84">
        <v>5022</v>
      </c>
      <c r="D615" s="102">
        <v>1.20647088514232E-3</v>
      </c>
      <c r="E615" s="79">
        <v>2.3366156107465601E-2</v>
      </c>
      <c r="F615" s="79">
        <v>0.95882686220654201</v>
      </c>
      <c r="G615" s="79">
        <v>0.99840985319461195</v>
      </c>
      <c r="H615" s="79">
        <v>1</v>
      </c>
      <c r="I615" s="102">
        <v>-2.96164439555591E-2</v>
      </c>
      <c r="J615" s="79">
        <v>2.365166514965E-2</v>
      </c>
      <c r="K615" s="79">
        <v>0.21066825855534299</v>
      </c>
      <c r="L615" s="79">
        <v>0.64803390121802296</v>
      </c>
      <c r="M615" s="79">
        <v>1</v>
      </c>
      <c r="N615" s="102">
        <v>-6.4742292068269702E-2</v>
      </c>
      <c r="O615" s="79">
        <v>2.33485017785342E-2</v>
      </c>
      <c r="P615" s="79">
        <v>5.6159153708198401E-3</v>
      </c>
      <c r="Q615" s="79">
        <v>1.75200011752648E-2</v>
      </c>
      <c r="R615" s="79">
        <v>1</v>
      </c>
      <c r="S615" s="102">
        <v>-3.0038089015045202E-2</v>
      </c>
      <c r="T615" s="79">
        <v>2.29096173462238E-2</v>
      </c>
      <c r="U615" s="79">
        <v>0.189978476107733</v>
      </c>
      <c r="V615" s="79">
        <v>0.29073209300411701</v>
      </c>
      <c r="W615" s="79">
        <v>1</v>
      </c>
    </row>
    <row r="616" spans="2:23" x14ac:dyDescent="0.2">
      <c r="B616" t="s">
        <v>1189</v>
      </c>
      <c r="C616" s="84">
        <v>5022</v>
      </c>
      <c r="D616" s="102">
        <v>-1.0946562812263499E-2</v>
      </c>
      <c r="E616" s="79">
        <v>2.09449467643383E-2</v>
      </c>
      <c r="F616" s="79">
        <v>0.60129520330406905</v>
      </c>
      <c r="G616" s="79">
        <v>0.94340566501007395</v>
      </c>
      <c r="H616" s="79">
        <v>1</v>
      </c>
      <c r="I616" s="102">
        <v>1.7007844968863799E-2</v>
      </c>
      <c r="J616" s="79">
        <v>2.1215395257903301E-2</v>
      </c>
      <c r="K616" s="79">
        <v>0.42285125849319299</v>
      </c>
      <c r="L616" s="79">
        <v>0.78109445816889</v>
      </c>
      <c r="M616" s="79">
        <v>1</v>
      </c>
      <c r="N616" s="102">
        <v>-3.4663014335125697E-2</v>
      </c>
      <c r="O616" s="79">
        <v>2.0986342185516999E-2</v>
      </c>
      <c r="P616" s="79">
        <v>9.8778487325258596E-2</v>
      </c>
      <c r="Q616" s="79">
        <v>0.17268396029823299</v>
      </c>
      <c r="R616" s="79">
        <v>1</v>
      </c>
      <c r="S616" s="102">
        <v>-3.4142502305013298E-2</v>
      </c>
      <c r="T616" s="79">
        <v>2.0544172448166899E-2</v>
      </c>
      <c r="U616" s="79">
        <v>9.6712558578662303E-2</v>
      </c>
      <c r="V616" s="79">
        <v>0.17065736899193101</v>
      </c>
      <c r="W616" s="79">
        <v>1</v>
      </c>
    </row>
    <row r="617" spans="2:23" x14ac:dyDescent="0.2">
      <c r="B617" t="s">
        <v>1190</v>
      </c>
      <c r="C617" s="84">
        <v>5022</v>
      </c>
      <c r="D617" s="102">
        <v>-1.41930620747373E-3</v>
      </c>
      <c r="E617" s="79">
        <v>2.30777776116938E-2</v>
      </c>
      <c r="F617" s="79">
        <v>0.95096732109737203</v>
      </c>
      <c r="G617" s="79">
        <v>0.99840985319461195</v>
      </c>
      <c r="H617" s="79">
        <v>1</v>
      </c>
      <c r="I617" s="102">
        <v>3.5770983338055097E-2</v>
      </c>
      <c r="J617" s="79">
        <v>2.3357499355632302E-2</v>
      </c>
      <c r="K617" s="79">
        <v>0.12583915399550499</v>
      </c>
      <c r="L617" s="79">
        <v>0.55552266356551805</v>
      </c>
      <c r="M617" s="79">
        <v>1</v>
      </c>
      <c r="N617" s="102">
        <v>-8.4574607188860298E-2</v>
      </c>
      <c r="O617" s="79">
        <v>2.3048855758995401E-2</v>
      </c>
      <c r="P617" s="79">
        <v>2.50513604026135E-4</v>
      </c>
      <c r="Q617" s="79">
        <v>1.4483619290794299E-3</v>
      </c>
      <c r="R617" s="79">
        <v>0.424370045220273</v>
      </c>
      <c r="S617" s="102">
        <v>-6.1144365637559997E-2</v>
      </c>
      <c r="T617" s="79">
        <v>2.2601374574537099E-2</v>
      </c>
      <c r="U617" s="79">
        <v>6.8903308181551201E-3</v>
      </c>
      <c r="V617" s="79">
        <v>2.07690754554355E-2</v>
      </c>
      <c r="W617" s="79">
        <v>1</v>
      </c>
    </row>
    <row r="618" spans="2:23" x14ac:dyDescent="0.2">
      <c r="B618" t="s">
        <v>1186</v>
      </c>
      <c r="C618" s="84">
        <v>5022</v>
      </c>
      <c r="D618" s="102">
        <v>9.5751904257387697E-3</v>
      </c>
      <c r="E618" s="79">
        <v>2.2705543897104601E-2</v>
      </c>
      <c r="F618" s="79">
        <v>0.67328789268941103</v>
      </c>
      <c r="G618" s="79">
        <v>0.96656753408123897</v>
      </c>
      <c r="H618" s="79">
        <v>1</v>
      </c>
      <c r="I618" s="102">
        <v>-3.3882734342978997E-2</v>
      </c>
      <c r="J618" s="79">
        <v>2.29831854934156E-2</v>
      </c>
      <c r="K618" s="79">
        <v>0.14059847789150801</v>
      </c>
      <c r="L618" s="79">
        <v>0.58956288394660905</v>
      </c>
      <c r="M618" s="79">
        <v>1</v>
      </c>
      <c r="N618" s="102">
        <v>-5.1855693679358703E-2</v>
      </c>
      <c r="O618" s="79">
        <v>2.2705277725617701E-2</v>
      </c>
      <c r="P618" s="79">
        <v>2.2500236866795101E-2</v>
      </c>
      <c r="Q618" s="79">
        <v>5.3085517064555603E-2</v>
      </c>
      <c r="R618" s="79">
        <v>1</v>
      </c>
      <c r="S618" s="102">
        <v>-3.0146029263239098E-2</v>
      </c>
      <c r="T618" s="79">
        <v>2.2263523962573299E-2</v>
      </c>
      <c r="U618" s="79">
        <v>0.17589543306215499</v>
      </c>
      <c r="V618" s="79">
        <v>0.27336409505255999</v>
      </c>
      <c r="W618" s="79">
        <v>1</v>
      </c>
    </row>
    <row r="619" spans="2:23" x14ac:dyDescent="0.2">
      <c r="B619" t="s">
        <v>1187</v>
      </c>
      <c r="C619" s="84">
        <v>5022</v>
      </c>
      <c r="D619" s="102">
        <v>1.10294227210037E-2</v>
      </c>
      <c r="E619" s="79">
        <v>2.20159064659004E-2</v>
      </c>
      <c r="F619" s="79">
        <v>0.61645220132478595</v>
      </c>
      <c r="G619" s="79">
        <v>0.951216817242591</v>
      </c>
      <c r="H619" s="79">
        <v>1</v>
      </c>
      <c r="I619" s="102">
        <v>-2.3105790106881598E-2</v>
      </c>
      <c r="J619" s="79">
        <v>2.2294164152382299E-2</v>
      </c>
      <c r="K619" s="79">
        <v>0.30015755444748299</v>
      </c>
      <c r="L619" s="79">
        <v>0.70600202719357597</v>
      </c>
      <c r="M619" s="79">
        <v>1</v>
      </c>
      <c r="N619" s="102">
        <v>-6.7748330261456199E-2</v>
      </c>
      <c r="O619" s="79">
        <v>2.1989491744439999E-2</v>
      </c>
      <c r="P619" s="79">
        <v>2.09591927955419E-3</v>
      </c>
      <c r="Q619" s="79">
        <v>7.7352663607076202E-3</v>
      </c>
      <c r="R619" s="79">
        <v>1</v>
      </c>
      <c r="S619" s="102">
        <v>-3.2623868994126698E-2</v>
      </c>
      <c r="T619" s="79">
        <v>2.15825328701028E-2</v>
      </c>
      <c r="U619" s="79">
        <v>0.13082120763382901</v>
      </c>
      <c r="V619" s="79">
        <v>0.21858757513946001</v>
      </c>
      <c r="W619" s="79">
        <v>1</v>
      </c>
    </row>
    <row r="620" spans="2:23" x14ac:dyDescent="0.2">
      <c r="B620" t="s">
        <v>1188</v>
      </c>
      <c r="C620" s="84">
        <v>5022</v>
      </c>
      <c r="D620" s="102">
        <v>3.79880790014748E-2</v>
      </c>
      <c r="E620" s="79">
        <v>2.2321263442991499E-2</v>
      </c>
      <c r="F620" s="79">
        <v>8.8957526504840595E-2</v>
      </c>
      <c r="G620" s="79">
        <v>0.74740023431835101</v>
      </c>
      <c r="H620" s="79">
        <v>1</v>
      </c>
      <c r="I620" s="102">
        <v>4.6846554223609399E-3</v>
      </c>
      <c r="J620" s="79">
        <v>2.2625286662620901E-2</v>
      </c>
      <c r="K620" s="79">
        <v>0.83599201287797598</v>
      </c>
      <c r="L620" s="79">
        <v>0.95558061391045301</v>
      </c>
      <c r="M620" s="79">
        <v>1</v>
      </c>
      <c r="N620" s="102">
        <v>-3.6294487396451199E-2</v>
      </c>
      <c r="O620" s="79">
        <v>2.23529580047628E-2</v>
      </c>
      <c r="P620" s="79">
        <v>0.1046217952394</v>
      </c>
      <c r="Q620" s="79">
        <v>0.18084624605667701</v>
      </c>
      <c r="R620" s="79">
        <v>1</v>
      </c>
      <c r="S620" s="102">
        <v>1.7098350254074E-2</v>
      </c>
      <c r="T620" s="79">
        <v>2.1907656669171698E-2</v>
      </c>
      <c r="U620" s="79">
        <v>0.43521861103503501</v>
      </c>
      <c r="V620" s="79">
        <v>0.55142881607580396</v>
      </c>
      <c r="W620" s="79">
        <v>1</v>
      </c>
    </row>
    <row r="621" spans="2:23" x14ac:dyDescent="0.2">
      <c r="B621" t="s">
        <v>1191</v>
      </c>
      <c r="C621" s="84">
        <v>5022</v>
      </c>
      <c r="D621" s="102">
        <v>1.7431401078366701E-2</v>
      </c>
      <c r="E621" s="79">
        <v>2.32921902126372E-2</v>
      </c>
      <c r="F621" s="79">
        <v>0.45433271089501198</v>
      </c>
      <c r="G621" s="79">
        <v>0.91151047511105199</v>
      </c>
      <c r="H621" s="79">
        <v>1</v>
      </c>
      <c r="I621" s="102">
        <v>-1.6724043749067701E-2</v>
      </c>
      <c r="J621" s="79">
        <v>2.35894540224236E-2</v>
      </c>
      <c r="K621" s="79">
        <v>0.47844283086804601</v>
      </c>
      <c r="L621" s="79">
        <v>0.80783235637134798</v>
      </c>
      <c r="M621" s="79">
        <v>1</v>
      </c>
      <c r="N621" s="102">
        <v>-3.9973386742461897E-2</v>
      </c>
      <c r="O621" s="79">
        <v>2.3308869458817098E-2</v>
      </c>
      <c r="P621" s="79">
        <v>8.6534309277815802E-2</v>
      </c>
      <c r="Q621" s="79">
        <v>0.15578014868928799</v>
      </c>
      <c r="R621" s="79">
        <v>1</v>
      </c>
      <c r="S621" s="102">
        <v>-2.9935868366376201E-2</v>
      </c>
      <c r="T621" s="79">
        <v>2.2837631678977E-2</v>
      </c>
      <c r="U621" s="79">
        <v>0.19009438479218399</v>
      </c>
      <c r="V621" s="79">
        <v>0.29073209300411701</v>
      </c>
      <c r="W621" s="79">
        <v>1</v>
      </c>
    </row>
    <row r="622" spans="2:23" x14ac:dyDescent="0.2">
      <c r="B622" t="s">
        <v>1192</v>
      </c>
      <c r="C622" s="84">
        <v>5022</v>
      </c>
      <c r="D622" s="102">
        <v>-8.1950591580959194E-3</v>
      </c>
      <c r="E622" s="79">
        <v>2.0222158807024E-2</v>
      </c>
      <c r="F622" s="79">
        <v>0.68534273439662996</v>
      </c>
      <c r="G622" s="79">
        <v>0.96670198527320195</v>
      </c>
      <c r="H622" s="79">
        <v>1</v>
      </c>
      <c r="I622" s="102">
        <v>-6.3273280004386501E-3</v>
      </c>
      <c r="J622" s="79">
        <v>2.04846693560383E-2</v>
      </c>
      <c r="K622" s="79">
        <v>0.75744907586190702</v>
      </c>
      <c r="L622" s="79">
        <v>0.92506376263470302</v>
      </c>
      <c r="M622" s="79">
        <v>1</v>
      </c>
      <c r="N622" s="102">
        <v>-5.4173239277771198E-3</v>
      </c>
      <c r="O622" s="79">
        <v>2.02509281455544E-2</v>
      </c>
      <c r="P622" s="79">
        <v>0.78910843205806502</v>
      </c>
      <c r="Q622" s="79">
        <v>0.85689082301689901</v>
      </c>
      <c r="R622" s="79">
        <v>1</v>
      </c>
      <c r="S622" s="102">
        <v>1.00001526967085E-3</v>
      </c>
      <c r="T622" s="79">
        <v>1.9838771612811602E-2</v>
      </c>
      <c r="U622" s="79">
        <v>0.95980377355688595</v>
      </c>
      <c r="V622" s="79">
        <v>0.97185151966847905</v>
      </c>
      <c r="W622" s="79">
        <v>1</v>
      </c>
    </row>
    <row r="623" spans="2:23" x14ac:dyDescent="0.2">
      <c r="B623" t="s">
        <v>1193</v>
      </c>
      <c r="C623" s="84">
        <v>5022</v>
      </c>
      <c r="D623" s="102">
        <v>1.50430330953583E-2</v>
      </c>
      <c r="E623" s="79">
        <v>7.9914041436778601E-3</v>
      </c>
      <c r="F623" s="79">
        <v>5.9949079264175302E-2</v>
      </c>
      <c r="G623" s="79">
        <v>0.71521004237727503</v>
      </c>
      <c r="H623" s="79">
        <v>1</v>
      </c>
      <c r="I623" s="102">
        <v>9.7189399312196407E-3</v>
      </c>
      <c r="J623" s="79">
        <v>8.1005804796168892E-3</v>
      </c>
      <c r="K623" s="79">
        <v>0.23038773774809199</v>
      </c>
      <c r="L623" s="79">
        <v>0.66141104862732303</v>
      </c>
      <c r="M623" s="79">
        <v>1</v>
      </c>
      <c r="N623" s="102">
        <v>-9.49085202991359E-3</v>
      </c>
      <c r="O623" s="79">
        <v>8.0075746231286406E-3</v>
      </c>
      <c r="P623" s="79">
        <v>0.236087496041469</v>
      </c>
      <c r="Q623" s="79">
        <v>0.34447219491322001</v>
      </c>
      <c r="R623" s="79">
        <v>1</v>
      </c>
      <c r="S623" s="102">
        <v>-5.4172128864715804E-3</v>
      </c>
      <c r="T623" s="79">
        <v>7.8483405483099292E-3</v>
      </c>
      <c r="U623" s="79">
        <v>0.49013784253083797</v>
      </c>
      <c r="V623" s="79">
        <v>0.59927696124330698</v>
      </c>
      <c r="W623" s="79">
        <v>1</v>
      </c>
    </row>
    <row r="624" spans="2:23" x14ac:dyDescent="0.2">
      <c r="B624" t="s">
        <v>1194</v>
      </c>
      <c r="C624" s="84">
        <v>5022</v>
      </c>
      <c r="D624" s="102">
        <v>-6.4587076556806402E-3</v>
      </c>
      <c r="E624" s="79">
        <v>2.0991520886550898E-2</v>
      </c>
      <c r="F624" s="79">
        <v>0.75836146996989895</v>
      </c>
      <c r="G624" s="79">
        <v>0.98065979399160996</v>
      </c>
      <c r="H624" s="79">
        <v>1</v>
      </c>
      <c r="I624" s="102">
        <v>-2.45123523064677E-2</v>
      </c>
      <c r="J624" s="79">
        <v>2.12554149041407E-2</v>
      </c>
      <c r="K624" s="79">
        <v>0.24897543386388299</v>
      </c>
      <c r="L624" s="79">
        <v>0.67645700560099897</v>
      </c>
      <c r="M624" s="79">
        <v>1</v>
      </c>
      <c r="N624" s="102">
        <v>-4.7478214721989598E-2</v>
      </c>
      <c r="O624" s="79">
        <v>2.09909416742972E-2</v>
      </c>
      <c r="P624" s="79">
        <v>2.3830460410847801E-2</v>
      </c>
      <c r="Q624" s="79">
        <v>5.5851227921676801E-2</v>
      </c>
      <c r="R624" s="79">
        <v>1</v>
      </c>
      <c r="S624" s="102">
        <v>-5.2675098959681803E-2</v>
      </c>
      <c r="T624" s="79">
        <v>2.05539079020431E-2</v>
      </c>
      <c r="U624" s="79">
        <v>1.04675577052902E-2</v>
      </c>
      <c r="V624" s="79">
        <v>2.9309161574812601E-2</v>
      </c>
      <c r="W624" s="79">
        <v>1</v>
      </c>
    </row>
    <row r="625" spans="2:23" x14ac:dyDescent="0.2">
      <c r="B625" t="s">
        <v>1195</v>
      </c>
      <c r="C625" s="84">
        <v>5022</v>
      </c>
      <c r="D625" s="102">
        <v>-2.7855914949399402E-3</v>
      </c>
      <c r="E625" s="79">
        <v>7.2024400400206396E-3</v>
      </c>
      <c r="F625" s="79">
        <v>0.698983918741794</v>
      </c>
      <c r="G625" s="79">
        <v>0.969323693033459</v>
      </c>
      <c r="H625" s="79">
        <v>1</v>
      </c>
      <c r="I625" s="102">
        <v>7.8139525052132303E-4</v>
      </c>
      <c r="J625" s="79">
        <v>7.2967609201622999E-3</v>
      </c>
      <c r="K625" s="79">
        <v>0.91473160673020903</v>
      </c>
      <c r="L625" s="79">
        <v>0.98193837767293402</v>
      </c>
      <c r="M625" s="79">
        <v>1</v>
      </c>
      <c r="N625" s="102">
        <v>-1.4338724987301399E-2</v>
      </c>
      <c r="O625" s="79">
        <v>7.2046717390408599E-3</v>
      </c>
      <c r="P625" s="79">
        <v>4.67261548708384E-2</v>
      </c>
      <c r="Q625" s="79">
        <v>9.5944371334788198E-2</v>
      </c>
      <c r="R625" s="79">
        <v>1</v>
      </c>
      <c r="S625" s="102">
        <v>-3.8149903997586501E-3</v>
      </c>
      <c r="T625" s="79">
        <v>7.0670514585487601E-3</v>
      </c>
      <c r="U625" s="79">
        <v>0.58938526382637302</v>
      </c>
      <c r="V625" s="79">
        <v>0.68117593788807895</v>
      </c>
      <c r="W625" s="79">
        <v>1</v>
      </c>
    </row>
    <row r="626" spans="2:23" x14ac:dyDescent="0.2">
      <c r="B626" t="s">
        <v>1196</v>
      </c>
      <c r="C626" s="84">
        <v>5022</v>
      </c>
      <c r="D626" s="102">
        <v>1.0823293798323801E-2</v>
      </c>
      <c r="E626" s="79">
        <v>7.8147124403016195E-3</v>
      </c>
      <c r="F626" s="79">
        <v>0.16623416033791999</v>
      </c>
      <c r="G626" s="79">
        <v>0.81796927009920195</v>
      </c>
      <c r="H626" s="79">
        <v>1</v>
      </c>
      <c r="I626" s="102">
        <v>3.15483202613449E-4</v>
      </c>
      <c r="J626" s="79">
        <v>7.9211379892424605E-3</v>
      </c>
      <c r="K626" s="79">
        <v>0.96823483355571505</v>
      </c>
      <c r="L626" s="79">
        <v>0.99551534580938295</v>
      </c>
      <c r="M626" s="79">
        <v>1</v>
      </c>
      <c r="N626" s="102">
        <v>1.8222179321833499E-2</v>
      </c>
      <c r="O626" s="79">
        <v>7.8177687511490693E-3</v>
      </c>
      <c r="P626" s="79">
        <v>1.98746919370935E-2</v>
      </c>
      <c r="Q626" s="79">
        <v>4.8512576572674902E-2</v>
      </c>
      <c r="R626" s="79">
        <v>1</v>
      </c>
      <c r="S626" s="102">
        <v>5.3986926150868496E-3</v>
      </c>
      <c r="T626" s="79">
        <v>7.6712773118566601E-3</v>
      </c>
      <c r="U626" s="79">
        <v>0.48168057516465002</v>
      </c>
      <c r="V626" s="79">
        <v>0.59436620974892096</v>
      </c>
      <c r="W626" s="79">
        <v>1</v>
      </c>
    </row>
    <row r="627" spans="2:23" x14ac:dyDescent="0.2">
      <c r="B627" t="s">
        <v>1200</v>
      </c>
      <c r="C627" s="84">
        <v>5022</v>
      </c>
      <c r="D627" s="102">
        <v>-1.9788842558497399E-2</v>
      </c>
      <c r="E627" s="79">
        <v>1.39035434623648E-2</v>
      </c>
      <c r="F627" s="79">
        <v>0.154830903524765</v>
      </c>
      <c r="G627" s="79">
        <v>0.80938271582532695</v>
      </c>
      <c r="H627" s="79">
        <v>1</v>
      </c>
      <c r="I627" s="102">
        <v>-4.2527325935528401E-3</v>
      </c>
      <c r="J627" s="79">
        <v>1.40925302066839E-2</v>
      </c>
      <c r="K627" s="79">
        <v>0.76286204141643199</v>
      </c>
      <c r="L627" s="79">
        <v>0.92637153989923704</v>
      </c>
      <c r="M627" s="79">
        <v>1</v>
      </c>
      <c r="N627" s="102">
        <v>1.67324880038183E-2</v>
      </c>
      <c r="O627" s="79">
        <v>1.3925523638028899E-2</v>
      </c>
      <c r="P627" s="79">
        <v>0.22969464676292201</v>
      </c>
      <c r="Q627" s="79">
        <v>0.336594058491687</v>
      </c>
      <c r="R627" s="79">
        <v>1</v>
      </c>
      <c r="S627" s="102">
        <v>2.7359015837363901E-4</v>
      </c>
      <c r="T627" s="79">
        <v>1.3649490645521499E-2</v>
      </c>
      <c r="U627" s="79">
        <v>0.98401059567809701</v>
      </c>
      <c r="V627" s="79">
        <v>0.99100935678294699</v>
      </c>
      <c r="W627" s="79">
        <v>1</v>
      </c>
    </row>
    <row r="628" spans="2:23" x14ac:dyDescent="0.2">
      <c r="B628" t="s">
        <v>1199</v>
      </c>
      <c r="C628" s="84">
        <v>5022</v>
      </c>
      <c r="D628" s="102">
        <v>-4.3737200942091997E-3</v>
      </c>
      <c r="E628" s="79">
        <v>2.35004012248075E-2</v>
      </c>
      <c r="F628" s="79">
        <v>0.85237822684255604</v>
      </c>
      <c r="G628" s="79">
        <v>0.99362338620020496</v>
      </c>
      <c r="H628" s="79">
        <v>1</v>
      </c>
      <c r="I628" s="102">
        <v>-2.9615801267159202E-2</v>
      </c>
      <c r="J628" s="79">
        <v>2.3784818960418501E-2</v>
      </c>
      <c r="K628" s="79">
        <v>0.21324227523233499</v>
      </c>
      <c r="L628" s="79">
        <v>0.65086921485328897</v>
      </c>
      <c r="M628" s="79">
        <v>1</v>
      </c>
      <c r="N628" s="102">
        <v>1.0780664049475501E-2</v>
      </c>
      <c r="O628" s="79">
        <v>2.3529539858925301E-2</v>
      </c>
      <c r="P628" s="79">
        <v>0.64688350579331899</v>
      </c>
      <c r="Q628" s="79">
        <v>0.74343328277739695</v>
      </c>
      <c r="R628" s="79">
        <v>1</v>
      </c>
      <c r="S628" s="102">
        <v>1.6317836575154201E-2</v>
      </c>
      <c r="T628" s="79">
        <v>2.30441355005855E-2</v>
      </c>
      <c r="U628" s="79">
        <v>0.47897051105900801</v>
      </c>
      <c r="V628" s="79">
        <v>0.592677900463082</v>
      </c>
      <c r="W628" s="79">
        <v>1</v>
      </c>
    </row>
    <row r="629" spans="2:23" x14ac:dyDescent="0.2">
      <c r="B629" t="s">
        <v>1197</v>
      </c>
      <c r="C629" s="84">
        <v>5022</v>
      </c>
      <c r="D629" s="102">
        <v>-4.4034259261027803E-3</v>
      </c>
      <c r="E629" s="79">
        <v>2.1414374714765899E-2</v>
      </c>
      <c r="F629" s="79">
        <v>0.83710453224902603</v>
      </c>
      <c r="G629" s="79">
        <v>0.99362338620020496</v>
      </c>
      <c r="H629" s="79">
        <v>1</v>
      </c>
      <c r="I629" s="102">
        <v>-2.5514282894320499E-2</v>
      </c>
      <c r="J629" s="79">
        <v>2.1683055353150599E-2</v>
      </c>
      <c r="K629" s="79">
        <v>0.23947990314661699</v>
      </c>
      <c r="L629" s="79">
        <v>0.66728913226271602</v>
      </c>
      <c r="M629" s="79">
        <v>1</v>
      </c>
      <c r="N629" s="102">
        <v>-7.6270381881191507E-2</v>
      </c>
      <c r="O629" s="79">
        <v>2.13677845403373E-2</v>
      </c>
      <c r="P629" s="79">
        <v>3.6753394035134998E-4</v>
      </c>
      <c r="Q629" s="79">
        <v>1.9955208171640601E-3</v>
      </c>
      <c r="R629" s="79">
        <v>0.62260249495518705</v>
      </c>
      <c r="S629" s="102">
        <v>-4.09138695454805E-2</v>
      </c>
      <c r="T629" s="79">
        <v>2.0984471952163498E-2</v>
      </c>
      <c r="U629" s="79">
        <v>5.1370353220381103E-2</v>
      </c>
      <c r="V629" s="79">
        <v>0.104467441002792</v>
      </c>
      <c r="W629" s="79">
        <v>1</v>
      </c>
    </row>
    <row r="630" spans="2:23" x14ac:dyDescent="0.2">
      <c r="B630" t="s">
        <v>1198</v>
      </c>
      <c r="C630" s="84">
        <v>5022</v>
      </c>
      <c r="D630" s="102">
        <v>2.2064717902758801E-3</v>
      </c>
      <c r="E630" s="79">
        <v>2.0197442525754599E-2</v>
      </c>
      <c r="F630" s="79">
        <v>0.91302074085984197</v>
      </c>
      <c r="G630" s="79">
        <v>0.99533029194181499</v>
      </c>
      <c r="H630" s="79">
        <v>1</v>
      </c>
      <c r="I630" s="102">
        <v>1.10360175532879E-2</v>
      </c>
      <c r="J630" s="79">
        <v>2.0457589806764501E-2</v>
      </c>
      <c r="K630" s="79">
        <v>0.58963995731391305</v>
      </c>
      <c r="L630" s="79">
        <v>0.86705736778625797</v>
      </c>
      <c r="M630" s="79">
        <v>1</v>
      </c>
      <c r="N630" s="102">
        <v>2.03541802834259E-2</v>
      </c>
      <c r="O630" s="79">
        <v>2.0219875374822199E-2</v>
      </c>
      <c r="P630" s="79">
        <v>0.31424736605255099</v>
      </c>
      <c r="Q630" s="79">
        <v>0.42861114178182103</v>
      </c>
      <c r="R630" s="79">
        <v>1</v>
      </c>
      <c r="S630" s="102">
        <v>-7.1290322303257502E-3</v>
      </c>
      <c r="T630" s="79">
        <v>1.9812896296107399E-2</v>
      </c>
      <c r="U630" s="79">
        <v>0.719027258508943</v>
      </c>
      <c r="V630" s="79">
        <v>0.78134306003635401</v>
      </c>
      <c r="W630" s="79">
        <v>1</v>
      </c>
    </row>
    <row r="631" spans="2:23" x14ac:dyDescent="0.2">
      <c r="B631" t="s">
        <v>1209</v>
      </c>
      <c r="C631" s="84">
        <v>4740</v>
      </c>
      <c r="D631" s="102">
        <v>-5.5856452939703699E-3</v>
      </c>
      <c r="E631" s="79">
        <v>2.31019186985209E-2</v>
      </c>
      <c r="F631" s="79">
        <v>0.80897710310192406</v>
      </c>
      <c r="G631" s="79">
        <v>0.99362338620020496</v>
      </c>
      <c r="H631" s="79">
        <v>1</v>
      </c>
      <c r="I631" s="102">
        <v>-2.7497025587301101E-2</v>
      </c>
      <c r="J631" s="79">
        <v>2.3387365163609598E-2</v>
      </c>
      <c r="K631" s="79">
        <v>0.23986747486467699</v>
      </c>
      <c r="L631" s="79">
        <v>0.66728913226271602</v>
      </c>
      <c r="M631" s="79">
        <v>1</v>
      </c>
      <c r="N631" s="102">
        <v>-7.5392047614381397E-2</v>
      </c>
      <c r="O631" s="79">
        <v>2.3064842464914401E-2</v>
      </c>
      <c r="P631" s="79">
        <v>1.10157128907833E-3</v>
      </c>
      <c r="Q631" s="79">
        <v>4.7482487625920902E-3</v>
      </c>
      <c r="R631" s="79">
        <v>1</v>
      </c>
      <c r="S631" s="102">
        <v>-5.0197965543676198E-2</v>
      </c>
      <c r="T631" s="79">
        <v>2.2627666056448201E-2</v>
      </c>
      <c r="U631" s="79">
        <v>2.6654335002762101E-2</v>
      </c>
      <c r="V631" s="79">
        <v>6.2798947836827504E-2</v>
      </c>
      <c r="W631" s="79">
        <v>1</v>
      </c>
    </row>
    <row r="632" spans="2:23" x14ac:dyDescent="0.2">
      <c r="B632" t="s">
        <v>1206</v>
      </c>
      <c r="C632" s="84">
        <v>4740</v>
      </c>
      <c r="D632" s="102">
        <v>1.8741915115453901E-2</v>
      </c>
      <c r="E632" s="79">
        <v>2.2477750416829E-2</v>
      </c>
      <c r="F632" s="79">
        <v>0.40450928184441298</v>
      </c>
      <c r="G632" s="79">
        <v>0.89461055933914202</v>
      </c>
      <c r="H632" s="79">
        <v>1</v>
      </c>
      <c r="I632" s="102">
        <v>-1.23365407367899E-2</v>
      </c>
      <c r="J632" s="79">
        <v>2.2767682104892099E-2</v>
      </c>
      <c r="K632" s="79">
        <v>0.58799520916163805</v>
      </c>
      <c r="L632" s="79">
        <v>0.86627788689256002</v>
      </c>
      <c r="M632" s="79">
        <v>1</v>
      </c>
      <c r="N632" s="102">
        <v>-3.0406190230721801E-3</v>
      </c>
      <c r="O632" s="79">
        <v>2.2512673976872399E-2</v>
      </c>
      <c r="P632" s="79">
        <v>0.89257808441587205</v>
      </c>
      <c r="Q632" s="79">
        <v>0.92648730085814202</v>
      </c>
      <c r="R632" s="79">
        <v>1</v>
      </c>
      <c r="S632" s="102">
        <v>-5.4126582065222403E-2</v>
      </c>
      <c r="T632" s="79">
        <v>2.2013372226675699E-2</v>
      </c>
      <c r="U632" s="79">
        <v>1.4037008140640701E-2</v>
      </c>
      <c r="V632" s="79">
        <v>3.6638970400994397E-2</v>
      </c>
      <c r="W632" s="79">
        <v>1</v>
      </c>
    </row>
    <row r="633" spans="2:23" x14ac:dyDescent="0.2">
      <c r="B633" t="s">
        <v>1203</v>
      </c>
      <c r="C633" s="84">
        <v>5022</v>
      </c>
      <c r="D633" s="102">
        <v>1.4652205187969799E-3</v>
      </c>
      <c r="E633" s="79">
        <v>2.36398539309444E-2</v>
      </c>
      <c r="F633" s="79">
        <v>0.95058515191944504</v>
      </c>
      <c r="G633" s="79">
        <v>0.99840985319461195</v>
      </c>
      <c r="H633" s="79">
        <v>1</v>
      </c>
      <c r="I633" s="102">
        <v>-1.18814954819014E-2</v>
      </c>
      <c r="J633" s="79">
        <v>2.39361377523436E-2</v>
      </c>
      <c r="K633" s="79">
        <v>0.61968694263391499</v>
      </c>
      <c r="L633" s="79">
        <v>0.87748013759880805</v>
      </c>
      <c r="M633" s="79">
        <v>1</v>
      </c>
      <c r="N633" s="102">
        <v>-2.9630224901456399E-2</v>
      </c>
      <c r="O633" s="79">
        <v>2.3661321928709299E-2</v>
      </c>
      <c r="P633" s="79">
        <v>0.210642489174477</v>
      </c>
      <c r="Q633" s="79">
        <v>0.31490719720796601</v>
      </c>
      <c r="R633" s="79">
        <v>1</v>
      </c>
      <c r="S633" s="102">
        <v>-3.6780541717309199E-3</v>
      </c>
      <c r="T633" s="79">
        <v>2.31842329486531E-2</v>
      </c>
      <c r="U633" s="79">
        <v>0.87396733141605698</v>
      </c>
      <c r="V633" s="79">
        <v>0.90995738132685999</v>
      </c>
      <c r="W633" s="79">
        <v>1</v>
      </c>
    </row>
    <row r="634" spans="2:23" x14ac:dyDescent="0.2">
      <c r="B634" t="s">
        <v>1207</v>
      </c>
      <c r="C634" s="84">
        <v>4711</v>
      </c>
      <c r="D634" s="102">
        <v>3.1461134191128602E-3</v>
      </c>
      <c r="E634" s="79">
        <v>2.1235902740720101E-2</v>
      </c>
      <c r="F634" s="79">
        <v>0.88224110664105504</v>
      </c>
      <c r="G634" s="79">
        <v>0.99362338620020496</v>
      </c>
      <c r="H634" s="79">
        <v>1</v>
      </c>
      <c r="I634" s="102">
        <v>-2.28204368209017E-2</v>
      </c>
      <c r="J634" s="79">
        <v>2.1505251954820399E-2</v>
      </c>
      <c r="K634" s="79">
        <v>0.28876675771795801</v>
      </c>
      <c r="L634" s="79">
        <v>0.70313889593145995</v>
      </c>
      <c r="M634" s="79">
        <v>1</v>
      </c>
      <c r="N634" s="102">
        <v>-4.4923468745538202E-2</v>
      </c>
      <c r="O634" s="79">
        <v>2.1238860674806601E-2</v>
      </c>
      <c r="P634" s="79">
        <v>3.4559299049573097E-2</v>
      </c>
      <c r="Q634" s="79">
        <v>7.4959606389214894E-2</v>
      </c>
      <c r="R634" s="79">
        <v>1</v>
      </c>
      <c r="S634" s="102">
        <v>-5.4152196875691901E-2</v>
      </c>
      <c r="T634" s="79">
        <v>2.0792063451431E-2</v>
      </c>
      <c r="U634" s="79">
        <v>9.2804777033880896E-3</v>
      </c>
      <c r="V634" s="79">
        <v>2.6645981744982099E-2</v>
      </c>
      <c r="W634" s="79">
        <v>1</v>
      </c>
    </row>
    <row r="635" spans="2:23" x14ac:dyDescent="0.2">
      <c r="B635" t="s">
        <v>1205</v>
      </c>
      <c r="C635" s="84">
        <v>4740</v>
      </c>
      <c r="D635" s="102">
        <v>-3.2543155311454402E-4</v>
      </c>
      <c r="E635" s="79">
        <v>2.23573861050636E-2</v>
      </c>
      <c r="F635" s="79">
        <v>0.98838817033599602</v>
      </c>
      <c r="G635" s="79">
        <v>0.99959973764129995</v>
      </c>
      <c r="H635" s="79">
        <v>1</v>
      </c>
      <c r="I635" s="102">
        <v>-2.1790434983943998E-3</v>
      </c>
      <c r="J635" s="79">
        <v>2.2645442876547801E-2</v>
      </c>
      <c r="K635" s="79">
        <v>0.92335350071651301</v>
      </c>
      <c r="L635" s="79">
        <v>0.98193837767293402</v>
      </c>
      <c r="M635" s="79">
        <v>1</v>
      </c>
      <c r="N635" s="102">
        <v>-7.5567134546497799E-2</v>
      </c>
      <c r="O635" s="79">
        <v>2.2315933660031099E-2</v>
      </c>
      <c r="P635" s="79">
        <v>7.2441270899737298E-4</v>
      </c>
      <c r="Q635" s="79">
        <v>3.4182594123720101E-3</v>
      </c>
      <c r="R635" s="79">
        <v>1</v>
      </c>
      <c r="S635" s="102">
        <v>-3.44472364478784E-2</v>
      </c>
      <c r="T635" s="79">
        <v>2.1915080698429401E-2</v>
      </c>
      <c r="U635" s="79">
        <v>0.11616769914575199</v>
      </c>
      <c r="V635" s="79">
        <v>0.198575259690115</v>
      </c>
      <c r="W635" s="79">
        <v>1</v>
      </c>
    </row>
    <row r="636" spans="2:23" x14ac:dyDescent="0.2">
      <c r="B636" t="s">
        <v>1204</v>
      </c>
      <c r="C636" s="84">
        <v>4740</v>
      </c>
      <c r="D636" s="102">
        <v>-2.6193236153383799E-3</v>
      </c>
      <c r="E636" s="79">
        <v>2.2917714723014099E-2</v>
      </c>
      <c r="F636" s="79">
        <v>0.90901913526241296</v>
      </c>
      <c r="G636" s="79">
        <v>0.99533029194181499</v>
      </c>
      <c r="H636" s="79">
        <v>1</v>
      </c>
      <c r="I636" s="102">
        <v>-1.7851455108812499E-2</v>
      </c>
      <c r="J636" s="79">
        <v>2.3205221254201699E-2</v>
      </c>
      <c r="K636" s="79">
        <v>0.44182811414019701</v>
      </c>
      <c r="L636" s="79">
        <v>0.792097226457534</v>
      </c>
      <c r="M636" s="79">
        <v>1</v>
      </c>
      <c r="N636" s="102">
        <v>-7.8462157551200298E-2</v>
      </c>
      <c r="O636" s="79">
        <v>2.28724088213327E-2</v>
      </c>
      <c r="P636" s="79">
        <v>6.1675387540203997E-4</v>
      </c>
      <c r="Q636" s="79">
        <v>3.0252083545015702E-3</v>
      </c>
      <c r="R636" s="79">
        <v>1</v>
      </c>
      <c r="S636" s="102">
        <v>-6.3457466732890502E-2</v>
      </c>
      <c r="T636" s="79">
        <v>2.2427340036198701E-2</v>
      </c>
      <c r="U636" s="79">
        <v>4.71617516665143E-3</v>
      </c>
      <c r="V636" s="79">
        <v>1.5304982245799899E-2</v>
      </c>
      <c r="W636" s="79">
        <v>1</v>
      </c>
    </row>
    <row r="637" spans="2:23" x14ac:dyDescent="0.2">
      <c r="B637" t="s">
        <v>1201</v>
      </c>
      <c r="C637" s="84">
        <v>5022</v>
      </c>
      <c r="D637" s="102">
        <v>-1.7948428581466402E-2</v>
      </c>
      <c r="E637" s="79">
        <v>2.34044029745561E-2</v>
      </c>
      <c r="F637" s="79">
        <v>0.44325563292845099</v>
      </c>
      <c r="G637" s="79">
        <v>0.90581448957043498</v>
      </c>
      <c r="H637" s="79">
        <v>1</v>
      </c>
      <c r="I637" s="102">
        <v>-3.8826626211882299E-2</v>
      </c>
      <c r="J637" s="79">
        <v>2.3686699672519702E-2</v>
      </c>
      <c r="K637" s="79">
        <v>0.10135798165778601</v>
      </c>
      <c r="L637" s="79">
        <v>0.52523970051870705</v>
      </c>
      <c r="M637" s="79">
        <v>1</v>
      </c>
      <c r="N637" s="102">
        <v>-4.5817275330808399E-2</v>
      </c>
      <c r="O637" s="79">
        <v>2.3415606024978702E-2</v>
      </c>
      <c r="P637" s="79">
        <v>5.0543019260839601E-2</v>
      </c>
      <c r="Q637" s="79">
        <v>0.101325295417589</v>
      </c>
      <c r="R637" s="79">
        <v>1</v>
      </c>
      <c r="S637" s="102">
        <v>-3.4127311229391798E-2</v>
      </c>
      <c r="T637" s="79">
        <v>2.2943945411392799E-2</v>
      </c>
      <c r="U637" s="79">
        <v>0.137085126846823</v>
      </c>
      <c r="V637" s="79">
        <v>0.226558248661969</v>
      </c>
      <c r="W637" s="79">
        <v>1</v>
      </c>
    </row>
    <row r="638" spans="2:23" x14ac:dyDescent="0.2">
      <c r="B638" t="s">
        <v>1202</v>
      </c>
      <c r="C638" s="84">
        <v>5022</v>
      </c>
      <c r="D638" s="102">
        <v>-6.4108137913821096E-3</v>
      </c>
      <c r="E638" s="79">
        <v>2.28491496314372E-2</v>
      </c>
      <c r="F638" s="79">
        <v>0.77907275380624097</v>
      </c>
      <c r="G638" s="79">
        <v>0.98707149633086799</v>
      </c>
      <c r="H638" s="79">
        <v>1</v>
      </c>
      <c r="I638" s="102">
        <v>-5.2391153338692702E-2</v>
      </c>
      <c r="J638" s="79">
        <v>2.3106640394457499E-2</v>
      </c>
      <c r="K638" s="79">
        <v>2.3490508357922501E-2</v>
      </c>
      <c r="L638" s="79">
        <v>0.30376275693374599</v>
      </c>
      <c r="M638" s="79">
        <v>1</v>
      </c>
      <c r="N638" s="102">
        <v>-6.5683401996140103E-2</v>
      </c>
      <c r="O638" s="79">
        <v>2.2827618675321699E-2</v>
      </c>
      <c r="P638" s="79">
        <v>4.0591581504635897E-3</v>
      </c>
      <c r="Q638" s="79">
        <v>1.34563872933177E-2</v>
      </c>
      <c r="R638" s="79">
        <v>1</v>
      </c>
      <c r="S638" s="102">
        <v>-6.4737089977521201E-2</v>
      </c>
      <c r="T638" s="79">
        <v>2.23586885437362E-2</v>
      </c>
      <c r="U638" s="79">
        <v>3.83425875955114E-3</v>
      </c>
      <c r="V638" s="79">
        <v>1.30165016807207E-2</v>
      </c>
      <c r="W638" s="79">
        <v>1</v>
      </c>
    </row>
    <row r="639" spans="2:23" x14ac:dyDescent="0.2">
      <c r="B639" t="s">
        <v>1208</v>
      </c>
      <c r="C639" s="84">
        <v>4740</v>
      </c>
      <c r="D639" s="102">
        <v>-1.07419159685847E-2</v>
      </c>
      <c r="E639" s="79">
        <v>2.31769207727343E-2</v>
      </c>
      <c r="F639" s="79">
        <v>0.64308232409438404</v>
      </c>
      <c r="G639" s="79">
        <v>0.95767440062337605</v>
      </c>
      <c r="H639" s="79">
        <v>1</v>
      </c>
      <c r="I639" s="102">
        <v>-2.89697311121246E-2</v>
      </c>
      <c r="J639" s="79">
        <v>2.3468558002813798E-2</v>
      </c>
      <c r="K639" s="79">
        <v>0.217218678364168</v>
      </c>
      <c r="L639" s="79">
        <v>0.65149810376204198</v>
      </c>
      <c r="M639" s="79">
        <v>1</v>
      </c>
      <c r="N639" s="102">
        <v>-6.3808530125055093E-2</v>
      </c>
      <c r="O639" s="79">
        <v>2.3170457389722302E-2</v>
      </c>
      <c r="P639" s="79">
        <v>5.9508916790794297E-3</v>
      </c>
      <c r="Q639" s="79">
        <v>1.83621320662305E-2</v>
      </c>
      <c r="R639" s="79">
        <v>1</v>
      </c>
      <c r="S639" s="102">
        <v>-6.3986162606362001E-2</v>
      </c>
      <c r="T639" s="79">
        <v>2.26836046953851E-2</v>
      </c>
      <c r="U639" s="79">
        <v>4.8447473170771596E-3</v>
      </c>
      <c r="V639" s="79">
        <v>1.56026653139329E-2</v>
      </c>
      <c r="W639" s="79">
        <v>1</v>
      </c>
    </row>
    <row r="640" spans="2:23" x14ac:dyDescent="0.2">
      <c r="B640" t="s">
        <v>127</v>
      </c>
      <c r="C640" s="84">
        <v>5022</v>
      </c>
      <c r="D640" s="102">
        <v>-5.3182123124954402E-3</v>
      </c>
      <c r="E640" s="79">
        <v>2.3641997008268099E-2</v>
      </c>
      <c r="F640" s="79">
        <v>0.82204641641430598</v>
      </c>
      <c r="G640" s="79">
        <v>0.99362338620020496</v>
      </c>
      <c r="H640" s="79">
        <v>1</v>
      </c>
      <c r="I640" s="102">
        <v>-9.0150494389063505E-4</v>
      </c>
      <c r="J640" s="79">
        <v>2.3962046069746602E-2</v>
      </c>
      <c r="K640" s="79">
        <v>0.96999321752289103</v>
      </c>
      <c r="L640" s="79">
        <v>0.99585970332350104</v>
      </c>
      <c r="M640" s="79">
        <v>1</v>
      </c>
      <c r="N640" s="102">
        <v>4.5097641348890903E-2</v>
      </c>
      <c r="O640" s="79">
        <v>2.3676812674781798E-2</v>
      </c>
      <c r="P640" s="79">
        <v>5.6981601106913402E-2</v>
      </c>
      <c r="Q640" s="79">
        <v>0.112896879853931</v>
      </c>
      <c r="R640" s="79">
        <v>1</v>
      </c>
      <c r="S640" s="102">
        <v>-9.66006284779998E-3</v>
      </c>
      <c r="T640" s="79">
        <v>2.32125685324692E-2</v>
      </c>
      <c r="U640" s="79">
        <v>0.67734679260257502</v>
      </c>
      <c r="V640" s="79">
        <v>0.74605036844522898</v>
      </c>
      <c r="W640" s="79">
        <v>1</v>
      </c>
    </row>
    <row r="641" spans="2:23" x14ac:dyDescent="0.2">
      <c r="B641" t="s">
        <v>135</v>
      </c>
      <c r="C641" s="84">
        <v>5022</v>
      </c>
      <c r="D641" s="102">
        <v>6.8118077576155098E-3</v>
      </c>
      <c r="E641" s="79">
        <v>8.8829804704744792E-3</v>
      </c>
      <c r="F641" s="79">
        <v>0.44328229743441</v>
      </c>
      <c r="G641" s="79">
        <v>0.90581448957043498</v>
      </c>
      <c r="H641" s="79">
        <v>1</v>
      </c>
      <c r="I641" s="102">
        <v>1.31117026186921E-2</v>
      </c>
      <c r="J641" s="79">
        <v>9.0043101810750193E-3</v>
      </c>
      <c r="K641" s="79">
        <v>0.14553005463339799</v>
      </c>
      <c r="L641" s="79">
        <v>0.59040772609061598</v>
      </c>
      <c r="M641" s="79">
        <v>1</v>
      </c>
      <c r="N641" s="102">
        <v>1.0019539937636201E-2</v>
      </c>
      <c r="O641" s="79">
        <v>8.9042241811623703E-3</v>
      </c>
      <c r="P641" s="79">
        <v>0.26063608316757098</v>
      </c>
      <c r="Q641" s="79">
        <v>0.37353428501342201</v>
      </c>
      <c r="R641" s="79">
        <v>1</v>
      </c>
      <c r="S641" s="102">
        <v>1.31260792903707E-2</v>
      </c>
      <c r="T641" s="79">
        <v>8.7223752975121201E-3</v>
      </c>
      <c r="U641" s="79">
        <v>0.13253869156441</v>
      </c>
      <c r="V641" s="79">
        <v>0.22030956103140001</v>
      </c>
      <c r="W641" s="79">
        <v>1</v>
      </c>
    </row>
    <row r="642" spans="2:23" x14ac:dyDescent="0.2">
      <c r="B642" t="s">
        <v>133</v>
      </c>
      <c r="C642" s="84">
        <v>5022</v>
      </c>
      <c r="D642" s="102">
        <v>1.1394709593236499E-2</v>
      </c>
      <c r="E642" s="79">
        <v>7.6964040943237697E-3</v>
      </c>
      <c r="F642" s="79">
        <v>0.13891538267266501</v>
      </c>
      <c r="G642" s="79">
        <v>0.80938271582532695</v>
      </c>
      <c r="H642" s="79">
        <v>1</v>
      </c>
      <c r="I642" s="102">
        <v>1.6874679503409901E-2</v>
      </c>
      <c r="J642" s="79">
        <v>7.7994022101819998E-3</v>
      </c>
      <c r="K642" s="79">
        <v>3.0632473564250199E-2</v>
      </c>
      <c r="L642" s="79">
        <v>0.33695720920675198</v>
      </c>
      <c r="M642" s="79">
        <v>1</v>
      </c>
      <c r="N642" s="102">
        <v>6.9860161285517103E-3</v>
      </c>
      <c r="O642" s="79">
        <v>7.7193716460440803E-3</v>
      </c>
      <c r="P642" s="79">
        <v>0.365592296655948</v>
      </c>
      <c r="Q642" s="79">
        <v>0.48233126988720898</v>
      </c>
      <c r="R642" s="79">
        <v>1</v>
      </c>
      <c r="S642" s="102">
        <v>1.24280170905968E-2</v>
      </c>
      <c r="T642" s="79">
        <v>7.5598172771292301E-3</v>
      </c>
      <c r="U642" s="79">
        <v>0.100366492360007</v>
      </c>
      <c r="V642" s="79">
        <v>0.17637016396042701</v>
      </c>
      <c r="W642" s="79">
        <v>1</v>
      </c>
    </row>
    <row r="643" spans="2:23" x14ac:dyDescent="0.2">
      <c r="B643" t="s">
        <v>132</v>
      </c>
      <c r="C643" s="84">
        <v>5022</v>
      </c>
      <c r="D643" s="102">
        <v>8.0061043371535204E-3</v>
      </c>
      <c r="E643" s="79">
        <v>8.47318132780721E-3</v>
      </c>
      <c r="F643" s="79">
        <v>0.34485405628196703</v>
      </c>
      <c r="G643" s="79">
        <v>0.89454509305560703</v>
      </c>
      <c r="H643" s="79">
        <v>1</v>
      </c>
      <c r="I643" s="102">
        <v>1.40591636001965E-2</v>
      </c>
      <c r="J643" s="79">
        <v>8.5882899998249301E-3</v>
      </c>
      <c r="K643" s="79">
        <v>0.10180889992190401</v>
      </c>
      <c r="L643" s="79">
        <v>0.52523970051870705</v>
      </c>
      <c r="M643" s="79">
        <v>1</v>
      </c>
      <c r="N643" s="102">
        <v>9.4460940311941501E-3</v>
      </c>
      <c r="O643" s="79">
        <v>8.4942631375771599E-3</v>
      </c>
      <c r="P643" s="79">
        <v>0.26626851899821202</v>
      </c>
      <c r="Q643" s="79">
        <v>0.37901000700852799</v>
      </c>
      <c r="R643" s="79">
        <v>1</v>
      </c>
      <c r="S643" s="102">
        <v>1.3135947342062601E-2</v>
      </c>
      <c r="T643" s="79">
        <v>8.3201799531729907E-3</v>
      </c>
      <c r="U643" s="79">
        <v>0.11456323028696801</v>
      </c>
      <c r="V643" s="79">
        <v>0.19662625340032799</v>
      </c>
      <c r="W643" s="79">
        <v>1</v>
      </c>
    </row>
    <row r="644" spans="2:23" x14ac:dyDescent="0.2">
      <c r="B644" t="s">
        <v>136</v>
      </c>
      <c r="C644" s="84">
        <v>5022</v>
      </c>
      <c r="D644" s="102">
        <v>1.19543535843463E-2</v>
      </c>
      <c r="E644" s="79">
        <v>5.7800209711378198E-3</v>
      </c>
      <c r="F644" s="79">
        <v>3.8767501650495598E-2</v>
      </c>
      <c r="G644" s="79">
        <v>0.66335502824181403</v>
      </c>
      <c r="H644" s="79">
        <v>1</v>
      </c>
      <c r="I644" s="102">
        <v>1.07745359858576E-2</v>
      </c>
      <c r="J644" s="79">
        <v>5.8630773135472996E-3</v>
      </c>
      <c r="K644" s="79">
        <v>6.6278857599838703E-2</v>
      </c>
      <c r="L644" s="79">
        <v>0.43517978594622803</v>
      </c>
      <c r="M644" s="79">
        <v>1</v>
      </c>
      <c r="N644" s="102">
        <v>3.8220045990807702E-3</v>
      </c>
      <c r="O644" s="79">
        <v>5.8013910358719698E-3</v>
      </c>
      <c r="P644" s="79">
        <v>0.51010644322471099</v>
      </c>
      <c r="Q644" s="79">
        <v>0.62526795573274996</v>
      </c>
      <c r="R644" s="79">
        <v>1</v>
      </c>
      <c r="S644" s="102">
        <v>7.1369979919829298E-3</v>
      </c>
      <c r="T644" s="79">
        <v>5.6827396038307198E-3</v>
      </c>
      <c r="U644" s="79">
        <v>0.20931872062009699</v>
      </c>
      <c r="V644" s="79">
        <v>0.31250323628907201</v>
      </c>
      <c r="W644" s="79">
        <v>1</v>
      </c>
    </row>
    <row r="645" spans="2:23" x14ac:dyDescent="0.2">
      <c r="B645" t="s">
        <v>126</v>
      </c>
      <c r="C645" s="84">
        <v>5022</v>
      </c>
      <c r="D645" s="102">
        <v>1.16970544213039E-2</v>
      </c>
      <c r="E645" s="79">
        <v>5.43862631537902E-3</v>
      </c>
      <c r="F645" s="79">
        <v>3.1659556274759901E-2</v>
      </c>
      <c r="G645" s="79">
        <v>0.60944645828912802</v>
      </c>
      <c r="H645" s="79">
        <v>1</v>
      </c>
      <c r="I645" s="102">
        <v>-5.4461858257302299E-3</v>
      </c>
      <c r="J645" s="79">
        <v>5.5204425927716802E-3</v>
      </c>
      <c r="K645" s="79">
        <v>0.32402622155456501</v>
      </c>
      <c r="L645" s="79">
        <v>0.71688335035341899</v>
      </c>
      <c r="M645" s="79">
        <v>1</v>
      </c>
      <c r="N645" s="102">
        <v>4.7327823743158999E-3</v>
      </c>
      <c r="O645" s="79">
        <v>5.3720899608621997E-3</v>
      </c>
      <c r="P645" s="79">
        <v>0.37846472771939099</v>
      </c>
      <c r="Q645" s="79">
        <v>0.49622232875901601</v>
      </c>
      <c r="R645" s="79">
        <v>1</v>
      </c>
      <c r="S645" s="102">
        <v>1.1186910475445701E-3</v>
      </c>
      <c r="T645" s="79">
        <v>5.2169978188314602E-3</v>
      </c>
      <c r="U645" s="79">
        <v>0.83023995864018996</v>
      </c>
      <c r="V645" s="79">
        <v>0.87573255911362502</v>
      </c>
      <c r="W645" s="79">
        <v>1</v>
      </c>
    </row>
    <row r="646" spans="2:23" x14ac:dyDescent="0.2">
      <c r="B646" t="s">
        <v>129</v>
      </c>
      <c r="C646" s="84">
        <v>5022</v>
      </c>
      <c r="D646" s="102">
        <v>1.5587996485335201E-2</v>
      </c>
      <c r="E646" s="79">
        <v>8.8257560079050296E-3</v>
      </c>
      <c r="F646" s="79">
        <v>7.7539454315209005E-2</v>
      </c>
      <c r="G646" s="79">
        <v>0.73538141425839998</v>
      </c>
      <c r="H646" s="79">
        <v>1</v>
      </c>
      <c r="I646" s="102">
        <v>1.6592131913154201E-2</v>
      </c>
      <c r="J646" s="79">
        <v>8.9494493398463906E-3</v>
      </c>
      <c r="K646" s="79">
        <v>6.3911414128984295E-2</v>
      </c>
      <c r="L646" s="79">
        <v>0.43517978594622803</v>
      </c>
      <c r="M646" s="79">
        <v>1</v>
      </c>
      <c r="N646" s="102">
        <v>8.6425894808376796E-3</v>
      </c>
      <c r="O646" s="79">
        <v>8.8541190868004493E-3</v>
      </c>
      <c r="P646" s="79">
        <v>0.32914652826680901</v>
      </c>
      <c r="Q646" s="79">
        <v>0.44605937510718002</v>
      </c>
      <c r="R646" s="79">
        <v>1</v>
      </c>
      <c r="S646" s="102">
        <v>9.8285141308787002E-3</v>
      </c>
      <c r="T646" s="79">
        <v>8.6749667216979593E-3</v>
      </c>
      <c r="U646" s="79">
        <v>0.25738185670477498</v>
      </c>
      <c r="V646" s="79">
        <v>0.36762636193751203</v>
      </c>
      <c r="W646" s="79">
        <v>1</v>
      </c>
    </row>
    <row r="647" spans="2:23" x14ac:dyDescent="0.2">
      <c r="B647" t="s">
        <v>164</v>
      </c>
      <c r="C647" s="84">
        <v>5022</v>
      </c>
      <c r="D647" s="102">
        <v>5.4829399001868001E-3</v>
      </c>
      <c r="E647" s="79">
        <v>2.2590020379016602E-2</v>
      </c>
      <c r="F647" s="79">
        <v>0.808254808624009</v>
      </c>
      <c r="G647" s="79">
        <v>0.99362338620020496</v>
      </c>
      <c r="H647" s="79">
        <v>1</v>
      </c>
      <c r="I647" s="102">
        <v>1.1863637996378301E-2</v>
      </c>
      <c r="J647" s="79">
        <v>2.2879680193352001E-2</v>
      </c>
      <c r="K647" s="79">
        <v>0.60415965892939005</v>
      </c>
      <c r="L647" s="79">
        <v>0.87176018928993804</v>
      </c>
      <c r="M647" s="79">
        <v>1</v>
      </c>
      <c r="N647" s="102">
        <v>1.5210157118759299E-2</v>
      </c>
      <c r="O647" s="79">
        <v>2.2619182503498699E-2</v>
      </c>
      <c r="P647" s="79">
        <v>0.50139007044123796</v>
      </c>
      <c r="Q647" s="79">
        <v>0.61771256678360498</v>
      </c>
      <c r="R647" s="79">
        <v>1</v>
      </c>
      <c r="S647" s="102">
        <v>4.3623203471698097E-3</v>
      </c>
      <c r="T647" s="79">
        <v>2.2158650908949799E-2</v>
      </c>
      <c r="U647" s="79">
        <v>0.84395422520820695</v>
      </c>
      <c r="V647" s="79">
        <v>0.88743541744426002</v>
      </c>
      <c r="W647" s="79">
        <v>1</v>
      </c>
    </row>
    <row r="648" spans="2:23" x14ac:dyDescent="0.2">
      <c r="B648" t="s">
        <v>163</v>
      </c>
      <c r="C648" s="84">
        <v>5022</v>
      </c>
      <c r="D648" s="102">
        <v>9.9221208772334799E-3</v>
      </c>
      <c r="E648" s="79">
        <v>2.1608606939278501E-2</v>
      </c>
      <c r="F648" s="79">
        <v>0.64616646899392904</v>
      </c>
      <c r="G648" s="79">
        <v>0.95767440062337605</v>
      </c>
      <c r="H648" s="79">
        <v>1</v>
      </c>
      <c r="I648" s="102">
        <v>2.73537693647768E-3</v>
      </c>
      <c r="J648" s="79">
        <v>2.1889312870063401E-2</v>
      </c>
      <c r="K648" s="79">
        <v>0.90056650872200195</v>
      </c>
      <c r="L648" s="79">
        <v>0.98168469912841005</v>
      </c>
      <c r="M648" s="79">
        <v>1</v>
      </c>
      <c r="N648" s="102">
        <v>7.6901517907865596E-3</v>
      </c>
      <c r="O648" s="79">
        <v>2.1639404373156899E-2</v>
      </c>
      <c r="P648" s="79">
        <v>0.72235024791409996</v>
      </c>
      <c r="Q648" s="79">
        <v>0.81306399997773104</v>
      </c>
      <c r="R648" s="79">
        <v>1</v>
      </c>
      <c r="S648" s="102">
        <v>-1.17367575315631E-2</v>
      </c>
      <c r="T648" s="79">
        <v>2.1196585939655298E-2</v>
      </c>
      <c r="U648" s="79">
        <v>0.57984885519566898</v>
      </c>
      <c r="V648" s="79">
        <v>0.673275243427919</v>
      </c>
      <c r="W648" s="79">
        <v>1</v>
      </c>
    </row>
    <row r="649" spans="2:23" x14ac:dyDescent="0.2">
      <c r="B649" t="s">
        <v>162</v>
      </c>
      <c r="C649" s="84">
        <v>5022</v>
      </c>
      <c r="D649" s="102">
        <v>5.37236999318828E-3</v>
      </c>
      <c r="E649" s="79">
        <v>2.3518309287848899E-2</v>
      </c>
      <c r="F649" s="79">
        <v>0.81933614847104497</v>
      </c>
      <c r="G649" s="79">
        <v>0.99362338620020496</v>
      </c>
      <c r="H649" s="79">
        <v>1</v>
      </c>
      <c r="I649" s="102">
        <v>2.4977825440562401E-2</v>
      </c>
      <c r="J649" s="79">
        <v>2.38081701902501E-2</v>
      </c>
      <c r="K649" s="79">
        <v>0.29426492098448598</v>
      </c>
      <c r="L649" s="79">
        <v>0.70592340946629695</v>
      </c>
      <c r="M649" s="79">
        <v>1</v>
      </c>
      <c r="N649" s="102">
        <v>4.0601784205586799E-2</v>
      </c>
      <c r="O649" s="79">
        <v>2.35309139315764E-2</v>
      </c>
      <c r="P649" s="79">
        <v>8.4621501219730805E-2</v>
      </c>
      <c r="Q649" s="79">
        <v>0.15315045199382901</v>
      </c>
      <c r="R649" s="79">
        <v>1</v>
      </c>
      <c r="S649" s="102">
        <v>2.8682164839036E-2</v>
      </c>
      <c r="T649" s="79">
        <v>2.3055874560927999E-2</v>
      </c>
      <c r="U649" s="79">
        <v>0.213656964968512</v>
      </c>
      <c r="V649" s="79">
        <v>0.317988394925378</v>
      </c>
      <c r="W649" s="79">
        <v>1</v>
      </c>
    </row>
    <row r="650" spans="2:23" x14ac:dyDescent="0.2">
      <c r="B650" t="s">
        <v>134</v>
      </c>
      <c r="C650" s="84">
        <v>5021</v>
      </c>
      <c r="D650" s="102">
        <v>1.9001176616987699E-2</v>
      </c>
      <c r="E650" s="79">
        <v>8.0419988484858995E-3</v>
      </c>
      <c r="F650" s="79">
        <v>1.82502286105049E-2</v>
      </c>
      <c r="G650" s="79">
        <v>0.55550077810083998</v>
      </c>
      <c r="H650" s="79">
        <v>1</v>
      </c>
      <c r="I650" s="102">
        <v>2.3211446137083799E-2</v>
      </c>
      <c r="J650" s="79">
        <v>8.1495595002564203E-3</v>
      </c>
      <c r="K650" s="79">
        <v>4.4488557090188998E-3</v>
      </c>
      <c r="L650" s="79">
        <v>0.14219550134109499</v>
      </c>
      <c r="M650" s="79">
        <v>1</v>
      </c>
      <c r="N650" s="102">
        <v>8.1271354515363003E-3</v>
      </c>
      <c r="O650" s="79">
        <v>8.0734292164602005E-3</v>
      </c>
      <c r="P650" s="79">
        <v>0.31424253993807999</v>
      </c>
      <c r="Q650" s="79">
        <v>0.42861114178182103</v>
      </c>
      <c r="R650" s="79">
        <v>1</v>
      </c>
      <c r="S650" s="102">
        <v>8.8270849453262901E-3</v>
      </c>
      <c r="T650" s="79">
        <v>7.9103174660089103E-3</v>
      </c>
      <c r="U650" s="79">
        <v>0.26462179977668598</v>
      </c>
      <c r="V650" s="79">
        <v>0.37512077725665799</v>
      </c>
      <c r="W650" s="79">
        <v>1</v>
      </c>
    </row>
    <row r="651" spans="2:23" x14ac:dyDescent="0.2">
      <c r="B651" t="s">
        <v>1175</v>
      </c>
      <c r="C651" s="84">
        <v>5022</v>
      </c>
      <c r="D651" s="102">
        <v>-3.2816526433239401E-2</v>
      </c>
      <c r="E651" s="79">
        <v>2.40544191265522E-2</v>
      </c>
      <c r="F651" s="79">
        <v>0.17266090874826701</v>
      </c>
      <c r="G651" s="79">
        <v>0.81796927009920195</v>
      </c>
      <c r="H651" s="79">
        <v>1</v>
      </c>
      <c r="I651" s="102">
        <v>3.01292982317014E-2</v>
      </c>
      <c r="J651" s="79">
        <v>2.4356720201465398E-2</v>
      </c>
      <c r="K651" s="79">
        <v>0.21625240369533699</v>
      </c>
      <c r="L651" s="79">
        <v>0.65149810376204198</v>
      </c>
      <c r="M651" s="79">
        <v>1</v>
      </c>
      <c r="N651" s="102">
        <v>2.7317086994479902E-3</v>
      </c>
      <c r="O651" s="79">
        <v>2.4073187868723301E-2</v>
      </c>
      <c r="P651" s="79">
        <v>0.90966689002896395</v>
      </c>
      <c r="Q651" s="79">
        <v>0.94076661276499696</v>
      </c>
      <c r="R651" s="79">
        <v>1</v>
      </c>
      <c r="S651" s="102">
        <v>1.42594799784684E-2</v>
      </c>
      <c r="T651" s="79">
        <v>2.35819582895305E-2</v>
      </c>
      <c r="U651" s="79">
        <v>0.54547181879852902</v>
      </c>
      <c r="V651" s="79">
        <v>0.64572275404941204</v>
      </c>
      <c r="W651" s="79">
        <v>1</v>
      </c>
    </row>
    <row r="652" spans="2:23" x14ac:dyDescent="0.2">
      <c r="B652" t="s">
        <v>1176</v>
      </c>
      <c r="C652" s="84">
        <v>5022</v>
      </c>
      <c r="D652" s="102">
        <v>-2.0956308418446201E-2</v>
      </c>
      <c r="E652" s="79">
        <v>2.4568888694759702E-2</v>
      </c>
      <c r="F652" s="79">
        <v>0.39381621396955502</v>
      </c>
      <c r="G652" s="79">
        <v>0.89461055933914202</v>
      </c>
      <c r="H652" s="79">
        <v>1</v>
      </c>
      <c r="I652" s="102">
        <v>4.5374558993892103E-2</v>
      </c>
      <c r="J652" s="79">
        <v>2.5246597456583399E-2</v>
      </c>
      <c r="K652" s="79">
        <v>7.2494897158759494E-2</v>
      </c>
      <c r="L652" s="79">
        <v>0.45523555939255</v>
      </c>
      <c r="M652" s="79">
        <v>1</v>
      </c>
      <c r="N652" s="102">
        <v>-1.05369452344251E-2</v>
      </c>
      <c r="O652" s="79">
        <v>2.45657836816894E-2</v>
      </c>
      <c r="P652" s="79">
        <v>0.66803705275548997</v>
      </c>
      <c r="Q652" s="79">
        <v>0.76205708240255898</v>
      </c>
      <c r="R652" s="79">
        <v>1</v>
      </c>
      <c r="S652" s="102">
        <v>-2.3949259212628598E-3</v>
      </c>
      <c r="T652" s="79">
        <v>2.43465026778934E-2</v>
      </c>
      <c r="U652" s="79">
        <v>0.92165285069521596</v>
      </c>
      <c r="V652" s="79">
        <v>0.94565713451102096</v>
      </c>
      <c r="W652" s="79">
        <v>1</v>
      </c>
    </row>
    <row r="653" spans="2:23" x14ac:dyDescent="0.2">
      <c r="B653" t="s">
        <v>3383</v>
      </c>
      <c r="C653" s="84">
        <v>145</v>
      </c>
      <c r="D653" s="102">
        <v>-1.24316535598267E-2</v>
      </c>
      <c r="E653" s="79">
        <v>1.5349475219813001E-2</v>
      </c>
      <c r="F653" s="79">
        <v>0.41810459103680703</v>
      </c>
      <c r="G653" s="79">
        <v>0.89561567502544503</v>
      </c>
      <c r="H653" s="79">
        <v>1</v>
      </c>
      <c r="I653" s="102">
        <v>2.6935177562571098E-2</v>
      </c>
      <c r="J653" s="79">
        <v>1.55549331563781E-2</v>
      </c>
      <c r="K653" s="79">
        <v>8.3519814129292602E-2</v>
      </c>
      <c r="L653" s="79">
        <v>0.48619438190729097</v>
      </c>
      <c r="M653" s="79">
        <v>1</v>
      </c>
      <c r="N653" s="102">
        <v>-3.8967343468804001E-3</v>
      </c>
      <c r="O653" s="79">
        <v>1.53919519058223E-2</v>
      </c>
      <c r="P653" s="79">
        <v>0.80016919069875603</v>
      </c>
      <c r="Q653" s="79">
        <v>0.86336726690681098</v>
      </c>
      <c r="R653" s="79">
        <v>1</v>
      </c>
      <c r="S653" s="102">
        <v>7.2269312010255597E-3</v>
      </c>
      <c r="T653" s="79">
        <v>1.50791379224086E-2</v>
      </c>
      <c r="U653" s="79">
        <v>0.63180923501717601</v>
      </c>
      <c r="V653" s="79">
        <v>0.71020892111419798</v>
      </c>
      <c r="W653" s="79">
        <v>1</v>
      </c>
    </row>
    <row r="654" spans="2:23" x14ac:dyDescent="0.2">
      <c r="B654" t="s">
        <v>1177</v>
      </c>
      <c r="C654" s="84">
        <v>5022</v>
      </c>
      <c r="D654" s="102">
        <v>2.5371148770457499E-2</v>
      </c>
      <c r="E654" s="79">
        <v>1.9092633050067798E-2</v>
      </c>
      <c r="F654" s="79">
        <v>0.18407398688153301</v>
      </c>
      <c r="G654" s="79">
        <v>0.83003013605610498</v>
      </c>
      <c r="H654" s="79">
        <v>1</v>
      </c>
      <c r="I654" s="102">
        <v>3.2189998403213398E-2</v>
      </c>
      <c r="J654" s="79">
        <v>1.93551119244686E-2</v>
      </c>
      <c r="K654" s="79">
        <v>9.6467814751509007E-2</v>
      </c>
      <c r="L654" s="79">
        <v>0.51533423575627901</v>
      </c>
      <c r="M654" s="79">
        <v>1</v>
      </c>
      <c r="N654" s="102">
        <v>2.5888796811865101E-3</v>
      </c>
      <c r="O654" s="79">
        <v>1.91517135757736E-2</v>
      </c>
      <c r="P654" s="79">
        <v>0.89248727168696795</v>
      </c>
      <c r="Q654" s="79">
        <v>0.92648730085814202</v>
      </c>
      <c r="R654" s="79">
        <v>1</v>
      </c>
      <c r="S654" s="102">
        <v>1.53347495466848E-2</v>
      </c>
      <c r="T654" s="79">
        <v>1.8758671995023599E-2</v>
      </c>
      <c r="U654" s="79">
        <v>0.41376916413672699</v>
      </c>
      <c r="V654" s="79">
        <v>0.53060178958941395</v>
      </c>
      <c r="W654" s="79">
        <v>1</v>
      </c>
    </row>
    <row r="655" spans="2:23" x14ac:dyDescent="0.2">
      <c r="B655" t="s">
        <v>1230</v>
      </c>
      <c r="C655" s="84">
        <v>4729</v>
      </c>
      <c r="D655" s="102">
        <v>1.25191648117023E-2</v>
      </c>
      <c r="E655" s="79">
        <v>2.2188940392549199E-2</v>
      </c>
      <c r="F655" s="79">
        <v>0.57268593723469696</v>
      </c>
      <c r="G655" s="79">
        <v>0.93281728622651605</v>
      </c>
      <c r="H655" s="79">
        <v>1</v>
      </c>
      <c r="I655" s="102">
        <v>-2.8394398100253501E-2</v>
      </c>
      <c r="J655" s="79">
        <v>2.2465771022315902E-2</v>
      </c>
      <c r="K655" s="79">
        <v>0.20643708471030001</v>
      </c>
      <c r="L655" s="79">
        <v>0.64640373659750106</v>
      </c>
      <c r="M655" s="79">
        <v>1</v>
      </c>
      <c r="N655" s="102">
        <v>-5.1634518789314597E-2</v>
      </c>
      <c r="O655" s="79">
        <v>2.21874015946701E-2</v>
      </c>
      <c r="P655" s="79">
        <v>2.0069218026617801E-2</v>
      </c>
      <c r="Q655" s="79">
        <v>4.8706669537379003E-2</v>
      </c>
      <c r="R655" s="79">
        <v>1</v>
      </c>
      <c r="S655" s="102">
        <v>-3.90709457646497E-2</v>
      </c>
      <c r="T655" s="79">
        <v>2.1746035392213502E-2</v>
      </c>
      <c r="U655" s="79">
        <v>7.2558245870910407E-2</v>
      </c>
      <c r="V655" s="79">
        <v>0.13641916593265499</v>
      </c>
      <c r="W655" s="79">
        <v>1</v>
      </c>
    </row>
    <row r="656" spans="2:23" x14ac:dyDescent="0.2">
      <c r="B656" t="s">
        <v>130</v>
      </c>
      <c r="C656" s="84">
        <v>5022</v>
      </c>
      <c r="D656" s="102">
        <v>1.6729799363217099E-2</v>
      </c>
      <c r="E656" s="79">
        <v>8.4805847363516491E-3</v>
      </c>
      <c r="F656" s="79">
        <v>4.8686553411936603E-2</v>
      </c>
      <c r="G656" s="79">
        <v>0.69894085999847999</v>
      </c>
      <c r="H656" s="79">
        <v>1</v>
      </c>
      <c r="I656" s="102">
        <v>1.7597368031802299E-2</v>
      </c>
      <c r="J656" s="79">
        <v>8.5994998809542401E-3</v>
      </c>
      <c r="K656" s="79">
        <v>4.0875144249549501E-2</v>
      </c>
      <c r="L656" s="79">
        <v>0.37791856411061397</v>
      </c>
      <c r="M656" s="79">
        <v>1</v>
      </c>
      <c r="N656" s="102">
        <v>7.9857407807652995E-3</v>
      </c>
      <c r="O656" s="79">
        <v>8.5099061952317104E-3</v>
      </c>
      <c r="P656" s="79">
        <v>0.348167019217684</v>
      </c>
      <c r="Q656" s="79">
        <v>0.46483720739458501</v>
      </c>
      <c r="R656" s="79">
        <v>1</v>
      </c>
      <c r="S656" s="102">
        <v>8.4712611661774007E-3</v>
      </c>
      <c r="T656" s="79">
        <v>8.3381663445795499E-3</v>
      </c>
      <c r="U656" s="79">
        <v>0.309789313415678</v>
      </c>
      <c r="V656" s="79">
        <v>0.42526993267922097</v>
      </c>
      <c r="W656" s="79">
        <v>1</v>
      </c>
    </row>
    <row r="657" spans="2:23" x14ac:dyDescent="0.2">
      <c r="B657" t="s">
        <v>131</v>
      </c>
      <c r="C657" s="84">
        <v>5022</v>
      </c>
      <c r="D657" s="102">
        <v>9.14671792904952E-3</v>
      </c>
      <c r="E657" s="79">
        <v>6.17429629823661E-3</v>
      </c>
      <c r="F657" s="79">
        <v>0.13867693244059001</v>
      </c>
      <c r="G657" s="79">
        <v>0.80938271582532695</v>
      </c>
      <c r="H657" s="79">
        <v>1</v>
      </c>
      <c r="I657" s="102">
        <v>1.1886535075909E-2</v>
      </c>
      <c r="J657" s="79">
        <v>6.2588525262776999E-3</v>
      </c>
      <c r="K657" s="79">
        <v>5.7710030230448801E-2</v>
      </c>
      <c r="L657" s="79">
        <v>0.42179912679238901</v>
      </c>
      <c r="M657" s="79">
        <v>1</v>
      </c>
      <c r="N657" s="102">
        <v>6.9541963641253099E-3</v>
      </c>
      <c r="O657" s="79">
        <v>6.1919356443953799E-3</v>
      </c>
      <c r="P657" s="79">
        <v>0.26154838387725299</v>
      </c>
      <c r="Q657" s="79">
        <v>0.37452490472364097</v>
      </c>
      <c r="R657" s="79">
        <v>1</v>
      </c>
      <c r="S657" s="102">
        <v>1.10980171145562E-2</v>
      </c>
      <c r="T657" s="79">
        <v>6.0636246443290399E-3</v>
      </c>
      <c r="U657" s="79">
        <v>6.7382648613810894E-2</v>
      </c>
      <c r="V657" s="79">
        <v>0.12842304936195301</v>
      </c>
      <c r="W657" s="79">
        <v>1</v>
      </c>
    </row>
    <row r="658" spans="2:23" x14ac:dyDescent="0.2">
      <c r="B658" t="s">
        <v>160</v>
      </c>
      <c r="C658" s="84">
        <v>5022</v>
      </c>
      <c r="D658" s="102">
        <v>-1.8024289286204399E-2</v>
      </c>
      <c r="E658" s="79">
        <v>2.4447839500241701E-2</v>
      </c>
      <c r="F658" s="79">
        <v>0.46106591997260399</v>
      </c>
      <c r="G658" s="79">
        <v>0.91151047511105199</v>
      </c>
      <c r="H658" s="79">
        <v>1</v>
      </c>
      <c r="I658" s="102">
        <v>-2.1971808225495101E-2</v>
      </c>
      <c r="J658" s="79">
        <v>2.4753731594974699E-2</v>
      </c>
      <c r="K658" s="79">
        <v>0.374868912151815</v>
      </c>
      <c r="L658" s="79">
        <v>0.75612407354447997</v>
      </c>
      <c r="M658" s="79">
        <v>1</v>
      </c>
      <c r="N658" s="102">
        <v>6.64738538098281E-3</v>
      </c>
      <c r="O658" s="79">
        <v>2.4447734327446399E-2</v>
      </c>
      <c r="P658" s="79">
        <v>0.78572941539271501</v>
      </c>
      <c r="Q658" s="79">
        <v>0.85529803475449395</v>
      </c>
      <c r="R658" s="79">
        <v>1</v>
      </c>
      <c r="S658" s="102">
        <v>2.1684539692686199E-2</v>
      </c>
      <c r="T658" s="79">
        <v>2.3988705015413399E-2</v>
      </c>
      <c r="U658" s="79">
        <v>0.36614725951089799</v>
      </c>
      <c r="V658" s="79">
        <v>0.48381704961892502</v>
      </c>
      <c r="W658" s="79">
        <v>1</v>
      </c>
    </row>
    <row r="659" spans="2:23" x14ac:dyDescent="0.2">
      <c r="B659" t="s">
        <v>161</v>
      </c>
      <c r="C659" s="84">
        <v>240</v>
      </c>
      <c r="D659" s="102">
        <v>-2.7669206662362899E-2</v>
      </c>
      <c r="E659" s="79">
        <v>1.4564255059210799E-2</v>
      </c>
      <c r="F659" s="79">
        <v>5.7624937729005198E-2</v>
      </c>
      <c r="G659" s="79">
        <v>0.71323882218720602</v>
      </c>
      <c r="H659" s="79">
        <v>1</v>
      </c>
      <c r="I659" s="102">
        <v>-2.7211989594488801E-2</v>
      </c>
      <c r="J659" s="79">
        <v>1.4769799503822701E-2</v>
      </c>
      <c r="K659" s="79">
        <v>6.5586299012551502E-2</v>
      </c>
      <c r="L659" s="79">
        <v>0.43517978594622803</v>
      </c>
      <c r="M659" s="79">
        <v>1</v>
      </c>
      <c r="N659" s="102">
        <v>-3.5034238114592803E-2</v>
      </c>
      <c r="O659" s="79">
        <v>1.45925722118044E-2</v>
      </c>
      <c r="P659" s="79">
        <v>1.6462922335552702E-2</v>
      </c>
      <c r="Q659" s="79">
        <v>4.1624164830486997E-2</v>
      </c>
      <c r="R659" s="79">
        <v>1</v>
      </c>
      <c r="S659" s="102">
        <v>-8.4790244876939407E-3</v>
      </c>
      <c r="T659" s="79">
        <v>1.43198760127348E-2</v>
      </c>
      <c r="U659" s="79">
        <v>0.55385028635127098</v>
      </c>
      <c r="V659" s="79">
        <v>0.65154332297156503</v>
      </c>
      <c r="W659" s="79">
        <v>1</v>
      </c>
    </row>
    <row r="660" spans="2:23" x14ac:dyDescent="0.2">
      <c r="B660" t="s">
        <v>156</v>
      </c>
      <c r="C660" s="84">
        <v>5022</v>
      </c>
      <c r="D660" s="102">
        <v>-8.7469402426460195E-3</v>
      </c>
      <c r="E660" s="79">
        <v>2.30643927074013E-2</v>
      </c>
      <c r="F660" s="79">
        <v>0.70455600084203596</v>
      </c>
      <c r="G660" s="79">
        <v>0.97112926397592303</v>
      </c>
      <c r="H660" s="79">
        <v>1</v>
      </c>
      <c r="I660" s="102">
        <v>-4.2847782604380604E-3</v>
      </c>
      <c r="J660" s="79">
        <v>2.33807828534019E-2</v>
      </c>
      <c r="K660" s="79">
        <v>0.85461483750533995</v>
      </c>
      <c r="L660" s="79">
        <v>0.96184556338691496</v>
      </c>
      <c r="M660" s="79">
        <v>1</v>
      </c>
      <c r="N660" s="102">
        <v>3.6783627347220398E-2</v>
      </c>
      <c r="O660" s="79">
        <v>2.3106930149985199E-2</v>
      </c>
      <c r="P660" s="79">
        <v>0.111591912157643</v>
      </c>
      <c r="Q660" s="79">
        <v>0.19017776578978601</v>
      </c>
      <c r="R660" s="79">
        <v>1</v>
      </c>
      <c r="S660" s="102">
        <v>-1.1870833900671901E-2</v>
      </c>
      <c r="T660" s="79">
        <v>2.2646346447044802E-2</v>
      </c>
      <c r="U660" s="79">
        <v>0.60021797720137304</v>
      </c>
      <c r="V660" s="79">
        <v>0.68817446201599597</v>
      </c>
      <c r="W660" s="79">
        <v>1</v>
      </c>
    </row>
    <row r="661" spans="2:23" x14ac:dyDescent="0.2">
      <c r="B661" t="s">
        <v>159</v>
      </c>
      <c r="C661" s="84">
        <v>5022</v>
      </c>
      <c r="D661" s="102">
        <v>1.3125034186382599E-2</v>
      </c>
      <c r="E661" s="79">
        <v>2.38236390889922E-2</v>
      </c>
      <c r="F661" s="79">
        <v>0.58175594735646496</v>
      </c>
      <c r="G661" s="79">
        <v>0.93785493309554202</v>
      </c>
      <c r="H661" s="79">
        <v>1</v>
      </c>
      <c r="I661" s="102">
        <v>-1.1193821450925E-2</v>
      </c>
      <c r="J661" s="79">
        <v>2.4145303404096399E-2</v>
      </c>
      <c r="K661" s="79">
        <v>0.642990501243207</v>
      </c>
      <c r="L661" s="79">
        <v>0.88295581341012397</v>
      </c>
      <c r="M661" s="79">
        <v>1</v>
      </c>
      <c r="N661" s="102">
        <v>-2.97755852816558E-2</v>
      </c>
      <c r="O661" s="79">
        <v>2.38739254667358E-2</v>
      </c>
      <c r="P661" s="79">
        <v>0.21249155977074899</v>
      </c>
      <c r="Q661" s="79">
        <v>0.31714599317325898</v>
      </c>
      <c r="R661" s="79">
        <v>1</v>
      </c>
      <c r="S661" s="102">
        <v>-3.0168550224469199E-2</v>
      </c>
      <c r="T661" s="79">
        <v>2.33829703577264E-2</v>
      </c>
      <c r="U661" s="79">
        <v>0.19715498964740699</v>
      </c>
      <c r="V661" s="79">
        <v>0.29740904371231203</v>
      </c>
      <c r="W661" s="79">
        <v>1</v>
      </c>
    </row>
    <row r="662" spans="2:23" x14ac:dyDescent="0.2">
      <c r="B662" t="s">
        <v>1216</v>
      </c>
      <c r="C662" s="84">
        <v>4740</v>
      </c>
      <c r="D662" s="102">
        <v>-1.0960793449314899E-2</v>
      </c>
      <c r="E662" s="79">
        <v>2.1844687580617299E-2</v>
      </c>
      <c r="F662" s="79">
        <v>0.61589990873796796</v>
      </c>
      <c r="G662" s="79">
        <v>0.951216817242591</v>
      </c>
      <c r="H662" s="79">
        <v>1</v>
      </c>
      <c r="I662" s="102">
        <v>-1.40805226774045E-2</v>
      </c>
      <c r="J662" s="79">
        <v>2.2146996975269E-2</v>
      </c>
      <c r="K662" s="79">
        <v>0.52500638754361095</v>
      </c>
      <c r="L662" s="79">
        <v>0.83741543994435796</v>
      </c>
      <c r="M662" s="79">
        <v>1</v>
      </c>
      <c r="N662" s="102">
        <v>-5.70587976401765E-3</v>
      </c>
      <c r="O662" s="79">
        <v>2.19020795361487E-2</v>
      </c>
      <c r="P662" s="79">
        <v>0.79449535567972895</v>
      </c>
      <c r="Q662" s="79">
        <v>0.85943495052455998</v>
      </c>
      <c r="R662" s="79">
        <v>1</v>
      </c>
      <c r="S662" s="102">
        <v>1.0569683331234399E-2</v>
      </c>
      <c r="T662" s="79">
        <v>2.14514212803847E-2</v>
      </c>
      <c r="U662" s="79">
        <v>0.62226816138483598</v>
      </c>
      <c r="V662" s="79">
        <v>0.70321698824944101</v>
      </c>
      <c r="W662" s="79">
        <v>1</v>
      </c>
    </row>
    <row r="663" spans="2:23" x14ac:dyDescent="0.2">
      <c r="B663" t="s">
        <v>1215</v>
      </c>
      <c r="C663" s="84">
        <v>4740</v>
      </c>
      <c r="D663" s="102">
        <v>2.01464882344192E-2</v>
      </c>
      <c r="E663" s="79">
        <v>2.22280131435393E-2</v>
      </c>
      <c r="F663" s="79">
        <v>0.36487339855958301</v>
      </c>
      <c r="G663" s="79">
        <v>0.89461055933914202</v>
      </c>
      <c r="H663" s="79">
        <v>1</v>
      </c>
      <c r="I663" s="102">
        <v>1.42883242216802E-2</v>
      </c>
      <c r="J663" s="79">
        <v>2.25388572255255E-2</v>
      </c>
      <c r="K663" s="79">
        <v>0.52620226203342002</v>
      </c>
      <c r="L663" s="79">
        <v>0.83741543994435796</v>
      </c>
      <c r="M663" s="79">
        <v>1</v>
      </c>
      <c r="N663" s="102">
        <v>2.9531205947103401E-2</v>
      </c>
      <c r="O663" s="79">
        <v>2.2280550610836301E-2</v>
      </c>
      <c r="P663" s="79">
        <v>0.185204557305509</v>
      </c>
      <c r="Q663" s="79">
        <v>0.28262317788115099</v>
      </c>
      <c r="R663" s="79">
        <v>1</v>
      </c>
      <c r="S663" s="102">
        <v>1.08582907384219E-2</v>
      </c>
      <c r="T663" s="79">
        <v>2.18316940159573E-2</v>
      </c>
      <c r="U663" s="79">
        <v>0.618995612599338</v>
      </c>
      <c r="V663" s="79">
        <v>0.70177992348704599</v>
      </c>
      <c r="W663" s="79">
        <v>1</v>
      </c>
    </row>
    <row r="664" spans="2:23" x14ac:dyDescent="0.2">
      <c r="B664" t="s">
        <v>1213</v>
      </c>
      <c r="C664" s="84">
        <v>4740</v>
      </c>
      <c r="D664" s="102">
        <v>-1.27974478743468E-2</v>
      </c>
      <c r="E664" s="79">
        <v>2.17169701084821E-2</v>
      </c>
      <c r="F664" s="79">
        <v>0.55574798538431402</v>
      </c>
      <c r="G664" s="79">
        <v>0.93167796111031398</v>
      </c>
      <c r="H664" s="79">
        <v>1</v>
      </c>
      <c r="I664" s="102">
        <v>4.0729951370654599E-3</v>
      </c>
      <c r="J664" s="79">
        <v>2.2021030124437801E-2</v>
      </c>
      <c r="K664" s="79">
        <v>0.85328253841817603</v>
      </c>
      <c r="L664" s="79">
        <v>0.96184556338691496</v>
      </c>
      <c r="M664" s="79">
        <v>1</v>
      </c>
      <c r="N664" s="102">
        <v>7.0336085635985396E-2</v>
      </c>
      <c r="O664" s="79">
        <v>2.17098247754519E-2</v>
      </c>
      <c r="P664" s="79">
        <v>1.2186601376563801E-3</v>
      </c>
      <c r="Q664" s="79">
        <v>5.14815529473793E-3</v>
      </c>
      <c r="R664" s="79">
        <v>1</v>
      </c>
      <c r="S664" s="102">
        <v>4.7291398581707E-2</v>
      </c>
      <c r="T664" s="79">
        <v>2.1299203397426698E-2</v>
      </c>
      <c r="U664" s="79">
        <v>2.6524659848813002E-2</v>
      </c>
      <c r="V664" s="79">
        <v>6.2580464880068604E-2</v>
      </c>
      <c r="W664" s="79">
        <v>1</v>
      </c>
    </row>
    <row r="665" spans="2:23" x14ac:dyDescent="0.2">
      <c r="B665" t="s">
        <v>1223</v>
      </c>
      <c r="C665" s="84">
        <v>5048</v>
      </c>
      <c r="D665" s="102">
        <v>1.07484953947908E-4</v>
      </c>
      <c r="E665" s="79">
        <v>2.29729543048059E-2</v>
      </c>
      <c r="F665" s="79">
        <v>0.99626744036738901</v>
      </c>
      <c r="G665" s="79">
        <v>0.99962502278478604</v>
      </c>
      <c r="H665" s="79">
        <v>1</v>
      </c>
      <c r="I665" s="102">
        <v>-8.5410478984387292E-3</v>
      </c>
      <c r="J665" s="79">
        <v>2.3289201114279501E-2</v>
      </c>
      <c r="K665" s="79">
        <v>0.713858698689529</v>
      </c>
      <c r="L665" s="79">
        <v>0.91266161175853699</v>
      </c>
      <c r="M665" s="79">
        <v>1</v>
      </c>
      <c r="N665" s="102">
        <v>3.0349048861803601E-2</v>
      </c>
      <c r="O665" s="79">
        <v>2.3020137752807101E-2</v>
      </c>
      <c r="P665" s="79">
        <v>0.187553854244777</v>
      </c>
      <c r="Q665" s="79">
        <v>0.28545932532852902</v>
      </c>
      <c r="R665" s="79">
        <v>1</v>
      </c>
      <c r="S665" s="102">
        <v>-6.0019221020746203E-3</v>
      </c>
      <c r="T665" s="79">
        <v>2.2558082240567202E-2</v>
      </c>
      <c r="U665" s="79">
        <v>0.79022052483787797</v>
      </c>
      <c r="V665" s="79">
        <v>0.84213067583186396</v>
      </c>
      <c r="W665" s="79">
        <v>1</v>
      </c>
    </row>
    <row r="666" spans="2:23" x14ac:dyDescent="0.2">
      <c r="B666" t="s">
        <v>1217</v>
      </c>
      <c r="C666" s="84">
        <v>4740</v>
      </c>
      <c r="D666" s="102">
        <v>1.0651581330819899E-2</v>
      </c>
      <c r="E666" s="79">
        <v>2.26569850138818E-2</v>
      </c>
      <c r="F666" s="79">
        <v>0.63832589455933497</v>
      </c>
      <c r="G666" s="79">
        <v>0.95767440062337605</v>
      </c>
      <c r="H666" s="79">
        <v>1</v>
      </c>
      <c r="I666" s="102">
        <v>9.0577450159703091E-3</v>
      </c>
      <c r="J666" s="79">
        <v>2.2972179914514401E-2</v>
      </c>
      <c r="K666" s="79">
        <v>0.69341396896089602</v>
      </c>
      <c r="L666" s="79">
        <v>0.90080004863478402</v>
      </c>
      <c r="M666" s="79">
        <v>1</v>
      </c>
      <c r="N666" s="102">
        <v>5.8937147555044603E-2</v>
      </c>
      <c r="O666" s="79">
        <v>2.2674382851910601E-2</v>
      </c>
      <c r="P666" s="79">
        <v>9.4210970626464399E-3</v>
      </c>
      <c r="Q666" s="79">
        <v>2.65546396408038E-2</v>
      </c>
      <c r="R666" s="79">
        <v>1</v>
      </c>
      <c r="S666" s="102">
        <v>3.16584987353382E-2</v>
      </c>
      <c r="T666" s="79">
        <v>2.2238447654483701E-2</v>
      </c>
      <c r="U666" s="79">
        <v>0.15474409683793799</v>
      </c>
      <c r="V666" s="79">
        <v>0.249653809565207</v>
      </c>
      <c r="W666" s="79">
        <v>1</v>
      </c>
    </row>
    <row r="667" spans="2:23" x14ac:dyDescent="0.2">
      <c r="B667" t="s">
        <v>1212</v>
      </c>
      <c r="C667" s="84">
        <v>4740</v>
      </c>
      <c r="D667" s="102">
        <v>-1.32120292152355E-2</v>
      </c>
      <c r="E667" s="79">
        <v>2.20781324257532E-2</v>
      </c>
      <c r="F667" s="79">
        <v>0.54963683245128803</v>
      </c>
      <c r="G667" s="79">
        <v>0.929472460128418</v>
      </c>
      <c r="H667" s="79">
        <v>1</v>
      </c>
      <c r="I667" s="102">
        <v>7.1415308389644501E-3</v>
      </c>
      <c r="J667" s="79">
        <v>2.2387169839757599E-2</v>
      </c>
      <c r="K667" s="79">
        <v>0.74976408460515198</v>
      </c>
      <c r="L667" s="79">
        <v>0.92102999225607496</v>
      </c>
      <c r="M667" s="79">
        <v>1</v>
      </c>
      <c r="N667" s="102">
        <v>3.4416308435743399E-2</v>
      </c>
      <c r="O667" s="79">
        <v>2.21227025881209E-2</v>
      </c>
      <c r="P667" s="79">
        <v>0.11996159132268699</v>
      </c>
      <c r="Q667" s="79">
        <v>0.201003892878963</v>
      </c>
      <c r="R667" s="79">
        <v>1</v>
      </c>
      <c r="S667" s="102">
        <v>3.1358771558795698E-2</v>
      </c>
      <c r="T667" s="79">
        <v>2.16707838437975E-2</v>
      </c>
      <c r="U667" s="79">
        <v>0.148062627376983</v>
      </c>
      <c r="V667" s="79">
        <v>0.24186893999673001</v>
      </c>
      <c r="W667" s="79">
        <v>1</v>
      </c>
    </row>
    <row r="668" spans="2:23" x14ac:dyDescent="0.2">
      <c r="B668" t="s">
        <v>1220</v>
      </c>
      <c r="C668" s="84">
        <v>4740</v>
      </c>
      <c r="D668" s="102">
        <v>-8.1095687412709797E-3</v>
      </c>
      <c r="E668" s="79">
        <v>2.2341588669600398E-2</v>
      </c>
      <c r="F668" s="79">
        <v>0.71666347250122697</v>
      </c>
      <c r="G668" s="79">
        <v>0.97160036230239</v>
      </c>
      <c r="H668" s="79">
        <v>1</v>
      </c>
      <c r="I668" s="102">
        <v>1.0758860763369099E-2</v>
      </c>
      <c r="J668" s="79">
        <v>2.2652466363821799E-2</v>
      </c>
      <c r="K668" s="79">
        <v>0.63488017338607505</v>
      </c>
      <c r="L668" s="79">
        <v>0.87794858262531505</v>
      </c>
      <c r="M668" s="79">
        <v>1</v>
      </c>
      <c r="N668" s="102">
        <v>-2.44302313199149E-2</v>
      </c>
      <c r="O668" s="79">
        <v>2.2392445454943798E-2</v>
      </c>
      <c r="P668" s="79">
        <v>0.27542313645977501</v>
      </c>
      <c r="Q668" s="79">
        <v>0.38814028691803598</v>
      </c>
      <c r="R668" s="79">
        <v>1</v>
      </c>
      <c r="S668" s="102">
        <v>-1.5366788698582101E-3</v>
      </c>
      <c r="T668" s="79">
        <v>2.1941393794191501E-2</v>
      </c>
      <c r="U668" s="79">
        <v>0.94417339446835602</v>
      </c>
      <c r="V668" s="79">
        <v>0.96119575133978097</v>
      </c>
      <c r="W668" s="79">
        <v>1</v>
      </c>
    </row>
    <row r="669" spans="2:23" x14ac:dyDescent="0.2">
      <c r="B669" t="s">
        <v>1225</v>
      </c>
      <c r="C669" s="84">
        <v>5048</v>
      </c>
      <c r="D669" s="102">
        <v>-1.16890676558477E-3</v>
      </c>
      <c r="E669" s="79">
        <v>2.34722363234991E-2</v>
      </c>
      <c r="F669" s="79">
        <v>0.96028784844050696</v>
      </c>
      <c r="G669" s="79">
        <v>0.99840985319461195</v>
      </c>
      <c r="H669" s="79">
        <v>1</v>
      </c>
      <c r="I669" s="102">
        <v>1.68660591942217E-2</v>
      </c>
      <c r="J669" s="79">
        <v>2.3789206589472599E-2</v>
      </c>
      <c r="K669" s="79">
        <v>0.478432163819209</v>
      </c>
      <c r="L669" s="79">
        <v>0.80783235637134798</v>
      </c>
      <c r="M669" s="79">
        <v>1</v>
      </c>
      <c r="N669" s="102">
        <v>4.4693157138118403E-2</v>
      </c>
      <c r="O669" s="79">
        <v>2.3507711943935399E-2</v>
      </c>
      <c r="P669" s="79">
        <v>5.74393623400902E-2</v>
      </c>
      <c r="Q669" s="79">
        <v>0.113538249479712</v>
      </c>
      <c r="R669" s="79">
        <v>1</v>
      </c>
      <c r="S669" s="102">
        <v>4.5877245600692299E-2</v>
      </c>
      <c r="T669" s="79">
        <v>2.3020992067709599E-2</v>
      </c>
      <c r="U669" s="79">
        <v>4.64346003076287E-2</v>
      </c>
      <c r="V669" s="79">
        <v>9.6279330380811504E-2</v>
      </c>
      <c r="W669" s="79">
        <v>1</v>
      </c>
    </row>
    <row r="670" spans="2:23" x14ac:dyDescent="0.2">
      <c r="B670" t="s">
        <v>1221</v>
      </c>
      <c r="C670" s="84">
        <v>4740</v>
      </c>
      <c r="D670" s="102">
        <v>1.14282055961204E-2</v>
      </c>
      <c r="E670" s="79">
        <v>2.3891085407888601E-2</v>
      </c>
      <c r="F670" s="79">
        <v>0.63246409134197101</v>
      </c>
      <c r="G670" s="79">
        <v>0.957654348434272</v>
      </c>
      <c r="H670" s="79">
        <v>1</v>
      </c>
      <c r="I670" s="102">
        <v>-1.29789731010989E-2</v>
      </c>
      <c r="J670" s="79">
        <v>2.42119705435863E-2</v>
      </c>
      <c r="K670" s="79">
        <v>0.591988257489383</v>
      </c>
      <c r="L670" s="79">
        <v>0.86712758935434098</v>
      </c>
      <c r="M670" s="79">
        <v>1</v>
      </c>
      <c r="N670" s="102">
        <v>1.3100551042973901E-2</v>
      </c>
      <c r="O670" s="79">
        <v>2.3949438864659001E-2</v>
      </c>
      <c r="P670" s="79">
        <v>0.58444292570927703</v>
      </c>
      <c r="Q670" s="79">
        <v>0.68992774644704902</v>
      </c>
      <c r="R670" s="79">
        <v>1</v>
      </c>
      <c r="S670" s="102">
        <v>1.11895950796935E-2</v>
      </c>
      <c r="T670" s="79">
        <v>2.3457458253557901E-2</v>
      </c>
      <c r="U670" s="79">
        <v>0.63341029924868397</v>
      </c>
      <c r="V670" s="79">
        <v>0.71153650326742102</v>
      </c>
      <c r="W670" s="79">
        <v>1</v>
      </c>
    </row>
    <row r="671" spans="2:23" x14ac:dyDescent="0.2">
      <c r="B671" t="s">
        <v>1214</v>
      </c>
      <c r="C671" s="84">
        <v>4740</v>
      </c>
      <c r="D671" s="102">
        <v>-1.3740511392720501E-2</v>
      </c>
      <c r="E671" s="79">
        <v>2.35607516830664E-2</v>
      </c>
      <c r="F671" s="79">
        <v>0.55983772642008001</v>
      </c>
      <c r="G671" s="79">
        <v>0.93167796111031398</v>
      </c>
      <c r="H671" s="79">
        <v>1</v>
      </c>
      <c r="I671" s="102">
        <v>5.6210635027261196E-4</v>
      </c>
      <c r="J671" s="79">
        <v>2.3883025325690799E-2</v>
      </c>
      <c r="K671" s="79">
        <v>0.98122557116124198</v>
      </c>
      <c r="L671" s="79">
        <v>0.99629532610271199</v>
      </c>
      <c r="M671" s="79">
        <v>1</v>
      </c>
      <c r="N671" s="102">
        <v>5.0590973191644302E-2</v>
      </c>
      <c r="O671" s="79">
        <v>2.3592101016985601E-2</v>
      </c>
      <c r="P671" s="79">
        <v>3.2138844634159197E-2</v>
      </c>
      <c r="Q671" s="79">
        <v>7.0936621981243703E-2</v>
      </c>
      <c r="R671" s="79">
        <v>1</v>
      </c>
      <c r="S671" s="102">
        <v>5.2138407376857598E-2</v>
      </c>
      <c r="T671" s="79">
        <v>2.3103092552144301E-2</v>
      </c>
      <c r="U671" s="79">
        <v>2.41460300658701E-2</v>
      </c>
      <c r="V671" s="79">
        <v>5.7529359960033701E-2</v>
      </c>
      <c r="W671" s="79">
        <v>1</v>
      </c>
    </row>
    <row r="672" spans="2:23" x14ac:dyDescent="0.2">
      <c r="B672" t="s">
        <v>1219</v>
      </c>
      <c r="C672" s="84">
        <v>4740</v>
      </c>
      <c r="D672" s="102">
        <v>-1.51019959327547E-2</v>
      </c>
      <c r="E672" s="79">
        <v>2.0680965791512601E-2</v>
      </c>
      <c r="F672" s="79">
        <v>0.465344405176077</v>
      </c>
      <c r="G672" s="79">
        <v>0.91151047511105199</v>
      </c>
      <c r="H672" s="79">
        <v>1</v>
      </c>
      <c r="I672" s="102">
        <v>7.7466152783404801E-3</v>
      </c>
      <c r="J672" s="79">
        <v>2.0973304611840899E-2</v>
      </c>
      <c r="K672" s="79">
        <v>0.71190754955260305</v>
      </c>
      <c r="L672" s="79">
        <v>0.91151343546303598</v>
      </c>
      <c r="M672" s="79">
        <v>1</v>
      </c>
      <c r="N672" s="102">
        <v>-6.8111254674688999E-3</v>
      </c>
      <c r="O672" s="79">
        <v>2.0736758502177401E-2</v>
      </c>
      <c r="P672" s="79">
        <v>0.74260615165776001</v>
      </c>
      <c r="Q672" s="79">
        <v>0.82652747760068701</v>
      </c>
      <c r="R672" s="79">
        <v>1</v>
      </c>
      <c r="S672" s="102">
        <v>8.7905378991776605E-3</v>
      </c>
      <c r="T672" s="79">
        <v>2.0313809341051099E-2</v>
      </c>
      <c r="U672" s="79">
        <v>0.66525965936286202</v>
      </c>
      <c r="V672" s="79">
        <v>0.73560696015710703</v>
      </c>
      <c r="W672" s="79">
        <v>1</v>
      </c>
    </row>
    <row r="673" spans="2:23" x14ac:dyDescent="0.2">
      <c r="B673" t="s">
        <v>1222</v>
      </c>
      <c r="C673" s="84">
        <v>5025</v>
      </c>
      <c r="D673" s="102">
        <v>1.5812259554533799E-2</v>
      </c>
      <c r="E673" s="79">
        <v>2.2136138834660299E-2</v>
      </c>
      <c r="F673" s="79">
        <v>0.47512618035599702</v>
      </c>
      <c r="G673" s="79">
        <v>0.91151047511105199</v>
      </c>
      <c r="H673" s="79">
        <v>1</v>
      </c>
      <c r="I673" s="102">
        <v>3.7677923175475699E-2</v>
      </c>
      <c r="J673" s="79">
        <v>2.2429141001975399E-2</v>
      </c>
      <c r="K673" s="79">
        <v>9.3163549929573194E-2</v>
      </c>
      <c r="L673" s="79">
        <v>0.50770680259811196</v>
      </c>
      <c r="M673" s="79">
        <v>1</v>
      </c>
      <c r="N673" s="102">
        <v>6.0005813846297296E-3</v>
      </c>
      <c r="O673" s="79">
        <v>2.2196166567393701E-2</v>
      </c>
      <c r="P673" s="79">
        <v>0.78692843085970898</v>
      </c>
      <c r="Q673" s="79">
        <v>0.85529803475449395</v>
      </c>
      <c r="R673" s="79">
        <v>1</v>
      </c>
      <c r="S673" s="102">
        <v>5.6751138152317998E-2</v>
      </c>
      <c r="T673" s="79">
        <v>2.1698771666549099E-2</v>
      </c>
      <c r="U673" s="79">
        <v>8.98930118879478E-3</v>
      </c>
      <c r="V673" s="79">
        <v>2.61198562844226E-2</v>
      </c>
      <c r="W673" s="79">
        <v>1</v>
      </c>
    </row>
    <row r="674" spans="2:23" x14ac:dyDescent="0.2">
      <c r="B674" t="s">
        <v>1211</v>
      </c>
      <c r="C674" s="84">
        <v>4740</v>
      </c>
      <c r="D674" s="102">
        <v>6.4054805888255004E-3</v>
      </c>
      <c r="E674" s="79">
        <v>2.33379793890897E-2</v>
      </c>
      <c r="F674" s="79">
        <v>0.78375921642521296</v>
      </c>
      <c r="G674" s="79">
        <v>0.988344463507694</v>
      </c>
      <c r="H674" s="79">
        <v>1</v>
      </c>
      <c r="I674" s="102">
        <v>1.9087658207795798E-2</v>
      </c>
      <c r="J674" s="79">
        <v>2.36544563772975E-2</v>
      </c>
      <c r="K674" s="79">
        <v>0.41981309117381099</v>
      </c>
      <c r="L674" s="79">
        <v>0.77720045244242597</v>
      </c>
      <c r="M674" s="79">
        <v>1</v>
      </c>
      <c r="N674" s="102">
        <v>3.6346489030952597E-2</v>
      </c>
      <c r="O674" s="79">
        <v>2.3382659970947399E-2</v>
      </c>
      <c r="P674" s="79">
        <v>0.12026627830976799</v>
      </c>
      <c r="Q674" s="79">
        <v>0.20100877569727199</v>
      </c>
      <c r="R674" s="79">
        <v>1</v>
      </c>
      <c r="S674" s="102">
        <v>3.0004310135226898E-2</v>
      </c>
      <c r="T674" s="79">
        <v>2.29056931464117E-2</v>
      </c>
      <c r="U674" s="79">
        <v>0.19040072312069001</v>
      </c>
      <c r="V674" s="79">
        <v>0.29073209300411701</v>
      </c>
      <c r="W674" s="79">
        <v>1</v>
      </c>
    </row>
    <row r="675" spans="2:23" x14ac:dyDescent="0.2">
      <c r="B675" t="s">
        <v>1218</v>
      </c>
      <c r="C675" s="84">
        <v>4740</v>
      </c>
      <c r="D675" s="102">
        <v>-1.43654250871564E-2</v>
      </c>
      <c r="E675" s="79">
        <v>2.39055447672194E-2</v>
      </c>
      <c r="F675" s="79">
        <v>0.547968635057134</v>
      </c>
      <c r="G675" s="79">
        <v>0.929472460128418</v>
      </c>
      <c r="H675" s="79">
        <v>1</v>
      </c>
      <c r="I675" s="102">
        <v>-3.2696783921189403E-2</v>
      </c>
      <c r="J675" s="79">
        <v>2.4215243218757499E-2</v>
      </c>
      <c r="K675" s="79">
        <v>0.177109073694386</v>
      </c>
      <c r="L675" s="79">
        <v>0.61396896490869202</v>
      </c>
      <c r="M675" s="79">
        <v>1</v>
      </c>
      <c r="N675" s="102">
        <v>6.2998594916018294E-2</v>
      </c>
      <c r="O675" s="79">
        <v>2.3919936777792101E-2</v>
      </c>
      <c r="P675" s="79">
        <v>8.5201291191341899E-3</v>
      </c>
      <c r="Q675" s="79">
        <v>2.4629861310261601E-2</v>
      </c>
      <c r="R675" s="79">
        <v>1</v>
      </c>
      <c r="S675" s="102">
        <v>5.0644194398848E-2</v>
      </c>
      <c r="T675" s="79">
        <v>2.34431119896839E-2</v>
      </c>
      <c r="U675" s="79">
        <v>3.0885502970835199E-2</v>
      </c>
      <c r="V675" s="79">
        <v>7.0798433061698002E-2</v>
      </c>
      <c r="W675" s="79">
        <v>1</v>
      </c>
    </row>
    <row r="676" spans="2:23" x14ac:dyDescent="0.2">
      <c r="B676" t="s">
        <v>1226</v>
      </c>
      <c r="C676" s="84">
        <v>3497</v>
      </c>
      <c r="D676" s="102">
        <v>-1.05292782435273E-2</v>
      </c>
      <c r="E676" s="79">
        <v>2.2870087004707801E-2</v>
      </c>
      <c r="F676" s="79">
        <v>0.64529023731567603</v>
      </c>
      <c r="G676" s="79">
        <v>0.95767440062337605</v>
      </c>
      <c r="H676" s="79">
        <v>1</v>
      </c>
      <c r="I676" s="102">
        <v>9.4926526936317795E-3</v>
      </c>
      <c r="J676" s="79">
        <v>2.31862385929224E-2</v>
      </c>
      <c r="K676" s="79">
        <v>0.68229005399059595</v>
      </c>
      <c r="L676" s="79">
        <v>0.8940422852919</v>
      </c>
      <c r="M676" s="79">
        <v>1</v>
      </c>
      <c r="N676" s="102">
        <v>5.5828037853868598E-2</v>
      </c>
      <c r="O676" s="79">
        <v>2.2892195270650399E-2</v>
      </c>
      <c r="P676" s="79">
        <v>1.4838298211716699E-2</v>
      </c>
      <c r="Q676" s="79">
        <v>3.8375690336867302E-2</v>
      </c>
      <c r="R676" s="79">
        <v>1</v>
      </c>
      <c r="S676" s="102">
        <v>4.8491978615621101E-2</v>
      </c>
      <c r="T676" s="79">
        <v>2.2429296500930399E-2</v>
      </c>
      <c r="U676" s="79">
        <v>3.07548872662891E-2</v>
      </c>
      <c r="V676" s="79">
        <v>7.0669639189198996E-2</v>
      </c>
      <c r="W676" s="79">
        <v>1</v>
      </c>
    </row>
    <row r="677" spans="2:23" x14ac:dyDescent="0.2">
      <c r="B677" t="s">
        <v>1227</v>
      </c>
      <c r="C677" s="84">
        <v>5048</v>
      </c>
      <c r="D677" s="102">
        <v>1.7937777104977801E-3</v>
      </c>
      <c r="E677" s="79">
        <v>2.2780440868178198E-2</v>
      </c>
      <c r="F677" s="79">
        <v>0.93724691224287604</v>
      </c>
      <c r="G677" s="79">
        <v>0.99840985319461195</v>
      </c>
      <c r="H677" s="79">
        <v>1</v>
      </c>
      <c r="I677" s="102">
        <v>-6.62444488519549E-3</v>
      </c>
      <c r="J677" s="79">
        <v>2.3096281254085398E-2</v>
      </c>
      <c r="K677" s="79">
        <v>0.77428538651287204</v>
      </c>
      <c r="L677" s="79">
        <v>0.92861868293626904</v>
      </c>
      <c r="M677" s="79">
        <v>1</v>
      </c>
      <c r="N677" s="102">
        <v>7.21085977059161E-2</v>
      </c>
      <c r="O677" s="79">
        <v>2.2774870894219101E-2</v>
      </c>
      <c r="P677" s="79">
        <v>1.57157120423573E-3</v>
      </c>
      <c r="Q677" s="79">
        <v>6.3537986156929002E-3</v>
      </c>
      <c r="R677" s="79">
        <v>1</v>
      </c>
      <c r="S677" s="102">
        <v>4.5673556095425297E-2</v>
      </c>
      <c r="T677" s="79">
        <v>2.2344583038017899E-2</v>
      </c>
      <c r="U677" s="79">
        <v>4.1098757937285499E-2</v>
      </c>
      <c r="V677" s="79">
        <v>8.7573957164480104E-2</v>
      </c>
      <c r="W677" s="79">
        <v>1</v>
      </c>
    </row>
    <row r="678" spans="2:23" x14ac:dyDescent="0.2">
      <c r="B678" t="s">
        <v>1228</v>
      </c>
      <c r="C678" s="84">
        <v>2360</v>
      </c>
      <c r="D678" s="102">
        <v>-1.38310222303512E-2</v>
      </c>
      <c r="E678" s="79">
        <v>2.14773761217921E-2</v>
      </c>
      <c r="F678" s="79">
        <v>0.51967304007085002</v>
      </c>
      <c r="G678" s="79">
        <v>0.91901439037128496</v>
      </c>
      <c r="H678" s="79">
        <v>1</v>
      </c>
      <c r="I678" s="102">
        <v>1.0982736329560301E-2</v>
      </c>
      <c r="J678" s="79">
        <v>2.17791371201362E-2</v>
      </c>
      <c r="K678" s="79">
        <v>0.61413027168408496</v>
      </c>
      <c r="L678" s="79">
        <v>0.87455910458575803</v>
      </c>
      <c r="M678" s="79">
        <v>1</v>
      </c>
      <c r="N678" s="102">
        <v>-2.0796104976405001E-2</v>
      </c>
      <c r="O678" s="79">
        <v>2.1529494409985701E-2</v>
      </c>
      <c r="P678" s="79">
        <v>0.334211291552515</v>
      </c>
      <c r="Q678" s="79">
        <v>0.45075949672767601</v>
      </c>
      <c r="R678" s="79">
        <v>1</v>
      </c>
      <c r="S678" s="102">
        <v>1.70163835017739E-3</v>
      </c>
      <c r="T678" s="79">
        <v>2.1095742789207301E-2</v>
      </c>
      <c r="U678" s="79">
        <v>0.93571956241943899</v>
      </c>
      <c r="V678" s="79">
        <v>0.95603675436582003</v>
      </c>
      <c r="W678" s="79">
        <v>1</v>
      </c>
    </row>
    <row r="679" spans="2:23" x14ac:dyDescent="0.2">
      <c r="B679" t="s">
        <v>1229</v>
      </c>
      <c r="C679" s="84">
        <v>4729</v>
      </c>
      <c r="D679" s="102">
        <v>9.7006695387975399E-3</v>
      </c>
      <c r="E679" s="79">
        <v>2.3416202097831199E-2</v>
      </c>
      <c r="F679" s="79">
        <v>0.67872631144727902</v>
      </c>
      <c r="G679" s="79">
        <v>0.96670198527320195</v>
      </c>
      <c r="H679" s="79">
        <v>1</v>
      </c>
      <c r="I679" s="102">
        <v>2.9501133960442599E-2</v>
      </c>
      <c r="J679" s="79">
        <v>2.37272590081706E-2</v>
      </c>
      <c r="K679" s="79">
        <v>0.21390886880410101</v>
      </c>
      <c r="L679" s="79">
        <v>0.65135527590725595</v>
      </c>
      <c r="M679" s="79">
        <v>1</v>
      </c>
      <c r="N679" s="102">
        <v>5.4457842182641797E-2</v>
      </c>
      <c r="O679" s="79">
        <v>2.3441662615331101E-2</v>
      </c>
      <c r="P679" s="79">
        <v>2.0287561340384501E-2</v>
      </c>
      <c r="Q679" s="79">
        <v>4.9025861498732302E-2</v>
      </c>
      <c r="R679" s="79">
        <v>1</v>
      </c>
      <c r="S679" s="102">
        <v>4.78987339624753E-2</v>
      </c>
      <c r="T679" s="79">
        <v>2.2964575202878399E-2</v>
      </c>
      <c r="U679" s="79">
        <v>3.7145410061023697E-2</v>
      </c>
      <c r="V679" s="79">
        <v>8.2039536692795498E-2</v>
      </c>
      <c r="W679" s="79">
        <v>1</v>
      </c>
    </row>
    <row r="680" spans="2:23" x14ac:dyDescent="0.2">
      <c r="B680" t="s">
        <v>1210</v>
      </c>
      <c r="C680" s="84">
        <v>4740</v>
      </c>
      <c r="D680" s="102">
        <v>1.34920064494451E-3</v>
      </c>
      <c r="E680" s="79">
        <v>2.30324170369153E-2</v>
      </c>
      <c r="F680" s="79">
        <v>0.95329470739862099</v>
      </c>
      <c r="G680" s="79">
        <v>0.99840985319461195</v>
      </c>
      <c r="H680" s="79">
        <v>1</v>
      </c>
      <c r="I680" s="102">
        <v>1.9766576053790199E-2</v>
      </c>
      <c r="J680" s="79">
        <v>2.3345057179470202E-2</v>
      </c>
      <c r="K680" s="79">
        <v>0.39727135731973101</v>
      </c>
      <c r="L680" s="79">
        <v>0.76325299144236003</v>
      </c>
      <c r="M680" s="79">
        <v>1</v>
      </c>
      <c r="N680" s="102">
        <v>6.8192351639544305E-2</v>
      </c>
      <c r="O680" s="79">
        <v>2.3035045560344899E-2</v>
      </c>
      <c r="P680" s="79">
        <v>3.1143034384753898E-3</v>
      </c>
      <c r="Q680" s="79">
        <v>1.07665918873006E-2</v>
      </c>
      <c r="R680" s="79">
        <v>1</v>
      </c>
      <c r="S680" s="102">
        <v>5.8934423069914602E-2</v>
      </c>
      <c r="T680" s="79">
        <v>2.2572704449434499E-2</v>
      </c>
      <c r="U680" s="79">
        <v>9.1088839370700708E-3</v>
      </c>
      <c r="V680" s="79">
        <v>2.62422608663209E-2</v>
      </c>
      <c r="W680" s="79">
        <v>1</v>
      </c>
    </row>
    <row r="681" spans="2:23" x14ac:dyDescent="0.2">
      <c r="B681" t="s">
        <v>1224</v>
      </c>
      <c r="C681" s="84">
        <v>5048</v>
      </c>
      <c r="D681" s="102">
        <v>1.22133088809176E-2</v>
      </c>
      <c r="E681" s="79">
        <v>2.33924211276045E-2</v>
      </c>
      <c r="F681" s="79">
        <v>0.60166361219638398</v>
      </c>
      <c r="G681" s="79">
        <v>0.94340566501007395</v>
      </c>
      <c r="H681" s="79">
        <v>1</v>
      </c>
      <c r="I681" s="102">
        <v>2.3361116289484601E-2</v>
      </c>
      <c r="J681" s="79">
        <v>2.3709938763268101E-2</v>
      </c>
      <c r="K681" s="79">
        <v>0.324619886832754</v>
      </c>
      <c r="L681" s="79">
        <v>0.71688335035341899</v>
      </c>
      <c r="M681" s="79">
        <v>1</v>
      </c>
      <c r="N681" s="102">
        <v>5.1634456063097398E-2</v>
      </c>
      <c r="O681" s="79">
        <v>2.34227125199226E-2</v>
      </c>
      <c r="P681" s="79">
        <v>2.76227592740819E-2</v>
      </c>
      <c r="Q681" s="79">
        <v>6.2893755658998296E-2</v>
      </c>
      <c r="R681" s="79">
        <v>1</v>
      </c>
      <c r="S681" s="102">
        <v>2.58766734331136E-2</v>
      </c>
      <c r="T681" s="79">
        <v>2.2963624990834802E-2</v>
      </c>
      <c r="U681" s="79">
        <v>0.25995956580746499</v>
      </c>
      <c r="V681" s="79">
        <v>0.37037132420340302</v>
      </c>
      <c r="W681" s="79">
        <v>1</v>
      </c>
    </row>
    <row r="682" spans="2:23" x14ac:dyDescent="0.2">
      <c r="B682" t="s">
        <v>1178</v>
      </c>
      <c r="C682" s="84">
        <v>5022</v>
      </c>
      <c r="D682" s="102">
        <v>3.1096487863446799E-2</v>
      </c>
      <c r="E682" s="79">
        <v>2.3430590178856899E-2</v>
      </c>
      <c r="F682" s="79">
        <v>0.184625788043632</v>
      </c>
      <c r="G682" s="79">
        <v>0.83003013605610498</v>
      </c>
      <c r="H682" s="79">
        <v>1</v>
      </c>
      <c r="I682" s="102">
        <v>2.2508111758014499E-2</v>
      </c>
      <c r="J682" s="79">
        <v>2.3760377248036799E-2</v>
      </c>
      <c r="K682" s="79">
        <v>0.34361984815343</v>
      </c>
      <c r="L682" s="79">
        <v>0.73963408230230099</v>
      </c>
      <c r="M682" s="79">
        <v>1</v>
      </c>
      <c r="N682" s="102">
        <v>-2.9772135040241201E-2</v>
      </c>
      <c r="O682" s="79">
        <v>2.3491814377369202E-2</v>
      </c>
      <c r="P682" s="79">
        <v>0.205203743732986</v>
      </c>
      <c r="Q682" s="79">
        <v>0.308442894306724</v>
      </c>
      <c r="R682" s="79">
        <v>1</v>
      </c>
      <c r="S682" s="102">
        <v>3.6092546882235399E-2</v>
      </c>
      <c r="T682" s="79">
        <v>2.3003745687607501E-2</v>
      </c>
      <c r="U682" s="79">
        <v>0.116833786217658</v>
      </c>
      <c r="V682" s="79">
        <v>0.19931161515882401</v>
      </c>
      <c r="W682" s="79">
        <v>1</v>
      </c>
    </row>
    <row r="683" spans="2:23" x14ac:dyDescent="0.2">
      <c r="B683" t="s">
        <v>128</v>
      </c>
      <c r="C683" s="84">
        <v>5022</v>
      </c>
      <c r="D683" s="102">
        <v>1.9577794920181298E-2</v>
      </c>
      <c r="E683" s="79">
        <v>2.09292054525861E-2</v>
      </c>
      <c r="F683" s="79">
        <v>0.34969736655960898</v>
      </c>
      <c r="G683" s="79">
        <v>0.89461055933914202</v>
      </c>
      <c r="H683" s="79">
        <v>1</v>
      </c>
      <c r="I683" s="102">
        <v>1.08963996794552E-2</v>
      </c>
      <c r="J683" s="79">
        <v>2.1225405633468E-2</v>
      </c>
      <c r="K683" s="79">
        <v>0.60776079700003105</v>
      </c>
      <c r="L683" s="79">
        <v>0.87455910458575803</v>
      </c>
      <c r="M683" s="79">
        <v>1</v>
      </c>
      <c r="N683" s="102">
        <v>3.5699550673438898E-2</v>
      </c>
      <c r="O683" s="79">
        <v>2.0970796371020499E-2</v>
      </c>
      <c r="P683" s="79">
        <v>8.8869872604710007E-2</v>
      </c>
      <c r="Q683" s="79">
        <v>0.159476233254639</v>
      </c>
      <c r="R683" s="79">
        <v>1</v>
      </c>
      <c r="S683" s="102">
        <v>3.9244116143410702E-3</v>
      </c>
      <c r="T683" s="79">
        <v>2.0559452157103399E-2</v>
      </c>
      <c r="U683" s="79">
        <v>0.84864106366315395</v>
      </c>
      <c r="V683" s="79">
        <v>0.89125726090848301</v>
      </c>
      <c r="W683" s="79">
        <v>1</v>
      </c>
    </row>
    <row r="684" spans="2:23" x14ac:dyDescent="0.2">
      <c r="B684" t="s">
        <v>3386</v>
      </c>
      <c r="C684" s="84">
        <v>148</v>
      </c>
      <c r="D684" s="102">
        <v>0.105359819386992</v>
      </c>
      <c r="E684" s="79">
        <v>0.105733778131876</v>
      </c>
      <c r="F684" s="79">
        <v>0.31902513656214698</v>
      </c>
      <c r="G684" s="79">
        <v>0.88730162874475904</v>
      </c>
      <c r="H684" s="79">
        <v>1</v>
      </c>
      <c r="I684" s="102">
        <v>8.5411672951891601E-2</v>
      </c>
      <c r="J684" s="79">
        <v>0.107135263625695</v>
      </c>
      <c r="K684" s="79">
        <v>0.42531623697752402</v>
      </c>
      <c r="L684" s="79">
        <v>0.781805785028304</v>
      </c>
      <c r="M684" s="79">
        <v>1</v>
      </c>
      <c r="N684" s="102">
        <v>-4.5896582858399697E-2</v>
      </c>
      <c r="O684" s="79">
        <v>0.104012896201876</v>
      </c>
      <c r="P684" s="79">
        <v>0.65902580862025895</v>
      </c>
      <c r="Q684" s="79">
        <v>0.75480859689376401</v>
      </c>
      <c r="R684" s="79">
        <v>1</v>
      </c>
      <c r="S684" s="102">
        <v>9.8243552876230399E-3</v>
      </c>
      <c r="T684" s="79">
        <v>0.104794848720453</v>
      </c>
      <c r="U684" s="79">
        <v>0.92530897724447603</v>
      </c>
      <c r="V684" s="79">
        <v>0.94768646157928804</v>
      </c>
      <c r="W684" s="79">
        <v>1</v>
      </c>
    </row>
    <row r="685" spans="2:23" x14ac:dyDescent="0.2">
      <c r="B685" t="s">
        <v>3385</v>
      </c>
      <c r="C685" s="84">
        <v>598</v>
      </c>
      <c r="D685" s="102">
        <v>-0.144437672614701</v>
      </c>
      <c r="E685" s="79">
        <v>8.2742133024176406E-2</v>
      </c>
      <c r="F685" s="79">
        <v>8.0874166866986494E-2</v>
      </c>
      <c r="G685" s="79">
        <v>0.74054507390635205</v>
      </c>
      <c r="H685" s="79">
        <v>1</v>
      </c>
      <c r="I685" s="102">
        <v>8.2773027268811097E-2</v>
      </c>
      <c r="J685" s="79">
        <v>8.2132815157811304E-2</v>
      </c>
      <c r="K685" s="79">
        <v>0.31355296382227699</v>
      </c>
      <c r="L685" s="79">
        <v>0.71287249273680797</v>
      </c>
      <c r="M685" s="79">
        <v>1</v>
      </c>
      <c r="N685" s="102">
        <v>5.4112354838353201E-2</v>
      </c>
      <c r="O685" s="79">
        <v>8.1233612157437102E-2</v>
      </c>
      <c r="P685" s="79">
        <v>0.50532636805291897</v>
      </c>
      <c r="Q685" s="79">
        <v>0.62165785583271205</v>
      </c>
      <c r="R685" s="79">
        <v>1</v>
      </c>
      <c r="S685" s="102">
        <v>0.12247588426474899</v>
      </c>
      <c r="T685" s="79">
        <v>8.17230796652961E-2</v>
      </c>
      <c r="U685" s="79">
        <v>0.13395940139882001</v>
      </c>
      <c r="V685" s="79">
        <v>0.22182524532707801</v>
      </c>
      <c r="W685" s="79">
        <v>1</v>
      </c>
    </row>
    <row r="686" spans="2:23" x14ac:dyDescent="0.2">
      <c r="B686" t="s">
        <v>3384</v>
      </c>
      <c r="C686" s="84">
        <v>711</v>
      </c>
      <c r="D686" s="102">
        <v>3.6081846056072099E-2</v>
      </c>
      <c r="E686" s="79">
        <v>7.2727869527341102E-2</v>
      </c>
      <c r="F686" s="79">
        <v>0.61980882362756096</v>
      </c>
      <c r="G686" s="79">
        <v>0.95363864416447597</v>
      </c>
      <c r="H686" s="79">
        <v>1</v>
      </c>
      <c r="I686" s="102">
        <v>-0.154397945815273</v>
      </c>
      <c r="J686" s="79">
        <v>7.2177742681823504E-2</v>
      </c>
      <c r="K686" s="79">
        <v>3.2424725076236102E-2</v>
      </c>
      <c r="L686" s="79">
        <v>0.34116449862822301</v>
      </c>
      <c r="M686" s="79">
        <v>1</v>
      </c>
      <c r="N686" s="102">
        <v>-7.3853112461740103E-3</v>
      </c>
      <c r="O686" s="79">
        <v>7.1479419946938905E-2</v>
      </c>
      <c r="P686" s="79">
        <v>0.91770836357890895</v>
      </c>
      <c r="Q686" s="79">
        <v>0.945632421940797</v>
      </c>
      <c r="R686" s="79">
        <v>1</v>
      </c>
      <c r="S686" s="102">
        <v>-0.13234635658857399</v>
      </c>
      <c r="T686" s="79">
        <v>7.1661440552821906E-2</v>
      </c>
      <c r="U686" s="79">
        <v>6.47720690734854E-2</v>
      </c>
      <c r="V686" s="79">
        <v>0.124686232966459</v>
      </c>
      <c r="W686" s="79">
        <v>1</v>
      </c>
    </row>
    <row r="687" spans="2:23" x14ac:dyDescent="0.2">
      <c r="B687" t="s">
        <v>864</v>
      </c>
      <c r="C687" s="84">
        <v>4950</v>
      </c>
      <c r="D687" s="102">
        <v>1.4812017693912501E-2</v>
      </c>
      <c r="E687" s="79">
        <v>1.4651105754286501E-2</v>
      </c>
      <c r="F687" s="79">
        <v>0.31208608672566301</v>
      </c>
      <c r="G687" s="79">
        <v>0.88730162874475904</v>
      </c>
      <c r="H687" s="79">
        <v>1</v>
      </c>
      <c r="I687" s="102">
        <v>1.24606665206142E-2</v>
      </c>
      <c r="J687" s="79">
        <v>1.45334487040094E-2</v>
      </c>
      <c r="K687" s="79">
        <v>0.39129088547096402</v>
      </c>
      <c r="L687" s="79">
        <v>0.76088358311707605</v>
      </c>
      <c r="M687" s="79">
        <v>1</v>
      </c>
      <c r="N687" s="102">
        <v>2.4285678874026901E-2</v>
      </c>
      <c r="O687" s="79">
        <v>1.4441394452088399E-2</v>
      </c>
      <c r="P687" s="79">
        <v>9.2715098696621104E-2</v>
      </c>
      <c r="Q687" s="79">
        <v>0.164460080829399</v>
      </c>
      <c r="R687" s="79">
        <v>1</v>
      </c>
      <c r="S687" s="102">
        <v>3.9760516130606299E-2</v>
      </c>
      <c r="T687" s="79">
        <v>1.44427981453578E-2</v>
      </c>
      <c r="U687" s="79">
        <v>5.9335300251310702E-3</v>
      </c>
      <c r="V687" s="79">
        <v>1.8442935527655101E-2</v>
      </c>
      <c r="W687" s="79">
        <v>1</v>
      </c>
    </row>
    <row r="688" spans="2:23" x14ac:dyDescent="0.2">
      <c r="B688" t="s">
        <v>889</v>
      </c>
      <c r="C688" s="84">
        <v>4978</v>
      </c>
      <c r="D688" s="102">
        <v>-1.42805353917103E-2</v>
      </c>
      <c r="E688" s="79">
        <v>1.42006329495275E-2</v>
      </c>
      <c r="F688" s="79">
        <v>0.31464433274721398</v>
      </c>
      <c r="G688" s="79">
        <v>0.88730162874475904</v>
      </c>
      <c r="H688" s="79">
        <v>1</v>
      </c>
      <c r="I688" s="102">
        <v>6.5238798778302397E-3</v>
      </c>
      <c r="J688" s="79">
        <v>1.4159166364008199E-2</v>
      </c>
      <c r="K688" s="79">
        <v>0.64499597130261299</v>
      </c>
      <c r="L688" s="79">
        <v>0.88334199152593895</v>
      </c>
      <c r="M688" s="79">
        <v>1</v>
      </c>
      <c r="N688" s="102">
        <v>5.0177385301910897E-3</v>
      </c>
      <c r="O688" s="79">
        <v>1.40448593957325E-2</v>
      </c>
      <c r="P688" s="79">
        <v>0.72090854936399895</v>
      </c>
      <c r="Q688" s="79">
        <v>0.81198077302035498</v>
      </c>
      <c r="R688" s="79">
        <v>1</v>
      </c>
      <c r="S688" s="102">
        <v>3.1094417024634498E-2</v>
      </c>
      <c r="T688" s="79">
        <v>1.4030305227254399E-2</v>
      </c>
      <c r="U688" s="79">
        <v>2.6720843562073299E-2</v>
      </c>
      <c r="V688" s="79">
        <v>6.2868206936322502E-2</v>
      </c>
      <c r="W688" s="79">
        <v>1</v>
      </c>
    </row>
    <row r="689" spans="2:23" x14ac:dyDescent="0.2">
      <c r="B689" t="s">
        <v>891</v>
      </c>
      <c r="C689" s="84">
        <v>4945</v>
      </c>
      <c r="D689" s="102">
        <v>-3.3253904618289601E-2</v>
      </c>
      <c r="E689" s="79">
        <v>1.4517922452750499E-2</v>
      </c>
      <c r="F689" s="79">
        <v>2.2032422481475401E-2</v>
      </c>
      <c r="G689" s="79">
        <v>0.56979784415816803</v>
      </c>
      <c r="H689" s="79">
        <v>1</v>
      </c>
      <c r="I689" s="102">
        <v>-8.6639610405262104E-3</v>
      </c>
      <c r="J689" s="79">
        <v>1.44797550816908E-2</v>
      </c>
      <c r="K689" s="79">
        <v>0.54963451022307197</v>
      </c>
      <c r="L689" s="79">
        <v>0.85299417546651202</v>
      </c>
      <c r="M689" s="79">
        <v>1</v>
      </c>
      <c r="N689" s="107">
        <v>0.12972306641394701</v>
      </c>
      <c r="O689" s="81">
        <v>1.4273704624014101E-2</v>
      </c>
      <c r="P689" s="81">
        <v>1.43672644123341E-19</v>
      </c>
      <c r="Q689" s="81">
        <v>6.0845364786234905E-17</v>
      </c>
      <c r="R689" s="81">
        <v>2.4338145914494001E-16</v>
      </c>
      <c r="S689" s="107">
        <v>8.2780221554815597E-2</v>
      </c>
      <c r="T689" s="81">
        <v>1.4296609085975199E-2</v>
      </c>
      <c r="U689" s="81">
        <v>7.4736948385376796E-9</v>
      </c>
      <c r="V689" s="81">
        <v>3.7236585460243602E-7</v>
      </c>
      <c r="W689" s="81">
        <v>1.26604390564828E-5</v>
      </c>
    </row>
    <row r="690" spans="2:23" x14ac:dyDescent="0.2">
      <c r="B690" t="s">
        <v>865</v>
      </c>
      <c r="C690" s="84">
        <v>4940</v>
      </c>
      <c r="D690" s="102">
        <v>-1.4078367918997E-2</v>
      </c>
      <c r="E690" s="79">
        <v>1.46048223529527E-2</v>
      </c>
      <c r="F690" s="79">
        <v>0.33511843867372498</v>
      </c>
      <c r="G690" s="79">
        <v>0.887497895560034</v>
      </c>
      <c r="H690" s="79">
        <v>1</v>
      </c>
      <c r="I690" s="102">
        <v>-3.5034453822685601E-3</v>
      </c>
      <c r="J690" s="79">
        <v>1.4583358130889E-2</v>
      </c>
      <c r="K690" s="79">
        <v>0.81015803144147203</v>
      </c>
      <c r="L690" s="79">
        <v>0.94394379443547805</v>
      </c>
      <c r="M690" s="79">
        <v>1</v>
      </c>
      <c r="N690" s="107">
        <v>9.5462815550133806E-2</v>
      </c>
      <c r="O690" s="81">
        <v>1.43619640082744E-2</v>
      </c>
      <c r="P690" s="81">
        <v>3.3331649103683398E-11</v>
      </c>
      <c r="Q690" s="81">
        <v>1.37716618491804E-9</v>
      </c>
      <c r="R690" s="81">
        <v>5.6463813581639703E-8</v>
      </c>
      <c r="S690" s="107">
        <v>6.7739674344474601E-2</v>
      </c>
      <c r="T690" s="81">
        <v>1.43415226634561E-2</v>
      </c>
      <c r="U690" s="81">
        <v>2.3880154248742099E-6</v>
      </c>
      <c r="V690" s="81">
        <v>3.8163189903178402E-5</v>
      </c>
      <c r="W690" s="81">
        <v>4.0452981297369097E-3</v>
      </c>
    </row>
    <row r="691" spans="2:23" x14ac:dyDescent="0.2">
      <c r="B691" t="s">
        <v>3606</v>
      </c>
      <c r="C691" s="84">
        <v>5019</v>
      </c>
      <c r="D691" s="102">
        <v>0.9568909117849701</v>
      </c>
      <c r="E691" s="79">
        <v>4.5645158613102102E-2</v>
      </c>
      <c r="F691" s="79">
        <v>0.33434397851712799</v>
      </c>
      <c r="G691" s="79">
        <v>0.887497895560034</v>
      </c>
      <c r="H691" s="79">
        <v>1</v>
      </c>
      <c r="I691" s="102">
        <v>0.96286698447749219</v>
      </c>
      <c r="J691" s="79">
        <v>4.5282685295189098E-2</v>
      </c>
      <c r="K691" s="79">
        <v>0.40335771013377197</v>
      </c>
      <c r="L691" s="79">
        <v>0.767739281984955</v>
      </c>
      <c r="M691" s="79">
        <v>1</v>
      </c>
      <c r="N691" s="102">
        <v>1.2066281927949074</v>
      </c>
      <c r="O691" s="79">
        <v>4.5095588025297902E-2</v>
      </c>
      <c r="P691" s="79">
        <v>3.1114901888014799E-5</v>
      </c>
      <c r="Q691" s="79">
        <v>2.4862567829385401E-4</v>
      </c>
      <c r="R691" s="79">
        <v>5.2708643798297102E-2</v>
      </c>
      <c r="S691" s="102">
        <v>1.2045161880339423</v>
      </c>
      <c r="T691" s="79">
        <v>4.5646468749721003E-2</v>
      </c>
      <c r="U691" s="79">
        <v>4.5717997877806803E-5</v>
      </c>
      <c r="V691" s="79">
        <v>4.0336608544273302E-4</v>
      </c>
      <c r="W691" s="79">
        <v>7.7446288405004698E-2</v>
      </c>
    </row>
    <row r="692" spans="2:23" x14ac:dyDescent="0.2">
      <c r="B692" t="s">
        <v>3607</v>
      </c>
      <c r="C692" s="84">
        <v>5019</v>
      </c>
      <c r="D692" s="102">
        <v>0.98739627678856956</v>
      </c>
      <c r="E692" s="79">
        <v>5.8731814290729698E-2</v>
      </c>
      <c r="F692" s="79">
        <v>0.82901758307601803</v>
      </c>
      <c r="G692" s="79">
        <v>0.99362338620020496</v>
      </c>
      <c r="H692" s="79">
        <v>1</v>
      </c>
      <c r="I692" s="102">
        <v>1.0207707106586095</v>
      </c>
      <c r="J692" s="79">
        <v>5.8422618697034898E-2</v>
      </c>
      <c r="K692" s="79">
        <v>0.72492582500928004</v>
      </c>
      <c r="L692" s="79">
        <v>0.91650041093290602</v>
      </c>
      <c r="M692" s="79">
        <v>1</v>
      </c>
      <c r="N692" s="102">
        <v>1.0739833999475541</v>
      </c>
      <c r="O692" s="79">
        <v>5.8043958939125999E-2</v>
      </c>
      <c r="P692" s="79">
        <v>0.218823127605901</v>
      </c>
      <c r="Q692" s="79">
        <v>0.32459402641365698</v>
      </c>
      <c r="R692" s="79">
        <v>1</v>
      </c>
      <c r="S692" s="102">
        <v>0.97939336491197937</v>
      </c>
      <c r="T692" s="79">
        <v>5.7887744134482798E-2</v>
      </c>
      <c r="U692" s="79">
        <v>0.71907546080087104</v>
      </c>
      <c r="V692" s="79">
        <v>0.78134306003635401</v>
      </c>
      <c r="W692" s="79">
        <v>1</v>
      </c>
    </row>
    <row r="693" spans="2:23" x14ac:dyDescent="0.2">
      <c r="B693" t="s">
        <v>887</v>
      </c>
      <c r="C693" s="84">
        <v>4571</v>
      </c>
      <c r="D693" s="102">
        <v>-1.52229131731422E-2</v>
      </c>
      <c r="E693" s="79">
        <v>1.51789722171074E-2</v>
      </c>
      <c r="F693" s="79">
        <v>0.31596508674187401</v>
      </c>
      <c r="G693" s="79">
        <v>0.88730162874475904</v>
      </c>
      <c r="H693" s="79">
        <v>1</v>
      </c>
      <c r="I693" s="102">
        <v>3.0918884614733199E-2</v>
      </c>
      <c r="J693" s="79">
        <v>1.51294755674896E-2</v>
      </c>
      <c r="K693" s="79">
        <v>4.1049005782971E-2</v>
      </c>
      <c r="L693" s="79">
        <v>0.37791856411061397</v>
      </c>
      <c r="M693" s="79">
        <v>1</v>
      </c>
      <c r="N693" s="102">
        <v>1.99524547662151E-2</v>
      </c>
      <c r="O693" s="79">
        <v>1.50625274242623E-2</v>
      </c>
      <c r="P693" s="79">
        <v>0.18535675951945599</v>
      </c>
      <c r="Q693" s="79">
        <v>0.28262317788115099</v>
      </c>
      <c r="R693" s="79">
        <v>1</v>
      </c>
      <c r="S693" s="102">
        <v>5.3811541092263201E-2</v>
      </c>
      <c r="T693" s="79">
        <v>1.49694509641692E-2</v>
      </c>
      <c r="U693" s="79">
        <v>3.2815885558395102E-4</v>
      </c>
      <c r="V693" s="79">
        <v>1.8635226040005701E-3</v>
      </c>
      <c r="W693" s="79">
        <v>0.555901101359213</v>
      </c>
    </row>
    <row r="694" spans="2:23" x14ac:dyDescent="0.2">
      <c r="B694" t="s">
        <v>888</v>
      </c>
      <c r="C694" s="84">
        <v>4585</v>
      </c>
      <c r="D694" s="102">
        <v>-1.5191742043459701E-2</v>
      </c>
      <c r="E694" s="79">
        <v>1.5394636915615101E-2</v>
      </c>
      <c r="F694" s="79">
        <v>0.32378510682550299</v>
      </c>
      <c r="G694" s="79">
        <v>0.88730162874475904</v>
      </c>
      <c r="H694" s="79">
        <v>1</v>
      </c>
      <c r="I694" s="102">
        <v>3.5171162184113799E-3</v>
      </c>
      <c r="J694" s="79">
        <v>1.5326190975656E-2</v>
      </c>
      <c r="K694" s="79">
        <v>0.81850350524148296</v>
      </c>
      <c r="L694" s="79">
        <v>0.94953505269177096</v>
      </c>
      <c r="M694" s="79">
        <v>1</v>
      </c>
      <c r="N694" s="102">
        <v>3.7686684421528803E-2</v>
      </c>
      <c r="O694" s="79">
        <v>1.5237721778078099E-2</v>
      </c>
      <c r="P694" s="79">
        <v>1.3426998943141401E-2</v>
      </c>
      <c r="Q694" s="79">
        <v>3.5264087146793098E-2</v>
      </c>
      <c r="R694" s="79">
        <v>1</v>
      </c>
      <c r="S694" s="102">
        <v>5.1802219762658197E-2</v>
      </c>
      <c r="T694" s="79">
        <v>1.5152663365428899E-2</v>
      </c>
      <c r="U694" s="79">
        <v>6.3501559867592595E-4</v>
      </c>
      <c r="V694" s="79">
        <v>3.1453696612778301E-3</v>
      </c>
      <c r="W694" s="79">
        <v>1</v>
      </c>
    </row>
    <row r="695" spans="2:23" x14ac:dyDescent="0.2">
      <c r="B695" t="s">
        <v>890</v>
      </c>
      <c r="C695" s="84">
        <v>4983</v>
      </c>
      <c r="D695" s="102">
        <v>5.7151960989315501E-3</v>
      </c>
      <c r="E695" s="79">
        <v>1.4112174550686101E-2</v>
      </c>
      <c r="F695" s="79">
        <v>0.68550732375988699</v>
      </c>
      <c r="G695" s="79">
        <v>0.96670198527320195</v>
      </c>
      <c r="H695" s="79">
        <v>1</v>
      </c>
      <c r="I695" s="102">
        <v>-1.14772233664686E-3</v>
      </c>
      <c r="J695" s="79">
        <v>1.4088288529869699E-2</v>
      </c>
      <c r="K695" s="79">
        <v>0.93507432975892402</v>
      </c>
      <c r="L695" s="79">
        <v>0.98647534698174599</v>
      </c>
      <c r="M695" s="79">
        <v>1</v>
      </c>
      <c r="N695" s="107">
        <v>5.9305025751394999E-2</v>
      </c>
      <c r="O695" s="81">
        <v>1.393300747849E-2</v>
      </c>
      <c r="P695" s="81">
        <v>2.1156096576256898E-5</v>
      </c>
      <c r="Q695" s="81">
        <v>1.83786808206047E-4</v>
      </c>
      <c r="R695" s="81">
        <v>3.5838427600179197E-2</v>
      </c>
      <c r="S695" s="102">
        <v>4.4582425220840403E-2</v>
      </c>
      <c r="T695" s="79">
        <v>1.39259318250792E-2</v>
      </c>
      <c r="U695" s="79">
        <v>1.3762935149965901E-3</v>
      </c>
      <c r="V695" s="79">
        <v>5.7852139315241304E-3</v>
      </c>
      <c r="W695" s="79">
        <v>1</v>
      </c>
    </row>
    <row r="696" spans="2:23" x14ac:dyDescent="0.2">
      <c r="B696" t="s">
        <v>176</v>
      </c>
      <c r="C696" s="84">
        <v>5036</v>
      </c>
      <c r="D696" s="102">
        <v>-1.3464821389606899E-3</v>
      </c>
      <c r="E696" s="79">
        <v>1.4452922033227599E-2</v>
      </c>
      <c r="F696" s="79">
        <v>0.92577784961389897</v>
      </c>
      <c r="G696" s="79">
        <v>0.99840985319461195</v>
      </c>
      <c r="H696" s="79">
        <v>1</v>
      </c>
      <c r="I696" s="102">
        <v>-1.8916904586712201E-2</v>
      </c>
      <c r="J696" s="79">
        <v>1.43356219523982E-2</v>
      </c>
      <c r="K696" s="79">
        <v>0.187044512973088</v>
      </c>
      <c r="L696" s="79">
        <v>0.62762605764207702</v>
      </c>
      <c r="M696" s="79">
        <v>1</v>
      </c>
      <c r="N696" s="107">
        <v>-7.11009003967219E-2</v>
      </c>
      <c r="O696" s="81">
        <v>1.4200156922585199E-2</v>
      </c>
      <c r="P696" s="81">
        <v>5.7361640606226095E-7</v>
      </c>
      <c r="Q696" s="81">
        <v>7.8363402570118606E-6</v>
      </c>
      <c r="R696" s="81">
        <v>9.7170619186946999E-4</v>
      </c>
      <c r="S696" s="102">
        <v>-4.4293719415036903E-2</v>
      </c>
      <c r="T696" s="79">
        <v>1.4209355607889799E-2</v>
      </c>
      <c r="U696" s="79">
        <v>1.83696970832635E-3</v>
      </c>
      <c r="V696" s="79">
        <v>7.3219451433055001E-3</v>
      </c>
      <c r="W696" s="79">
        <v>1</v>
      </c>
    </row>
    <row r="697" spans="2:23" x14ac:dyDescent="0.2">
      <c r="B697" t="s">
        <v>177</v>
      </c>
      <c r="C697" s="84">
        <v>5036</v>
      </c>
      <c r="D697" s="102">
        <v>-1.22573312059484E-2</v>
      </c>
      <c r="E697" s="79">
        <v>1.4385415865203701E-2</v>
      </c>
      <c r="F697" s="79">
        <v>0.39422001001566498</v>
      </c>
      <c r="G697" s="79">
        <v>0.89461055933914202</v>
      </c>
      <c r="H697" s="79">
        <v>1</v>
      </c>
      <c r="I697" s="102">
        <v>-4.7557296638312999E-2</v>
      </c>
      <c r="J697" s="79">
        <v>1.42769559943546E-2</v>
      </c>
      <c r="K697" s="79">
        <v>8.7189627446337796E-4</v>
      </c>
      <c r="L697" s="79">
        <v>9.2312018058810105E-2</v>
      </c>
      <c r="M697" s="79">
        <v>1</v>
      </c>
      <c r="N697" s="107">
        <v>-7.3283348038024304E-2</v>
      </c>
      <c r="O697" s="81">
        <v>1.41452646015872E-2</v>
      </c>
      <c r="P697" s="81">
        <v>2.30195201301402E-7</v>
      </c>
      <c r="Q697" s="81">
        <v>3.3908754000397802E-6</v>
      </c>
      <c r="R697" s="81">
        <v>3.89950671004575E-4</v>
      </c>
      <c r="S697" s="107">
        <v>-6.6727419504994306E-2</v>
      </c>
      <c r="T697" s="81">
        <v>1.4134641839394699E-2</v>
      </c>
      <c r="U697" s="81">
        <v>2.4167438869916099E-6</v>
      </c>
      <c r="V697" s="81">
        <v>3.8261347145456002E-5</v>
      </c>
      <c r="W697" s="81">
        <v>4.09396414456379E-3</v>
      </c>
    </row>
    <row r="698" spans="2:23" x14ac:dyDescent="0.2">
      <c r="B698" t="s">
        <v>178</v>
      </c>
      <c r="C698" s="84">
        <v>5036</v>
      </c>
      <c r="D698" s="102">
        <v>1.89999451936728E-3</v>
      </c>
      <c r="E698" s="79">
        <v>1.43969468701402E-2</v>
      </c>
      <c r="F698" s="79">
        <v>0.895011970484484</v>
      </c>
      <c r="G698" s="79">
        <v>0.99362338620020496</v>
      </c>
      <c r="H698" s="79">
        <v>1</v>
      </c>
      <c r="I698" s="102">
        <v>3.7817457843051898E-2</v>
      </c>
      <c r="J698" s="79">
        <v>1.4290161178038999E-2</v>
      </c>
      <c r="K698" s="79">
        <v>8.1626489683401093E-3</v>
      </c>
      <c r="L698" s="79">
        <v>0.17284409190460201</v>
      </c>
      <c r="M698" s="79">
        <v>1</v>
      </c>
      <c r="N698" s="107">
        <v>6.7562298537463705E-2</v>
      </c>
      <c r="O698" s="81">
        <v>1.41580017013248E-2</v>
      </c>
      <c r="P698" s="81">
        <v>1.8789840910158699E-6</v>
      </c>
      <c r="Q698" s="81">
        <v>2.17246984460455E-5</v>
      </c>
      <c r="R698" s="81">
        <v>3.18299905018088E-3</v>
      </c>
      <c r="S698" s="102">
        <v>5.6839724128679901E-2</v>
      </c>
      <c r="T698" s="79">
        <v>1.4149501831597701E-2</v>
      </c>
      <c r="U698" s="79">
        <v>5.9839678571951397E-5</v>
      </c>
      <c r="V698" s="79">
        <v>4.8970249034244304E-4</v>
      </c>
      <c r="W698" s="79">
        <v>0.101368415500886</v>
      </c>
    </row>
    <row r="699" spans="2:23" x14ac:dyDescent="0.2">
      <c r="B699" t="s">
        <v>179</v>
      </c>
      <c r="C699" s="84">
        <v>5036</v>
      </c>
      <c r="D699" s="102">
        <v>8.0928620740773199E-3</v>
      </c>
      <c r="E699" s="79">
        <v>1.45036966122513E-2</v>
      </c>
      <c r="F699" s="79">
        <v>0.57688026355709199</v>
      </c>
      <c r="G699" s="79">
        <v>0.93493902670333096</v>
      </c>
      <c r="H699" s="79">
        <v>1</v>
      </c>
      <c r="I699" s="102">
        <v>-6.9201821346289898E-3</v>
      </c>
      <c r="J699" s="79">
        <v>1.4408876761577901E-2</v>
      </c>
      <c r="K699" s="79">
        <v>0.63105660444908795</v>
      </c>
      <c r="L699" s="79">
        <v>0.87748013759880805</v>
      </c>
      <c r="M699" s="79">
        <v>1</v>
      </c>
      <c r="N699" s="107">
        <v>6.0196354357731602E-2</v>
      </c>
      <c r="O699" s="81">
        <v>1.4270717597788101E-2</v>
      </c>
      <c r="P699" s="81">
        <v>2.5096856807262199E-5</v>
      </c>
      <c r="Q699" s="81">
        <v>2.0738573381220599E-4</v>
      </c>
      <c r="R699" s="81">
        <v>4.25140754315022E-2</v>
      </c>
      <c r="S699" s="102">
        <v>2.7968112448267399E-2</v>
      </c>
      <c r="T699" s="79">
        <v>1.42772142283158E-2</v>
      </c>
      <c r="U699" s="79">
        <v>5.0179959323611197E-2</v>
      </c>
      <c r="V699" s="79">
        <v>0.102415483246021</v>
      </c>
      <c r="W699" s="79">
        <v>1</v>
      </c>
    </row>
    <row r="700" spans="2:23" x14ac:dyDescent="0.2">
      <c r="B700" t="s">
        <v>168</v>
      </c>
      <c r="C700" s="84">
        <v>5036</v>
      </c>
      <c r="D700" s="102">
        <v>-1.32022349101908E-2</v>
      </c>
      <c r="E700" s="79">
        <v>1.44754730146222E-2</v>
      </c>
      <c r="F700" s="79">
        <v>0.36179409468827201</v>
      </c>
      <c r="G700" s="79">
        <v>0.89461055933914202</v>
      </c>
      <c r="H700" s="79">
        <v>1</v>
      </c>
      <c r="I700" s="102">
        <v>-2.5543562924733601E-2</v>
      </c>
      <c r="J700" s="79">
        <v>1.43550527799643E-2</v>
      </c>
      <c r="K700" s="79">
        <v>7.5239161274505403E-2</v>
      </c>
      <c r="L700" s="79">
        <v>0.46226633181563198</v>
      </c>
      <c r="M700" s="79">
        <v>1</v>
      </c>
      <c r="N700" s="102">
        <v>-2.8680748657391598E-2</v>
      </c>
      <c r="O700" s="79">
        <v>1.42549846147408E-2</v>
      </c>
      <c r="P700" s="79">
        <v>4.4280592570988299E-2</v>
      </c>
      <c r="Q700" s="79">
        <v>9.1925641930458601E-2</v>
      </c>
      <c r="R700" s="79">
        <v>1</v>
      </c>
      <c r="S700" s="102">
        <v>-4.2315755113861202E-2</v>
      </c>
      <c r="T700" s="79">
        <v>1.4231027649028999E-2</v>
      </c>
      <c r="U700" s="79">
        <v>2.9596912516373199E-3</v>
      </c>
      <c r="V700" s="79">
        <v>1.05330188661211E-2</v>
      </c>
      <c r="W700" s="79">
        <v>1</v>
      </c>
    </row>
    <row r="701" spans="2:23" x14ac:dyDescent="0.2">
      <c r="B701" t="s">
        <v>169</v>
      </c>
      <c r="C701" s="84">
        <v>5036</v>
      </c>
      <c r="D701" s="102">
        <v>-1.62031692216342E-2</v>
      </c>
      <c r="E701" s="79">
        <v>1.44133125451982E-2</v>
      </c>
      <c r="F701" s="79">
        <v>0.26099347527699102</v>
      </c>
      <c r="G701" s="79">
        <v>0.85990749347533801</v>
      </c>
      <c r="H701" s="79">
        <v>1</v>
      </c>
      <c r="I701" s="102">
        <v>-3.9462783502621897E-2</v>
      </c>
      <c r="J701" s="79">
        <v>1.43156587687538E-2</v>
      </c>
      <c r="K701" s="79">
        <v>5.8632212505501501E-3</v>
      </c>
      <c r="L701" s="79">
        <v>0.14713171776893799</v>
      </c>
      <c r="M701" s="79">
        <v>1</v>
      </c>
      <c r="N701" s="107">
        <v>-6.9590499328306493E-2</v>
      </c>
      <c r="O701" s="81">
        <v>1.4181427183364599E-2</v>
      </c>
      <c r="P701" s="81">
        <v>9.5554872114075403E-7</v>
      </c>
      <c r="Q701" s="81">
        <v>1.20798472657645E-5</v>
      </c>
      <c r="R701" s="81">
        <v>1.61869953361244E-3</v>
      </c>
      <c r="S701" s="102">
        <v>-3.4964958755802002E-2</v>
      </c>
      <c r="T701" s="79">
        <v>1.4189357405021001E-2</v>
      </c>
      <c r="U701" s="79">
        <v>1.3768953467884501E-2</v>
      </c>
      <c r="V701" s="79">
        <v>3.6218334122043998E-2</v>
      </c>
      <c r="W701" s="79">
        <v>1</v>
      </c>
    </row>
    <row r="702" spans="2:23" x14ac:dyDescent="0.2">
      <c r="B702" t="s">
        <v>170</v>
      </c>
      <c r="C702" s="84">
        <v>5036</v>
      </c>
      <c r="D702" s="102">
        <v>-2.16109080280549E-2</v>
      </c>
      <c r="E702" s="79">
        <v>1.4512214592325901E-2</v>
      </c>
      <c r="F702" s="79">
        <v>0.13651352965323399</v>
      </c>
      <c r="G702" s="79">
        <v>0.80938271582532695</v>
      </c>
      <c r="H702" s="79">
        <v>1</v>
      </c>
      <c r="I702" s="102">
        <v>-4.1552702081859197E-2</v>
      </c>
      <c r="J702" s="79">
        <v>1.44087262650876E-2</v>
      </c>
      <c r="K702" s="79">
        <v>3.9463924809216497E-3</v>
      </c>
      <c r="L702" s="79">
        <v>0.141434127611064</v>
      </c>
      <c r="M702" s="79">
        <v>1</v>
      </c>
      <c r="N702" s="102">
        <v>-4.8610763633308997E-2</v>
      </c>
      <c r="O702" s="79">
        <v>1.4295078388607701E-2</v>
      </c>
      <c r="P702" s="79">
        <v>6.7817988859447795E-4</v>
      </c>
      <c r="Q702" s="79">
        <v>3.2392976441692799E-3</v>
      </c>
      <c r="R702" s="79">
        <v>1</v>
      </c>
      <c r="S702" s="102">
        <v>-1.6935866014091298E-2</v>
      </c>
      <c r="T702" s="79">
        <v>1.4291879458882099E-2</v>
      </c>
      <c r="U702" s="79">
        <v>0.236077656866336</v>
      </c>
      <c r="V702" s="79">
        <v>0.34505224394441197</v>
      </c>
      <c r="W702" s="79">
        <v>1</v>
      </c>
    </row>
    <row r="703" spans="2:23" x14ac:dyDescent="0.2">
      <c r="B703" t="s">
        <v>171</v>
      </c>
      <c r="C703" s="84">
        <v>5036</v>
      </c>
      <c r="D703" s="102">
        <v>-1.52936230665664E-3</v>
      </c>
      <c r="E703" s="79">
        <v>1.44809511638296E-2</v>
      </c>
      <c r="F703" s="79">
        <v>0.91589463659058801</v>
      </c>
      <c r="G703" s="79">
        <v>0.99533029194181499</v>
      </c>
      <c r="H703" s="79">
        <v>1</v>
      </c>
      <c r="I703" s="102">
        <v>-1.55832394843947E-2</v>
      </c>
      <c r="J703" s="79">
        <v>1.43909647495027E-2</v>
      </c>
      <c r="K703" s="79">
        <v>0.27893129559819502</v>
      </c>
      <c r="L703" s="79">
        <v>0.69537030386512999</v>
      </c>
      <c r="M703" s="79">
        <v>1</v>
      </c>
      <c r="N703" s="102">
        <v>-4.5016300266075997E-2</v>
      </c>
      <c r="O703" s="79">
        <v>1.42649103298889E-2</v>
      </c>
      <c r="P703" s="79">
        <v>1.61100407539671E-3</v>
      </c>
      <c r="Q703" s="79">
        <v>6.4364172257595003E-3</v>
      </c>
      <c r="R703" s="79">
        <v>1</v>
      </c>
      <c r="S703" s="102">
        <v>-1.9896435634898499E-2</v>
      </c>
      <c r="T703" s="79">
        <v>1.4260184990819101E-2</v>
      </c>
      <c r="U703" s="79">
        <v>0.16300792481361301</v>
      </c>
      <c r="V703" s="79">
        <v>0.25870602147354799</v>
      </c>
      <c r="W703" s="79">
        <v>1</v>
      </c>
    </row>
    <row r="704" spans="2:23" x14ac:dyDescent="0.2">
      <c r="B704" t="s">
        <v>172</v>
      </c>
      <c r="C704" s="84">
        <v>5036</v>
      </c>
      <c r="D704" s="102">
        <v>-1.48796216229557E-2</v>
      </c>
      <c r="E704" s="79">
        <v>1.44095338745044E-2</v>
      </c>
      <c r="F704" s="79">
        <v>0.301832330607962</v>
      </c>
      <c r="G704" s="79">
        <v>0.87874159579827504</v>
      </c>
      <c r="H704" s="79">
        <v>1</v>
      </c>
      <c r="I704" s="102">
        <v>-4.2888539598708197E-2</v>
      </c>
      <c r="J704" s="79">
        <v>1.4310886288218401E-2</v>
      </c>
      <c r="K704" s="79">
        <v>2.7414909048276699E-3</v>
      </c>
      <c r="L704" s="79">
        <v>0.137147022622776</v>
      </c>
      <c r="M704" s="79">
        <v>1</v>
      </c>
      <c r="N704" s="107">
        <v>-7.3445805763393698E-2</v>
      </c>
      <c r="O704" s="81">
        <v>1.4172764362212801E-2</v>
      </c>
      <c r="P704" s="81">
        <v>2.2841564180778199E-7</v>
      </c>
      <c r="Q704" s="81">
        <v>3.3908754000397802E-6</v>
      </c>
      <c r="R704" s="81">
        <v>3.8693609722238303E-4</v>
      </c>
      <c r="S704" s="102">
        <v>-4.8252254828686697E-2</v>
      </c>
      <c r="T704" s="79">
        <v>1.41764233496678E-2</v>
      </c>
      <c r="U704" s="79">
        <v>6.7031384339659396E-4</v>
      </c>
      <c r="V704" s="79">
        <v>3.2913381180111E-3</v>
      </c>
      <c r="W704" s="79">
        <v>1</v>
      </c>
    </row>
    <row r="705" spans="2:23" x14ac:dyDescent="0.2">
      <c r="B705" t="s">
        <v>173</v>
      </c>
      <c r="C705" s="84">
        <v>5036</v>
      </c>
      <c r="D705" s="102">
        <v>9.4467842763844307E-3</v>
      </c>
      <c r="E705" s="79">
        <v>1.4471284758947401E-2</v>
      </c>
      <c r="F705" s="79">
        <v>0.51392000975478802</v>
      </c>
      <c r="G705" s="79">
        <v>0.91752655785263504</v>
      </c>
      <c r="H705" s="79">
        <v>1</v>
      </c>
      <c r="I705" s="102">
        <v>-2.1909903360915601E-2</v>
      </c>
      <c r="J705" s="79">
        <v>1.4376204189503999E-2</v>
      </c>
      <c r="K705" s="79">
        <v>0.12756689263694601</v>
      </c>
      <c r="L705" s="79">
        <v>0.55552266356551805</v>
      </c>
      <c r="M705" s="79">
        <v>1</v>
      </c>
      <c r="N705" s="102">
        <v>-3.0193105618459198E-2</v>
      </c>
      <c r="O705" s="79">
        <v>1.4265899589781699E-2</v>
      </c>
      <c r="P705" s="79">
        <v>3.4358833263344497E-2</v>
      </c>
      <c r="Q705" s="79">
        <v>7.4716127789609205E-2</v>
      </c>
      <c r="R705" s="79">
        <v>1</v>
      </c>
      <c r="S705" s="102">
        <v>-2.61121930883388E-2</v>
      </c>
      <c r="T705" s="79">
        <v>1.4247322333599601E-2</v>
      </c>
      <c r="U705" s="79">
        <v>6.6898775251053297E-2</v>
      </c>
      <c r="V705" s="79">
        <v>0.12776383909276701</v>
      </c>
      <c r="W705" s="79">
        <v>1</v>
      </c>
    </row>
    <row r="706" spans="2:23" x14ac:dyDescent="0.2">
      <c r="B706" t="s">
        <v>174</v>
      </c>
      <c r="C706" s="84">
        <v>5036</v>
      </c>
      <c r="D706" s="102">
        <v>-1.26154839613687E-2</v>
      </c>
      <c r="E706" s="79">
        <v>1.45517144747825E-2</v>
      </c>
      <c r="F706" s="79">
        <v>0.386017742738758</v>
      </c>
      <c r="G706" s="79">
        <v>0.89461055933914202</v>
      </c>
      <c r="H706" s="79">
        <v>1</v>
      </c>
      <c r="I706" s="102">
        <v>-5.66518376673638E-2</v>
      </c>
      <c r="J706" s="79">
        <v>1.44356786196759E-2</v>
      </c>
      <c r="K706" s="79">
        <v>8.8184361757094205E-5</v>
      </c>
      <c r="L706" s="79">
        <v>3.7346077204129399E-2</v>
      </c>
      <c r="M706" s="79">
        <v>0.14938430881651801</v>
      </c>
      <c r="N706" s="107">
        <v>-8.3547158755453502E-2</v>
      </c>
      <c r="O706" s="81">
        <v>1.42986509733747E-2</v>
      </c>
      <c r="P706" s="81">
        <v>5.4713081604261397E-9</v>
      </c>
      <c r="Q706" s="81">
        <v>1.14424642268665E-7</v>
      </c>
      <c r="R706" s="81">
        <v>9.2683960237618796E-6</v>
      </c>
      <c r="S706" s="102">
        <v>-5.9310010558520698E-2</v>
      </c>
      <c r="T706" s="79">
        <v>1.4304563020995699E-2</v>
      </c>
      <c r="U706" s="79">
        <v>3.4392654476140999E-5</v>
      </c>
      <c r="V706" s="79">
        <v>3.2367309268101598E-4</v>
      </c>
      <c r="W706" s="79">
        <v>5.8261156682582901E-2</v>
      </c>
    </row>
    <row r="707" spans="2:23" x14ac:dyDescent="0.2">
      <c r="B707" t="s">
        <v>175</v>
      </c>
      <c r="C707" s="84">
        <v>5036</v>
      </c>
      <c r="D707" s="102">
        <v>-1.9418018832648699E-2</v>
      </c>
      <c r="E707" s="79">
        <v>1.4533134570766699E-2</v>
      </c>
      <c r="F707" s="79">
        <v>0.18157460710274401</v>
      </c>
      <c r="G707" s="79">
        <v>0.83003013605610498</v>
      </c>
      <c r="H707" s="79">
        <v>1</v>
      </c>
      <c r="I707" s="102">
        <v>-5.7930435842911798E-2</v>
      </c>
      <c r="J707" s="79">
        <v>1.44063471889404E-2</v>
      </c>
      <c r="K707" s="79">
        <v>5.8838549203956701E-5</v>
      </c>
      <c r="L707" s="79">
        <v>3.7346077204129399E-2</v>
      </c>
      <c r="M707" s="79">
        <v>9.9672502351502698E-2</v>
      </c>
      <c r="N707" s="107">
        <v>-7.0059978461619099E-2</v>
      </c>
      <c r="O707" s="81">
        <v>1.4288536279976999E-2</v>
      </c>
      <c r="P707" s="81">
        <v>9.7497629679817796E-7</v>
      </c>
      <c r="Q707" s="81">
        <v>1.2234147013156399E-5</v>
      </c>
      <c r="R707" s="81">
        <v>1.65160984677611E-3</v>
      </c>
      <c r="S707" s="107">
        <v>-7.2176387091188704E-2</v>
      </c>
      <c r="T707" s="81">
        <v>1.42698931292257E-2</v>
      </c>
      <c r="U707" s="81">
        <v>4.4012517941236798E-7</v>
      </c>
      <c r="V707" s="81">
        <v>8.7714359285241299E-6</v>
      </c>
      <c r="W707" s="81">
        <v>7.4557205392455103E-4</v>
      </c>
    </row>
    <row r="708" spans="2:23" x14ac:dyDescent="0.2">
      <c r="B708" t="s">
        <v>195</v>
      </c>
      <c r="C708" s="84">
        <v>5036</v>
      </c>
      <c r="D708" s="102">
        <v>6.3786694840717801E-3</v>
      </c>
      <c r="E708" s="79">
        <v>1.4439049920960701E-2</v>
      </c>
      <c r="F708" s="79">
        <v>0.65867921961237097</v>
      </c>
      <c r="G708" s="79">
        <v>0.95805425431636804</v>
      </c>
      <c r="H708" s="79">
        <v>1</v>
      </c>
      <c r="I708" s="102">
        <v>2.1913034750629602E-2</v>
      </c>
      <c r="J708" s="79">
        <v>1.43408842776728E-2</v>
      </c>
      <c r="K708" s="79">
        <v>0.12657752830647001</v>
      </c>
      <c r="L708" s="79">
        <v>0.55552266356551805</v>
      </c>
      <c r="M708" s="79">
        <v>1</v>
      </c>
      <c r="N708" s="107">
        <v>8.4046230718506004E-2</v>
      </c>
      <c r="O708" s="81">
        <v>1.4178550139682E-2</v>
      </c>
      <c r="P708" s="81">
        <v>3.2919140610858701E-9</v>
      </c>
      <c r="Q708" s="81">
        <v>7.9210892005424305E-8</v>
      </c>
      <c r="R708" s="81">
        <v>5.5765024194794599E-6</v>
      </c>
      <c r="S708" s="102">
        <v>5.6936769439614003E-2</v>
      </c>
      <c r="T708" s="79">
        <v>1.41916417705489E-2</v>
      </c>
      <c r="U708" s="79">
        <v>6.1143118807715003E-5</v>
      </c>
      <c r="V708" s="79">
        <v>4.9188075278451201E-4</v>
      </c>
      <c r="W708" s="79">
        <v>0.103576443260269</v>
      </c>
    </row>
    <row r="709" spans="2:23" x14ac:dyDescent="0.2">
      <c r="B709" t="s">
        <v>194</v>
      </c>
      <c r="C709" s="84">
        <v>5036</v>
      </c>
      <c r="D709" s="102">
        <v>-1.6507396750287898E-2</v>
      </c>
      <c r="E709" s="79">
        <v>1.44815325076253E-2</v>
      </c>
      <c r="F709" s="79">
        <v>0.25438783718474201</v>
      </c>
      <c r="G709" s="79">
        <v>0.85990749347533801</v>
      </c>
      <c r="H709" s="79">
        <v>1</v>
      </c>
      <c r="I709" s="107">
        <v>-6.2402632215324799E-2</v>
      </c>
      <c r="J709" s="81">
        <v>1.43676926047588E-2</v>
      </c>
      <c r="K709" s="81">
        <v>1.43335907166535E-5</v>
      </c>
      <c r="L709" s="81">
        <v>2.4281102674010999E-2</v>
      </c>
      <c r="M709" s="81">
        <v>2.4281102674010999E-2</v>
      </c>
      <c r="N709" s="107">
        <v>-0.100405121050436</v>
      </c>
      <c r="O709" s="81">
        <v>1.4211556244730601E-2</v>
      </c>
      <c r="P709" s="81">
        <v>1.83874244968224E-12</v>
      </c>
      <c r="Q709" s="81">
        <v>1.15364063324508E-10</v>
      </c>
      <c r="R709" s="81">
        <v>3.1148297097617102E-9</v>
      </c>
      <c r="S709" s="107">
        <v>-8.3242657223246697E-2</v>
      </c>
      <c r="T709" s="81">
        <v>1.42177587013275E-2</v>
      </c>
      <c r="U709" s="81">
        <v>5.0960583829878E-9</v>
      </c>
      <c r="V709" s="81">
        <v>2.8819989316526802E-7</v>
      </c>
      <c r="W709" s="81">
        <v>8.6327229007813295E-6</v>
      </c>
    </row>
    <row r="710" spans="2:23" x14ac:dyDescent="0.2">
      <c r="B710" t="s">
        <v>193</v>
      </c>
      <c r="C710" s="84">
        <v>5036</v>
      </c>
      <c r="D710" s="102">
        <v>-1.38441492879405E-2</v>
      </c>
      <c r="E710" s="79">
        <v>1.44894824318176E-2</v>
      </c>
      <c r="F710" s="79">
        <v>0.339392162473795</v>
      </c>
      <c r="G710" s="79">
        <v>0.88889892785277203</v>
      </c>
      <c r="H710" s="79">
        <v>1</v>
      </c>
      <c r="I710" s="102">
        <v>-4.6425739758662397E-2</v>
      </c>
      <c r="J710" s="79">
        <v>1.439532944145E-2</v>
      </c>
      <c r="K710" s="79">
        <v>1.26805790673046E-3</v>
      </c>
      <c r="L710" s="79">
        <v>0.108306488101845</v>
      </c>
      <c r="M710" s="79">
        <v>1</v>
      </c>
      <c r="N710" s="107">
        <v>-7.2583853956862204E-2</v>
      </c>
      <c r="O710" s="81">
        <v>1.4258343974618899E-2</v>
      </c>
      <c r="P710" s="81">
        <v>3.70633871334578E-7</v>
      </c>
      <c r="Q710" s="81">
        <v>5.3662716071861099E-6</v>
      </c>
      <c r="R710" s="81">
        <v>6.2785377804077498E-4</v>
      </c>
      <c r="S710" s="102">
        <v>-4.7460003460163699E-2</v>
      </c>
      <c r="T710" s="79">
        <v>1.42608215330308E-2</v>
      </c>
      <c r="U710" s="79">
        <v>8.8136330614605103E-4</v>
      </c>
      <c r="V710" s="79">
        <v>4.0793154115065901E-3</v>
      </c>
      <c r="W710" s="79">
        <v>1</v>
      </c>
    </row>
    <row r="711" spans="2:23" x14ac:dyDescent="0.2">
      <c r="B711" s="51" t="s">
        <v>2603</v>
      </c>
      <c r="C711" s="84"/>
      <c r="D711" s="102"/>
      <c r="E711" s="79"/>
      <c r="F711" s="79"/>
      <c r="G711" s="79"/>
      <c r="H711" s="79"/>
      <c r="I711" s="102"/>
      <c r="J711" s="79"/>
      <c r="K711" s="79"/>
      <c r="L711" s="79"/>
      <c r="M711" s="79"/>
      <c r="N711" s="102" t="e">
        <v>#N/A</v>
      </c>
      <c r="O711" s="79" t="e">
        <v>#N/A</v>
      </c>
      <c r="P711" s="79" t="e">
        <v>#N/A</v>
      </c>
      <c r="Q711" s="79" t="e">
        <v>#N/A</v>
      </c>
      <c r="R711" s="79" t="e">
        <v>#N/A</v>
      </c>
      <c r="S711" s="102" t="e">
        <v>#N/A</v>
      </c>
      <c r="T711" s="79" t="e">
        <v>#N/A</v>
      </c>
      <c r="U711" s="79" t="e">
        <v>#N/A</v>
      </c>
      <c r="V711" s="79" t="e">
        <v>#N/A</v>
      </c>
      <c r="W711" s="79" t="e">
        <v>#N/A</v>
      </c>
    </row>
    <row r="712" spans="2:23" x14ac:dyDescent="0.2">
      <c r="B712" t="s">
        <v>221</v>
      </c>
      <c r="C712" s="84">
        <v>1766</v>
      </c>
      <c r="D712" s="102">
        <v>-5.6145528279687502E-2</v>
      </c>
      <c r="E712" s="79">
        <v>1.6325680949811901E-2</v>
      </c>
      <c r="F712" s="79">
        <v>5.9005467153704495E-4</v>
      </c>
      <c r="G712" s="79">
        <v>0.14279323051196499</v>
      </c>
      <c r="H712" s="79">
        <v>0.99955261358375402</v>
      </c>
      <c r="I712" s="102">
        <v>1.6111387213609E-2</v>
      </c>
      <c r="J712" s="79">
        <v>1.6388796926336401E-2</v>
      </c>
      <c r="K712" s="79">
        <v>0.32563558451979902</v>
      </c>
      <c r="L712" s="79">
        <v>0.71688335035341899</v>
      </c>
      <c r="M712" s="79">
        <v>1</v>
      </c>
      <c r="N712" s="102">
        <v>5.0428003617012503E-2</v>
      </c>
      <c r="O712" s="79">
        <v>1.6166136895331602E-2</v>
      </c>
      <c r="P712" s="79">
        <v>1.8262112776829399E-3</v>
      </c>
      <c r="Q712" s="79">
        <v>7.0149703047503401E-3</v>
      </c>
      <c r="R712" s="79">
        <v>1</v>
      </c>
      <c r="S712" s="102">
        <v>4.2253368767818003E-2</v>
      </c>
      <c r="T712" s="79">
        <v>1.61931341583017E-2</v>
      </c>
      <c r="U712" s="79">
        <v>9.1080914642981906E-3</v>
      </c>
      <c r="V712" s="79">
        <v>2.62422608663209E-2</v>
      </c>
      <c r="W712" s="79">
        <v>1</v>
      </c>
    </row>
    <row r="713" spans="2:23" x14ac:dyDescent="0.2">
      <c r="B713" t="s">
        <v>219</v>
      </c>
      <c r="C713" s="84">
        <v>1504</v>
      </c>
      <c r="D713" s="102">
        <v>-2.7576156119868699E-2</v>
      </c>
      <c r="E713" s="79">
        <v>1.3810271243400099E-2</v>
      </c>
      <c r="F713" s="79">
        <v>4.5909375202411201E-2</v>
      </c>
      <c r="G713" s="79">
        <v>0.68219720695512798</v>
      </c>
      <c r="H713" s="79">
        <v>1</v>
      </c>
      <c r="I713" s="102">
        <v>4.1824187336296304E-3</v>
      </c>
      <c r="J713" s="79">
        <v>1.3836921966734901E-2</v>
      </c>
      <c r="K713" s="79">
        <v>0.76246413974389404</v>
      </c>
      <c r="L713" s="79">
        <v>0.92637153989923704</v>
      </c>
      <c r="M713" s="79">
        <v>1</v>
      </c>
      <c r="N713" s="102">
        <v>-7.2697842021653804E-3</v>
      </c>
      <c r="O713" s="79">
        <v>1.3698182963761799E-2</v>
      </c>
      <c r="P713" s="79">
        <v>0.59564518706746505</v>
      </c>
      <c r="Q713" s="79">
        <v>0.69824139541517505</v>
      </c>
      <c r="R713" s="79">
        <v>1</v>
      </c>
      <c r="S713" s="102">
        <v>-2.89469811627732E-3</v>
      </c>
      <c r="T713" s="79">
        <v>1.3697769754185799E-2</v>
      </c>
      <c r="U713" s="79">
        <v>0.83264241538875905</v>
      </c>
      <c r="V713" s="79">
        <v>0.87772013171658803</v>
      </c>
      <c r="W713" s="79">
        <v>1</v>
      </c>
    </row>
    <row r="714" spans="2:23" x14ac:dyDescent="0.2">
      <c r="B714" t="s">
        <v>3237</v>
      </c>
      <c r="C714" s="84">
        <v>1766</v>
      </c>
      <c r="D714" s="102">
        <v>-5.5832764143056997E-2</v>
      </c>
      <c r="E714" s="79">
        <v>1.5813945141231599E-2</v>
      </c>
      <c r="F714" s="79">
        <v>4.19477717373403E-4</v>
      </c>
      <c r="G714" s="79">
        <v>0.118432542205091</v>
      </c>
      <c r="H714" s="79">
        <v>0.71059525323054495</v>
      </c>
      <c r="I714" s="102">
        <v>1.5753135440857199E-2</v>
      </c>
      <c r="J714" s="79">
        <v>1.5862934310166301E-2</v>
      </c>
      <c r="K714" s="79">
        <v>0.32073438245345598</v>
      </c>
      <c r="L714" s="79">
        <v>0.71493966280838095</v>
      </c>
      <c r="M714" s="79">
        <v>1</v>
      </c>
      <c r="N714" s="102">
        <v>5.2596162052511601E-2</v>
      </c>
      <c r="O714" s="79">
        <v>1.56334579799648E-2</v>
      </c>
      <c r="P714" s="79">
        <v>7.7479479091433802E-4</v>
      </c>
      <c r="Q714" s="79">
        <v>3.6320291338336501E-3</v>
      </c>
      <c r="R714" s="79">
        <v>1</v>
      </c>
      <c r="S714" s="102">
        <v>4.0957609617251298E-2</v>
      </c>
      <c r="T714" s="79">
        <v>1.5693354277986699E-2</v>
      </c>
      <c r="U714" s="79">
        <v>9.0928340715369597E-3</v>
      </c>
      <c r="V714" s="79">
        <v>2.62422608663209E-2</v>
      </c>
      <c r="W714" s="79">
        <v>1</v>
      </c>
    </row>
    <row r="715" spans="2:23" x14ac:dyDescent="0.2">
      <c r="B715" t="s">
        <v>1287</v>
      </c>
      <c r="C715" s="84">
        <v>5389</v>
      </c>
      <c r="D715" s="102">
        <v>5.9820248547629302E-2</v>
      </c>
      <c r="E715" s="79">
        <v>5.78015999097959E-2</v>
      </c>
      <c r="F715" s="79">
        <v>0.30141880933347398</v>
      </c>
      <c r="G715" s="79">
        <v>0.87874159579827504</v>
      </c>
      <c r="H715" s="79">
        <v>1</v>
      </c>
      <c r="I715" s="102">
        <v>-3.3096699713511701E-2</v>
      </c>
      <c r="J715" s="79">
        <v>5.6081638943324699E-2</v>
      </c>
      <c r="K715" s="79">
        <v>0.55547583342715601</v>
      </c>
      <c r="L715" s="79">
        <v>0.85699094883934601</v>
      </c>
      <c r="M715" s="79">
        <v>1</v>
      </c>
      <c r="N715" s="102">
        <v>5.3860823151845698E-2</v>
      </c>
      <c r="O715" s="79">
        <v>5.7887013844563698E-2</v>
      </c>
      <c r="P715" s="79">
        <v>0.35278400879768601</v>
      </c>
      <c r="Q715" s="79">
        <v>0.46871851835551398</v>
      </c>
      <c r="R715" s="79">
        <v>1</v>
      </c>
      <c r="S715" s="102">
        <v>3.7415966305305103E-2</v>
      </c>
      <c r="T715" s="79">
        <v>5.3381694442166699E-2</v>
      </c>
      <c r="U715" s="79">
        <v>0.48382080559964102</v>
      </c>
      <c r="V715" s="79">
        <v>0.59552486622929601</v>
      </c>
      <c r="W715" s="79">
        <v>1</v>
      </c>
    </row>
    <row r="716" spans="2:23" x14ac:dyDescent="0.2">
      <c r="B716" t="s">
        <v>1286</v>
      </c>
      <c r="C716" s="84">
        <v>5389</v>
      </c>
      <c r="D716" s="102">
        <v>1.7142256563923401E-4</v>
      </c>
      <c r="E716" s="79">
        <v>5.7199857203608998E-2</v>
      </c>
      <c r="F716" s="79">
        <v>0.99761061320988298</v>
      </c>
      <c r="G716" s="79">
        <v>0.99962502278478604</v>
      </c>
      <c r="H716" s="79">
        <v>1</v>
      </c>
      <c r="I716" s="102">
        <v>-8.4086601506175307E-2</v>
      </c>
      <c r="J716" s="79">
        <v>5.4878186365410399E-2</v>
      </c>
      <c r="K716" s="79">
        <v>0.12651250994516899</v>
      </c>
      <c r="L716" s="79">
        <v>0.55552266356551805</v>
      </c>
      <c r="M716" s="79">
        <v>1</v>
      </c>
      <c r="N716" s="102">
        <v>-8.3526405968830601E-3</v>
      </c>
      <c r="O716" s="79">
        <v>5.71238410310086E-2</v>
      </c>
      <c r="P716" s="79">
        <v>0.88383727596827599</v>
      </c>
      <c r="Q716" s="79">
        <v>0.92079972047371506</v>
      </c>
      <c r="R716" s="79">
        <v>1</v>
      </c>
      <c r="S716" s="102">
        <v>3.9617180663273001E-2</v>
      </c>
      <c r="T716" s="79">
        <v>5.2876064958492397E-2</v>
      </c>
      <c r="U716" s="79">
        <v>0.45423281412184702</v>
      </c>
      <c r="V716" s="79">
        <v>0.57040058348584799</v>
      </c>
      <c r="W716" s="79">
        <v>1</v>
      </c>
    </row>
    <row r="717" spans="2:23" x14ac:dyDescent="0.2">
      <c r="B717" t="s">
        <v>1306</v>
      </c>
      <c r="C717" s="84">
        <v>5266</v>
      </c>
      <c r="D717" s="102">
        <v>6.3033413774412003E-3</v>
      </c>
      <c r="E717" s="79">
        <v>4.6707152765507201E-2</v>
      </c>
      <c r="F717" s="79">
        <v>0.89270121712682404</v>
      </c>
      <c r="G717" s="79">
        <v>0.99362338620020496</v>
      </c>
      <c r="H717" s="79">
        <v>1</v>
      </c>
      <c r="I717" s="102">
        <v>1.0269686593097E-2</v>
      </c>
      <c r="J717" s="79">
        <v>4.5716436743552101E-2</v>
      </c>
      <c r="K717" s="79">
        <v>0.82235055927730705</v>
      </c>
      <c r="L717" s="79">
        <v>0.94998686769083596</v>
      </c>
      <c r="M717" s="79">
        <v>1</v>
      </c>
      <c r="N717" s="102">
        <v>-6.5872999814931305E-2</v>
      </c>
      <c r="O717" s="79">
        <v>4.5475043237645597E-2</v>
      </c>
      <c r="P717" s="79">
        <v>0.148081786421672</v>
      </c>
      <c r="Q717" s="79">
        <v>0.23754786571809899</v>
      </c>
      <c r="R717" s="79">
        <v>1</v>
      </c>
      <c r="S717" s="102">
        <v>-3.3354275156218298E-2</v>
      </c>
      <c r="T717" s="79">
        <v>4.3706090352012603E-2</v>
      </c>
      <c r="U717" s="79">
        <v>0.44574309729348999</v>
      </c>
      <c r="V717" s="79">
        <v>0.56182202888033606</v>
      </c>
      <c r="W717" s="79">
        <v>1</v>
      </c>
    </row>
    <row r="718" spans="2:23" x14ac:dyDescent="0.2">
      <c r="B718" t="s">
        <v>1289</v>
      </c>
      <c r="C718" s="84">
        <v>5389</v>
      </c>
      <c r="D718" s="102">
        <v>-5.0206138685062601E-2</v>
      </c>
      <c r="E718" s="79">
        <v>5.57418132512668E-2</v>
      </c>
      <c r="F718" s="79">
        <v>0.36837493720408399</v>
      </c>
      <c r="G718" s="79">
        <v>0.89461055933914202</v>
      </c>
      <c r="H718" s="79">
        <v>1</v>
      </c>
      <c r="I718" s="102">
        <v>-6.2944696233457803E-2</v>
      </c>
      <c r="J718" s="79">
        <v>5.3952241110628199E-2</v>
      </c>
      <c r="K718" s="79">
        <v>0.244146166730038</v>
      </c>
      <c r="L718" s="79">
        <v>0.67140195850760498</v>
      </c>
      <c r="M718" s="79">
        <v>1</v>
      </c>
      <c r="N718" s="102">
        <v>-1.1594799083736399E-2</v>
      </c>
      <c r="O718" s="79">
        <v>5.5904051704299101E-2</v>
      </c>
      <c r="P718" s="79">
        <v>0.83581439438745797</v>
      </c>
      <c r="Q718" s="79">
        <v>0.88880702077360596</v>
      </c>
      <c r="R718" s="79">
        <v>1</v>
      </c>
      <c r="S718" s="102">
        <v>5.8692117603671698E-2</v>
      </c>
      <c r="T718" s="79">
        <v>5.14400669965831E-2</v>
      </c>
      <c r="U718" s="79">
        <v>0.254660128319462</v>
      </c>
      <c r="V718" s="79">
        <v>0.36466124883615297</v>
      </c>
      <c r="W718" s="79">
        <v>1</v>
      </c>
    </row>
    <row r="719" spans="2:23" x14ac:dyDescent="0.2">
      <c r="B719" t="s">
        <v>1288</v>
      </c>
      <c r="C719" s="84">
        <v>5389</v>
      </c>
      <c r="D719" s="102">
        <v>-7.1297207989772807E-2</v>
      </c>
      <c r="E719" s="79">
        <v>5.6545435748671102E-2</v>
      </c>
      <c r="F719" s="79">
        <v>0.20819085260380499</v>
      </c>
      <c r="G719" s="79">
        <v>0.83451685541571996</v>
      </c>
      <c r="H719" s="79">
        <v>1</v>
      </c>
      <c r="I719" s="102">
        <v>-8.5048849058370402E-2</v>
      </c>
      <c r="J719" s="79">
        <v>5.4702207340165697E-2</v>
      </c>
      <c r="K719" s="79">
        <v>0.120917267298481</v>
      </c>
      <c r="L719" s="79">
        <v>0.55552266356551805</v>
      </c>
      <c r="M719" s="79">
        <v>1</v>
      </c>
      <c r="N719" s="102">
        <v>-6.6977955860067703E-2</v>
      </c>
      <c r="O719" s="79">
        <v>5.6590373148471602E-2</v>
      </c>
      <c r="P719" s="79">
        <v>0.23739263490443299</v>
      </c>
      <c r="Q719" s="79">
        <v>0.34607841955947499</v>
      </c>
      <c r="R719" s="79">
        <v>1</v>
      </c>
      <c r="S719" s="102">
        <v>5.2707559360537601E-2</v>
      </c>
      <c r="T719" s="79">
        <v>5.2255374862363001E-2</v>
      </c>
      <c r="U719" s="79">
        <v>0.31383591866323102</v>
      </c>
      <c r="V719" s="79">
        <v>0.429086397268372</v>
      </c>
      <c r="W719" s="79">
        <v>1</v>
      </c>
    </row>
    <row r="720" spans="2:23" x14ac:dyDescent="0.2">
      <c r="B720" t="s">
        <v>1294</v>
      </c>
      <c r="C720" s="84">
        <v>5387</v>
      </c>
      <c r="D720" s="102">
        <v>-2.6851744094528399E-2</v>
      </c>
      <c r="E720" s="79">
        <v>4.6656283629492402E-2</v>
      </c>
      <c r="F720" s="79">
        <v>0.56519421461778196</v>
      </c>
      <c r="G720" s="79">
        <v>0.93167796111031398</v>
      </c>
      <c r="H720" s="79">
        <v>1</v>
      </c>
      <c r="I720" s="102">
        <v>-3.6198193517875798E-3</v>
      </c>
      <c r="J720" s="79">
        <v>4.5626561705195898E-2</v>
      </c>
      <c r="K720" s="79">
        <v>0.93679747013274905</v>
      </c>
      <c r="L720" s="79">
        <v>0.98657037744749898</v>
      </c>
      <c r="M720" s="79">
        <v>1</v>
      </c>
      <c r="N720" s="102">
        <v>-5.6438183164403799E-2</v>
      </c>
      <c r="O720" s="79">
        <v>4.55447647476388E-2</v>
      </c>
      <c r="P720" s="79">
        <v>0.21585310172431499</v>
      </c>
      <c r="Q720" s="79">
        <v>0.321313843867302</v>
      </c>
      <c r="R720" s="79">
        <v>1</v>
      </c>
      <c r="S720" s="102">
        <v>3.9306971416054798E-2</v>
      </c>
      <c r="T720" s="79">
        <v>4.4077722192017298E-2</v>
      </c>
      <c r="U720" s="79">
        <v>0.37293917451537301</v>
      </c>
      <c r="V720" s="79">
        <v>0.49125891261978399</v>
      </c>
      <c r="W720" s="79">
        <v>1</v>
      </c>
    </row>
    <row r="721" spans="2:23" x14ac:dyDescent="0.2">
      <c r="B721" t="s">
        <v>1307</v>
      </c>
      <c r="C721" s="84">
        <v>5342</v>
      </c>
      <c r="D721" s="102">
        <v>2.3982785530323202E-2</v>
      </c>
      <c r="E721" s="79">
        <v>4.6013284327680301E-2</v>
      </c>
      <c r="F721" s="79">
        <v>0.60244508727243595</v>
      </c>
      <c r="G721" s="79">
        <v>0.94340566501007395</v>
      </c>
      <c r="H721" s="79">
        <v>1</v>
      </c>
      <c r="I721" s="102">
        <v>5.69490613055832E-2</v>
      </c>
      <c r="J721" s="79">
        <v>4.4954827586022102E-2</v>
      </c>
      <c r="K721" s="79">
        <v>0.20580795790907799</v>
      </c>
      <c r="L721" s="79">
        <v>0.64562718647773698</v>
      </c>
      <c r="M721" s="79">
        <v>1</v>
      </c>
      <c r="N721" s="102">
        <v>5.51126803679362E-2</v>
      </c>
      <c r="O721" s="79">
        <v>4.4819822596463103E-2</v>
      </c>
      <c r="P721" s="79">
        <v>0.21940147027019999</v>
      </c>
      <c r="Q721" s="79">
        <v>0.324882946361642</v>
      </c>
      <c r="R721" s="79">
        <v>1</v>
      </c>
      <c r="S721" s="102">
        <v>8.0179842376884895E-4</v>
      </c>
      <c r="T721" s="79">
        <v>4.3082615166327401E-2</v>
      </c>
      <c r="U721" s="79">
        <v>0.985159242516223</v>
      </c>
      <c r="V721" s="79">
        <v>0.99100935678294699</v>
      </c>
      <c r="W721" s="79">
        <v>1</v>
      </c>
    </row>
    <row r="722" spans="2:23" x14ac:dyDescent="0.2">
      <c r="B722" t="s">
        <v>1309</v>
      </c>
      <c r="C722" s="84">
        <v>5303</v>
      </c>
      <c r="D722" s="102">
        <v>-1.23811728178052E-2</v>
      </c>
      <c r="E722" s="79">
        <v>5.6753470739136898E-2</v>
      </c>
      <c r="F722" s="79">
        <v>0.82743310575433004</v>
      </c>
      <c r="G722" s="79">
        <v>0.99362338620020496</v>
      </c>
      <c r="H722" s="79">
        <v>1</v>
      </c>
      <c r="I722" s="102">
        <v>7.8092905732197598E-2</v>
      </c>
      <c r="J722" s="79">
        <v>5.5018570604983698E-2</v>
      </c>
      <c r="K722" s="79">
        <v>0.156668008654651</v>
      </c>
      <c r="L722" s="79">
        <v>0.59601477595142704</v>
      </c>
      <c r="M722" s="79">
        <v>1</v>
      </c>
      <c r="N722" s="102">
        <v>-3.8771220310359102E-3</v>
      </c>
      <c r="O722" s="79">
        <v>5.6947363533493799E-2</v>
      </c>
      <c r="P722" s="79">
        <v>0.945758479181805</v>
      </c>
      <c r="Q722" s="79">
        <v>0.96165357967225595</v>
      </c>
      <c r="R722" s="79">
        <v>1</v>
      </c>
      <c r="S722" s="102">
        <v>0.12405361934765601</v>
      </c>
      <c r="T722" s="79">
        <v>5.1413825324447701E-2</v>
      </c>
      <c r="U722" s="79">
        <v>1.6340864411621098E-2</v>
      </c>
      <c r="V722" s="79">
        <v>4.1941551989827498E-2</v>
      </c>
      <c r="W722" s="79">
        <v>1</v>
      </c>
    </row>
    <row r="723" spans="2:23" x14ac:dyDescent="0.2">
      <c r="B723" t="s">
        <v>1290</v>
      </c>
      <c r="C723" s="84">
        <v>5389</v>
      </c>
      <c r="D723" s="102">
        <v>5.6055881640746999E-2</v>
      </c>
      <c r="E723" s="79">
        <v>5.4112610527269699E-2</v>
      </c>
      <c r="F723" s="79">
        <v>0.30096154325348701</v>
      </c>
      <c r="G723" s="79">
        <v>0.87874159579827504</v>
      </c>
      <c r="H723" s="79">
        <v>1</v>
      </c>
      <c r="I723" s="102">
        <v>6.4867970561568997E-2</v>
      </c>
      <c r="J723" s="79">
        <v>5.2632763008578699E-2</v>
      </c>
      <c r="K723" s="79">
        <v>0.218601216499094</v>
      </c>
      <c r="L723" s="79">
        <v>0.65175197558902398</v>
      </c>
      <c r="M723" s="79">
        <v>1</v>
      </c>
      <c r="N723" s="102">
        <v>-6.1980688313337799E-2</v>
      </c>
      <c r="O723" s="79">
        <v>5.4332621768436201E-2</v>
      </c>
      <c r="P723" s="79">
        <v>0.25474684971925199</v>
      </c>
      <c r="Q723" s="79">
        <v>0.36602303937609199</v>
      </c>
      <c r="R723" s="79">
        <v>1</v>
      </c>
      <c r="S723" s="102">
        <v>7.7893594723881604E-2</v>
      </c>
      <c r="T723" s="79">
        <v>4.9305934273137397E-2</v>
      </c>
      <c r="U723" s="79">
        <v>0.115063030880852</v>
      </c>
      <c r="V723" s="79">
        <v>0.197284184526481</v>
      </c>
      <c r="W723" s="79">
        <v>1</v>
      </c>
    </row>
    <row r="724" spans="2:23" x14ac:dyDescent="0.2">
      <c r="B724" t="s">
        <v>1295</v>
      </c>
      <c r="C724" s="84">
        <v>5387</v>
      </c>
      <c r="D724" s="102">
        <v>-5.7656996206163998E-2</v>
      </c>
      <c r="E724" s="79">
        <v>4.7519912475170602E-2</v>
      </c>
      <c r="F724" s="79">
        <v>0.225594107172463</v>
      </c>
      <c r="G724" s="79">
        <v>0.84071215771938901</v>
      </c>
      <c r="H724" s="79">
        <v>1</v>
      </c>
      <c r="I724" s="102">
        <v>2.09723235958497E-2</v>
      </c>
      <c r="J724" s="79">
        <v>4.6538408501742602E-2</v>
      </c>
      <c r="K724" s="79">
        <v>0.65245219754225103</v>
      </c>
      <c r="L724" s="79">
        <v>0.88374695918109603</v>
      </c>
      <c r="M724" s="79">
        <v>1</v>
      </c>
      <c r="N724" s="102">
        <v>-5.18098652596274E-2</v>
      </c>
      <c r="O724" s="79">
        <v>4.7531395257421498E-2</v>
      </c>
      <c r="P724" s="79">
        <v>0.276245982934467</v>
      </c>
      <c r="Q724" s="79">
        <v>0.38834912455683601</v>
      </c>
      <c r="R724" s="79">
        <v>1</v>
      </c>
      <c r="S724" s="102">
        <v>3.0761910004661899E-2</v>
      </c>
      <c r="T724" s="79">
        <v>4.4503242331623998E-2</v>
      </c>
      <c r="U724" s="79">
        <v>0.48975386371282098</v>
      </c>
      <c r="V724" s="79">
        <v>0.59927696124330698</v>
      </c>
      <c r="W724" s="79">
        <v>1</v>
      </c>
    </row>
    <row r="725" spans="2:23" x14ac:dyDescent="0.2">
      <c r="B725" t="s">
        <v>3388</v>
      </c>
      <c r="C725" s="84">
        <v>5387</v>
      </c>
      <c r="D725" s="102">
        <v>8.0482315598608897E-3</v>
      </c>
      <c r="E725" s="79">
        <v>3.0738296170821501E-2</v>
      </c>
      <c r="F725" s="79">
        <v>0.79456174096655197</v>
      </c>
      <c r="G725" s="79">
        <v>0.99188473780201902</v>
      </c>
      <c r="H725" s="79">
        <v>1</v>
      </c>
      <c r="I725" s="102">
        <v>-8.1362244380069493E-3</v>
      </c>
      <c r="J725" s="79">
        <v>2.8045034435762801E-2</v>
      </c>
      <c r="K725" s="79">
        <v>0.77318853332003801</v>
      </c>
      <c r="L725" s="79">
        <v>0.92861868293626904</v>
      </c>
      <c r="M725" s="79">
        <v>1</v>
      </c>
      <c r="N725" s="102">
        <v>-1.8964308213405601E-2</v>
      </c>
      <c r="O725" s="79">
        <v>3.3984718402589299E-2</v>
      </c>
      <c r="P725" s="79">
        <v>0.57873068987014897</v>
      </c>
      <c r="Q725" s="79">
        <v>0.68509419192175602</v>
      </c>
      <c r="R725" s="79">
        <v>1</v>
      </c>
      <c r="S725" s="102">
        <v>3.3717041029332102E-2</v>
      </c>
      <c r="T725" s="79">
        <v>2.7972467056446699E-2</v>
      </c>
      <c r="U725" s="79">
        <v>0.23327551002399</v>
      </c>
      <c r="V725" s="79">
        <v>0.34154599306883199</v>
      </c>
      <c r="W725" s="79">
        <v>1</v>
      </c>
    </row>
    <row r="726" spans="2:23" x14ac:dyDescent="0.2">
      <c r="B726" t="s">
        <v>3387</v>
      </c>
      <c r="C726" s="84">
        <v>5387</v>
      </c>
      <c r="D726" s="102">
        <v>-2.3827038718964199E-2</v>
      </c>
      <c r="E726" s="79">
        <v>3.8953904914313303E-2</v>
      </c>
      <c r="F726" s="79">
        <v>0.54267946935950495</v>
      </c>
      <c r="G726" s="79">
        <v>0.92553627343659495</v>
      </c>
      <c r="H726" s="79">
        <v>1</v>
      </c>
      <c r="I726" s="102">
        <v>-2.37604861063671E-3</v>
      </c>
      <c r="J726" s="79">
        <v>3.7068367982664101E-2</v>
      </c>
      <c r="K726" s="79">
        <v>0.94908891501673298</v>
      </c>
      <c r="L726" s="79">
        <v>0.99158948287371096</v>
      </c>
      <c r="M726" s="79">
        <v>1</v>
      </c>
      <c r="N726" s="102">
        <v>-1.34449241360797E-2</v>
      </c>
      <c r="O726" s="79">
        <v>4.2128146810630297E-2</v>
      </c>
      <c r="P726" s="79">
        <v>0.75025347654663999</v>
      </c>
      <c r="Q726" s="79">
        <v>0.83013023466362401</v>
      </c>
      <c r="R726" s="79">
        <v>1</v>
      </c>
      <c r="S726" s="102">
        <v>6.9776125031304898E-2</v>
      </c>
      <c r="T726" s="79">
        <v>3.48284711005876E-2</v>
      </c>
      <c r="U726" s="79">
        <v>4.8524018384409701E-2</v>
      </c>
      <c r="V726" s="79">
        <v>9.9666166537446602E-2</v>
      </c>
      <c r="W726" s="79">
        <v>1</v>
      </c>
    </row>
    <row r="727" spans="2:23" x14ac:dyDescent="0.2">
      <c r="B727" t="s">
        <v>1297</v>
      </c>
      <c r="C727" s="84">
        <v>5387</v>
      </c>
      <c r="D727" s="102">
        <v>7.2707155258806305E-2</v>
      </c>
      <c r="E727" s="79">
        <v>5.5320108400608699E-2</v>
      </c>
      <c r="F727" s="79">
        <v>0.18961732155326799</v>
      </c>
      <c r="G727" s="79">
        <v>0.83003013605610498</v>
      </c>
      <c r="H727" s="79">
        <v>1</v>
      </c>
      <c r="I727" s="102">
        <v>8.6175947372006498E-2</v>
      </c>
      <c r="J727" s="79">
        <v>5.3706188771899602E-2</v>
      </c>
      <c r="K727" s="79">
        <v>0.109495931369752</v>
      </c>
      <c r="L727" s="79">
        <v>0.53622641688935602</v>
      </c>
      <c r="M727" s="79">
        <v>1</v>
      </c>
      <c r="N727" s="102">
        <v>4.9233944267152996E-3</v>
      </c>
      <c r="O727" s="79">
        <v>5.5695069327227099E-2</v>
      </c>
      <c r="P727" s="79">
        <v>0.92961049792056305</v>
      </c>
      <c r="Q727" s="79">
        <v>0.95061921202892796</v>
      </c>
      <c r="R727" s="79">
        <v>1</v>
      </c>
      <c r="S727" s="102">
        <v>-2.7938052030870599E-2</v>
      </c>
      <c r="T727" s="79">
        <v>5.0998570154394601E-2</v>
      </c>
      <c r="U727" s="79">
        <v>0.58417142475807105</v>
      </c>
      <c r="V727" s="79">
        <v>0.67687167820805205</v>
      </c>
      <c r="W727" s="79">
        <v>1</v>
      </c>
    </row>
    <row r="728" spans="2:23" x14ac:dyDescent="0.2">
      <c r="B728" t="s">
        <v>1296</v>
      </c>
      <c r="C728" s="84">
        <v>5387</v>
      </c>
      <c r="D728" s="102">
        <v>2.3375448704404E-2</v>
      </c>
      <c r="E728" s="79">
        <v>5.7400328885407297E-2</v>
      </c>
      <c r="F728" s="79">
        <v>0.68408680941094802</v>
      </c>
      <c r="G728" s="79">
        <v>0.96670198527320195</v>
      </c>
      <c r="H728" s="79">
        <v>1</v>
      </c>
      <c r="I728" s="102">
        <v>4.0139091169665797E-2</v>
      </c>
      <c r="J728" s="79">
        <v>5.54903569876408E-2</v>
      </c>
      <c r="K728" s="79">
        <v>0.46996572124327401</v>
      </c>
      <c r="L728" s="79">
        <v>0.80241685035737897</v>
      </c>
      <c r="M728" s="79">
        <v>1</v>
      </c>
      <c r="N728" s="102">
        <v>2.9641130488376002E-3</v>
      </c>
      <c r="O728" s="79">
        <v>5.7493915546837998E-2</v>
      </c>
      <c r="P728" s="79">
        <v>0.95891293035029801</v>
      </c>
      <c r="Q728" s="79">
        <v>0.97094949432959099</v>
      </c>
      <c r="R728" s="79">
        <v>1</v>
      </c>
      <c r="S728" s="102">
        <v>-3.26222011740653E-2</v>
      </c>
      <c r="T728" s="79">
        <v>5.2994265910481501E-2</v>
      </c>
      <c r="U728" s="79">
        <v>0.53857440179627403</v>
      </c>
      <c r="V728" s="79">
        <v>0.64024213097746496</v>
      </c>
      <c r="W728" s="79">
        <v>1</v>
      </c>
    </row>
    <row r="729" spans="2:23" x14ac:dyDescent="0.2">
      <c r="B729" t="s">
        <v>1298</v>
      </c>
      <c r="C729" s="84">
        <v>5387</v>
      </c>
      <c r="D729" s="102">
        <v>3.4104943593159097E-2</v>
      </c>
      <c r="E729" s="79">
        <v>5.6031252750989698E-2</v>
      </c>
      <c r="F729" s="79">
        <v>0.54312659688304599</v>
      </c>
      <c r="G729" s="79">
        <v>0.92553627343659495</v>
      </c>
      <c r="H729" s="79">
        <v>1</v>
      </c>
      <c r="I729" s="102">
        <v>-8.9808532778704903E-2</v>
      </c>
      <c r="J729" s="79">
        <v>5.4213636993248097E-2</v>
      </c>
      <c r="K729" s="79">
        <v>9.8496087918984399E-2</v>
      </c>
      <c r="L729" s="79">
        <v>0.51533423575627901</v>
      </c>
      <c r="M729" s="79">
        <v>1</v>
      </c>
      <c r="N729" s="102">
        <v>-3.9219303797346797E-2</v>
      </c>
      <c r="O729" s="79">
        <v>5.6112093472222603E-2</v>
      </c>
      <c r="P729" s="79">
        <v>0.48504324495341</v>
      </c>
      <c r="Q729" s="79">
        <v>0.60195110399346297</v>
      </c>
      <c r="R729" s="79">
        <v>1</v>
      </c>
      <c r="S729" s="102">
        <v>-4.9980298355045902E-2</v>
      </c>
      <c r="T729" s="79">
        <v>5.1197465306904402E-2</v>
      </c>
      <c r="U729" s="79">
        <v>0.32961593417030499</v>
      </c>
      <c r="V729" s="79">
        <v>0.44562601155985399</v>
      </c>
      <c r="W729" s="79">
        <v>1</v>
      </c>
    </row>
    <row r="730" spans="2:23" x14ac:dyDescent="0.2">
      <c r="B730" t="s">
        <v>1299</v>
      </c>
      <c r="C730" s="84">
        <v>5387</v>
      </c>
      <c r="D730" s="102">
        <v>0.11355009424357</v>
      </c>
      <c r="E730" s="79">
        <v>5.3786909668533597E-2</v>
      </c>
      <c r="F730" s="79">
        <v>3.5473342355395801E-2</v>
      </c>
      <c r="G730" s="79">
        <v>0.65317219510913604</v>
      </c>
      <c r="H730" s="79">
        <v>1</v>
      </c>
      <c r="I730" s="102">
        <v>-3.8427109221710803E-2</v>
      </c>
      <c r="J730" s="79">
        <v>5.2656624008877398E-2</v>
      </c>
      <c r="K730" s="79">
        <v>0.46601917271745702</v>
      </c>
      <c r="L730" s="79">
        <v>0.799032058493933</v>
      </c>
      <c r="M730" s="79">
        <v>1</v>
      </c>
      <c r="N730" s="102">
        <v>-8.5135945211965894E-2</v>
      </c>
      <c r="O730" s="79">
        <v>5.4239204272845599E-2</v>
      </c>
      <c r="P730" s="79">
        <v>0.117391372803371</v>
      </c>
      <c r="Q730" s="79">
        <v>0.19728272373899899</v>
      </c>
      <c r="R730" s="79">
        <v>1</v>
      </c>
      <c r="S730" s="102">
        <v>-8.0945545761489504E-2</v>
      </c>
      <c r="T730" s="79">
        <v>4.9154880296458502E-2</v>
      </c>
      <c r="U730" s="79">
        <v>0.100523274722956</v>
      </c>
      <c r="V730" s="79">
        <v>0.176462619047345</v>
      </c>
      <c r="W730" s="79">
        <v>1</v>
      </c>
    </row>
    <row r="731" spans="2:23" x14ac:dyDescent="0.2">
      <c r="B731" t="s">
        <v>1291</v>
      </c>
      <c r="C731" s="84">
        <v>5389</v>
      </c>
      <c r="D731" s="102">
        <v>-6.7563317330240305E-2</v>
      </c>
      <c r="E731" s="79">
        <v>5.2935030182248301E-2</v>
      </c>
      <c r="F731" s="79">
        <v>0.20270838451268899</v>
      </c>
      <c r="G731" s="79">
        <v>0.83003013605610498</v>
      </c>
      <c r="H731" s="79">
        <v>1</v>
      </c>
      <c r="I731" s="102">
        <v>-7.2650527713610094E-2</v>
      </c>
      <c r="J731" s="79">
        <v>5.1638449666628297E-2</v>
      </c>
      <c r="K731" s="79">
        <v>0.16035965262408999</v>
      </c>
      <c r="L731" s="79">
        <v>0.60317525388412896</v>
      </c>
      <c r="M731" s="79">
        <v>1</v>
      </c>
      <c r="N731" s="102">
        <v>3.2114583514378202E-2</v>
      </c>
      <c r="O731" s="79">
        <v>5.3482266148063999E-2</v>
      </c>
      <c r="P731" s="79">
        <v>0.5485797967346</v>
      </c>
      <c r="Q731" s="79">
        <v>0.65954164348361399</v>
      </c>
      <c r="R731" s="79">
        <v>1</v>
      </c>
      <c r="S731" s="102">
        <v>-4.0739992111590599E-3</v>
      </c>
      <c r="T731" s="79">
        <v>4.84596157909995E-2</v>
      </c>
      <c r="U731" s="79">
        <v>0.93305087641516804</v>
      </c>
      <c r="V731" s="79">
        <v>0.95388544637736605</v>
      </c>
      <c r="W731" s="79">
        <v>1</v>
      </c>
    </row>
    <row r="732" spans="2:23" x14ac:dyDescent="0.2">
      <c r="B732" t="s">
        <v>1301</v>
      </c>
      <c r="C732" s="84">
        <v>5387</v>
      </c>
      <c r="D732" s="102">
        <v>1.3516185962619401E-2</v>
      </c>
      <c r="E732" s="79">
        <v>5.7364933793365699E-2</v>
      </c>
      <c r="F732" s="79">
        <v>0.81386766349358797</v>
      </c>
      <c r="G732" s="79">
        <v>0.99362338620020496</v>
      </c>
      <c r="H732" s="79">
        <v>1</v>
      </c>
      <c r="I732" s="102">
        <v>-4.56320283223942E-2</v>
      </c>
      <c r="J732" s="79">
        <v>5.5627325967105699E-2</v>
      </c>
      <c r="K732" s="79">
        <v>0.41259906192859103</v>
      </c>
      <c r="L732" s="79">
        <v>0.773619614230731</v>
      </c>
      <c r="M732" s="79">
        <v>1</v>
      </c>
      <c r="N732" s="102">
        <v>-1.0297734702299799E-2</v>
      </c>
      <c r="O732" s="79">
        <v>5.7525662890479903E-2</v>
      </c>
      <c r="P732" s="79">
        <v>0.85803305566116805</v>
      </c>
      <c r="Q732" s="79">
        <v>0.90561245874767504</v>
      </c>
      <c r="R732" s="79">
        <v>1</v>
      </c>
      <c r="S732" s="102">
        <v>5.4627547205446901E-3</v>
      </c>
      <c r="T732" s="79">
        <v>5.2900686629255997E-2</v>
      </c>
      <c r="U732" s="79">
        <v>0.91781244499024395</v>
      </c>
      <c r="V732" s="79">
        <v>0.94320626173890698</v>
      </c>
      <c r="W732" s="79">
        <v>1</v>
      </c>
    </row>
    <row r="733" spans="2:23" x14ac:dyDescent="0.2">
      <c r="B733" t="s">
        <v>1300</v>
      </c>
      <c r="C733" s="84">
        <v>5387</v>
      </c>
      <c r="D733" s="102">
        <v>-3.1032829402738001E-2</v>
      </c>
      <c r="E733" s="79">
        <v>5.7275216938565E-2</v>
      </c>
      <c r="F733" s="79">
        <v>0.58829217327849104</v>
      </c>
      <c r="G733" s="79">
        <v>0.93838695059676502</v>
      </c>
      <c r="H733" s="79">
        <v>1</v>
      </c>
      <c r="I733" s="102">
        <v>-6.9299028835347401E-2</v>
      </c>
      <c r="J733" s="79">
        <v>5.5150820188138203E-2</v>
      </c>
      <c r="K733" s="79">
        <v>0.20981295269070799</v>
      </c>
      <c r="L733" s="79">
        <v>0.64803390121802296</v>
      </c>
      <c r="M733" s="79">
        <v>1</v>
      </c>
      <c r="N733" s="102">
        <v>-8.7507834914626707E-3</v>
      </c>
      <c r="O733" s="79">
        <v>5.7256347382510703E-2</v>
      </c>
      <c r="P733" s="79">
        <v>0.87861804928124898</v>
      </c>
      <c r="Q733" s="79">
        <v>0.91875245400150396</v>
      </c>
      <c r="R733" s="79">
        <v>1</v>
      </c>
      <c r="S733" s="102">
        <v>-1.06109089870689E-4</v>
      </c>
      <c r="T733" s="79">
        <v>5.2939713771407201E-2</v>
      </c>
      <c r="U733" s="79">
        <v>0.99840192109783399</v>
      </c>
      <c r="V733" s="79">
        <v>0.99902750315914401</v>
      </c>
      <c r="W733" s="79">
        <v>1</v>
      </c>
    </row>
    <row r="734" spans="2:23" x14ac:dyDescent="0.2">
      <c r="B734" t="s">
        <v>1302</v>
      </c>
      <c r="C734" s="84">
        <v>5387</v>
      </c>
      <c r="D734" s="102">
        <v>-8.9005470706493603E-2</v>
      </c>
      <c r="E734" s="79">
        <v>5.7629011564960399E-2</v>
      </c>
      <c r="F734" s="79">
        <v>0.123366053359289</v>
      </c>
      <c r="G734" s="79">
        <v>0.80938271582532695</v>
      </c>
      <c r="H734" s="79">
        <v>1</v>
      </c>
      <c r="I734" s="102">
        <v>-6.5850366353923703E-2</v>
      </c>
      <c r="J734" s="79">
        <v>5.5934929690083901E-2</v>
      </c>
      <c r="K734" s="79">
        <v>0.23989320044155499</v>
      </c>
      <c r="L734" s="79">
        <v>0.66728913226271602</v>
      </c>
      <c r="M734" s="79">
        <v>1</v>
      </c>
      <c r="N734" s="102">
        <v>3.2146721787512003E-2</v>
      </c>
      <c r="O734" s="79">
        <v>5.7791638454172498E-2</v>
      </c>
      <c r="P734" s="79">
        <v>0.578389450573639</v>
      </c>
      <c r="Q734" s="79">
        <v>0.68509419192175602</v>
      </c>
      <c r="R734" s="79">
        <v>1</v>
      </c>
      <c r="S734" s="102">
        <v>-4.1372929186762102E-2</v>
      </c>
      <c r="T734" s="79">
        <v>5.2856818902116798E-2</v>
      </c>
      <c r="U734" s="79">
        <v>0.43430310731106903</v>
      </c>
      <c r="V734" s="79">
        <v>0.55068073636598103</v>
      </c>
      <c r="W734" s="79">
        <v>1</v>
      </c>
    </row>
    <row r="735" spans="2:23" x14ac:dyDescent="0.2">
      <c r="B735" t="s">
        <v>1304</v>
      </c>
      <c r="C735" s="84">
        <v>4958</v>
      </c>
      <c r="D735" s="102">
        <v>-3.7751301107546201E-3</v>
      </c>
      <c r="E735" s="79">
        <v>5.7569091157051E-2</v>
      </c>
      <c r="F735" s="79">
        <v>0.94775454709093199</v>
      </c>
      <c r="G735" s="79">
        <v>0.99840985319461195</v>
      </c>
      <c r="H735" s="79">
        <v>1</v>
      </c>
      <c r="I735" s="102">
        <v>-7.2546345677814601E-3</v>
      </c>
      <c r="J735" s="79">
        <v>5.5344726923790298E-2</v>
      </c>
      <c r="K735" s="79">
        <v>0.89579821957432804</v>
      </c>
      <c r="L735" s="79">
        <v>0.98103349543168095</v>
      </c>
      <c r="M735" s="79">
        <v>1</v>
      </c>
      <c r="N735" s="102">
        <v>-6.0166299914873799E-3</v>
      </c>
      <c r="O735" s="79">
        <v>5.7604969090608797E-2</v>
      </c>
      <c r="P735" s="79">
        <v>0.916877641655929</v>
      </c>
      <c r="Q735" s="79">
        <v>0.945632421940797</v>
      </c>
      <c r="R735" s="79">
        <v>1</v>
      </c>
      <c r="S735" s="102">
        <v>-3.31705175287621E-2</v>
      </c>
      <c r="T735" s="79">
        <v>5.3221803973575697E-2</v>
      </c>
      <c r="U735" s="79">
        <v>0.53353626725327297</v>
      </c>
      <c r="V735" s="79">
        <v>0.63514436874704505</v>
      </c>
      <c r="W735" s="79">
        <v>1</v>
      </c>
    </row>
    <row r="736" spans="2:23" x14ac:dyDescent="0.2">
      <c r="B736" t="s">
        <v>1303</v>
      </c>
      <c r="C736" s="84">
        <v>5387</v>
      </c>
      <c r="D736" s="102">
        <v>-2.22678011946758E-2</v>
      </c>
      <c r="E736" s="79">
        <v>5.71685001758944E-2</v>
      </c>
      <c r="F736" s="79">
        <v>0.69713667689078096</v>
      </c>
      <c r="G736" s="79">
        <v>0.969323693033459</v>
      </c>
      <c r="H736" s="79">
        <v>1</v>
      </c>
      <c r="I736" s="102">
        <v>-1.2469463299563299E-3</v>
      </c>
      <c r="J736" s="79">
        <v>5.5283663639115702E-2</v>
      </c>
      <c r="K736" s="79">
        <v>0.98201823106030905</v>
      </c>
      <c r="L736" s="79">
        <v>0.99629532610271199</v>
      </c>
      <c r="M736" s="79">
        <v>1</v>
      </c>
      <c r="N736" s="102">
        <v>2.49767418527987E-2</v>
      </c>
      <c r="O736" s="79">
        <v>5.7227770558542203E-2</v>
      </c>
      <c r="P736" s="79">
        <v>0.66278681400010997</v>
      </c>
      <c r="Q736" s="79">
        <v>0.75810996820809295</v>
      </c>
      <c r="R736" s="79">
        <v>1</v>
      </c>
      <c r="S736" s="102">
        <v>-9.5913873743269894E-3</v>
      </c>
      <c r="T736" s="79">
        <v>5.2811344242925502E-2</v>
      </c>
      <c r="U736" s="79">
        <v>0.85598965444850506</v>
      </c>
      <c r="V736" s="79">
        <v>0.89619683228415803</v>
      </c>
      <c r="W736" s="79">
        <v>1</v>
      </c>
    </row>
    <row r="737" spans="2:23" x14ac:dyDescent="0.2">
      <c r="B737" t="s">
        <v>1292</v>
      </c>
      <c r="C737" s="84">
        <v>5389</v>
      </c>
      <c r="D737" s="102">
        <v>0.12276870209610299</v>
      </c>
      <c r="E737" s="79">
        <v>5.8276714504527601E-2</v>
      </c>
      <c r="F737" s="79">
        <v>3.58599720675477E-2</v>
      </c>
      <c r="G737" s="79">
        <v>0.65319131916586903</v>
      </c>
      <c r="H737" s="79">
        <v>1</v>
      </c>
      <c r="I737" s="102">
        <v>-1.26696515957706E-2</v>
      </c>
      <c r="J737" s="79">
        <v>5.6260342701962701E-2</v>
      </c>
      <c r="K737" s="79">
        <v>0.821976285708786</v>
      </c>
      <c r="L737" s="79">
        <v>0.94998686769083596</v>
      </c>
      <c r="M737" s="79">
        <v>1</v>
      </c>
      <c r="N737" s="102">
        <v>-4.4319791316106402E-2</v>
      </c>
      <c r="O737" s="79">
        <v>5.83849118582285E-2</v>
      </c>
      <c r="P737" s="79">
        <v>0.44831733312368899</v>
      </c>
      <c r="Q737" s="79">
        <v>0.56548738816941901</v>
      </c>
      <c r="R737" s="79">
        <v>1</v>
      </c>
      <c r="S737" s="102">
        <v>-2.07177676150135E-2</v>
      </c>
      <c r="T737" s="79">
        <v>5.3580012931422602E-2</v>
      </c>
      <c r="U737" s="79">
        <v>0.69923765412205996</v>
      </c>
      <c r="V737" s="79">
        <v>0.76419908779533496</v>
      </c>
      <c r="W737" s="79">
        <v>1</v>
      </c>
    </row>
    <row r="738" spans="2:23" x14ac:dyDescent="0.2">
      <c r="B738" t="s">
        <v>1308</v>
      </c>
      <c r="C738" s="84">
        <v>5299</v>
      </c>
      <c r="D738" s="102">
        <v>2.8119476313152099E-2</v>
      </c>
      <c r="E738" s="79">
        <v>5.5828684317090198E-2</v>
      </c>
      <c r="F738" s="79">
        <v>0.61480655830512199</v>
      </c>
      <c r="G738" s="79">
        <v>0.951216817242591</v>
      </c>
      <c r="H738" s="79">
        <v>1</v>
      </c>
      <c r="I738" s="102">
        <v>0.111405294530927</v>
      </c>
      <c r="J738" s="79">
        <v>5.3766352347955099E-2</v>
      </c>
      <c r="K738" s="79">
        <v>3.9014371971453701E-2</v>
      </c>
      <c r="L738" s="79">
        <v>0.3770294728113</v>
      </c>
      <c r="M738" s="79">
        <v>1</v>
      </c>
      <c r="N738" s="102">
        <v>-2.77473522283989E-2</v>
      </c>
      <c r="O738" s="79">
        <v>5.58988400385413E-2</v>
      </c>
      <c r="P738" s="79">
        <v>0.61993527106316004</v>
      </c>
      <c r="Q738" s="79">
        <v>0.72077580588949397</v>
      </c>
      <c r="R738" s="79">
        <v>1</v>
      </c>
      <c r="S738" s="102">
        <v>0.10523425046490301</v>
      </c>
      <c r="T738" s="79">
        <v>5.0768587767014803E-2</v>
      </c>
      <c r="U738" s="79">
        <v>3.8918068988618201E-2</v>
      </c>
      <c r="V738" s="79">
        <v>8.4957743384947507E-2</v>
      </c>
      <c r="W738" s="79">
        <v>1</v>
      </c>
    </row>
    <row r="739" spans="2:23" x14ac:dyDescent="0.2">
      <c r="B739" t="s">
        <v>1305</v>
      </c>
      <c r="C739" s="84">
        <v>5183</v>
      </c>
      <c r="D739" s="102">
        <v>-0.100658594857929</v>
      </c>
      <c r="E739" s="79">
        <v>5.6584098094768401E-2</v>
      </c>
      <c r="F739" s="79">
        <v>7.6123868155396901E-2</v>
      </c>
      <c r="G739" s="79">
        <v>0.73538141425839998</v>
      </c>
      <c r="H739" s="79">
        <v>1</v>
      </c>
      <c r="I739" s="102">
        <v>-6.3722425046298201E-2</v>
      </c>
      <c r="J739" s="79">
        <v>5.5201217333349401E-2</v>
      </c>
      <c r="K739" s="79">
        <v>0.24913790458246901</v>
      </c>
      <c r="L739" s="79">
        <v>0.67645700560099897</v>
      </c>
      <c r="M739" s="79">
        <v>1</v>
      </c>
      <c r="N739" s="102">
        <v>6.6081074974567694E-2</v>
      </c>
      <c r="O739" s="79">
        <v>5.6959878649914503E-2</v>
      </c>
      <c r="P739" s="79">
        <v>0.246777935148324</v>
      </c>
      <c r="Q739" s="79">
        <v>0.35745404171261902</v>
      </c>
      <c r="R739" s="79">
        <v>1</v>
      </c>
      <c r="S739" s="102">
        <v>5.1143739595572502E-2</v>
      </c>
      <c r="T739" s="79">
        <v>5.1735199330138301E-2</v>
      </c>
      <c r="U739" s="79">
        <v>0.32357364947782202</v>
      </c>
      <c r="V739" s="79">
        <v>0.43956195847267898</v>
      </c>
      <c r="W739" s="79">
        <v>1</v>
      </c>
    </row>
    <row r="740" spans="2:23" x14ac:dyDescent="0.2">
      <c r="B740" t="s">
        <v>1293</v>
      </c>
      <c r="C740" s="84">
        <v>5389</v>
      </c>
      <c r="D740" s="102">
        <v>1.6211877739016601E-2</v>
      </c>
      <c r="E740" s="79">
        <v>5.6383644423069999E-2</v>
      </c>
      <c r="F740" s="79">
        <v>0.77387890006562599</v>
      </c>
      <c r="G740" s="79">
        <v>0.98604432830370503</v>
      </c>
      <c r="H740" s="79">
        <v>1</v>
      </c>
      <c r="I740" s="102">
        <v>1.6912586421776701E-2</v>
      </c>
      <c r="J740" s="79">
        <v>5.4544613928862097E-2</v>
      </c>
      <c r="K740" s="79">
        <v>0.75670266274028197</v>
      </c>
      <c r="L740" s="79">
        <v>0.92506376263470302</v>
      </c>
      <c r="M740" s="79">
        <v>1</v>
      </c>
      <c r="N740" s="102">
        <v>-9.2380667302694904E-3</v>
      </c>
      <c r="O740" s="79">
        <v>5.6452140749087297E-2</v>
      </c>
      <c r="P740" s="79">
        <v>0.87010675864073095</v>
      </c>
      <c r="Q740" s="79">
        <v>0.91436777241774103</v>
      </c>
      <c r="R740" s="79">
        <v>1</v>
      </c>
      <c r="S740" s="102">
        <v>-1.72713399002325E-2</v>
      </c>
      <c r="T740" s="79">
        <v>5.1577582902913401E-2</v>
      </c>
      <c r="U740" s="79">
        <v>0.73793029266332399</v>
      </c>
      <c r="V740" s="79">
        <v>0.79722826260948398</v>
      </c>
      <c r="W740" s="79">
        <v>1</v>
      </c>
    </row>
    <row r="741" spans="2:23" x14ac:dyDescent="0.2">
      <c r="B741" t="s">
        <v>924</v>
      </c>
      <c r="C741" s="84">
        <v>1766</v>
      </c>
      <c r="D741" s="102">
        <v>-1.36951171332735E-2</v>
      </c>
      <c r="E741" s="79">
        <v>1.67336417641601E-2</v>
      </c>
      <c r="F741" s="79">
        <v>0.41317379624174999</v>
      </c>
      <c r="G741" s="79">
        <v>0.89561567502544503</v>
      </c>
      <c r="H741" s="79">
        <v>1</v>
      </c>
      <c r="I741" s="102">
        <v>1.8185112627721801E-2</v>
      </c>
      <c r="J741" s="79">
        <v>1.6753327149164401E-2</v>
      </c>
      <c r="K741" s="79">
        <v>0.277791299426284</v>
      </c>
      <c r="L741" s="79">
        <v>0.69537030386512999</v>
      </c>
      <c r="M741" s="79">
        <v>1</v>
      </c>
      <c r="N741" s="102">
        <v>-8.1088222742928193E-3</v>
      </c>
      <c r="O741" s="79">
        <v>1.6607518727798799E-2</v>
      </c>
      <c r="P741" s="79">
        <v>0.625394571801419</v>
      </c>
      <c r="Q741" s="79">
        <v>0.72662442018628504</v>
      </c>
      <c r="R741" s="79">
        <v>1</v>
      </c>
      <c r="S741" s="102">
        <v>-3.5684871946320598E-2</v>
      </c>
      <c r="T741" s="79">
        <v>1.6712783997796899E-2</v>
      </c>
      <c r="U741" s="79">
        <v>3.2814973853678799E-2</v>
      </c>
      <c r="V741" s="79">
        <v>7.4053156325432301E-2</v>
      </c>
      <c r="W741" s="79">
        <v>1</v>
      </c>
    </row>
    <row r="742" spans="2:23" x14ac:dyDescent="0.2">
      <c r="B742" t="s">
        <v>925</v>
      </c>
      <c r="C742" s="84">
        <v>1766</v>
      </c>
      <c r="D742" s="102">
        <v>1.19029925755396E-2</v>
      </c>
      <c r="E742" s="79">
        <v>1.6825679966856199E-2</v>
      </c>
      <c r="F742" s="79">
        <v>0.47934600512039</v>
      </c>
      <c r="G742" s="79">
        <v>0.91339947432389301</v>
      </c>
      <c r="H742" s="79">
        <v>1</v>
      </c>
      <c r="I742" s="102">
        <v>2.4642058718146599E-2</v>
      </c>
      <c r="J742" s="79">
        <v>1.6849168782961201E-2</v>
      </c>
      <c r="K742" s="79">
        <v>0.14369116598611101</v>
      </c>
      <c r="L742" s="79">
        <v>0.59040772609061598</v>
      </c>
      <c r="M742" s="79">
        <v>1</v>
      </c>
      <c r="N742" s="102">
        <v>-1.2772949945885501E-2</v>
      </c>
      <c r="O742" s="79">
        <v>1.6698604659431501E-2</v>
      </c>
      <c r="P742" s="79">
        <v>0.4443756155734</v>
      </c>
      <c r="Q742" s="79">
        <v>0.56135144875566001</v>
      </c>
      <c r="R742" s="79">
        <v>1</v>
      </c>
      <c r="S742" s="102">
        <v>-5.8047167004152099E-2</v>
      </c>
      <c r="T742" s="79">
        <v>1.6792301659159199E-2</v>
      </c>
      <c r="U742" s="79">
        <v>5.5316358500539305E-4</v>
      </c>
      <c r="V742" s="79">
        <v>2.8479530367134399E-3</v>
      </c>
      <c r="W742" s="79">
        <v>0.93705911299913602</v>
      </c>
    </row>
    <row r="743" spans="2:23" x14ac:dyDescent="0.2">
      <c r="B743" t="s">
        <v>921</v>
      </c>
      <c r="C743" s="84">
        <v>1765</v>
      </c>
      <c r="D743" s="102">
        <v>-1.9810606453046699E-2</v>
      </c>
      <c r="E743" s="79">
        <v>1.64842245814774E-2</v>
      </c>
      <c r="F743" s="79">
        <v>0.22952506379163801</v>
      </c>
      <c r="G743" s="79">
        <v>0.84525099578920604</v>
      </c>
      <c r="H743" s="79">
        <v>1</v>
      </c>
      <c r="I743" s="102">
        <v>1.08322872219133E-2</v>
      </c>
      <c r="J743" s="79">
        <v>1.6503621859174901E-2</v>
      </c>
      <c r="K743" s="79">
        <v>0.51163678691530001</v>
      </c>
      <c r="L743" s="79">
        <v>0.82746883238231095</v>
      </c>
      <c r="M743" s="79">
        <v>1</v>
      </c>
      <c r="N743" s="102">
        <v>-6.2488937439488098E-3</v>
      </c>
      <c r="O743" s="79">
        <v>1.6361449815335698E-2</v>
      </c>
      <c r="P743" s="79">
        <v>0.70253791365851403</v>
      </c>
      <c r="Q743" s="79">
        <v>0.79392876967146297</v>
      </c>
      <c r="R743" s="79">
        <v>1</v>
      </c>
      <c r="S743" s="102">
        <v>-2.41349044019466E-2</v>
      </c>
      <c r="T743" s="79">
        <v>1.6467813850174099E-2</v>
      </c>
      <c r="U743" s="79">
        <v>0.14285228161865099</v>
      </c>
      <c r="V743" s="79">
        <v>0.23494346122523799</v>
      </c>
      <c r="W743" s="79">
        <v>1</v>
      </c>
    </row>
    <row r="744" spans="2:23" x14ac:dyDescent="0.2">
      <c r="B744" t="s">
        <v>922</v>
      </c>
      <c r="C744" s="84">
        <v>1764</v>
      </c>
      <c r="D744" s="102">
        <v>-2.1791481495184499E-2</v>
      </c>
      <c r="E744" s="79">
        <v>1.6384289851446399E-2</v>
      </c>
      <c r="F744" s="79">
        <v>0.183596819252898</v>
      </c>
      <c r="G744" s="79">
        <v>0.83003013605610498</v>
      </c>
      <c r="H744" s="79">
        <v>1</v>
      </c>
      <c r="I744" s="102">
        <v>-7.2307460017016398E-4</v>
      </c>
      <c r="J744" s="79">
        <v>1.6408213574445801E-2</v>
      </c>
      <c r="K744" s="79">
        <v>0.96485283096597696</v>
      </c>
      <c r="L744" s="79">
        <v>0.99551534580938295</v>
      </c>
      <c r="M744" s="79">
        <v>1</v>
      </c>
      <c r="N744" s="102">
        <v>-1.21252011883159E-2</v>
      </c>
      <c r="O744" s="79">
        <v>1.6262193459197299E-2</v>
      </c>
      <c r="P744" s="79">
        <v>0.455954722372025</v>
      </c>
      <c r="Q744" s="79">
        <v>0.57426565033324195</v>
      </c>
      <c r="R744" s="79">
        <v>1</v>
      </c>
      <c r="S744" s="102">
        <v>-2.3093788834800202E-2</v>
      </c>
      <c r="T744" s="79">
        <v>1.6371658389347399E-2</v>
      </c>
      <c r="U744" s="79">
        <v>0.15845244270584799</v>
      </c>
      <c r="V744" s="79">
        <v>0.25358304133792597</v>
      </c>
      <c r="W744" s="79">
        <v>1</v>
      </c>
    </row>
    <row r="745" spans="2:23" x14ac:dyDescent="0.2">
      <c r="B745" t="s">
        <v>926</v>
      </c>
      <c r="C745" s="84">
        <v>1766</v>
      </c>
      <c r="D745" s="102">
        <v>-3.2738929850801797E-2</v>
      </c>
      <c r="E745" s="79">
        <v>1.6949651859688199E-2</v>
      </c>
      <c r="F745" s="79">
        <v>5.3496422534995598E-2</v>
      </c>
      <c r="G745" s="79">
        <v>0.70863445951041204</v>
      </c>
      <c r="H745" s="79">
        <v>1</v>
      </c>
      <c r="I745" s="102">
        <v>1.4731423752040399E-2</v>
      </c>
      <c r="J745" s="79">
        <v>1.6977791089255199E-2</v>
      </c>
      <c r="K745" s="79">
        <v>0.38562452155596699</v>
      </c>
      <c r="L745" s="79">
        <v>0.75782823609722505</v>
      </c>
      <c r="M745" s="79">
        <v>1</v>
      </c>
      <c r="N745" s="102">
        <v>-1.95178904287358E-2</v>
      </c>
      <c r="O745" s="79">
        <v>1.6825540112212101E-2</v>
      </c>
      <c r="P745" s="79">
        <v>0.246120987667513</v>
      </c>
      <c r="Q745" s="79">
        <v>0.35695972012736898</v>
      </c>
      <c r="R745" s="79">
        <v>1</v>
      </c>
      <c r="S745" s="102">
        <v>-3.9277933391666603E-2</v>
      </c>
      <c r="T745" s="79">
        <v>1.6933855811651102E-2</v>
      </c>
      <c r="U745" s="79">
        <v>2.0425464433211599E-2</v>
      </c>
      <c r="V745" s="79">
        <v>4.9785232733612197E-2</v>
      </c>
      <c r="W745" s="79">
        <v>1</v>
      </c>
    </row>
    <row r="746" spans="2:23" x14ac:dyDescent="0.2">
      <c r="B746" t="s">
        <v>923</v>
      </c>
      <c r="C746" s="84">
        <v>1765</v>
      </c>
      <c r="D746" s="102">
        <v>-2.1446117119501701E-2</v>
      </c>
      <c r="E746" s="79">
        <v>1.6496130003322999E-2</v>
      </c>
      <c r="F746" s="79">
        <v>0.19366248018551999</v>
      </c>
      <c r="G746" s="79">
        <v>0.83003013605610498</v>
      </c>
      <c r="H746" s="79">
        <v>1</v>
      </c>
      <c r="I746" s="102">
        <v>6.5874159347449803E-3</v>
      </c>
      <c r="J746" s="79">
        <v>1.6510022198743399E-2</v>
      </c>
      <c r="K746" s="79">
        <v>0.68992131225292497</v>
      </c>
      <c r="L746" s="79">
        <v>0.898639332283238</v>
      </c>
      <c r="M746" s="79">
        <v>1</v>
      </c>
      <c r="N746" s="102">
        <v>-1.8598658808160701E-3</v>
      </c>
      <c r="O746" s="79">
        <v>1.6372484028597201E-2</v>
      </c>
      <c r="P746" s="79">
        <v>0.90956371980116602</v>
      </c>
      <c r="Q746" s="79">
        <v>0.94076661276499696</v>
      </c>
      <c r="R746" s="79">
        <v>1</v>
      </c>
      <c r="S746" s="102">
        <v>-1.0748202474209699E-2</v>
      </c>
      <c r="T746" s="79">
        <v>1.6478485347023401E-2</v>
      </c>
      <c r="U746" s="79">
        <v>0.51427846531743704</v>
      </c>
      <c r="V746" s="79">
        <v>0.62006243434002695</v>
      </c>
      <c r="W746" s="79">
        <v>1</v>
      </c>
    </row>
    <row r="747" spans="2:23" x14ac:dyDescent="0.2">
      <c r="B747" t="s">
        <v>3248</v>
      </c>
      <c r="C747" s="84">
        <v>1766</v>
      </c>
      <c r="D747" s="102">
        <v>-2.9691048152486101E-2</v>
      </c>
      <c r="E747" s="79">
        <v>1.68565476700883E-2</v>
      </c>
      <c r="F747" s="79">
        <v>7.82585515970321E-2</v>
      </c>
      <c r="G747" s="79">
        <v>0.73538141425839998</v>
      </c>
      <c r="H747" s="79">
        <v>1</v>
      </c>
      <c r="I747" s="102">
        <v>2.2993001133856002E-2</v>
      </c>
      <c r="J747" s="79">
        <v>1.6875230840368401E-2</v>
      </c>
      <c r="K747" s="79">
        <v>0.173118732121543</v>
      </c>
      <c r="L747" s="79">
        <v>0.61396896490869202</v>
      </c>
      <c r="M747" s="79">
        <v>1</v>
      </c>
      <c r="N747" s="102">
        <v>4.0607479081700502E-2</v>
      </c>
      <c r="O747" s="79">
        <v>1.6723161708971802E-2</v>
      </c>
      <c r="P747" s="79">
        <v>1.52231785915777E-2</v>
      </c>
      <c r="Q747" s="79">
        <v>3.9191587437891501E-2</v>
      </c>
      <c r="R747" s="79">
        <v>1</v>
      </c>
      <c r="S747" s="102">
        <v>3.1834934534452797E-2</v>
      </c>
      <c r="T747" s="79">
        <v>1.6837818800492101E-2</v>
      </c>
      <c r="U747" s="79">
        <v>5.8749716115414401E-2</v>
      </c>
      <c r="V747" s="79">
        <v>0.11585799662341301</v>
      </c>
      <c r="W747" s="79">
        <v>1</v>
      </c>
    </row>
    <row r="748" spans="2:23" x14ac:dyDescent="0.2">
      <c r="B748" t="s">
        <v>3239</v>
      </c>
      <c r="C748" s="84">
        <v>1765</v>
      </c>
      <c r="D748" s="102">
        <v>-2.44201430328027E-2</v>
      </c>
      <c r="E748" s="79">
        <v>2.1925177297433901E-2</v>
      </c>
      <c r="F748" s="79">
        <v>0.26550242798213403</v>
      </c>
      <c r="G748" s="79">
        <v>0.85990749347533801</v>
      </c>
      <c r="H748" s="79">
        <v>1</v>
      </c>
      <c r="I748" s="102">
        <v>-1.56301099975471E-2</v>
      </c>
      <c r="J748" s="79">
        <v>2.2090497179849101E-2</v>
      </c>
      <c r="K748" s="79">
        <v>0.47930805166386597</v>
      </c>
      <c r="L748" s="79">
        <v>0.80783235637134798</v>
      </c>
      <c r="M748" s="79">
        <v>1</v>
      </c>
      <c r="N748" s="102">
        <v>2.6612499685435401E-2</v>
      </c>
      <c r="O748" s="79">
        <v>2.20503416915847E-2</v>
      </c>
      <c r="P748" s="79">
        <v>0.22761335265201599</v>
      </c>
      <c r="Q748" s="79">
        <v>0.33513864225113299</v>
      </c>
      <c r="R748" s="79">
        <v>1</v>
      </c>
      <c r="S748" s="102">
        <v>3.5610816877454002E-2</v>
      </c>
      <c r="T748" s="79">
        <v>2.1766257990607399E-2</v>
      </c>
      <c r="U748" s="79">
        <v>0.101985825023543</v>
      </c>
      <c r="V748" s="79">
        <v>0.1784751937912</v>
      </c>
      <c r="W748" s="79">
        <v>1</v>
      </c>
    </row>
    <row r="749" spans="2:23" x14ac:dyDescent="0.2">
      <c r="B749" t="s">
        <v>906</v>
      </c>
      <c r="C749" s="84">
        <v>1765</v>
      </c>
      <c r="D749" s="102">
        <v>4.5342553604495704E-3</v>
      </c>
      <c r="E749" s="79">
        <v>2.19724113503766E-2</v>
      </c>
      <c r="F749" s="79">
        <v>0.83652906674340199</v>
      </c>
      <c r="G749" s="79">
        <v>0.99362338620020496</v>
      </c>
      <c r="H749" s="79">
        <v>1</v>
      </c>
      <c r="I749" s="102">
        <v>-2.2613780350604799E-2</v>
      </c>
      <c r="J749" s="79">
        <v>2.2154513922996499E-2</v>
      </c>
      <c r="K749" s="79">
        <v>0.30750099150862498</v>
      </c>
      <c r="L749" s="79">
        <v>0.712776365212754</v>
      </c>
      <c r="M749" s="79">
        <v>1</v>
      </c>
      <c r="N749" s="102">
        <v>6.5893607605820401E-2</v>
      </c>
      <c r="O749" s="79">
        <v>2.1982019534753899E-2</v>
      </c>
      <c r="P749" s="79">
        <v>2.7529269866759299E-3</v>
      </c>
      <c r="Q749" s="79">
        <v>9.6352444533657593E-3</v>
      </c>
      <c r="R749" s="79">
        <v>1</v>
      </c>
      <c r="S749" s="102">
        <v>1.7829665049020799E-2</v>
      </c>
      <c r="T749" s="79">
        <v>2.1769605992295701E-2</v>
      </c>
      <c r="U749" s="79">
        <v>0.41287086537701001</v>
      </c>
      <c r="V749" s="79">
        <v>0.53015297121358596</v>
      </c>
      <c r="W749" s="79">
        <v>1</v>
      </c>
    </row>
    <row r="750" spans="2:23" x14ac:dyDescent="0.2">
      <c r="B750" t="s">
        <v>3238</v>
      </c>
      <c r="C750" s="84">
        <v>1765</v>
      </c>
      <c r="D750" s="102">
        <v>-9.9138268240134692E-3</v>
      </c>
      <c r="E750" s="79">
        <v>2.1801677195406301E-2</v>
      </c>
      <c r="F750" s="79">
        <v>0.64935487659802404</v>
      </c>
      <c r="G750" s="79">
        <v>0.95767440062337605</v>
      </c>
      <c r="H750" s="79">
        <v>1</v>
      </c>
      <c r="I750" s="102">
        <v>-1.8807350244108699E-2</v>
      </c>
      <c r="J750" s="79">
        <v>2.1951276746196399E-2</v>
      </c>
      <c r="K750" s="79">
        <v>0.39167088812165901</v>
      </c>
      <c r="L750" s="79">
        <v>0.76088358311707605</v>
      </c>
      <c r="M750" s="79">
        <v>1</v>
      </c>
      <c r="N750" s="102">
        <v>2.9837596084393202E-2</v>
      </c>
      <c r="O750" s="79">
        <v>2.19116544265834E-2</v>
      </c>
      <c r="P750" s="79">
        <v>0.173437402475039</v>
      </c>
      <c r="Q750" s="79">
        <v>0.26954399980983101</v>
      </c>
      <c r="R750" s="79">
        <v>1</v>
      </c>
      <c r="S750" s="102">
        <v>3.7802573737893398E-2</v>
      </c>
      <c r="T750" s="79">
        <v>2.1630451791174399E-2</v>
      </c>
      <c r="U750" s="79">
        <v>8.0677435825456806E-2</v>
      </c>
      <c r="V750" s="79">
        <v>0.14821828286893499</v>
      </c>
      <c r="W750" s="79">
        <v>1</v>
      </c>
    </row>
    <row r="751" spans="2:23" x14ac:dyDescent="0.2">
      <c r="B751" t="s">
        <v>2289</v>
      </c>
      <c r="C751" s="84">
        <v>4571</v>
      </c>
      <c r="D751" s="102">
        <v>0.96509571668444538</v>
      </c>
      <c r="E751" s="79">
        <v>3.3031302183173697E-2</v>
      </c>
      <c r="F751" s="79">
        <v>0.28211261262362303</v>
      </c>
      <c r="G751" s="79">
        <v>0.86861170490914397</v>
      </c>
      <c r="H751" s="79">
        <v>1</v>
      </c>
      <c r="I751" s="102">
        <v>0.95038578578437027</v>
      </c>
      <c r="J751" s="79">
        <v>3.2421911354288097E-2</v>
      </c>
      <c r="K751" s="79">
        <v>0.116523604431773</v>
      </c>
      <c r="L751" s="79">
        <v>0.54991179036125304</v>
      </c>
      <c r="M751" s="79">
        <v>1</v>
      </c>
      <c r="N751" s="102">
        <v>1.0779881067971349</v>
      </c>
      <c r="O751" s="79">
        <v>3.2189428484101099E-2</v>
      </c>
      <c r="P751" s="79">
        <v>1.96505861036857E-2</v>
      </c>
      <c r="Q751" s="79">
        <v>4.8173795744780902E-2</v>
      </c>
      <c r="R751" s="79">
        <v>1</v>
      </c>
      <c r="S751" s="102">
        <v>1.0742611903432349</v>
      </c>
      <c r="T751" s="79">
        <v>3.2049175571249901E-2</v>
      </c>
      <c r="U751" s="79">
        <v>2.54106856981141E-2</v>
      </c>
      <c r="V751" s="79">
        <v>6.0288097440623599E-2</v>
      </c>
      <c r="W751" s="79">
        <v>1</v>
      </c>
    </row>
    <row r="752" spans="2:23" x14ac:dyDescent="0.2">
      <c r="B752" t="s">
        <v>2249</v>
      </c>
      <c r="C752" s="84">
        <v>4813</v>
      </c>
      <c r="D752" s="102">
        <v>0.92092839026553786</v>
      </c>
      <c r="E752" s="79">
        <v>4.3579123250668698E-2</v>
      </c>
      <c r="F752" s="79">
        <v>5.8732016980409203E-2</v>
      </c>
      <c r="G752" s="79">
        <v>0.71323882218720602</v>
      </c>
      <c r="H752" s="79">
        <v>1</v>
      </c>
      <c r="I752" s="102">
        <v>0.97289126900929124</v>
      </c>
      <c r="J752" s="79">
        <v>4.2992037094509702E-2</v>
      </c>
      <c r="K752" s="79">
        <v>0.52265589931854906</v>
      </c>
      <c r="L752" s="79">
        <v>0.83605202402797196</v>
      </c>
      <c r="M752" s="79">
        <v>1</v>
      </c>
      <c r="N752" s="102">
        <v>1.1550630656699223</v>
      </c>
      <c r="O752" s="79">
        <v>4.2949815449201699E-2</v>
      </c>
      <c r="P752" s="79">
        <v>7.8976344384895896E-4</v>
      </c>
      <c r="Q752" s="79">
        <v>3.6754375656047702E-3</v>
      </c>
      <c r="R752" s="79">
        <v>1</v>
      </c>
      <c r="S752" s="102">
        <v>1.0507742150573582</v>
      </c>
      <c r="T752" s="79">
        <v>4.2659257340731102E-2</v>
      </c>
      <c r="U752" s="79">
        <v>0.24564340219903699</v>
      </c>
      <c r="V752" s="79">
        <v>0.35505112911703801</v>
      </c>
      <c r="W752" s="79">
        <v>1</v>
      </c>
    </row>
    <row r="753" spans="2:23" x14ac:dyDescent="0.2">
      <c r="B753" t="s">
        <v>919</v>
      </c>
      <c r="C753" s="84">
        <v>1765</v>
      </c>
      <c r="D753" s="102">
        <v>-2.00994767137768E-2</v>
      </c>
      <c r="E753" s="79">
        <v>3.1796705538413898E-2</v>
      </c>
      <c r="F753" s="79">
        <v>0.52747850930304097</v>
      </c>
      <c r="G753" s="79">
        <v>0.92176676956083303</v>
      </c>
      <c r="H753" s="79">
        <v>1</v>
      </c>
      <c r="I753" s="102">
        <v>-1.33329804995497E-2</v>
      </c>
      <c r="J753" s="79">
        <v>3.0057651660161101E-2</v>
      </c>
      <c r="K753" s="79">
        <v>0.65745844267313802</v>
      </c>
      <c r="L753" s="79">
        <v>0.88461842882311004</v>
      </c>
      <c r="M753" s="79">
        <v>1</v>
      </c>
      <c r="N753" s="102">
        <v>-2.60652960148718E-2</v>
      </c>
      <c r="O753" s="79">
        <v>3.0485061131702899E-2</v>
      </c>
      <c r="P753" s="79">
        <v>0.39279167339257698</v>
      </c>
      <c r="Q753" s="79">
        <v>0.50970212446145802</v>
      </c>
      <c r="R753" s="79">
        <v>1</v>
      </c>
      <c r="S753" s="102">
        <v>5.6959257226901901E-4</v>
      </c>
      <c r="T753" s="79">
        <v>3.0356515879660501E-2</v>
      </c>
      <c r="U753" s="79">
        <v>0.98503404392371796</v>
      </c>
      <c r="V753" s="79">
        <v>0.99100935678294699</v>
      </c>
      <c r="W753" s="79">
        <v>1</v>
      </c>
    </row>
    <row r="754" spans="2:23" x14ac:dyDescent="0.2">
      <c r="B754" t="s">
        <v>2290</v>
      </c>
      <c r="C754" s="84">
        <v>5146</v>
      </c>
      <c r="D754" s="102">
        <v>1.0491139297518228</v>
      </c>
      <c r="E754" s="79">
        <v>6.9378912623983893E-2</v>
      </c>
      <c r="F754" s="79">
        <v>0.48951932092339701</v>
      </c>
      <c r="G754" s="79">
        <v>0.91678121217168596</v>
      </c>
      <c r="H754" s="79">
        <v>1</v>
      </c>
      <c r="I754" s="102">
        <v>1.1127572403468091</v>
      </c>
      <c r="J754" s="79">
        <v>6.8443963051274398E-2</v>
      </c>
      <c r="K754" s="79">
        <v>0.11852406359177201</v>
      </c>
      <c r="L754" s="79">
        <v>0.55464023128304396</v>
      </c>
      <c r="M754" s="79">
        <v>1</v>
      </c>
      <c r="N754" s="102">
        <v>1.3046777566249042</v>
      </c>
      <c r="O754" s="79">
        <v>6.8030315751457196E-2</v>
      </c>
      <c r="P754" s="79">
        <v>9.2534857353847996E-5</v>
      </c>
      <c r="Q754" s="79">
        <v>6.3981244227517798E-4</v>
      </c>
      <c r="R754" s="79">
        <v>0.15675404835741899</v>
      </c>
      <c r="S754" s="102">
        <v>1.3073417268241305</v>
      </c>
      <c r="T754" s="79">
        <v>6.8559265099915404E-2</v>
      </c>
      <c r="U754" s="79">
        <v>9.2691877497740402E-5</v>
      </c>
      <c r="V754" s="79">
        <v>6.7102581402210396E-4</v>
      </c>
      <c r="W754" s="79">
        <v>0.15702004048117199</v>
      </c>
    </row>
    <row r="755" spans="2:23" x14ac:dyDescent="0.2">
      <c r="B755" t="s">
        <v>2291</v>
      </c>
      <c r="C755" s="84">
        <v>5146</v>
      </c>
      <c r="D755" s="102">
        <v>1.0943228721846081</v>
      </c>
      <c r="E755" s="79">
        <v>7.5701759040917305E-2</v>
      </c>
      <c r="F755" s="79">
        <v>0.23378327893180501</v>
      </c>
      <c r="G755" s="79">
        <v>0.85351050541051199</v>
      </c>
      <c r="H755" s="79">
        <v>1</v>
      </c>
      <c r="I755" s="102">
        <v>1.1103004929698443</v>
      </c>
      <c r="J755" s="79">
        <v>7.4824732574235497E-2</v>
      </c>
      <c r="K755" s="79">
        <v>0.16200988224160501</v>
      </c>
      <c r="L755" s="79">
        <v>0.60317525388412896</v>
      </c>
      <c r="M755" s="79">
        <v>1</v>
      </c>
      <c r="N755" s="102">
        <v>1.2831893412012265</v>
      </c>
      <c r="O755" s="79">
        <v>7.4197149876763596E-2</v>
      </c>
      <c r="P755" s="79">
        <v>7.7766882928877797E-4</v>
      </c>
      <c r="Q755" s="79">
        <v>3.6320291338336501E-3</v>
      </c>
      <c r="R755" s="79">
        <v>1</v>
      </c>
      <c r="S755" s="102">
        <v>1.3088975265859735</v>
      </c>
      <c r="T755" s="79">
        <v>7.4748888264881699E-2</v>
      </c>
      <c r="U755" s="79">
        <v>3.1675987407420902E-4</v>
      </c>
      <c r="V755" s="79">
        <v>1.8067044669417801E-3</v>
      </c>
      <c r="W755" s="79">
        <v>0.53659122668171</v>
      </c>
    </row>
    <row r="756" spans="2:23" x14ac:dyDescent="0.2">
      <c r="B756" t="s">
        <v>3392</v>
      </c>
      <c r="C756" s="84">
        <v>5299</v>
      </c>
      <c r="D756" s="102">
        <v>1.06381205330278E-2</v>
      </c>
      <c r="E756" s="79">
        <v>1.8374647670026702E-2</v>
      </c>
      <c r="F756" s="79">
        <v>0.56266580690197798</v>
      </c>
      <c r="G756" s="79">
        <v>0.93167796111031398</v>
      </c>
      <c r="H756" s="79">
        <v>1</v>
      </c>
      <c r="I756" s="102">
        <v>-6.8812614544897501E-3</v>
      </c>
      <c r="J756" s="79">
        <v>1.8431479177975201E-2</v>
      </c>
      <c r="K756" s="79">
        <v>0.708921953792227</v>
      </c>
      <c r="L756" s="79">
        <v>0.90978317403335796</v>
      </c>
      <c r="M756" s="79">
        <v>1</v>
      </c>
      <c r="N756" s="102">
        <v>-1.4832586682746E-2</v>
      </c>
      <c r="O756" s="79">
        <v>1.8355507726004899E-2</v>
      </c>
      <c r="P756" s="79">
        <v>0.41911971239967799</v>
      </c>
      <c r="Q756" s="79">
        <v>0.53543649532809601</v>
      </c>
      <c r="R756" s="79">
        <v>1</v>
      </c>
      <c r="S756" s="102">
        <v>4.9179044761762996E-3</v>
      </c>
      <c r="T756" s="79">
        <v>1.8403803922177098E-2</v>
      </c>
      <c r="U756" s="79">
        <v>0.78931793896590097</v>
      </c>
      <c r="V756" s="79">
        <v>0.84200540844347405</v>
      </c>
      <c r="W756" s="79">
        <v>1</v>
      </c>
    </row>
    <row r="757" spans="2:23" x14ac:dyDescent="0.2">
      <c r="B757" t="s">
        <v>3391</v>
      </c>
      <c r="C757" s="84">
        <v>5311</v>
      </c>
      <c r="D757" s="102">
        <v>-1.9509792315966799E-2</v>
      </c>
      <c r="E757" s="79">
        <v>1.8633433506279998E-2</v>
      </c>
      <c r="F757" s="79">
        <v>0.295172828718195</v>
      </c>
      <c r="G757" s="79">
        <v>0.87846938063621105</v>
      </c>
      <c r="H757" s="79">
        <v>1</v>
      </c>
      <c r="I757" s="102">
        <v>-5.1111767779459E-2</v>
      </c>
      <c r="J757" s="79">
        <v>1.86591316462866E-2</v>
      </c>
      <c r="K757" s="79">
        <v>6.1961667771465202E-3</v>
      </c>
      <c r="L757" s="79">
        <v>0.14783530310543999</v>
      </c>
      <c r="M757" s="79">
        <v>1</v>
      </c>
      <c r="N757" s="102">
        <v>-5.8724993055168997E-2</v>
      </c>
      <c r="O757" s="79">
        <v>1.8598513429445601E-2</v>
      </c>
      <c r="P757" s="79">
        <v>1.6077304005908E-3</v>
      </c>
      <c r="Q757" s="79">
        <v>6.4364172257595003E-3</v>
      </c>
      <c r="R757" s="79">
        <v>1</v>
      </c>
      <c r="S757" s="102">
        <v>-2.5563897666220199E-2</v>
      </c>
      <c r="T757" s="79">
        <v>1.8634904338595101E-2</v>
      </c>
      <c r="U757" s="79">
        <v>0.170223213471065</v>
      </c>
      <c r="V757" s="79">
        <v>0.26749362116881598</v>
      </c>
      <c r="W757" s="79">
        <v>1</v>
      </c>
    </row>
    <row r="758" spans="2:23" x14ac:dyDescent="0.2">
      <c r="B758" t="s">
        <v>3390</v>
      </c>
      <c r="C758" s="84">
        <v>5308</v>
      </c>
      <c r="D758" s="102">
        <v>1.44572103544062E-2</v>
      </c>
      <c r="E758" s="79">
        <v>1.86594686865173E-2</v>
      </c>
      <c r="F758" s="79">
        <v>0.43852735754470301</v>
      </c>
      <c r="G758" s="79">
        <v>0.90581448957043498</v>
      </c>
      <c r="H758" s="79">
        <v>1</v>
      </c>
      <c r="I758" s="102">
        <v>6.6882723152833404E-2</v>
      </c>
      <c r="J758" s="79">
        <v>1.86709697323021E-2</v>
      </c>
      <c r="K758" s="79">
        <v>3.46512972142046E-4</v>
      </c>
      <c r="L758" s="79">
        <v>5.7030619025494098E-2</v>
      </c>
      <c r="M758" s="79">
        <v>0.586992974808626</v>
      </c>
      <c r="N758" s="102">
        <v>6.6831342526024407E-2</v>
      </c>
      <c r="O758" s="79">
        <v>1.8613840813666498E-2</v>
      </c>
      <c r="P758" s="79">
        <v>3.3582592711446099E-4</v>
      </c>
      <c r="Q758" s="79">
        <v>1.85911477298006E-3</v>
      </c>
      <c r="R758" s="79">
        <v>0.568889120531897</v>
      </c>
      <c r="S758" s="102">
        <v>4.3397157911341099E-2</v>
      </c>
      <c r="T758" s="79">
        <v>1.86495011536244E-2</v>
      </c>
      <c r="U758" s="79">
        <v>2.0036072260997202E-2</v>
      </c>
      <c r="V758" s="79">
        <v>4.8977065526882101E-2</v>
      </c>
      <c r="W758" s="79">
        <v>1</v>
      </c>
    </row>
    <row r="759" spans="2:23" x14ac:dyDescent="0.2">
      <c r="B759" t="s">
        <v>3389</v>
      </c>
      <c r="C759" s="84">
        <v>5282</v>
      </c>
      <c r="D759" s="102">
        <v>1.32701036882073E-3</v>
      </c>
      <c r="E759" s="79">
        <v>1.8665601568819901E-2</v>
      </c>
      <c r="F759" s="79">
        <v>0.94332793337796195</v>
      </c>
      <c r="G759" s="79">
        <v>0.99840985319461195</v>
      </c>
      <c r="H759" s="79">
        <v>1</v>
      </c>
      <c r="I759" s="102">
        <v>-2.48893524464666E-2</v>
      </c>
      <c r="J759" s="79">
        <v>1.8709114662936899E-2</v>
      </c>
      <c r="K759" s="79">
        <v>0.183513364673657</v>
      </c>
      <c r="L759" s="79">
        <v>0.62098769244832497</v>
      </c>
      <c r="M759" s="79">
        <v>1</v>
      </c>
      <c r="N759" s="102">
        <v>-6.9800003062085794E-2</v>
      </c>
      <c r="O759" s="79">
        <v>1.8620717625805399E-2</v>
      </c>
      <c r="P759" s="79">
        <v>1.8136243788349901E-4</v>
      </c>
      <c r="Q759" s="79">
        <v>1.1131448180240801E-3</v>
      </c>
      <c r="R759" s="79">
        <v>0.307227969774647</v>
      </c>
      <c r="S759" s="102">
        <v>-1.07876036298777E-2</v>
      </c>
      <c r="T759" s="79">
        <v>1.8668011876841001E-2</v>
      </c>
      <c r="U759" s="79">
        <v>0.56339954728601604</v>
      </c>
      <c r="V759" s="79">
        <v>0.65957072087250301</v>
      </c>
      <c r="W759" s="79">
        <v>1</v>
      </c>
    </row>
    <row r="760" spans="2:23" x14ac:dyDescent="0.2">
      <c r="B760" t="s">
        <v>3393</v>
      </c>
      <c r="C760" s="84">
        <v>5047</v>
      </c>
      <c r="D760" s="102">
        <v>-1.3382637782715E-2</v>
      </c>
      <c r="E760" s="79">
        <v>1.8354935136947401E-2</v>
      </c>
      <c r="F760" s="79">
        <v>0.46599790229674898</v>
      </c>
      <c r="G760" s="79">
        <v>0.91151047511105199</v>
      </c>
      <c r="H760" s="79">
        <v>1</v>
      </c>
      <c r="I760" s="102">
        <v>1.7308895626933499E-2</v>
      </c>
      <c r="J760" s="79">
        <v>1.8409076893535901E-2</v>
      </c>
      <c r="K760" s="79">
        <v>0.34717475943988402</v>
      </c>
      <c r="L760" s="79">
        <v>0.74109458643718196</v>
      </c>
      <c r="M760" s="79">
        <v>1</v>
      </c>
      <c r="N760" s="102">
        <v>-8.3586557636656199E-4</v>
      </c>
      <c r="O760" s="79">
        <v>1.8332444509182502E-2</v>
      </c>
      <c r="P760" s="79">
        <v>0.96363633341314203</v>
      </c>
      <c r="Q760" s="79">
        <v>0.97214079829143796</v>
      </c>
      <c r="R760" s="79">
        <v>1</v>
      </c>
      <c r="S760" s="102">
        <v>5.7436449212835399E-3</v>
      </c>
      <c r="T760" s="79">
        <v>1.83847890102702E-2</v>
      </c>
      <c r="U760" s="79">
        <v>0.75474927787375601</v>
      </c>
      <c r="V760" s="79">
        <v>0.81202893829817002</v>
      </c>
      <c r="W760" s="79">
        <v>1</v>
      </c>
    </row>
    <row r="761" spans="2:23" x14ac:dyDescent="0.2">
      <c r="B761" t="s">
        <v>1270</v>
      </c>
      <c r="C761" s="84">
        <v>2430</v>
      </c>
      <c r="D761" s="102">
        <v>3.0134678749801299E-2</v>
      </c>
      <c r="E761" s="79">
        <v>2.1353924780618299E-2</v>
      </c>
      <c r="F761" s="79">
        <v>0.15831995485116801</v>
      </c>
      <c r="G761" s="79">
        <v>0.81517934199963105</v>
      </c>
      <c r="H761" s="79">
        <v>1</v>
      </c>
      <c r="I761" s="102">
        <v>-1.0418473089835701E-2</v>
      </c>
      <c r="J761" s="79">
        <v>2.0848000537556598E-2</v>
      </c>
      <c r="K761" s="79">
        <v>0.61731070088243001</v>
      </c>
      <c r="L761" s="79">
        <v>0.87655014861260405</v>
      </c>
      <c r="M761" s="79">
        <v>1</v>
      </c>
      <c r="N761" s="102">
        <v>-7.13633685564002E-2</v>
      </c>
      <c r="O761" s="79">
        <v>2.0615089698389901E-2</v>
      </c>
      <c r="P761" s="79">
        <v>5.4668416549951998E-4</v>
      </c>
      <c r="Q761" s="79">
        <v>2.7515570876157302E-3</v>
      </c>
      <c r="R761" s="79">
        <v>0.92608297635618697</v>
      </c>
      <c r="S761" s="102">
        <v>-6.1924308190848203E-2</v>
      </c>
      <c r="T761" s="79">
        <v>2.10847126712366E-2</v>
      </c>
      <c r="U761" s="79">
        <v>3.3482866515614799E-3</v>
      </c>
      <c r="V761" s="79">
        <v>1.17200218178112E-2</v>
      </c>
      <c r="W761" s="79">
        <v>1</v>
      </c>
    </row>
    <row r="762" spans="2:23" x14ac:dyDescent="0.2">
      <c r="B762" t="s">
        <v>1250</v>
      </c>
      <c r="C762" s="84">
        <v>2665</v>
      </c>
      <c r="D762" s="102">
        <v>6.4027138776885503E-3</v>
      </c>
      <c r="E762" s="79">
        <v>2.1440966388282901E-2</v>
      </c>
      <c r="F762" s="79">
        <v>0.76525782067373904</v>
      </c>
      <c r="G762" s="79">
        <v>0.98333051768739199</v>
      </c>
      <c r="H762" s="79">
        <v>1</v>
      </c>
      <c r="I762" s="102">
        <v>-3.1139477510286999E-2</v>
      </c>
      <c r="J762" s="79">
        <v>2.08564388399624E-2</v>
      </c>
      <c r="K762" s="79">
        <v>0.13558137992560201</v>
      </c>
      <c r="L762" s="79">
        <v>0.58145533568093599</v>
      </c>
      <c r="M762" s="79">
        <v>1</v>
      </c>
      <c r="N762" s="107">
        <v>-9.1002932419091798E-2</v>
      </c>
      <c r="O762" s="81">
        <v>2.0558036275580099E-2</v>
      </c>
      <c r="P762" s="81">
        <v>1.00558927942214E-5</v>
      </c>
      <c r="Q762" s="81">
        <v>9.90388511244829E-5</v>
      </c>
      <c r="R762" s="81">
        <v>1.7034682393411101E-2</v>
      </c>
      <c r="S762" s="102">
        <v>-5.32329747347801E-2</v>
      </c>
      <c r="T762" s="79">
        <v>2.10186743963094E-2</v>
      </c>
      <c r="U762" s="79">
        <v>1.13930676477242E-2</v>
      </c>
      <c r="V762" s="79">
        <v>3.1330936031241603E-2</v>
      </c>
      <c r="W762" s="79">
        <v>1</v>
      </c>
    </row>
    <row r="763" spans="2:23" x14ac:dyDescent="0.2">
      <c r="B763" t="s">
        <v>1278</v>
      </c>
      <c r="C763" s="84">
        <v>2416</v>
      </c>
      <c r="D763" s="102">
        <v>3.8597600194211698E-2</v>
      </c>
      <c r="E763" s="79">
        <v>2.1433275705325602E-2</v>
      </c>
      <c r="F763" s="79">
        <v>7.1865291613338503E-2</v>
      </c>
      <c r="G763" s="79">
        <v>0.73538141425839998</v>
      </c>
      <c r="H763" s="79">
        <v>1</v>
      </c>
      <c r="I763" s="102">
        <v>1.60806972133948E-2</v>
      </c>
      <c r="J763" s="79">
        <v>2.1111503086445299E-2</v>
      </c>
      <c r="K763" s="79">
        <v>0.446319551518298</v>
      </c>
      <c r="L763" s="79">
        <v>0.79654740721961403</v>
      </c>
      <c r="M763" s="79">
        <v>1</v>
      </c>
      <c r="N763" s="102">
        <v>-1.4355677615608299E-2</v>
      </c>
      <c r="O763" s="79">
        <v>2.10495044715002E-2</v>
      </c>
      <c r="P763" s="79">
        <v>0.49531302044203501</v>
      </c>
      <c r="Q763" s="79">
        <v>0.61111453505375601</v>
      </c>
      <c r="R763" s="79">
        <v>1</v>
      </c>
      <c r="S763" s="102">
        <v>-3.2309761982452397E-2</v>
      </c>
      <c r="T763" s="79">
        <v>2.14243863906367E-2</v>
      </c>
      <c r="U763" s="79">
        <v>0.13167743405316701</v>
      </c>
      <c r="V763" s="79">
        <v>0.21963882213323399</v>
      </c>
      <c r="W763" s="79">
        <v>1</v>
      </c>
    </row>
    <row r="764" spans="2:23" x14ac:dyDescent="0.2">
      <c r="B764" t="s">
        <v>1279</v>
      </c>
      <c r="C764" s="84">
        <v>2427</v>
      </c>
      <c r="D764" s="102">
        <v>-2.5295982005995699E-2</v>
      </c>
      <c r="E764" s="79">
        <v>2.12027585653515E-2</v>
      </c>
      <c r="F764" s="79">
        <v>0.232970551026563</v>
      </c>
      <c r="G764" s="79">
        <v>0.85238037459826699</v>
      </c>
      <c r="H764" s="79">
        <v>1</v>
      </c>
      <c r="I764" s="102">
        <v>-2.2484827809284898E-2</v>
      </c>
      <c r="J764" s="79">
        <v>2.0514446982327E-2</v>
      </c>
      <c r="K764" s="79">
        <v>0.27317082579303398</v>
      </c>
      <c r="L764" s="79">
        <v>0.692501089587512</v>
      </c>
      <c r="M764" s="79">
        <v>1</v>
      </c>
      <c r="N764" s="102">
        <v>-5.1489864646619102E-2</v>
      </c>
      <c r="O764" s="79">
        <v>2.0376039350971799E-2</v>
      </c>
      <c r="P764" s="79">
        <v>1.15709082288654E-2</v>
      </c>
      <c r="Q764" s="79">
        <v>3.12617520569346E-2</v>
      </c>
      <c r="R764" s="79">
        <v>1</v>
      </c>
      <c r="S764" s="102">
        <v>-2.0848484513403001E-2</v>
      </c>
      <c r="T764" s="79">
        <v>2.0813198840154999E-2</v>
      </c>
      <c r="U764" s="79">
        <v>0.31659509782397</v>
      </c>
      <c r="V764" s="79">
        <v>0.43122398083219698</v>
      </c>
      <c r="W764" s="79">
        <v>1</v>
      </c>
    </row>
    <row r="765" spans="2:23" x14ac:dyDescent="0.2">
      <c r="B765" t="s">
        <v>1280</v>
      </c>
      <c r="C765" s="84">
        <v>2426</v>
      </c>
      <c r="D765" s="102">
        <v>-1.3578854959342799E-2</v>
      </c>
      <c r="E765" s="79">
        <v>2.1194710773801001E-2</v>
      </c>
      <c r="F765" s="79">
        <v>0.52179868191533296</v>
      </c>
      <c r="G765" s="79">
        <v>0.91901439037128496</v>
      </c>
      <c r="H765" s="79">
        <v>1</v>
      </c>
      <c r="I765" s="102">
        <v>-2.2197915473332299E-2</v>
      </c>
      <c r="J765" s="79">
        <v>2.04643165844073E-2</v>
      </c>
      <c r="K765" s="79">
        <v>0.27816052587905299</v>
      </c>
      <c r="L765" s="79">
        <v>0.69537030386512999</v>
      </c>
      <c r="M765" s="79">
        <v>1</v>
      </c>
      <c r="N765" s="102">
        <v>-4.5138413451258901E-2</v>
      </c>
      <c r="O765" s="79">
        <v>2.0391389525545998E-2</v>
      </c>
      <c r="P765" s="79">
        <v>2.69525551357137E-2</v>
      </c>
      <c r="Q765" s="79">
        <v>6.1616232658433197E-2</v>
      </c>
      <c r="R765" s="79">
        <v>1</v>
      </c>
      <c r="S765" s="102">
        <v>-1.6341592998325299E-2</v>
      </c>
      <c r="T765" s="79">
        <v>2.0790160634819699E-2</v>
      </c>
      <c r="U765" s="79">
        <v>0.43193235326373097</v>
      </c>
      <c r="V765" s="79">
        <v>0.54849580691811095</v>
      </c>
      <c r="W765" s="79">
        <v>1</v>
      </c>
    </row>
    <row r="766" spans="2:23" x14ac:dyDescent="0.2">
      <c r="B766" t="s">
        <v>1281</v>
      </c>
      <c r="C766" s="84">
        <v>2424</v>
      </c>
      <c r="D766" s="102">
        <v>-1.45194678804617E-3</v>
      </c>
      <c r="E766" s="79">
        <v>2.1371597518571799E-2</v>
      </c>
      <c r="F766" s="79">
        <v>0.94584069499326695</v>
      </c>
      <c r="G766" s="79">
        <v>0.99840985319461195</v>
      </c>
      <c r="H766" s="79">
        <v>1</v>
      </c>
      <c r="I766" s="102">
        <v>1.55614430944903E-2</v>
      </c>
      <c r="J766" s="79">
        <v>2.0916945699079401E-2</v>
      </c>
      <c r="K766" s="79">
        <v>0.456975150536232</v>
      </c>
      <c r="L766" s="79">
        <v>0.79746066051088205</v>
      </c>
      <c r="M766" s="79">
        <v>1</v>
      </c>
      <c r="N766" s="102">
        <v>-5.0210181316206201E-3</v>
      </c>
      <c r="O766" s="79">
        <v>2.07229171795205E-2</v>
      </c>
      <c r="P766" s="79">
        <v>0.80857465910376902</v>
      </c>
      <c r="Q766" s="79">
        <v>0.86614016446806796</v>
      </c>
      <c r="R766" s="79">
        <v>1</v>
      </c>
      <c r="S766" s="102">
        <v>-1.97549237528655E-2</v>
      </c>
      <c r="T766" s="79">
        <v>2.11686560743049E-2</v>
      </c>
      <c r="U766" s="79">
        <v>0.35080674765565101</v>
      </c>
      <c r="V766" s="79">
        <v>0.46829521712267402</v>
      </c>
      <c r="W766" s="79">
        <v>1</v>
      </c>
    </row>
    <row r="767" spans="2:23" x14ac:dyDescent="0.2">
      <c r="B767" t="s">
        <v>1271</v>
      </c>
      <c r="C767" s="84">
        <v>2429</v>
      </c>
      <c r="D767" s="102">
        <v>-9.0069008960227698E-3</v>
      </c>
      <c r="E767" s="79">
        <v>2.0513006172413601E-2</v>
      </c>
      <c r="F767" s="79">
        <v>0.66064242017638497</v>
      </c>
      <c r="G767" s="79">
        <v>0.95861142314177605</v>
      </c>
      <c r="H767" s="79">
        <v>1</v>
      </c>
      <c r="I767" s="102">
        <v>-6.0102097936607403E-2</v>
      </c>
      <c r="J767" s="79">
        <v>2.0114679070224899E-2</v>
      </c>
      <c r="K767" s="79">
        <v>2.8380016866373101E-3</v>
      </c>
      <c r="L767" s="79">
        <v>0.13735928163324601</v>
      </c>
      <c r="M767" s="79">
        <v>1</v>
      </c>
      <c r="N767" s="102">
        <v>4.3909751020234202E-3</v>
      </c>
      <c r="O767" s="79">
        <v>1.9931931937062799E-2</v>
      </c>
      <c r="P767" s="79">
        <v>0.82565802818195</v>
      </c>
      <c r="Q767" s="79">
        <v>0.88021692872260804</v>
      </c>
      <c r="R767" s="79">
        <v>1</v>
      </c>
      <c r="S767" s="102">
        <v>-1.6633431665031E-2</v>
      </c>
      <c r="T767" s="79">
        <v>2.0382298215160102E-2</v>
      </c>
      <c r="U767" s="79">
        <v>0.41454278132497602</v>
      </c>
      <c r="V767" s="79">
        <v>0.53119173340734505</v>
      </c>
      <c r="W767" s="79">
        <v>1</v>
      </c>
    </row>
    <row r="768" spans="2:23" x14ac:dyDescent="0.2">
      <c r="B768" t="s">
        <v>1251</v>
      </c>
      <c r="C768" s="84">
        <v>2663</v>
      </c>
      <c r="D768" s="102">
        <v>2.0162709392115102E-2</v>
      </c>
      <c r="E768" s="79">
        <v>2.1446351776929499E-2</v>
      </c>
      <c r="F768" s="79">
        <v>0.34724581023055801</v>
      </c>
      <c r="G768" s="79">
        <v>0.89461055933914202</v>
      </c>
      <c r="H768" s="79">
        <v>1</v>
      </c>
      <c r="I768" s="102">
        <v>-2.1842030362964199E-2</v>
      </c>
      <c r="J768" s="79">
        <v>2.0891145945298801E-2</v>
      </c>
      <c r="K768" s="79">
        <v>0.29590936296072101</v>
      </c>
      <c r="L768" s="79">
        <v>0.70592340946629695</v>
      </c>
      <c r="M768" s="79">
        <v>1</v>
      </c>
      <c r="N768" s="102">
        <v>-7.8343220272276498E-2</v>
      </c>
      <c r="O768" s="79">
        <v>2.0592047876503101E-2</v>
      </c>
      <c r="P768" s="79">
        <v>1.4611683482093499E-4</v>
      </c>
      <c r="Q768" s="79">
        <v>9.3053352701753399E-4</v>
      </c>
      <c r="R768" s="79">
        <v>0.247521918186664</v>
      </c>
      <c r="S768" s="102">
        <v>-4.8634799198635399E-2</v>
      </c>
      <c r="T768" s="79">
        <v>2.10555571596624E-2</v>
      </c>
      <c r="U768" s="79">
        <v>2.09951847972061E-2</v>
      </c>
      <c r="V768" s="79">
        <v>5.0881034401240498E-2</v>
      </c>
      <c r="W768" s="79">
        <v>1</v>
      </c>
    </row>
    <row r="769" spans="2:23" x14ac:dyDescent="0.2">
      <c r="B769" t="s">
        <v>1272</v>
      </c>
      <c r="C769" s="84">
        <v>2431</v>
      </c>
      <c r="D769" s="102">
        <v>3.27624741168938E-2</v>
      </c>
      <c r="E769" s="79">
        <v>2.10780507037653E-2</v>
      </c>
      <c r="F769" s="79">
        <v>0.120238793808792</v>
      </c>
      <c r="G769" s="79">
        <v>0.80938271582532695</v>
      </c>
      <c r="H769" s="79">
        <v>1</v>
      </c>
      <c r="I769" s="102">
        <v>9.9077055521595292E-3</v>
      </c>
      <c r="J769" s="79">
        <v>2.0671826218317601E-2</v>
      </c>
      <c r="K769" s="79">
        <v>0.63178138906072201</v>
      </c>
      <c r="L769" s="79">
        <v>0.87748013759880805</v>
      </c>
      <c r="M769" s="79">
        <v>1</v>
      </c>
      <c r="N769" s="102">
        <v>8.9888521525154997E-4</v>
      </c>
      <c r="O769" s="79">
        <v>2.0458650919995401E-2</v>
      </c>
      <c r="P769" s="79">
        <v>0.96495867298395699</v>
      </c>
      <c r="Q769" s="79">
        <v>0.97242117313195897</v>
      </c>
      <c r="R769" s="79">
        <v>1</v>
      </c>
      <c r="S769" s="102">
        <v>-1.3287414634000599E-2</v>
      </c>
      <c r="T769" s="79">
        <v>2.0919547050955899E-2</v>
      </c>
      <c r="U769" s="79">
        <v>0.52538250321855995</v>
      </c>
      <c r="V769" s="79">
        <v>0.62852963308774001</v>
      </c>
      <c r="W769" s="79">
        <v>1</v>
      </c>
    </row>
    <row r="770" spans="2:23" x14ac:dyDescent="0.2">
      <c r="B770" t="s">
        <v>1254</v>
      </c>
      <c r="C770" s="84">
        <v>2351</v>
      </c>
      <c r="D770" s="102">
        <v>2.23990107559763E-3</v>
      </c>
      <c r="E770" s="79">
        <v>2.1443870302472599E-2</v>
      </c>
      <c r="F770" s="79">
        <v>0.91681842952584902</v>
      </c>
      <c r="G770" s="79">
        <v>0.99557078180563296</v>
      </c>
      <c r="H770" s="79">
        <v>1</v>
      </c>
      <c r="I770" s="102">
        <v>-1.9154019916758101E-2</v>
      </c>
      <c r="J770" s="79">
        <v>2.0875816631881799E-2</v>
      </c>
      <c r="K770" s="79">
        <v>0.35897647850883002</v>
      </c>
      <c r="L770" s="79">
        <v>0.74593451887386297</v>
      </c>
      <c r="M770" s="79">
        <v>1</v>
      </c>
      <c r="N770" s="102">
        <v>-5.83969819839016E-2</v>
      </c>
      <c r="O770" s="79">
        <v>2.06099421919522E-2</v>
      </c>
      <c r="P770" s="79">
        <v>4.6482415237182398E-3</v>
      </c>
      <c r="Q770" s="79">
        <v>1.5055680958276699E-2</v>
      </c>
      <c r="R770" s="79">
        <v>1</v>
      </c>
      <c r="S770" s="102">
        <v>-5.2442274934767497E-2</v>
      </c>
      <c r="T770" s="79">
        <v>2.1031192340882899E-2</v>
      </c>
      <c r="U770" s="79">
        <v>1.2723803010112699E-2</v>
      </c>
      <c r="V770" s="79">
        <v>3.3836926686233802E-2</v>
      </c>
      <c r="W770" s="79">
        <v>1</v>
      </c>
    </row>
    <row r="771" spans="2:23" x14ac:dyDescent="0.2">
      <c r="B771" t="s">
        <v>1273</v>
      </c>
      <c r="C771" s="84">
        <v>2430</v>
      </c>
      <c r="D771" s="102">
        <v>-2.4392792941811299E-2</v>
      </c>
      <c r="E771" s="79">
        <v>2.1236709205589999E-2</v>
      </c>
      <c r="F771" s="79">
        <v>0.25083396112067102</v>
      </c>
      <c r="G771" s="79">
        <v>0.85990749347533801</v>
      </c>
      <c r="H771" s="79">
        <v>1</v>
      </c>
      <c r="I771" s="102">
        <v>2.4826585435484601E-2</v>
      </c>
      <c r="J771" s="79">
        <v>2.07378714714887E-2</v>
      </c>
      <c r="K771" s="79">
        <v>0.23137003711123899</v>
      </c>
      <c r="L771" s="79">
        <v>0.66141104862732303</v>
      </c>
      <c r="M771" s="79">
        <v>1</v>
      </c>
      <c r="N771" s="102">
        <v>4.8117111208133799E-2</v>
      </c>
      <c r="O771" s="79">
        <v>2.05535858039602E-2</v>
      </c>
      <c r="P771" s="79">
        <v>1.9315047506287701E-2</v>
      </c>
      <c r="Q771" s="79">
        <v>4.7419841269060001E-2</v>
      </c>
      <c r="R771" s="79">
        <v>1</v>
      </c>
      <c r="S771" s="102">
        <v>6.5958616752644805E-2</v>
      </c>
      <c r="T771" s="79">
        <v>2.0968514165979699E-2</v>
      </c>
      <c r="U771" s="79">
        <v>1.67898739891399E-3</v>
      </c>
      <c r="V771" s="79">
        <v>6.8370304176930304E-3</v>
      </c>
      <c r="W771" s="79">
        <v>1</v>
      </c>
    </row>
    <row r="772" spans="2:23" x14ac:dyDescent="0.2">
      <c r="B772" t="s">
        <v>1255</v>
      </c>
      <c r="C772" s="84">
        <v>2354</v>
      </c>
      <c r="D772" s="102">
        <v>-1.4249449390263401E-2</v>
      </c>
      <c r="E772" s="79">
        <v>2.1318519768667599E-2</v>
      </c>
      <c r="F772" s="79">
        <v>0.50394539918159198</v>
      </c>
      <c r="G772" s="79">
        <v>0.91752655785263504</v>
      </c>
      <c r="H772" s="79">
        <v>1</v>
      </c>
      <c r="I772" s="102">
        <v>-4.8959551524699101E-2</v>
      </c>
      <c r="J772" s="79">
        <v>2.0682837166691899E-2</v>
      </c>
      <c r="K772" s="79">
        <v>1.8019958293313699E-2</v>
      </c>
      <c r="L772" s="79">
        <v>0.26871569429058501</v>
      </c>
      <c r="M772" s="79">
        <v>1</v>
      </c>
      <c r="N772" s="102">
        <v>-5.3932624202649701E-2</v>
      </c>
      <c r="O772" s="79">
        <v>2.0473981277143401E-2</v>
      </c>
      <c r="P772" s="79">
        <v>8.4961081739048303E-3</v>
      </c>
      <c r="Q772" s="79">
        <v>2.4622204220306001E-2</v>
      </c>
      <c r="R772" s="79">
        <v>1</v>
      </c>
      <c r="S772" s="102">
        <v>-7.4792150121460205E-2</v>
      </c>
      <c r="T772" s="79">
        <v>2.0846915146517001E-2</v>
      </c>
      <c r="U772" s="79">
        <v>3.4145234153041599E-4</v>
      </c>
      <c r="V772" s="79">
        <v>1.91529889586929E-3</v>
      </c>
      <c r="W772" s="79">
        <v>0.57842026655252499</v>
      </c>
    </row>
    <row r="773" spans="2:23" x14ac:dyDescent="0.2">
      <c r="B773" t="s">
        <v>1274</v>
      </c>
      <c r="C773" s="84">
        <v>2428</v>
      </c>
      <c r="D773" s="102">
        <v>3.6913807458731902E-3</v>
      </c>
      <c r="E773" s="79">
        <v>2.1172962827446799E-2</v>
      </c>
      <c r="F773" s="79">
        <v>0.86161015349603698</v>
      </c>
      <c r="G773" s="79">
        <v>0.99362338620020496</v>
      </c>
      <c r="H773" s="79">
        <v>1</v>
      </c>
      <c r="I773" s="102">
        <v>-2.3107787289132499E-3</v>
      </c>
      <c r="J773" s="79">
        <v>2.0800250466988999E-2</v>
      </c>
      <c r="K773" s="79">
        <v>0.91155163997450195</v>
      </c>
      <c r="L773" s="79">
        <v>0.98168469912841005</v>
      </c>
      <c r="M773" s="79">
        <v>1</v>
      </c>
      <c r="N773" s="102">
        <v>2.7369934911570401E-2</v>
      </c>
      <c r="O773" s="79">
        <v>2.0573385957894E-2</v>
      </c>
      <c r="P773" s="79">
        <v>0.18353137119943999</v>
      </c>
      <c r="Q773" s="79">
        <v>0.28160199103890898</v>
      </c>
      <c r="R773" s="79">
        <v>1</v>
      </c>
      <c r="S773" s="102">
        <v>-7.9784902093623308E-3</v>
      </c>
      <c r="T773" s="79">
        <v>2.1049335587464701E-2</v>
      </c>
      <c r="U773" s="79">
        <v>0.70469471917100701</v>
      </c>
      <c r="V773" s="79">
        <v>0.76818072990713404</v>
      </c>
      <c r="W773" s="79">
        <v>1</v>
      </c>
    </row>
    <row r="774" spans="2:23" x14ac:dyDescent="0.2">
      <c r="B774" t="s">
        <v>1275</v>
      </c>
      <c r="C774" s="84">
        <v>2411</v>
      </c>
      <c r="D774" s="102">
        <v>5.7865613377252496E-3</v>
      </c>
      <c r="E774" s="79">
        <v>2.1418716981041998E-2</v>
      </c>
      <c r="F774" s="79">
        <v>0.787058253407249</v>
      </c>
      <c r="G774" s="79">
        <v>0.988344463507694</v>
      </c>
      <c r="H774" s="79">
        <v>1</v>
      </c>
      <c r="I774" s="102">
        <v>5.3873391282841E-3</v>
      </c>
      <c r="J774" s="79">
        <v>2.0968677971234102E-2</v>
      </c>
      <c r="K774" s="79">
        <v>0.79726138764626797</v>
      </c>
      <c r="L774" s="79">
        <v>0.93688387601753798</v>
      </c>
      <c r="M774" s="79">
        <v>1</v>
      </c>
      <c r="N774" s="102">
        <v>-5.6221879682875702E-4</v>
      </c>
      <c r="O774" s="79">
        <v>2.0778539713642599E-2</v>
      </c>
      <c r="P774" s="79">
        <v>0.97841609265656704</v>
      </c>
      <c r="Q774" s="79">
        <v>0.98360704345735495</v>
      </c>
      <c r="R774" s="79">
        <v>1</v>
      </c>
      <c r="S774" s="102">
        <v>1.02446131473958E-2</v>
      </c>
      <c r="T774" s="79">
        <v>2.1228595550523401E-2</v>
      </c>
      <c r="U774" s="79">
        <v>0.62943638332220797</v>
      </c>
      <c r="V774" s="79">
        <v>0.70857839812364898</v>
      </c>
      <c r="W774" s="79">
        <v>1</v>
      </c>
    </row>
    <row r="775" spans="2:23" x14ac:dyDescent="0.2">
      <c r="B775" t="s">
        <v>1276</v>
      </c>
      <c r="C775" s="84">
        <v>2430</v>
      </c>
      <c r="D775" s="102">
        <v>4.6070635793683798E-2</v>
      </c>
      <c r="E775" s="79">
        <v>2.1411447220344298E-2</v>
      </c>
      <c r="F775" s="79">
        <v>3.15263201500375E-2</v>
      </c>
      <c r="G775" s="79">
        <v>0.60944645828912802</v>
      </c>
      <c r="H775" s="79">
        <v>1</v>
      </c>
      <c r="I775" s="102">
        <v>3.5117781128581401E-3</v>
      </c>
      <c r="J775" s="79">
        <v>2.0916561636903599E-2</v>
      </c>
      <c r="K775" s="79">
        <v>0.86668154163646105</v>
      </c>
      <c r="L775" s="79">
        <v>0.96780391004097899</v>
      </c>
      <c r="M775" s="79">
        <v>1</v>
      </c>
      <c r="N775" s="102">
        <v>2.0947892247607201E-2</v>
      </c>
      <c r="O775" s="79">
        <v>2.0725091281158198E-2</v>
      </c>
      <c r="P775" s="79">
        <v>0.31224498285756602</v>
      </c>
      <c r="Q775" s="79">
        <v>0.4270430124679</v>
      </c>
      <c r="R775" s="79">
        <v>1</v>
      </c>
      <c r="S775" s="102">
        <v>-1.4109110769396499E-3</v>
      </c>
      <c r="T775" s="79">
        <v>2.1188087110515699E-2</v>
      </c>
      <c r="U775" s="79">
        <v>0.94691421367792294</v>
      </c>
      <c r="V775" s="79">
        <v>0.962828738277552</v>
      </c>
      <c r="W775" s="79">
        <v>1</v>
      </c>
    </row>
    <row r="776" spans="2:23" x14ac:dyDescent="0.2">
      <c r="B776" t="s">
        <v>1277</v>
      </c>
      <c r="C776" s="84">
        <v>2428</v>
      </c>
      <c r="D776" s="102">
        <v>5.9613805935460297E-3</v>
      </c>
      <c r="E776" s="79">
        <v>2.1074730472691199E-2</v>
      </c>
      <c r="F776" s="79">
        <v>0.77730272498394404</v>
      </c>
      <c r="G776" s="79">
        <v>0.98707149633086799</v>
      </c>
      <c r="H776" s="79">
        <v>1</v>
      </c>
      <c r="I776" s="102">
        <v>3.5229984910868099E-3</v>
      </c>
      <c r="J776" s="79">
        <v>2.0694144213797099E-2</v>
      </c>
      <c r="K776" s="79">
        <v>0.86483544447736704</v>
      </c>
      <c r="L776" s="79">
        <v>0.96637944785267804</v>
      </c>
      <c r="M776" s="79">
        <v>1</v>
      </c>
      <c r="N776" s="102">
        <v>-2.53538922456371E-2</v>
      </c>
      <c r="O776" s="79">
        <v>2.04621454280304E-2</v>
      </c>
      <c r="P776" s="79">
        <v>0.21544836502315501</v>
      </c>
      <c r="Q776" s="79">
        <v>0.32099343038630102</v>
      </c>
      <c r="R776" s="79">
        <v>1</v>
      </c>
      <c r="S776" s="102">
        <v>-5.4120082942595397E-2</v>
      </c>
      <c r="T776" s="79">
        <v>2.0903620439922801E-2</v>
      </c>
      <c r="U776" s="79">
        <v>9.6856316070574097E-3</v>
      </c>
      <c r="V776" s="79">
        <v>2.75755629283282E-2</v>
      </c>
      <c r="W776" s="79">
        <v>1</v>
      </c>
    </row>
    <row r="777" spans="2:23" x14ac:dyDescent="0.2">
      <c r="B777" t="s">
        <v>1258</v>
      </c>
      <c r="C777" s="84">
        <v>2345</v>
      </c>
      <c r="D777" s="102">
        <v>-1.2893746473564401E-2</v>
      </c>
      <c r="E777" s="79">
        <v>2.0036214961295099E-2</v>
      </c>
      <c r="F777" s="79">
        <v>0.51994280573535301</v>
      </c>
      <c r="G777" s="79">
        <v>0.91901439037128496</v>
      </c>
      <c r="H777" s="79">
        <v>1</v>
      </c>
      <c r="I777" s="102">
        <v>2.9320362406374399E-2</v>
      </c>
      <c r="J777" s="79">
        <v>2.0323125152570801E-2</v>
      </c>
      <c r="K777" s="79">
        <v>0.14922446850666801</v>
      </c>
      <c r="L777" s="79">
        <v>0.592867466146905</v>
      </c>
      <c r="M777" s="79">
        <v>1</v>
      </c>
      <c r="N777" s="107">
        <v>-9.9950630157103898E-2</v>
      </c>
      <c r="O777" s="81">
        <v>1.9999895421988299E-2</v>
      </c>
      <c r="P777" s="81">
        <v>6.1978766783830705E-7</v>
      </c>
      <c r="Q777" s="81">
        <v>8.20250241654759E-6</v>
      </c>
      <c r="R777" s="81">
        <v>1.04992030931809E-3</v>
      </c>
      <c r="S777" s="102">
        <v>-6.4080279423737604E-2</v>
      </c>
      <c r="T777" s="79">
        <v>1.9730896635301899E-2</v>
      </c>
      <c r="U777" s="79">
        <v>1.17832836725948E-3</v>
      </c>
      <c r="V777" s="79">
        <v>5.1313322728472003E-3</v>
      </c>
      <c r="W777" s="79">
        <v>1</v>
      </c>
    </row>
    <row r="778" spans="2:23" x14ac:dyDescent="0.2">
      <c r="B778" t="s">
        <v>1248</v>
      </c>
      <c r="C778" s="84">
        <v>2609</v>
      </c>
      <c r="D778" s="102">
        <v>2.2561859141777899E-2</v>
      </c>
      <c r="E778" s="79">
        <v>2.01054192463343E-2</v>
      </c>
      <c r="F778" s="79">
        <v>0.261889066541246</v>
      </c>
      <c r="G778" s="79">
        <v>0.85990749347533801</v>
      </c>
      <c r="H778" s="79">
        <v>1</v>
      </c>
      <c r="I778" s="102">
        <v>2.2215301592361202E-2</v>
      </c>
      <c r="J778" s="79">
        <v>2.04380491014815E-2</v>
      </c>
      <c r="K778" s="79">
        <v>0.27715488311340802</v>
      </c>
      <c r="L778" s="79">
        <v>0.69537030386512999</v>
      </c>
      <c r="M778" s="79">
        <v>1</v>
      </c>
      <c r="N778" s="102">
        <v>-4.4110153498297201E-2</v>
      </c>
      <c r="O778" s="79">
        <v>2.0232054106425101E-2</v>
      </c>
      <c r="P778" s="79">
        <v>2.9330121777616899E-2</v>
      </c>
      <c r="Q778" s="79">
        <v>6.6246968388377403E-2</v>
      </c>
      <c r="R778" s="79">
        <v>1</v>
      </c>
      <c r="S778" s="102">
        <v>-5.1646985420648701E-3</v>
      </c>
      <c r="T778" s="79">
        <v>1.98550060265433E-2</v>
      </c>
      <c r="U778" s="79">
        <v>0.79479093131369805</v>
      </c>
      <c r="V778" s="79">
        <v>0.84624502680415103</v>
      </c>
      <c r="W778" s="79">
        <v>1</v>
      </c>
    </row>
    <row r="779" spans="2:23" x14ac:dyDescent="0.2">
      <c r="B779" t="s">
        <v>1266</v>
      </c>
      <c r="C779" s="84">
        <v>2380</v>
      </c>
      <c r="D779" s="102">
        <v>1.8176049961902599E-2</v>
      </c>
      <c r="E779" s="79">
        <v>2.0139562718492598E-2</v>
      </c>
      <c r="F779" s="79">
        <v>0.36687413838251798</v>
      </c>
      <c r="G779" s="79">
        <v>0.89461055933914202</v>
      </c>
      <c r="H779" s="79">
        <v>1</v>
      </c>
      <c r="I779" s="102">
        <v>1.4908704234171699E-2</v>
      </c>
      <c r="J779" s="79">
        <v>2.0431961062000702E-2</v>
      </c>
      <c r="K779" s="79">
        <v>0.465655642763522</v>
      </c>
      <c r="L779" s="79">
        <v>0.799032058493933</v>
      </c>
      <c r="M779" s="79">
        <v>1</v>
      </c>
      <c r="N779" s="102">
        <v>8.3801400962568596E-3</v>
      </c>
      <c r="O779" s="79">
        <v>2.02567844174401E-2</v>
      </c>
      <c r="P779" s="79">
        <v>0.67913193387546</v>
      </c>
      <c r="Q779" s="79">
        <v>0.77263230086301504</v>
      </c>
      <c r="R779" s="79">
        <v>1</v>
      </c>
      <c r="S779" s="102">
        <v>6.9363104635833698E-3</v>
      </c>
      <c r="T779" s="79">
        <v>1.9880555680505799E-2</v>
      </c>
      <c r="U779" s="79">
        <v>0.72719379114049998</v>
      </c>
      <c r="V779" s="79">
        <v>0.78763828784655199</v>
      </c>
      <c r="W779" s="79">
        <v>1</v>
      </c>
    </row>
    <row r="780" spans="2:23" x14ac:dyDescent="0.2">
      <c r="B780" t="s">
        <v>1267</v>
      </c>
      <c r="C780" s="84">
        <v>2316</v>
      </c>
      <c r="D780" s="102">
        <v>8.1897680243181205E-3</v>
      </c>
      <c r="E780" s="79">
        <v>1.97949544666478E-2</v>
      </c>
      <c r="F780" s="79">
        <v>0.67910526473546795</v>
      </c>
      <c r="G780" s="79">
        <v>0.96670198527320195</v>
      </c>
      <c r="H780" s="79">
        <v>1</v>
      </c>
      <c r="I780" s="102">
        <v>-2.7317306971520801E-2</v>
      </c>
      <c r="J780" s="79">
        <v>2.00879187270049E-2</v>
      </c>
      <c r="K780" s="79">
        <v>0.17398120617104301</v>
      </c>
      <c r="L780" s="79">
        <v>0.61396896490869202</v>
      </c>
      <c r="M780" s="79">
        <v>1</v>
      </c>
      <c r="N780" s="102">
        <v>1.06044972723374E-2</v>
      </c>
      <c r="O780" s="79">
        <v>1.9878560973479599E-2</v>
      </c>
      <c r="P780" s="79">
        <v>0.59375712469513997</v>
      </c>
      <c r="Q780" s="79">
        <v>0.69752050570982504</v>
      </c>
      <c r="R780" s="79">
        <v>1</v>
      </c>
      <c r="S780" s="102">
        <v>-6.6045693783502403E-3</v>
      </c>
      <c r="T780" s="79">
        <v>1.95689682558794E-2</v>
      </c>
      <c r="U780" s="79">
        <v>0.73576509183862204</v>
      </c>
      <c r="V780" s="79">
        <v>0.79539634050709995</v>
      </c>
      <c r="W780" s="79">
        <v>1</v>
      </c>
    </row>
    <row r="781" spans="2:23" x14ac:dyDescent="0.2">
      <c r="B781" t="s">
        <v>1268</v>
      </c>
      <c r="C781" s="84">
        <v>2435</v>
      </c>
      <c r="D781" s="102">
        <v>-1.03907105992086E-2</v>
      </c>
      <c r="E781" s="79">
        <v>1.9784906866171601E-2</v>
      </c>
      <c r="F781" s="79">
        <v>0.59949950657394602</v>
      </c>
      <c r="G781" s="79">
        <v>0.94340566501007395</v>
      </c>
      <c r="H781" s="79">
        <v>1</v>
      </c>
      <c r="I781" s="102">
        <v>-1.9519569601620299E-2</v>
      </c>
      <c r="J781" s="79">
        <v>2.00808635317457E-2</v>
      </c>
      <c r="K781" s="79">
        <v>0.33111521404919397</v>
      </c>
      <c r="L781" s="79">
        <v>0.724688853487513</v>
      </c>
      <c r="M781" s="79">
        <v>1</v>
      </c>
      <c r="N781" s="102">
        <v>4.9396908715949499E-3</v>
      </c>
      <c r="O781" s="79">
        <v>1.98639504210078E-2</v>
      </c>
      <c r="P781" s="79">
        <v>0.80363055566303498</v>
      </c>
      <c r="Q781" s="79">
        <v>0.86473973694860795</v>
      </c>
      <c r="R781" s="79">
        <v>1</v>
      </c>
      <c r="S781" s="102">
        <v>-2.28247871788416E-2</v>
      </c>
      <c r="T781" s="79">
        <v>1.9549859609426901E-2</v>
      </c>
      <c r="U781" s="79">
        <v>0.24310679386119199</v>
      </c>
      <c r="V781" s="79">
        <v>0.35284659954048198</v>
      </c>
      <c r="W781" s="79">
        <v>1</v>
      </c>
    </row>
    <row r="782" spans="2:23" x14ac:dyDescent="0.2">
      <c r="B782" t="s">
        <v>1269</v>
      </c>
      <c r="C782" s="84">
        <v>2431</v>
      </c>
      <c r="D782" s="102">
        <v>3.4910919175470997E-2</v>
      </c>
      <c r="E782" s="79">
        <v>1.9848877032690601E-2</v>
      </c>
      <c r="F782" s="79">
        <v>7.8721261248254307E-2</v>
      </c>
      <c r="G782" s="79">
        <v>0.73538141425839998</v>
      </c>
      <c r="H782" s="79">
        <v>1</v>
      </c>
      <c r="I782" s="102">
        <v>5.6628814574188599E-2</v>
      </c>
      <c r="J782" s="79">
        <v>2.0142679578601601E-2</v>
      </c>
      <c r="K782" s="79">
        <v>4.9693109322468901E-3</v>
      </c>
      <c r="L782" s="79">
        <v>0.143721784187822</v>
      </c>
      <c r="M782" s="79">
        <v>1</v>
      </c>
      <c r="N782" s="102">
        <v>3.9408852530421201E-3</v>
      </c>
      <c r="O782" s="79">
        <v>1.9938995366730699E-2</v>
      </c>
      <c r="P782" s="79">
        <v>0.84333639342449296</v>
      </c>
      <c r="Q782" s="79">
        <v>0.89455970598690704</v>
      </c>
      <c r="R782" s="79">
        <v>1</v>
      </c>
      <c r="S782" s="102">
        <v>8.5658679323819195E-3</v>
      </c>
      <c r="T782" s="79">
        <v>1.9607276036073901E-2</v>
      </c>
      <c r="U782" s="79">
        <v>0.66223993370480405</v>
      </c>
      <c r="V782" s="79">
        <v>0.73391107123923505</v>
      </c>
      <c r="W782" s="79">
        <v>1</v>
      </c>
    </row>
    <row r="783" spans="2:23" x14ac:dyDescent="0.2">
      <c r="B783" t="s">
        <v>1259</v>
      </c>
      <c r="C783" s="84">
        <v>2346</v>
      </c>
      <c r="D783" s="102">
        <v>5.15084728873242E-2</v>
      </c>
      <c r="E783" s="79">
        <v>1.9888706910458701E-2</v>
      </c>
      <c r="F783" s="79">
        <v>9.6556203097924904E-3</v>
      </c>
      <c r="G783" s="79">
        <v>0.43356174057792601</v>
      </c>
      <c r="H783" s="79">
        <v>1</v>
      </c>
      <c r="I783" s="102">
        <v>3.1524847610737997E-2</v>
      </c>
      <c r="J783" s="79">
        <v>2.0240937198424298E-2</v>
      </c>
      <c r="K783" s="79">
        <v>0.119477937917574</v>
      </c>
      <c r="L783" s="79">
        <v>0.55552266356551805</v>
      </c>
      <c r="M783" s="79">
        <v>1</v>
      </c>
      <c r="N783" s="102">
        <v>-4.4402365961849599E-2</v>
      </c>
      <c r="O783" s="79">
        <v>2.0011041398664001E-2</v>
      </c>
      <c r="P783" s="79">
        <v>2.65797484718008E-2</v>
      </c>
      <c r="Q783" s="79">
        <v>6.0928408540230801E-2</v>
      </c>
      <c r="R783" s="79">
        <v>1</v>
      </c>
      <c r="S783" s="102">
        <v>-2.5768467611894399E-2</v>
      </c>
      <c r="T783" s="79">
        <v>1.9679128350475899E-2</v>
      </c>
      <c r="U783" s="79">
        <v>0.190503319500927</v>
      </c>
      <c r="V783" s="79">
        <v>0.29073209300411701</v>
      </c>
      <c r="W783" s="79">
        <v>1</v>
      </c>
    </row>
    <row r="784" spans="2:23" x14ac:dyDescent="0.2">
      <c r="B784" t="s">
        <v>1249</v>
      </c>
      <c r="C784" s="84">
        <v>2664</v>
      </c>
      <c r="D784" s="102">
        <v>9.6759176826518405E-3</v>
      </c>
      <c r="E784" s="79">
        <v>2.0034194889010901E-2</v>
      </c>
      <c r="F784" s="79">
        <v>0.62915848256279705</v>
      </c>
      <c r="G784" s="79">
        <v>0.95687505350859803</v>
      </c>
      <c r="H784" s="79">
        <v>1</v>
      </c>
      <c r="I784" s="102">
        <v>2.4244292434941802E-3</v>
      </c>
      <c r="J784" s="79">
        <v>2.0355240219771399E-2</v>
      </c>
      <c r="K784" s="79">
        <v>0.90520090599347203</v>
      </c>
      <c r="L784" s="79">
        <v>0.98168469912841005</v>
      </c>
      <c r="M784" s="79">
        <v>1</v>
      </c>
      <c r="N784" s="102">
        <v>-5.44165698442928E-2</v>
      </c>
      <c r="O784" s="79">
        <v>2.0134494053552401E-2</v>
      </c>
      <c r="P784" s="79">
        <v>6.9247429647443298E-3</v>
      </c>
      <c r="Q784" s="79">
        <v>2.08357274996037E-2</v>
      </c>
      <c r="R784" s="79">
        <v>1</v>
      </c>
      <c r="S784" s="102">
        <v>-1.8159019961449099E-2</v>
      </c>
      <c r="T784" s="79">
        <v>1.9784385619355398E-2</v>
      </c>
      <c r="U784" s="79">
        <v>0.35878640222664798</v>
      </c>
      <c r="V784" s="79">
        <v>0.47537048132360499</v>
      </c>
      <c r="W784" s="79">
        <v>1</v>
      </c>
    </row>
    <row r="785" spans="2:23" x14ac:dyDescent="0.2">
      <c r="B785" t="s">
        <v>1260</v>
      </c>
      <c r="C785" s="84">
        <v>2254</v>
      </c>
      <c r="D785" s="102">
        <v>-4.3135371049610502E-2</v>
      </c>
      <c r="E785" s="79">
        <v>1.9388589808665601E-2</v>
      </c>
      <c r="F785" s="79">
        <v>2.6180524291470299E-2</v>
      </c>
      <c r="G785" s="79">
        <v>0.59730976775552003</v>
      </c>
      <c r="H785" s="79">
        <v>1</v>
      </c>
      <c r="I785" s="102">
        <v>1.05175847891945E-2</v>
      </c>
      <c r="J785" s="79">
        <v>1.97180895286924E-2</v>
      </c>
      <c r="K785" s="79">
        <v>0.59380348502334501</v>
      </c>
      <c r="L785" s="79">
        <v>0.86865552990461703</v>
      </c>
      <c r="M785" s="79">
        <v>1</v>
      </c>
      <c r="N785" s="102">
        <v>1.3668698464079201E-5</v>
      </c>
      <c r="O785" s="79">
        <v>1.9502959705632698E-2</v>
      </c>
      <c r="P785" s="79">
        <v>0.99944085398523397</v>
      </c>
      <c r="Q785" s="79">
        <v>0.99944085398523397</v>
      </c>
      <c r="R785" s="79">
        <v>1</v>
      </c>
      <c r="S785" s="102">
        <v>1.2272239926575701E-2</v>
      </c>
      <c r="T785" s="79">
        <v>1.9132311370883899E-2</v>
      </c>
      <c r="U785" s="79">
        <v>0.52129278891078501</v>
      </c>
      <c r="V785" s="79">
        <v>0.62540367168191902</v>
      </c>
      <c r="W785" s="79">
        <v>1</v>
      </c>
    </row>
    <row r="786" spans="2:23" x14ac:dyDescent="0.2">
      <c r="B786" t="s">
        <v>1252</v>
      </c>
      <c r="C786" s="84">
        <v>2352</v>
      </c>
      <c r="D786" s="102">
        <v>6.7653340012032897E-3</v>
      </c>
      <c r="E786" s="79">
        <v>2.0118306788479201E-2</v>
      </c>
      <c r="F786" s="79">
        <v>0.73668897967416302</v>
      </c>
      <c r="G786" s="79">
        <v>0.97725225651372905</v>
      </c>
      <c r="H786" s="79">
        <v>1</v>
      </c>
      <c r="I786" s="102">
        <v>1.6771832816710099E-2</v>
      </c>
      <c r="J786" s="79">
        <v>2.0446033485333599E-2</v>
      </c>
      <c r="K786" s="79">
        <v>0.41212249782468102</v>
      </c>
      <c r="L786" s="79">
        <v>0.773619614230731</v>
      </c>
      <c r="M786" s="79">
        <v>1</v>
      </c>
      <c r="N786" s="102">
        <v>-3.7821287088023098E-2</v>
      </c>
      <c r="O786" s="79">
        <v>2.0240180176134201E-2</v>
      </c>
      <c r="P786" s="79">
        <v>6.1788854975842203E-2</v>
      </c>
      <c r="Q786" s="79">
        <v>0.121146204084579</v>
      </c>
      <c r="R786" s="79">
        <v>1</v>
      </c>
      <c r="S786" s="102">
        <v>-4.9841754796367101E-3</v>
      </c>
      <c r="T786" s="79">
        <v>1.9869002125955298E-2</v>
      </c>
      <c r="U786" s="79">
        <v>0.80194859704863397</v>
      </c>
      <c r="V786" s="79">
        <v>0.85172471686544604</v>
      </c>
      <c r="W786" s="79">
        <v>1</v>
      </c>
    </row>
    <row r="787" spans="2:23" x14ac:dyDescent="0.2">
      <c r="B787" t="s">
        <v>1261</v>
      </c>
      <c r="C787" s="84">
        <v>2346</v>
      </c>
      <c r="D787" s="102">
        <v>1.85222305886956E-2</v>
      </c>
      <c r="E787" s="79">
        <v>1.9968941240832001E-2</v>
      </c>
      <c r="F787" s="79">
        <v>0.35373000595307802</v>
      </c>
      <c r="G787" s="79">
        <v>0.89461055933914202</v>
      </c>
      <c r="H787" s="79">
        <v>1</v>
      </c>
      <c r="I787" s="102">
        <v>-4.2599835148114202E-3</v>
      </c>
      <c r="J787" s="79">
        <v>2.0300884376026101E-2</v>
      </c>
      <c r="K787" s="79">
        <v>0.83380807144735003</v>
      </c>
      <c r="L787" s="79">
        <v>0.95558061391045301</v>
      </c>
      <c r="M787" s="79">
        <v>1</v>
      </c>
      <c r="N787" s="102">
        <v>-3.0004249329715699E-2</v>
      </c>
      <c r="O787" s="79">
        <v>2.0100766752237501E-2</v>
      </c>
      <c r="P787" s="79">
        <v>0.13564533791432401</v>
      </c>
      <c r="Q787" s="79">
        <v>0.221584573217806</v>
      </c>
      <c r="R787" s="79">
        <v>1</v>
      </c>
      <c r="S787" s="102">
        <v>-6.9280025533065203E-3</v>
      </c>
      <c r="T787" s="79">
        <v>1.9732799719351098E-2</v>
      </c>
      <c r="U787" s="79">
        <v>0.72555005756323798</v>
      </c>
      <c r="V787" s="79">
        <v>0.78686414693478002</v>
      </c>
      <c r="W787" s="79">
        <v>1</v>
      </c>
    </row>
    <row r="788" spans="2:23" x14ac:dyDescent="0.2">
      <c r="B788" t="s">
        <v>1253</v>
      </c>
      <c r="C788" s="84">
        <v>2350</v>
      </c>
      <c r="D788" s="102">
        <v>3.1483113936431502E-2</v>
      </c>
      <c r="E788" s="79">
        <v>2.0096546607335099E-2</v>
      </c>
      <c r="F788" s="79">
        <v>0.117331939014853</v>
      </c>
      <c r="G788" s="79">
        <v>0.80938271582532695</v>
      </c>
      <c r="H788" s="79">
        <v>1</v>
      </c>
      <c r="I788" s="102">
        <v>1.0435804043499501E-2</v>
      </c>
      <c r="J788" s="79">
        <v>2.04356116600059E-2</v>
      </c>
      <c r="K788" s="79">
        <v>0.60962745934788398</v>
      </c>
      <c r="L788" s="79">
        <v>0.87455910458575803</v>
      </c>
      <c r="M788" s="79">
        <v>1</v>
      </c>
      <c r="N788" s="102">
        <v>-1.4582121491403199E-2</v>
      </c>
      <c r="O788" s="79">
        <v>2.02416162544456E-2</v>
      </c>
      <c r="P788" s="79">
        <v>0.47134203415633602</v>
      </c>
      <c r="Q788" s="79">
        <v>0.58962220900136098</v>
      </c>
      <c r="R788" s="79">
        <v>1</v>
      </c>
      <c r="S788" s="102">
        <v>7.6313870903522204E-3</v>
      </c>
      <c r="T788" s="79">
        <v>1.9857227125070102E-2</v>
      </c>
      <c r="U788" s="79">
        <v>0.70077803881228495</v>
      </c>
      <c r="V788" s="79">
        <v>0.76538877997937504</v>
      </c>
      <c r="W788" s="79">
        <v>1</v>
      </c>
    </row>
    <row r="789" spans="2:23" x14ac:dyDescent="0.2">
      <c r="B789" t="s">
        <v>1262</v>
      </c>
      <c r="C789" s="84">
        <v>2351</v>
      </c>
      <c r="D789" s="102">
        <v>-5.2680339697989303E-4</v>
      </c>
      <c r="E789" s="79">
        <v>1.9937518075931498E-2</v>
      </c>
      <c r="F789" s="79">
        <v>0.97892218080424298</v>
      </c>
      <c r="G789" s="79">
        <v>0.99840985319461195</v>
      </c>
      <c r="H789" s="79">
        <v>1</v>
      </c>
      <c r="I789" s="102">
        <v>-8.5442867720047291E-3</v>
      </c>
      <c r="J789" s="79">
        <v>2.02697278817138E-2</v>
      </c>
      <c r="K789" s="79">
        <v>0.67340298229409401</v>
      </c>
      <c r="L789" s="79">
        <v>0.89190355903533602</v>
      </c>
      <c r="M789" s="79">
        <v>1</v>
      </c>
      <c r="N789" s="102">
        <v>1.7595471941322799E-2</v>
      </c>
      <c r="O789" s="79">
        <v>2.00695904674036E-2</v>
      </c>
      <c r="P789" s="79">
        <v>0.38071723902395699</v>
      </c>
      <c r="Q789" s="79">
        <v>0.49878963875219101</v>
      </c>
      <c r="R789" s="79">
        <v>1</v>
      </c>
      <c r="S789" s="102">
        <v>1.4706343643438299E-2</v>
      </c>
      <c r="T789" s="79">
        <v>1.96992001581731E-2</v>
      </c>
      <c r="U789" s="79">
        <v>0.45540476305615601</v>
      </c>
      <c r="V789" s="79">
        <v>0.57041070341710598</v>
      </c>
      <c r="W789" s="79">
        <v>1</v>
      </c>
    </row>
    <row r="790" spans="2:23" x14ac:dyDescent="0.2">
      <c r="B790" t="s">
        <v>1263</v>
      </c>
      <c r="C790" s="84">
        <v>2352</v>
      </c>
      <c r="D790" s="102">
        <v>1.77330822097936E-2</v>
      </c>
      <c r="E790" s="79">
        <v>1.9791711977534099E-2</v>
      </c>
      <c r="F790" s="79">
        <v>0.37034230365760401</v>
      </c>
      <c r="G790" s="79">
        <v>0.89461055933914202</v>
      </c>
      <c r="H790" s="79">
        <v>1</v>
      </c>
      <c r="I790" s="102">
        <v>3.10402937124526E-2</v>
      </c>
      <c r="J790" s="79">
        <v>2.01094659301695E-2</v>
      </c>
      <c r="K790" s="79">
        <v>0.122813197412391</v>
      </c>
      <c r="L790" s="79">
        <v>0.55552266356551805</v>
      </c>
      <c r="M790" s="79">
        <v>1</v>
      </c>
      <c r="N790" s="102">
        <v>3.7896314733600399E-3</v>
      </c>
      <c r="O790" s="79">
        <v>1.9918610739165302E-2</v>
      </c>
      <c r="P790" s="79">
        <v>0.84912331303799005</v>
      </c>
      <c r="Q790" s="79">
        <v>0.89761607204827498</v>
      </c>
      <c r="R790" s="79">
        <v>1</v>
      </c>
      <c r="S790" s="102">
        <v>2.66175076965799E-2</v>
      </c>
      <c r="T790" s="79">
        <v>1.95454190804406E-2</v>
      </c>
      <c r="U790" s="79">
        <v>0.173368021822458</v>
      </c>
      <c r="V790" s="79">
        <v>0.27067781471635399</v>
      </c>
      <c r="W790" s="79">
        <v>1</v>
      </c>
    </row>
    <row r="791" spans="2:23" x14ac:dyDescent="0.2">
      <c r="B791" t="s">
        <v>1264</v>
      </c>
      <c r="C791" s="84">
        <v>2400</v>
      </c>
      <c r="D791" s="102">
        <v>-2.8815118950516801E-2</v>
      </c>
      <c r="E791" s="79">
        <v>1.9819749119200598E-2</v>
      </c>
      <c r="F791" s="79">
        <v>0.146104374048938</v>
      </c>
      <c r="G791" s="79">
        <v>0.80938271582532695</v>
      </c>
      <c r="H791" s="79">
        <v>1</v>
      </c>
      <c r="I791" s="102">
        <v>5.7456163370959903E-3</v>
      </c>
      <c r="J791" s="79">
        <v>2.01345074983116E-2</v>
      </c>
      <c r="K791" s="79">
        <v>0.77538948024285503</v>
      </c>
      <c r="L791" s="79">
        <v>0.92861868293626904</v>
      </c>
      <c r="M791" s="79">
        <v>1</v>
      </c>
      <c r="N791" s="102">
        <v>-4.6844190618680302E-2</v>
      </c>
      <c r="O791" s="79">
        <v>1.98987413075646E-2</v>
      </c>
      <c r="P791" s="79">
        <v>1.8639221635053101E-2</v>
      </c>
      <c r="Q791" s="79">
        <v>4.6006555457572297E-2</v>
      </c>
      <c r="R791" s="79">
        <v>1</v>
      </c>
      <c r="S791" s="102">
        <v>-6.09278217471136E-2</v>
      </c>
      <c r="T791" s="79">
        <v>1.9542024589890999E-2</v>
      </c>
      <c r="U791" s="79">
        <v>1.84178852116133E-3</v>
      </c>
      <c r="V791" s="79">
        <v>7.3239196123175898E-3</v>
      </c>
      <c r="W791" s="79">
        <v>1</v>
      </c>
    </row>
    <row r="792" spans="2:23" x14ac:dyDescent="0.2">
      <c r="B792" t="s">
        <v>1265</v>
      </c>
      <c r="C792" s="84">
        <v>2377</v>
      </c>
      <c r="D792" s="102">
        <v>-1.0046567328628001E-2</v>
      </c>
      <c r="E792" s="79">
        <v>2.0060800731924702E-2</v>
      </c>
      <c r="F792" s="79">
        <v>0.61655021566255297</v>
      </c>
      <c r="G792" s="79">
        <v>0.951216817242591</v>
      </c>
      <c r="H792" s="79">
        <v>1</v>
      </c>
      <c r="I792" s="102">
        <v>3.5988213400583598E-3</v>
      </c>
      <c r="J792" s="79">
        <v>2.0420666026284499E-2</v>
      </c>
      <c r="K792" s="79">
        <v>0.86012363652444501</v>
      </c>
      <c r="L792" s="79">
        <v>0.96493340415391404</v>
      </c>
      <c r="M792" s="79">
        <v>1</v>
      </c>
      <c r="N792" s="102">
        <v>-1.6128588682773601E-2</v>
      </c>
      <c r="O792" s="79">
        <v>2.02089693109587E-2</v>
      </c>
      <c r="P792" s="79">
        <v>0.42489096417768402</v>
      </c>
      <c r="Q792" s="79">
        <v>0.54158411837245801</v>
      </c>
      <c r="R792" s="79">
        <v>1</v>
      </c>
      <c r="S792" s="102">
        <v>1.7076254279236602E-2</v>
      </c>
      <c r="T792" s="79">
        <v>1.9839888277759302E-2</v>
      </c>
      <c r="U792" s="79">
        <v>0.38948081343726099</v>
      </c>
      <c r="V792" s="79">
        <v>0.50787874492640595</v>
      </c>
      <c r="W792" s="79">
        <v>1</v>
      </c>
    </row>
    <row r="793" spans="2:23" x14ac:dyDescent="0.2">
      <c r="B793" t="s">
        <v>1257</v>
      </c>
      <c r="C793" s="84">
        <v>2348</v>
      </c>
      <c r="D793" s="102">
        <v>0.15383288131204301</v>
      </c>
      <c r="E793" s="79">
        <v>5.7156609423416001E-2</v>
      </c>
      <c r="F793" s="79">
        <v>7.4828883732633404E-3</v>
      </c>
      <c r="G793" s="79">
        <v>0.38801325087508498</v>
      </c>
      <c r="H793" s="79">
        <v>1</v>
      </c>
      <c r="I793" s="102">
        <v>5.7249382556983301E-2</v>
      </c>
      <c r="J793" s="79">
        <v>5.70347900412497E-2</v>
      </c>
      <c r="K793" s="79">
        <v>0.31623365952065002</v>
      </c>
      <c r="L793" s="79">
        <v>0.71421187504967798</v>
      </c>
      <c r="M793" s="79">
        <v>1</v>
      </c>
      <c r="N793" s="102">
        <v>-8.6082489195546605E-2</v>
      </c>
      <c r="O793" s="79">
        <v>5.7865920958375699E-2</v>
      </c>
      <c r="P793" s="79">
        <v>0.13783387455607499</v>
      </c>
      <c r="Q793" s="79">
        <v>0.22407925479653701</v>
      </c>
      <c r="R793" s="79">
        <v>1</v>
      </c>
      <c r="S793" s="102">
        <v>-1.1489818885438799E-2</v>
      </c>
      <c r="T793" s="79">
        <v>5.6511728359024099E-2</v>
      </c>
      <c r="U793" s="79">
        <v>0.83901828654173605</v>
      </c>
      <c r="V793" s="79">
        <v>0.88389115510056004</v>
      </c>
      <c r="W793" s="79">
        <v>1</v>
      </c>
    </row>
    <row r="794" spans="2:23" x14ac:dyDescent="0.2">
      <c r="B794" t="s">
        <v>1256</v>
      </c>
      <c r="C794" s="84">
        <v>2351</v>
      </c>
      <c r="D794" s="102">
        <v>8.1969954815443904E-2</v>
      </c>
      <c r="E794" s="79">
        <v>4.6068928239421901E-2</v>
      </c>
      <c r="F794" s="79">
        <v>7.5891980349481594E-2</v>
      </c>
      <c r="G794" s="79">
        <v>0.73538141425839998</v>
      </c>
      <c r="H794" s="79">
        <v>1</v>
      </c>
      <c r="I794" s="102">
        <v>3.7512812790488699E-3</v>
      </c>
      <c r="J794" s="79">
        <v>4.7927820271473201E-2</v>
      </c>
      <c r="K794" s="79">
        <v>0.93764953228481296</v>
      </c>
      <c r="L794" s="79">
        <v>0.98657037744749898</v>
      </c>
      <c r="M794" s="79">
        <v>1</v>
      </c>
      <c r="N794" s="102">
        <v>0.150263025753613</v>
      </c>
      <c r="O794" s="79">
        <v>4.9403086894251699E-2</v>
      </c>
      <c r="P794" s="79">
        <v>2.4945359680865801E-3</v>
      </c>
      <c r="Q794" s="79">
        <v>8.8963030103971896E-3</v>
      </c>
      <c r="R794" s="79">
        <v>1</v>
      </c>
      <c r="S794" s="102">
        <v>3.2348878427140501E-2</v>
      </c>
      <c r="T794" s="79">
        <v>4.7063178649323599E-2</v>
      </c>
      <c r="U794" s="79">
        <v>0.492228695233147</v>
      </c>
      <c r="V794" s="79">
        <v>0.60064678855985298</v>
      </c>
      <c r="W794" s="79">
        <v>1</v>
      </c>
    </row>
    <row r="795" spans="2:23" x14ac:dyDescent="0.2">
      <c r="B795" t="s">
        <v>1247</v>
      </c>
      <c r="C795" s="84">
        <v>2648</v>
      </c>
      <c r="D795" s="102">
        <v>4.4401180236792598E-3</v>
      </c>
      <c r="E795" s="79">
        <v>2.1519001543536399E-2</v>
      </c>
      <c r="F795" s="79">
        <v>0.83654852690169701</v>
      </c>
      <c r="G795" s="79">
        <v>0.99362338620020496</v>
      </c>
      <c r="H795" s="79">
        <v>1</v>
      </c>
      <c r="I795" s="102">
        <v>-4.4186176652816801E-2</v>
      </c>
      <c r="J795" s="79">
        <v>2.0865826225662701E-2</v>
      </c>
      <c r="K795" s="79">
        <v>3.4324078777979501E-2</v>
      </c>
      <c r="L795" s="79">
        <v>0.35671772668648599</v>
      </c>
      <c r="M795" s="79">
        <v>1</v>
      </c>
      <c r="N795" s="107">
        <v>-8.8402533581527803E-2</v>
      </c>
      <c r="O795" s="81">
        <v>2.0665645177085201E-2</v>
      </c>
      <c r="P795" s="81">
        <v>1.97076548092384E-5</v>
      </c>
      <c r="Q795" s="81">
        <v>1.72086429107473E-4</v>
      </c>
      <c r="R795" s="81">
        <v>3.3384767246849897E-2</v>
      </c>
      <c r="S795" s="107">
        <v>-8.8302206994312196E-2</v>
      </c>
      <c r="T795" s="81">
        <v>2.10383211756054E-2</v>
      </c>
      <c r="U795" s="81">
        <v>2.8137520051601499E-5</v>
      </c>
      <c r="V795" s="81">
        <v>2.7712185446170302E-4</v>
      </c>
      <c r="W795" s="81">
        <v>4.76649589674129E-2</v>
      </c>
    </row>
    <row r="796" spans="2:23" x14ac:dyDescent="0.2">
      <c r="B796" t="s">
        <v>1246</v>
      </c>
      <c r="C796" s="84">
        <v>2654</v>
      </c>
      <c r="D796" s="102">
        <v>1.18021983006193E-2</v>
      </c>
      <c r="E796" s="79">
        <v>2.0149907582786401E-2</v>
      </c>
      <c r="F796" s="79">
        <v>0.55812170897582403</v>
      </c>
      <c r="G796" s="79">
        <v>0.93167796111031398</v>
      </c>
      <c r="H796" s="79">
        <v>1</v>
      </c>
      <c r="I796" s="102">
        <v>9.1235176062250296E-3</v>
      </c>
      <c r="J796" s="79">
        <v>2.0431315594522E-2</v>
      </c>
      <c r="K796" s="79">
        <v>0.65524600198012695</v>
      </c>
      <c r="L796" s="79">
        <v>0.88374695918109603</v>
      </c>
      <c r="M796" s="79">
        <v>1</v>
      </c>
      <c r="N796" s="102">
        <v>-3.1595804175587001E-2</v>
      </c>
      <c r="O796" s="79">
        <v>2.0282614073927601E-2</v>
      </c>
      <c r="P796" s="79">
        <v>0.119426785302387</v>
      </c>
      <c r="Q796" s="79">
        <v>0.20030591515073601</v>
      </c>
      <c r="R796" s="79">
        <v>1</v>
      </c>
      <c r="S796" s="102">
        <v>-1.1573002913674101E-2</v>
      </c>
      <c r="T796" s="79">
        <v>1.9889986048692299E-2</v>
      </c>
      <c r="U796" s="79">
        <v>0.56072485105352599</v>
      </c>
      <c r="V796" s="79">
        <v>0.65780325324423405</v>
      </c>
      <c r="W796" s="79">
        <v>1</v>
      </c>
    </row>
    <row r="797" spans="2:23" x14ac:dyDescent="0.2">
      <c r="B797" t="s">
        <v>3672</v>
      </c>
      <c r="C797" s="84">
        <v>5037</v>
      </c>
      <c r="D797" s="102">
        <v>1.1027574887326586</v>
      </c>
      <c r="E797" s="79">
        <v>4.7163159026175003E-2</v>
      </c>
      <c r="F797" s="79">
        <v>3.80843145659416E-2</v>
      </c>
      <c r="G797" s="79">
        <v>0.66335502824181403</v>
      </c>
      <c r="H797" s="79">
        <v>1</v>
      </c>
      <c r="I797" s="102">
        <v>1.1373030748197221</v>
      </c>
      <c r="J797" s="79">
        <v>4.6552059543588598E-2</v>
      </c>
      <c r="K797" s="79">
        <v>5.7135729192217804E-3</v>
      </c>
      <c r="L797" s="79">
        <v>0.146648371593359</v>
      </c>
      <c r="M797" s="79">
        <v>1</v>
      </c>
      <c r="N797" s="102">
        <v>1.0862259378353998</v>
      </c>
      <c r="O797" s="79">
        <v>4.5959787866731799E-2</v>
      </c>
      <c r="P797" s="79">
        <v>7.1923781496787201E-2</v>
      </c>
      <c r="Q797" s="79">
        <v>0.13659067921026599</v>
      </c>
      <c r="R797" s="79">
        <v>1</v>
      </c>
      <c r="S797" s="102">
        <v>1.1168540835723422</v>
      </c>
      <c r="T797" s="79">
        <v>4.6310691516753502E-2</v>
      </c>
      <c r="U797" s="79">
        <v>1.7014189052161701E-2</v>
      </c>
      <c r="V797" s="79">
        <v>4.3276330712255097E-2</v>
      </c>
      <c r="W797" s="79">
        <v>1</v>
      </c>
    </row>
    <row r="798" spans="2:23" x14ac:dyDescent="0.2">
      <c r="B798" t="s">
        <v>911</v>
      </c>
      <c r="C798" s="84">
        <v>1765</v>
      </c>
      <c r="D798" s="102">
        <v>-2.1992078272351799E-2</v>
      </c>
      <c r="E798" s="79">
        <v>1.4555018815816801E-2</v>
      </c>
      <c r="F798" s="79">
        <v>0.13086492173744099</v>
      </c>
      <c r="G798" s="79">
        <v>0.80938271582532695</v>
      </c>
      <c r="H798" s="79">
        <v>1</v>
      </c>
      <c r="I798" s="102">
        <v>1.9877340758396998E-2</v>
      </c>
      <c r="J798" s="79">
        <v>1.44601921831853E-2</v>
      </c>
      <c r="K798" s="79">
        <v>0.169314110201711</v>
      </c>
      <c r="L798" s="79">
        <v>0.61396896490869202</v>
      </c>
      <c r="M798" s="79">
        <v>1</v>
      </c>
      <c r="N798" s="102">
        <v>3.0995924170612602E-2</v>
      </c>
      <c r="O798" s="79">
        <v>1.43317215810816E-2</v>
      </c>
      <c r="P798" s="79">
        <v>3.0611123995194101E-2</v>
      </c>
      <c r="Q798" s="79">
        <v>6.8320479641447704E-2</v>
      </c>
      <c r="R798" s="79">
        <v>1</v>
      </c>
      <c r="S798" s="102">
        <v>4.4248356838927097E-2</v>
      </c>
      <c r="T798" s="79">
        <v>1.43070001520196E-2</v>
      </c>
      <c r="U798" s="79">
        <v>1.99461338854726E-3</v>
      </c>
      <c r="V798" s="79">
        <v>7.7716301541054999E-3</v>
      </c>
      <c r="W798" s="79">
        <v>1</v>
      </c>
    </row>
    <row r="799" spans="2:23" x14ac:dyDescent="0.2">
      <c r="B799" t="s">
        <v>912</v>
      </c>
      <c r="C799" s="84">
        <v>1765</v>
      </c>
      <c r="D799" s="102">
        <v>-2.5855804865036601E-2</v>
      </c>
      <c r="E799" s="79">
        <v>1.43547330236664E-2</v>
      </c>
      <c r="F799" s="79">
        <v>7.1734784420595707E-2</v>
      </c>
      <c r="G799" s="79">
        <v>0.73538141425839998</v>
      </c>
      <c r="H799" s="79">
        <v>1</v>
      </c>
      <c r="I799" s="102">
        <v>1.5040058800573E-2</v>
      </c>
      <c r="J799" s="79">
        <v>1.42711522544664E-2</v>
      </c>
      <c r="K799" s="79">
        <v>0.29199393938816098</v>
      </c>
      <c r="L799" s="79">
        <v>0.70524280748930701</v>
      </c>
      <c r="M799" s="79">
        <v>1</v>
      </c>
      <c r="N799" s="102">
        <v>2.2285000901783699E-2</v>
      </c>
      <c r="O799" s="79">
        <v>1.4149145378511301E-2</v>
      </c>
      <c r="P799" s="79">
        <v>0.115323043863527</v>
      </c>
      <c r="Q799" s="79">
        <v>0.19457892062232501</v>
      </c>
      <c r="R799" s="79">
        <v>1</v>
      </c>
      <c r="S799" s="102">
        <v>8.4031570700436806E-3</v>
      </c>
      <c r="T799" s="79">
        <v>1.41377525639161E-2</v>
      </c>
      <c r="U799" s="79">
        <v>0.55228878802135295</v>
      </c>
      <c r="V799" s="79">
        <v>0.65073753352907404</v>
      </c>
      <c r="W799" s="79">
        <v>1</v>
      </c>
    </row>
    <row r="800" spans="2:23" x14ac:dyDescent="0.2">
      <c r="B800" t="s">
        <v>3241</v>
      </c>
      <c r="C800" s="84">
        <v>1762</v>
      </c>
      <c r="D800" s="102">
        <v>-1.7707105655053301E-2</v>
      </c>
      <c r="E800" s="79">
        <v>1.4527063843653E-2</v>
      </c>
      <c r="F800" s="79">
        <v>0.222941953849182</v>
      </c>
      <c r="G800" s="79">
        <v>0.84071215771938901</v>
      </c>
      <c r="H800" s="79">
        <v>1</v>
      </c>
      <c r="I800" s="102">
        <v>-3.9055678024760799E-3</v>
      </c>
      <c r="J800" s="79">
        <v>1.44322446442841E-2</v>
      </c>
      <c r="K800" s="79">
        <v>0.78670014712320602</v>
      </c>
      <c r="L800" s="79">
        <v>0.932589257681393</v>
      </c>
      <c r="M800" s="79">
        <v>1</v>
      </c>
      <c r="N800" s="102">
        <v>3.0404898541540999E-2</v>
      </c>
      <c r="O800" s="79">
        <v>1.4305761630431801E-2</v>
      </c>
      <c r="P800" s="79">
        <v>3.3609716676564899E-2</v>
      </c>
      <c r="Q800" s="79">
        <v>7.3559250710724694E-2</v>
      </c>
      <c r="R800" s="79">
        <v>1</v>
      </c>
      <c r="S800" s="102">
        <v>1.73617837065232E-2</v>
      </c>
      <c r="T800" s="79">
        <v>1.42982579027249E-2</v>
      </c>
      <c r="U800" s="79">
        <v>0.224711022594513</v>
      </c>
      <c r="V800" s="79">
        <v>0.33129719083995202</v>
      </c>
      <c r="W800" s="79">
        <v>1</v>
      </c>
    </row>
    <row r="801" spans="2:23" x14ac:dyDescent="0.2">
      <c r="B801" t="s">
        <v>910</v>
      </c>
      <c r="C801" s="84">
        <v>1765</v>
      </c>
      <c r="D801" s="102">
        <v>-2.1004879026559699E-2</v>
      </c>
      <c r="E801" s="79">
        <v>1.4523322829328901E-2</v>
      </c>
      <c r="F801" s="79">
        <v>0.14816451978186099</v>
      </c>
      <c r="G801" s="79">
        <v>0.80938271582532695</v>
      </c>
      <c r="H801" s="79">
        <v>1</v>
      </c>
      <c r="I801" s="102">
        <v>-5.7902279463827998E-4</v>
      </c>
      <c r="J801" s="79">
        <v>1.44289093257375E-2</v>
      </c>
      <c r="K801" s="79">
        <v>0.96799177271811199</v>
      </c>
      <c r="L801" s="79">
        <v>0.99551534580938295</v>
      </c>
      <c r="M801" s="79">
        <v>1</v>
      </c>
      <c r="N801" s="102">
        <v>4.1348848020305397E-2</v>
      </c>
      <c r="O801" s="79">
        <v>1.42998356410039E-2</v>
      </c>
      <c r="P801" s="79">
        <v>3.8514258267786498E-3</v>
      </c>
      <c r="Q801" s="79">
        <v>1.2893903854867699E-2</v>
      </c>
      <c r="R801" s="79">
        <v>1</v>
      </c>
      <c r="S801" s="102">
        <v>3.5970582331748997E-2</v>
      </c>
      <c r="T801" s="79">
        <v>1.42842582899092E-2</v>
      </c>
      <c r="U801" s="79">
        <v>1.18295278201818E-2</v>
      </c>
      <c r="V801" s="79">
        <v>3.2217395703196101E-2</v>
      </c>
      <c r="W801" s="79">
        <v>1</v>
      </c>
    </row>
    <row r="802" spans="2:23" x14ac:dyDescent="0.2">
      <c r="B802" t="s">
        <v>3247</v>
      </c>
      <c r="C802" s="84">
        <v>1723</v>
      </c>
      <c r="D802" s="102">
        <v>-1.24218264955199E-2</v>
      </c>
      <c r="E802" s="79">
        <v>1.5283514159885899E-2</v>
      </c>
      <c r="F802" s="79">
        <v>0.41640110046553802</v>
      </c>
      <c r="G802" s="79">
        <v>0.89561567502544503</v>
      </c>
      <c r="H802" s="79">
        <v>1</v>
      </c>
      <c r="I802" s="102">
        <v>-1.1392547422376401E-2</v>
      </c>
      <c r="J802" s="79">
        <v>1.5254533901141299E-2</v>
      </c>
      <c r="K802" s="79">
        <v>0.455207759629631</v>
      </c>
      <c r="L802" s="79">
        <v>0.79746066051088205</v>
      </c>
      <c r="M802" s="79">
        <v>1</v>
      </c>
      <c r="N802" s="102">
        <v>-4.9906569707168898E-2</v>
      </c>
      <c r="O802" s="79">
        <v>1.5099640118869301E-2</v>
      </c>
      <c r="P802" s="79">
        <v>9.5720788106198797E-4</v>
      </c>
      <c r="Q802" s="79">
        <v>4.2447909699450496E-3</v>
      </c>
      <c r="R802" s="79">
        <v>1</v>
      </c>
      <c r="S802" s="102">
        <v>-1.2250140716133E-2</v>
      </c>
      <c r="T802" s="79">
        <v>1.50918231724597E-2</v>
      </c>
      <c r="U802" s="79">
        <v>0.41700570126235897</v>
      </c>
      <c r="V802" s="79">
        <v>0.53313785504787603</v>
      </c>
      <c r="W802" s="79">
        <v>1</v>
      </c>
    </row>
    <row r="803" spans="2:23" x14ac:dyDescent="0.2">
      <c r="B803" t="s">
        <v>3670</v>
      </c>
      <c r="C803" s="84">
        <v>5037</v>
      </c>
      <c r="D803" s="102">
        <v>1.025086973619844</v>
      </c>
      <c r="E803" s="79">
        <v>4.3532141730219298E-2</v>
      </c>
      <c r="F803" s="79">
        <v>0.56923653468074098</v>
      </c>
      <c r="G803" s="79">
        <v>0.93167796111031398</v>
      </c>
      <c r="H803" s="79">
        <v>1</v>
      </c>
      <c r="I803" s="102">
        <v>1.0903365367954247</v>
      </c>
      <c r="J803" s="79">
        <v>4.3752488803749302E-2</v>
      </c>
      <c r="K803" s="79">
        <v>4.80733449800059E-2</v>
      </c>
      <c r="L803" s="79">
        <v>0.40114376697029003</v>
      </c>
      <c r="M803" s="79">
        <v>1</v>
      </c>
      <c r="N803" s="102">
        <v>1.0450949359259594</v>
      </c>
      <c r="O803" s="79">
        <v>4.3336597342380399E-2</v>
      </c>
      <c r="P803" s="79">
        <v>0.30877586060814899</v>
      </c>
      <c r="Q803" s="79">
        <v>0.42319280572022999</v>
      </c>
      <c r="R803" s="79">
        <v>1</v>
      </c>
      <c r="S803" s="102">
        <v>1.0319195563517327</v>
      </c>
      <c r="T803" s="79">
        <v>4.3066650346917701E-2</v>
      </c>
      <c r="U803" s="79">
        <v>0.465644849889017</v>
      </c>
      <c r="V803" s="79">
        <v>0.57957558832622702</v>
      </c>
      <c r="W803" s="79">
        <v>1</v>
      </c>
    </row>
    <row r="804" spans="2:23" x14ac:dyDescent="0.2">
      <c r="B804" t="s">
        <v>908</v>
      </c>
      <c r="C804" s="84">
        <v>1763</v>
      </c>
      <c r="D804" s="102">
        <v>-1.2358131733467601E-2</v>
      </c>
      <c r="E804" s="79">
        <v>1.4525647710958401E-2</v>
      </c>
      <c r="F804" s="79">
        <v>0.394935285502925</v>
      </c>
      <c r="G804" s="79">
        <v>0.89461055933914202</v>
      </c>
      <c r="H804" s="79">
        <v>1</v>
      </c>
      <c r="I804" s="102">
        <v>8.3184826099391793E-3</v>
      </c>
      <c r="J804" s="79">
        <v>1.4424857445903E-2</v>
      </c>
      <c r="K804" s="79">
        <v>0.56418628253677505</v>
      </c>
      <c r="L804" s="79">
        <v>0.85878159627519401</v>
      </c>
      <c r="M804" s="79">
        <v>1</v>
      </c>
      <c r="N804" s="102">
        <v>4.7838241354216597E-2</v>
      </c>
      <c r="O804" s="79">
        <v>1.4290435759050899E-2</v>
      </c>
      <c r="P804" s="79">
        <v>8.2180716407419198E-4</v>
      </c>
      <c r="Q804" s="79">
        <v>3.7907576599143398E-3</v>
      </c>
      <c r="R804" s="79">
        <v>1</v>
      </c>
      <c r="S804" s="102">
        <v>3.6907992268919797E-2</v>
      </c>
      <c r="T804" s="79">
        <v>1.42800636138913E-2</v>
      </c>
      <c r="U804" s="79">
        <v>9.7802405635071896E-3</v>
      </c>
      <c r="V804" s="79">
        <v>2.77982005278208E-2</v>
      </c>
      <c r="W804" s="79">
        <v>1</v>
      </c>
    </row>
    <row r="805" spans="2:23" x14ac:dyDescent="0.2">
      <c r="B805" t="s">
        <v>3671</v>
      </c>
      <c r="C805" s="84">
        <v>4324</v>
      </c>
      <c r="D805" s="102">
        <v>0.99059599900186279</v>
      </c>
      <c r="E805" s="79">
        <v>3.6914205737047498E-2</v>
      </c>
      <c r="F805" s="79">
        <v>0.79798302719006797</v>
      </c>
      <c r="G805" s="79">
        <v>0.99362338620020496</v>
      </c>
      <c r="H805" s="79">
        <v>1</v>
      </c>
      <c r="I805" s="102">
        <v>0.95915946326000256</v>
      </c>
      <c r="J805" s="79">
        <v>3.68547123855721E-2</v>
      </c>
      <c r="K805" s="79">
        <v>0.25788088635703499</v>
      </c>
      <c r="L805" s="79">
        <v>0.68025543872958705</v>
      </c>
      <c r="M805" s="79">
        <v>1</v>
      </c>
      <c r="N805" s="102">
        <v>0.98933774026633414</v>
      </c>
      <c r="O805" s="79">
        <v>3.6398194887971497E-2</v>
      </c>
      <c r="P805" s="79">
        <v>0.768370814497909</v>
      </c>
      <c r="Q805" s="79">
        <v>0.84192765831788996</v>
      </c>
      <c r="R805" s="79">
        <v>1</v>
      </c>
      <c r="S805" s="102">
        <v>0.9505135628587098</v>
      </c>
      <c r="T805" s="79">
        <v>3.6389587154647497E-2</v>
      </c>
      <c r="U805" s="79">
        <v>0.16310391436466901</v>
      </c>
      <c r="V805" s="79">
        <v>0.25870602147354799</v>
      </c>
      <c r="W805" s="79">
        <v>1</v>
      </c>
    </row>
    <row r="806" spans="2:23" x14ac:dyDescent="0.2">
      <c r="B806" t="s">
        <v>909</v>
      </c>
      <c r="C806" s="84">
        <v>1765</v>
      </c>
      <c r="D806" s="102">
        <v>-1.5957053183327401E-2</v>
      </c>
      <c r="E806" s="79">
        <v>1.45455627335102E-2</v>
      </c>
      <c r="F806" s="79">
        <v>0.27267981293450899</v>
      </c>
      <c r="G806" s="79">
        <v>0.86858473615692899</v>
      </c>
      <c r="H806" s="79">
        <v>1</v>
      </c>
      <c r="I806" s="102">
        <v>2.2090703972274198E-2</v>
      </c>
      <c r="J806" s="79">
        <v>1.4457696824134E-2</v>
      </c>
      <c r="K806" s="79">
        <v>0.12659169163089001</v>
      </c>
      <c r="L806" s="79">
        <v>0.55552266356551805</v>
      </c>
      <c r="M806" s="79">
        <v>1</v>
      </c>
      <c r="N806" s="102">
        <v>3.64131323030666E-2</v>
      </c>
      <c r="O806" s="79">
        <v>1.4327977728658599E-2</v>
      </c>
      <c r="P806" s="79">
        <v>1.1072825347799501E-2</v>
      </c>
      <c r="Q806" s="79">
        <v>3.0156537201241701E-2</v>
      </c>
      <c r="R806" s="79">
        <v>1</v>
      </c>
      <c r="S806" s="102">
        <v>4.17089513415526E-2</v>
      </c>
      <c r="T806" s="79">
        <v>1.43062594931019E-2</v>
      </c>
      <c r="U806" s="79">
        <v>3.56873636644741E-3</v>
      </c>
      <c r="V806" s="79">
        <v>1.2337631438289601E-2</v>
      </c>
      <c r="W806" s="79">
        <v>1</v>
      </c>
    </row>
    <row r="807" spans="2:23" x14ac:dyDescent="0.2">
      <c r="B807" t="s">
        <v>3240</v>
      </c>
      <c r="C807" s="84">
        <v>1765</v>
      </c>
      <c r="D807" s="102">
        <v>-2.0271811807699901E-2</v>
      </c>
      <c r="E807" s="79">
        <v>1.45717719018984E-2</v>
      </c>
      <c r="F807" s="79">
        <v>0.164239382213198</v>
      </c>
      <c r="G807" s="79">
        <v>0.81796927009920195</v>
      </c>
      <c r="H807" s="79">
        <v>1</v>
      </c>
      <c r="I807" s="102">
        <v>4.3491471670926204E-3</v>
      </c>
      <c r="J807" s="79">
        <v>1.4483849397351801E-2</v>
      </c>
      <c r="K807" s="79">
        <v>0.76398038806146795</v>
      </c>
      <c r="L807" s="79">
        <v>0.92706502677373004</v>
      </c>
      <c r="M807" s="79">
        <v>1</v>
      </c>
      <c r="N807" s="102">
        <v>3.4285112600516997E-2</v>
      </c>
      <c r="O807" s="79">
        <v>1.4351050446395799E-2</v>
      </c>
      <c r="P807" s="79">
        <v>1.6932400736738001E-2</v>
      </c>
      <c r="Q807" s="79">
        <v>4.25571021484187E-2</v>
      </c>
      <c r="R807" s="79">
        <v>1</v>
      </c>
      <c r="S807" s="102">
        <v>1.90034136505038E-2</v>
      </c>
      <c r="T807" s="79">
        <v>1.4344254671276599E-2</v>
      </c>
      <c r="U807" s="79">
        <v>0.185298881226486</v>
      </c>
      <c r="V807" s="79">
        <v>0.28536027708878797</v>
      </c>
      <c r="W807" s="79">
        <v>1</v>
      </c>
    </row>
    <row r="808" spans="2:23" x14ac:dyDescent="0.2">
      <c r="B808" t="s">
        <v>907</v>
      </c>
      <c r="C808" s="84">
        <v>1726</v>
      </c>
      <c r="D808" s="102">
        <v>-3.0215754288740802E-3</v>
      </c>
      <c r="E808" s="79">
        <v>1.44613871809154E-2</v>
      </c>
      <c r="F808" s="79">
        <v>0.83450359398254403</v>
      </c>
      <c r="G808" s="79">
        <v>0.99362338620020496</v>
      </c>
      <c r="H808" s="79">
        <v>1</v>
      </c>
      <c r="I808" s="102">
        <v>-1.09517408260186E-3</v>
      </c>
      <c r="J808" s="79">
        <v>1.43597940858535E-2</v>
      </c>
      <c r="K808" s="79">
        <v>0.939210319965331</v>
      </c>
      <c r="L808" s="79">
        <v>0.98659835007379004</v>
      </c>
      <c r="M808" s="79">
        <v>1</v>
      </c>
      <c r="N808" s="102">
        <v>5.1103119305111799E-2</v>
      </c>
      <c r="O808" s="79">
        <v>1.4231352881293201E-2</v>
      </c>
      <c r="P808" s="79">
        <v>3.33046693086814E-4</v>
      </c>
      <c r="Q808" s="79">
        <v>1.8497740920952899E-3</v>
      </c>
      <c r="R808" s="79">
        <v>0.56418109808906303</v>
      </c>
      <c r="S808" s="102">
        <v>3.6398193099958703E-2</v>
      </c>
      <c r="T808" s="79">
        <v>1.4218618169074399E-2</v>
      </c>
      <c r="U808" s="79">
        <v>1.05023649413868E-2</v>
      </c>
      <c r="V808" s="79">
        <v>2.9358096057276E-2</v>
      </c>
      <c r="W808" s="79">
        <v>1</v>
      </c>
    </row>
    <row r="809" spans="2:23" x14ac:dyDescent="0.2">
      <c r="B809" t="s">
        <v>3243</v>
      </c>
      <c r="C809" s="84">
        <v>1765</v>
      </c>
      <c r="D809" s="102">
        <v>-1.05609550188912E-2</v>
      </c>
      <c r="E809" s="79">
        <v>1.4493799693367599E-2</v>
      </c>
      <c r="F809" s="79">
        <v>0.46624975963493898</v>
      </c>
      <c r="G809" s="79">
        <v>0.91151047511105199</v>
      </c>
      <c r="H809" s="79">
        <v>1</v>
      </c>
      <c r="I809" s="102">
        <v>-2.25256600241974E-2</v>
      </c>
      <c r="J809" s="79">
        <v>1.4385251459273499E-2</v>
      </c>
      <c r="K809" s="79">
        <v>0.11744334044198899</v>
      </c>
      <c r="L809" s="79">
        <v>0.55110531498263005</v>
      </c>
      <c r="M809" s="79">
        <v>1</v>
      </c>
      <c r="N809" s="102">
        <v>-3.9893501355150102E-2</v>
      </c>
      <c r="O809" s="79">
        <v>1.42538509997214E-2</v>
      </c>
      <c r="P809" s="79">
        <v>5.1506023713705704E-3</v>
      </c>
      <c r="Q809" s="79">
        <v>1.6475779320899799E-2</v>
      </c>
      <c r="R809" s="79">
        <v>1</v>
      </c>
      <c r="S809" s="102">
        <v>-1.9941213650577001E-2</v>
      </c>
      <c r="T809" s="79">
        <v>1.4251938094446699E-2</v>
      </c>
      <c r="U809" s="79">
        <v>0.16182123212396801</v>
      </c>
      <c r="V809" s="79">
        <v>0.25739452320939099</v>
      </c>
      <c r="W809" s="79">
        <v>1</v>
      </c>
    </row>
    <row r="810" spans="2:23" x14ac:dyDescent="0.2">
      <c r="B810" t="s">
        <v>3242</v>
      </c>
      <c r="C810" s="84">
        <v>1765</v>
      </c>
      <c r="D810" s="102">
        <v>-1.32865154376452E-2</v>
      </c>
      <c r="E810" s="79">
        <v>1.42983020981016E-2</v>
      </c>
      <c r="F810" s="79">
        <v>0.35281360771709303</v>
      </c>
      <c r="G810" s="79">
        <v>0.89461055933914202</v>
      </c>
      <c r="H810" s="79">
        <v>1</v>
      </c>
      <c r="I810" s="102">
        <v>-3.3795187613553698E-2</v>
      </c>
      <c r="J810" s="79">
        <v>1.4194897805050399E-2</v>
      </c>
      <c r="K810" s="79">
        <v>1.7315405195920199E-2</v>
      </c>
      <c r="L810" s="79">
        <v>0.26425492253953897</v>
      </c>
      <c r="M810" s="79">
        <v>1</v>
      </c>
      <c r="N810" s="102">
        <v>-4.8908056012363997E-2</v>
      </c>
      <c r="O810" s="79">
        <v>1.4070038205728899E-2</v>
      </c>
      <c r="P810" s="79">
        <v>5.1351053073202995E-4</v>
      </c>
      <c r="Q810" s="79">
        <v>2.6201410815062001E-3</v>
      </c>
      <c r="R810" s="79">
        <v>0.86988683906005904</v>
      </c>
      <c r="S810" s="102">
        <v>-2.2737070717077802E-2</v>
      </c>
      <c r="T810" s="79">
        <v>1.4068544319976201E-2</v>
      </c>
      <c r="U810" s="79">
        <v>0.106126358206483</v>
      </c>
      <c r="V810" s="79">
        <v>0.184240705347647</v>
      </c>
      <c r="W810" s="79">
        <v>1</v>
      </c>
    </row>
    <row r="811" spans="2:23" x14ac:dyDescent="0.2">
      <c r="B811" t="s">
        <v>3246</v>
      </c>
      <c r="C811" s="84">
        <v>1765</v>
      </c>
      <c r="D811" s="102">
        <v>-1.58682056414555E-2</v>
      </c>
      <c r="E811" s="79">
        <v>1.43844929385513E-2</v>
      </c>
      <c r="F811" s="79">
        <v>0.27001943469339701</v>
      </c>
      <c r="G811" s="79">
        <v>0.86467471147564201</v>
      </c>
      <c r="H811" s="79">
        <v>1</v>
      </c>
      <c r="I811" s="102">
        <v>-3.56988379048001E-2</v>
      </c>
      <c r="J811" s="79">
        <v>1.42783777096319E-2</v>
      </c>
      <c r="K811" s="79">
        <v>1.2446364878496E-2</v>
      </c>
      <c r="L811" s="79">
        <v>0.212483699136545</v>
      </c>
      <c r="M811" s="79">
        <v>1</v>
      </c>
      <c r="N811" s="102">
        <v>-5.5024616242247699E-2</v>
      </c>
      <c r="O811" s="79">
        <v>1.4146216223781399E-2</v>
      </c>
      <c r="P811" s="79">
        <v>1.0175820247178901E-4</v>
      </c>
      <c r="Q811" s="79">
        <v>6.9228271079201E-4</v>
      </c>
      <c r="R811" s="79">
        <v>0.172378394987211</v>
      </c>
      <c r="S811" s="102">
        <v>-2.6869351926068399E-2</v>
      </c>
      <c r="T811" s="79">
        <v>1.41492244404597E-2</v>
      </c>
      <c r="U811" s="79">
        <v>5.7625908872891797E-2</v>
      </c>
      <c r="V811" s="79">
        <v>0.114441136729987</v>
      </c>
      <c r="W811" s="79">
        <v>1</v>
      </c>
    </row>
    <row r="812" spans="2:23" x14ac:dyDescent="0.2">
      <c r="B812" t="s">
        <v>3189</v>
      </c>
      <c r="C812" s="84">
        <v>1723</v>
      </c>
      <c r="D812" s="102">
        <v>-6.0563959962165303E-3</v>
      </c>
      <c r="E812" s="79">
        <v>1.4138316339237501E-2</v>
      </c>
      <c r="F812" s="79">
        <v>0.66840279624984</v>
      </c>
      <c r="G812" s="79">
        <v>0.96329994356686</v>
      </c>
      <c r="H812" s="79">
        <v>1</v>
      </c>
      <c r="I812" s="102">
        <v>4.9259290590774697E-2</v>
      </c>
      <c r="J812" s="79">
        <v>1.40409554053115E-2</v>
      </c>
      <c r="K812" s="79">
        <v>4.5526595333349098E-4</v>
      </c>
      <c r="L812" s="79">
        <v>6.4268377078911199E-2</v>
      </c>
      <c r="M812" s="79">
        <v>0.77122052494693405</v>
      </c>
      <c r="N812" s="107">
        <v>6.1237148178160297E-2</v>
      </c>
      <c r="O812" s="81">
        <v>1.39089846920709E-2</v>
      </c>
      <c r="P812" s="81">
        <v>1.0926085729961801E-5</v>
      </c>
      <c r="Q812" s="81">
        <v>1.05772513624347E-4</v>
      </c>
      <c r="R812" s="81">
        <v>1.85087892265553E-2</v>
      </c>
      <c r="S812" s="107">
        <v>6.3882574280005794E-2</v>
      </c>
      <c r="T812" s="81">
        <v>1.3897153099730801E-2</v>
      </c>
      <c r="U812" s="81">
        <v>4.4013601804998103E-6</v>
      </c>
      <c r="V812" s="81">
        <v>6.1619042526997299E-5</v>
      </c>
      <c r="W812" s="81">
        <v>7.4559041457666802E-3</v>
      </c>
    </row>
    <row r="813" spans="2:23" x14ac:dyDescent="0.2">
      <c r="B813" t="s">
        <v>3245</v>
      </c>
      <c r="C813" s="84">
        <v>1765</v>
      </c>
      <c r="D813" s="102">
        <v>-1.8337694241772E-2</v>
      </c>
      <c r="E813" s="79">
        <v>1.4467110717383E-2</v>
      </c>
      <c r="F813" s="79">
        <v>0.205023715196989</v>
      </c>
      <c r="G813" s="79">
        <v>0.83262187193959702</v>
      </c>
      <c r="H813" s="79">
        <v>1</v>
      </c>
      <c r="I813" s="102">
        <v>-2.28152850191349E-2</v>
      </c>
      <c r="J813" s="79">
        <v>1.43580939927358E-2</v>
      </c>
      <c r="K813" s="79">
        <v>0.112124665642784</v>
      </c>
      <c r="L813" s="79">
        <v>0.54113727521047295</v>
      </c>
      <c r="M813" s="79">
        <v>1</v>
      </c>
      <c r="N813" s="102">
        <v>-6.5325785030146098E-3</v>
      </c>
      <c r="O813" s="79">
        <v>1.42368028128886E-2</v>
      </c>
      <c r="P813" s="79">
        <v>0.64636232759956702</v>
      </c>
      <c r="Q813" s="79">
        <v>0.74333861707648796</v>
      </c>
      <c r="R813" s="79">
        <v>1</v>
      </c>
      <c r="S813" s="102">
        <v>5.9983883886568601E-4</v>
      </c>
      <c r="T813" s="79">
        <v>1.42275464975658E-2</v>
      </c>
      <c r="U813" s="79">
        <v>0.96637264920569799</v>
      </c>
      <c r="V813" s="79">
        <v>0.97762067589958102</v>
      </c>
      <c r="W813" s="79">
        <v>1</v>
      </c>
    </row>
    <row r="814" spans="2:23" x14ac:dyDescent="0.2">
      <c r="B814" t="s">
        <v>3244</v>
      </c>
      <c r="C814" s="84">
        <v>1765</v>
      </c>
      <c r="D814" s="102">
        <v>-1.1455893204853801E-2</v>
      </c>
      <c r="E814" s="79">
        <v>1.42717206276992E-2</v>
      </c>
      <c r="F814" s="79">
        <v>0.42218912060359398</v>
      </c>
      <c r="G814" s="79">
        <v>0.89561567502544503</v>
      </c>
      <c r="H814" s="79">
        <v>1</v>
      </c>
      <c r="I814" s="102">
        <v>-1.98315329504186E-2</v>
      </c>
      <c r="J814" s="79">
        <v>1.4177989743370201E-2</v>
      </c>
      <c r="K814" s="79">
        <v>0.161953290979054</v>
      </c>
      <c r="L814" s="79">
        <v>0.60317525388412896</v>
      </c>
      <c r="M814" s="79">
        <v>1</v>
      </c>
      <c r="N814" s="102">
        <v>-1.8617846823843001E-2</v>
      </c>
      <c r="O814" s="79">
        <v>1.4062809266266499E-2</v>
      </c>
      <c r="P814" s="79">
        <v>0.18559871764852501</v>
      </c>
      <c r="Q814" s="79">
        <v>0.28273761483507298</v>
      </c>
      <c r="R814" s="79">
        <v>1</v>
      </c>
      <c r="S814" s="102">
        <v>-6.6571828437639903E-3</v>
      </c>
      <c r="T814" s="79">
        <v>1.40492833923015E-2</v>
      </c>
      <c r="U814" s="79">
        <v>0.63563248658410598</v>
      </c>
      <c r="V814" s="79">
        <v>0.71308704124071198</v>
      </c>
      <c r="W814" s="79">
        <v>1</v>
      </c>
    </row>
    <row r="815" spans="2:23" x14ac:dyDescent="0.2">
      <c r="B815" t="s">
        <v>3668</v>
      </c>
      <c r="C815" s="84">
        <v>5023</v>
      </c>
      <c r="D815" s="102">
        <v>1.0444807284309177</v>
      </c>
      <c r="E815" s="79">
        <v>9.2590263140569798E-2</v>
      </c>
      <c r="F815" s="79">
        <v>0.63833628531997999</v>
      </c>
      <c r="G815" s="79">
        <v>0.95767440062337605</v>
      </c>
      <c r="H815" s="79">
        <v>1</v>
      </c>
      <c r="I815" s="102">
        <v>0.89706672613668315</v>
      </c>
      <c r="J815" s="79">
        <v>9.39690350816033E-2</v>
      </c>
      <c r="K815" s="79">
        <v>0.24769496874455099</v>
      </c>
      <c r="L815" s="79">
        <v>0.67645700560099897</v>
      </c>
      <c r="M815" s="79">
        <v>1</v>
      </c>
      <c r="N815" s="102">
        <v>1.052741618450735</v>
      </c>
      <c r="O815" s="79">
        <v>9.2175775087158698E-2</v>
      </c>
      <c r="P815" s="79">
        <v>0.57711300490023698</v>
      </c>
      <c r="Q815" s="79">
        <v>0.68484486394882604</v>
      </c>
      <c r="R815" s="79">
        <v>1</v>
      </c>
      <c r="S815" s="102">
        <v>0.86571360669891595</v>
      </c>
      <c r="T815" s="79">
        <v>9.3282693417290605E-2</v>
      </c>
      <c r="U815" s="79">
        <v>0.122140586781393</v>
      </c>
      <c r="V815" s="79">
        <v>0.20711326727495499</v>
      </c>
      <c r="W815" s="79">
        <v>1</v>
      </c>
    </row>
    <row r="816" spans="2:23" x14ac:dyDescent="0.2">
      <c r="B816" t="s">
        <v>3669</v>
      </c>
      <c r="C816" s="84">
        <v>5023</v>
      </c>
      <c r="D816" s="102">
        <v>1.0781457411991384</v>
      </c>
      <c r="E816" s="79">
        <v>0.10285871681337901</v>
      </c>
      <c r="F816" s="79">
        <v>0.46446485334423498</v>
      </c>
      <c r="G816" s="79">
        <v>0.91151047511105199</v>
      </c>
      <c r="H816" s="79">
        <v>1</v>
      </c>
      <c r="I816" s="102">
        <v>0.93871157182578302</v>
      </c>
      <c r="J816" s="79">
        <v>0.10412975563871101</v>
      </c>
      <c r="K816" s="79">
        <v>0.54359441750313298</v>
      </c>
      <c r="L816" s="79">
        <v>0.85027603254876005</v>
      </c>
      <c r="M816" s="79">
        <v>1</v>
      </c>
      <c r="N816" s="102">
        <v>1.0263195669476157</v>
      </c>
      <c r="O816" s="79">
        <v>0.102502109196994</v>
      </c>
      <c r="P816" s="79">
        <v>0.79992043811216595</v>
      </c>
      <c r="Q816" s="79">
        <v>0.86336726690681098</v>
      </c>
      <c r="R816" s="79">
        <v>1</v>
      </c>
      <c r="S816" s="102">
        <v>0.82022357301626736</v>
      </c>
      <c r="T816" s="79">
        <v>0.104702979650863</v>
      </c>
      <c r="U816" s="79">
        <v>5.8388885813878903E-2</v>
      </c>
      <c r="V816" s="79">
        <v>0.115537512330237</v>
      </c>
      <c r="W816" s="79">
        <v>1</v>
      </c>
    </row>
    <row r="817" spans="2:23" x14ac:dyDescent="0.2">
      <c r="B817" t="s">
        <v>3653</v>
      </c>
      <c r="C817" s="84">
        <v>5010</v>
      </c>
      <c r="D817" s="102">
        <v>0.95861581007916419</v>
      </c>
      <c r="E817" s="79">
        <v>3.0559246611446898E-2</v>
      </c>
      <c r="F817" s="79">
        <v>0.16665020264340999</v>
      </c>
      <c r="G817" s="79">
        <v>0.81796927009920195</v>
      </c>
      <c r="H817" s="79">
        <v>1</v>
      </c>
      <c r="I817" s="102">
        <v>1.0045689638584367</v>
      </c>
      <c r="J817" s="79">
        <v>3.0320791604702201E-2</v>
      </c>
      <c r="K817" s="79">
        <v>0.88049299322316699</v>
      </c>
      <c r="L817" s="79">
        <v>0.97367036309529298</v>
      </c>
      <c r="M817" s="79">
        <v>1</v>
      </c>
      <c r="N817" s="102">
        <v>0.97912373781077522</v>
      </c>
      <c r="O817" s="79">
        <v>3.0092617194714601E-2</v>
      </c>
      <c r="P817" s="79">
        <v>0.48325474305873201</v>
      </c>
      <c r="Q817" s="79">
        <v>0.60069663949840901</v>
      </c>
      <c r="R817" s="79">
        <v>1</v>
      </c>
      <c r="S817" s="102">
        <v>1.0658591062129308</v>
      </c>
      <c r="T817" s="79">
        <v>3.00834921031627E-2</v>
      </c>
      <c r="U817" s="79">
        <v>3.3994432424174797E-2</v>
      </c>
      <c r="V817" s="79">
        <v>7.5971726288327296E-2</v>
      </c>
      <c r="W817" s="79">
        <v>1</v>
      </c>
    </row>
    <row r="818" spans="2:23" x14ac:dyDescent="0.2">
      <c r="B818" t="s">
        <v>3659</v>
      </c>
      <c r="C818" s="84">
        <v>1601</v>
      </c>
      <c r="D818" s="102">
        <v>1.0075131844643574</v>
      </c>
      <c r="E818" s="79">
        <v>5.6281283340589301E-2</v>
      </c>
      <c r="F818" s="79">
        <v>0.89419773116883305</v>
      </c>
      <c r="G818" s="79">
        <v>0.99362338620020496</v>
      </c>
      <c r="H818" s="79">
        <v>1</v>
      </c>
      <c r="I818" s="102">
        <v>1.0447224526085324</v>
      </c>
      <c r="J818" s="79">
        <v>5.5642091035319703E-2</v>
      </c>
      <c r="K818" s="79">
        <v>0.43169303282618898</v>
      </c>
      <c r="L818" s="79">
        <v>0.78717760775841095</v>
      </c>
      <c r="M818" s="79">
        <v>1</v>
      </c>
      <c r="N818" s="102">
        <v>0.9870590580689107</v>
      </c>
      <c r="O818" s="79">
        <v>5.4567354956197398E-2</v>
      </c>
      <c r="P818" s="79">
        <v>0.81133569034117003</v>
      </c>
      <c r="Q818" s="79">
        <v>0.86713101541825999</v>
      </c>
      <c r="R818" s="79">
        <v>1</v>
      </c>
      <c r="S818" s="102">
        <v>1.1099764140160564</v>
      </c>
      <c r="T818" s="79">
        <v>5.5713794340492201E-2</v>
      </c>
      <c r="U818" s="79">
        <v>6.11010354876039E-2</v>
      </c>
      <c r="V818" s="79">
        <v>0.11897144151264499</v>
      </c>
      <c r="W818" s="79">
        <v>1</v>
      </c>
    </row>
    <row r="819" spans="2:23" x14ac:dyDescent="0.2">
      <c r="B819" t="s">
        <v>3654</v>
      </c>
      <c r="C819" s="84">
        <v>3373</v>
      </c>
      <c r="D819" s="102">
        <v>0.97173654971518619</v>
      </c>
      <c r="E819" s="79">
        <v>7.6556843106412406E-2</v>
      </c>
      <c r="F819" s="79">
        <v>0.70803223121900705</v>
      </c>
      <c r="G819" s="79">
        <v>0.97160036230239</v>
      </c>
      <c r="H819" s="79">
        <v>1</v>
      </c>
      <c r="I819" s="102">
        <v>1.0420034750536169</v>
      </c>
      <c r="J819" s="79">
        <v>7.5185833861709198E-2</v>
      </c>
      <c r="K819" s="79">
        <v>0.58420853606836998</v>
      </c>
      <c r="L819" s="79">
        <v>0.86416823426642797</v>
      </c>
      <c r="M819" s="79">
        <v>1</v>
      </c>
      <c r="N819" s="102">
        <v>1.0682037661820207</v>
      </c>
      <c r="O819" s="79">
        <v>7.3778926951026003E-2</v>
      </c>
      <c r="P819" s="79">
        <v>0.37117575321521201</v>
      </c>
      <c r="Q819" s="79">
        <v>0.48741994259423999</v>
      </c>
      <c r="R819" s="79">
        <v>1</v>
      </c>
      <c r="S819" s="102">
        <v>1.2277759410516331</v>
      </c>
      <c r="T819" s="79">
        <v>7.5936989756630893E-2</v>
      </c>
      <c r="U819" s="79">
        <v>6.8862070076848702E-3</v>
      </c>
      <c r="V819" s="79">
        <v>2.07690754554355E-2</v>
      </c>
      <c r="W819" s="79">
        <v>1</v>
      </c>
    </row>
    <row r="820" spans="2:23" x14ac:dyDescent="0.2">
      <c r="B820" t="s">
        <v>3655</v>
      </c>
      <c r="C820" s="84">
        <v>3373</v>
      </c>
      <c r="D820" s="102">
        <v>1.0059004975449484</v>
      </c>
      <c r="E820" s="79">
        <v>5.8157872411810099E-2</v>
      </c>
      <c r="F820" s="79">
        <v>0.91942471291959305</v>
      </c>
      <c r="G820" s="79">
        <v>0.99605333311574995</v>
      </c>
      <c r="H820" s="79">
        <v>1</v>
      </c>
      <c r="I820" s="102">
        <v>0.92377518838683548</v>
      </c>
      <c r="J820" s="79">
        <v>5.7469031453439498E-2</v>
      </c>
      <c r="K820" s="79">
        <v>0.16769770273854101</v>
      </c>
      <c r="L820" s="79">
        <v>0.61332119194255397</v>
      </c>
      <c r="M820" s="79">
        <v>1</v>
      </c>
      <c r="N820" s="102">
        <v>1.0380411888761514</v>
      </c>
      <c r="O820" s="79">
        <v>5.6458751272157902E-2</v>
      </c>
      <c r="P820" s="79">
        <v>0.50842797356305303</v>
      </c>
      <c r="Q820" s="79">
        <v>0.62411375885203801</v>
      </c>
      <c r="R820" s="79">
        <v>1</v>
      </c>
      <c r="S820" s="102">
        <v>0.99327326280256767</v>
      </c>
      <c r="T820" s="79">
        <v>5.7180954961661298E-2</v>
      </c>
      <c r="U820" s="79">
        <v>0.90603840633824795</v>
      </c>
      <c r="V820" s="79">
        <v>0.93416254433170498</v>
      </c>
      <c r="W820" s="79">
        <v>1</v>
      </c>
    </row>
    <row r="821" spans="2:23" x14ac:dyDescent="0.2">
      <c r="B821" t="s">
        <v>3656</v>
      </c>
      <c r="C821" s="84">
        <v>3371</v>
      </c>
      <c r="D821" s="102">
        <v>0.92081796897777335</v>
      </c>
      <c r="E821" s="79">
        <v>5.1981287769879203E-2</v>
      </c>
      <c r="F821" s="79">
        <v>0.11251872917860201</v>
      </c>
      <c r="G821" s="79">
        <v>0.80938271582532695</v>
      </c>
      <c r="H821" s="79">
        <v>1</v>
      </c>
      <c r="I821" s="102">
        <v>0.98591695002019775</v>
      </c>
      <c r="J821" s="79">
        <v>5.1119821216467E-2</v>
      </c>
      <c r="K821" s="79">
        <v>0.78143515337231195</v>
      </c>
      <c r="L821" s="79">
        <v>0.92863930730510702</v>
      </c>
      <c r="M821" s="79">
        <v>1</v>
      </c>
      <c r="N821" s="102">
        <v>0.98519483886675208</v>
      </c>
      <c r="O821" s="79">
        <v>5.0190550441539201E-2</v>
      </c>
      <c r="P821" s="79">
        <v>0.76632568861860795</v>
      </c>
      <c r="Q821" s="79">
        <v>0.84131932373293705</v>
      </c>
      <c r="R821" s="79">
        <v>1</v>
      </c>
      <c r="S821" s="102">
        <v>0.92637465548039744</v>
      </c>
      <c r="T821" s="79">
        <v>5.0875359453471901E-2</v>
      </c>
      <c r="U821" s="79">
        <v>0.13278397981880699</v>
      </c>
      <c r="V821" s="79">
        <v>0.22030956103140001</v>
      </c>
      <c r="W821" s="79">
        <v>1</v>
      </c>
    </row>
    <row r="822" spans="2:23" x14ac:dyDescent="0.2">
      <c r="B822" t="s">
        <v>3657</v>
      </c>
      <c r="C822" s="84">
        <v>3371</v>
      </c>
      <c r="D822" s="102">
        <v>0.99567372930464049</v>
      </c>
      <c r="E822" s="79">
        <v>0.100144871312967</v>
      </c>
      <c r="F822" s="79">
        <v>0.96546730120667001</v>
      </c>
      <c r="G822" s="79">
        <v>0.99840985319461195</v>
      </c>
      <c r="H822" s="79">
        <v>1</v>
      </c>
      <c r="I822" s="102">
        <v>0.91992979060106761</v>
      </c>
      <c r="J822" s="79">
        <v>9.8001293572206993E-2</v>
      </c>
      <c r="K822" s="79">
        <v>0.39443599905710602</v>
      </c>
      <c r="L822" s="79">
        <v>0.76304312491983595</v>
      </c>
      <c r="M822" s="79">
        <v>1</v>
      </c>
      <c r="N822" s="102">
        <v>1.2313557852192454</v>
      </c>
      <c r="O822" s="79">
        <v>9.7904347212983495E-2</v>
      </c>
      <c r="P822" s="79">
        <v>3.3527773890839101E-2</v>
      </c>
      <c r="Q822" s="79">
        <v>7.3474836961295503E-2</v>
      </c>
      <c r="R822" s="79">
        <v>1</v>
      </c>
      <c r="S822" s="102">
        <v>1.1766556134256447</v>
      </c>
      <c r="T822" s="79">
        <v>9.8520446923442806E-2</v>
      </c>
      <c r="U822" s="79">
        <v>9.8699345584749201E-2</v>
      </c>
      <c r="V822" s="79">
        <v>0.17380113453281201</v>
      </c>
      <c r="W822" s="79">
        <v>1</v>
      </c>
    </row>
    <row r="823" spans="2:23" x14ac:dyDescent="0.2">
      <c r="B823" t="s">
        <v>3658</v>
      </c>
      <c r="C823" s="84">
        <v>3373</v>
      </c>
      <c r="D823" s="102">
        <v>1.0849643451294044</v>
      </c>
      <c r="E823" s="79">
        <v>9.8133321439737201E-2</v>
      </c>
      <c r="F823" s="79">
        <v>0.40598321595770998</v>
      </c>
      <c r="G823" s="79">
        <v>0.89548902061505298</v>
      </c>
      <c r="H823" s="79">
        <v>1</v>
      </c>
      <c r="I823" s="102">
        <v>1.0798134141263296</v>
      </c>
      <c r="J823" s="79">
        <v>9.6243705819238107E-2</v>
      </c>
      <c r="K823" s="79">
        <v>0.42495621013589302</v>
      </c>
      <c r="L823" s="79">
        <v>0.781805785028304</v>
      </c>
      <c r="M823" s="79">
        <v>1</v>
      </c>
      <c r="N823" s="102">
        <v>1.0448255621889337</v>
      </c>
      <c r="O823" s="79">
        <v>9.5200807052809297E-2</v>
      </c>
      <c r="P823" s="79">
        <v>0.64508219242054698</v>
      </c>
      <c r="Q823" s="79">
        <v>0.74237040350571104</v>
      </c>
      <c r="R823" s="79">
        <v>1</v>
      </c>
      <c r="S823" s="102">
        <v>1.089813918501882</v>
      </c>
      <c r="T823" s="79">
        <v>9.6268300438742599E-2</v>
      </c>
      <c r="U823" s="79">
        <v>0.37163819212252103</v>
      </c>
      <c r="V823" s="79">
        <v>0.49030770829871601</v>
      </c>
      <c r="W823" s="79">
        <v>1</v>
      </c>
    </row>
    <row r="824" spans="2:23" x14ac:dyDescent="0.2">
      <c r="B824" t="s">
        <v>3660</v>
      </c>
      <c r="C824" s="84">
        <v>5005</v>
      </c>
      <c r="D824" s="102">
        <v>0.95169449119238481</v>
      </c>
      <c r="E824" s="79">
        <v>5.0387697722406199E-2</v>
      </c>
      <c r="F824" s="79">
        <v>0.32580183780439798</v>
      </c>
      <c r="G824" s="79">
        <v>0.88730162874475904</v>
      </c>
      <c r="H824" s="79">
        <v>1</v>
      </c>
      <c r="I824" s="102">
        <v>1.0165451234279104</v>
      </c>
      <c r="J824" s="79">
        <v>5.0033268653206002E-2</v>
      </c>
      <c r="K824" s="79">
        <v>0.74292931402361595</v>
      </c>
      <c r="L824" s="79">
        <v>0.91967633960533601</v>
      </c>
      <c r="M824" s="79">
        <v>1</v>
      </c>
      <c r="N824" s="102">
        <v>1.0669102349296018</v>
      </c>
      <c r="O824" s="79">
        <v>4.9444805024434199E-2</v>
      </c>
      <c r="P824" s="79">
        <v>0.19023589264861901</v>
      </c>
      <c r="Q824" s="79">
        <v>0.28850456772315197</v>
      </c>
      <c r="R824" s="79">
        <v>1</v>
      </c>
      <c r="S824" s="102">
        <v>1.1348110580337671</v>
      </c>
      <c r="T824" s="79">
        <v>4.98249146407507E-2</v>
      </c>
      <c r="U824" s="79">
        <v>1.11420644808968E-2</v>
      </c>
      <c r="V824" s="79">
        <v>3.0840943187318899E-2</v>
      </c>
      <c r="W824" s="79">
        <v>1</v>
      </c>
    </row>
    <row r="825" spans="2:23" x14ac:dyDescent="0.2">
      <c r="B825" t="s">
        <v>3661</v>
      </c>
      <c r="C825" s="84">
        <v>3428</v>
      </c>
      <c r="D825" s="102">
        <v>0.96332406213535249</v>
      </c>
      <c r="E825" s="79">
        <v>7.2653621691966694E-2</v>
      </c>
      <c r="F825" s="79">
        <v>0.60704560006836095</v>
      </c>
      <c r="G825" s="79">
        <v>0.947774420751893</v>
      </c>
      <c r="H825" s="79">
        <v>1</v>
      </c>
      <c r="I825" s="102">
        <v>0.99252129946192214</v>
      </c>
      <c r="J825" s="79">
        <v>7.2222212304455399E-2</v>
      </c>
      <c r="K825" s="79">
        <v>0.91721663956494404</v>
      </c>
      <c r="L825" s="79">
        <v>0.98193837767293402</v>
      </c>
      <c r="M825" s="79">
        <v>1</v>
      </c>
      <c r="N825" s="102">
        <v>0.91450155694132107</v>
      </c>
      <c r="O825" s="79">
        <v>7.1180046080400294E-2</v>
      </c>
      <c r="P825" s="79">
        <v>0.20924858282708</v>
      </c>
      <c r="Q825" s="79">
        <v>0.31341034421668701</v>
      </c>
      <c r="R825" s="79">
        <v>1</v>
      </c>
      <c r="S825" s="102">
        <v>1.1554449281591523</v>
      </c>
      <c r="T825" s="79">
        <v>7.2218815475290105E-2</v>
      </c>
      <c r="U825" s="79">
        <v>4.54287537342868E-2</v>
      </c>
      <c r="V825" s="79">
        <v>9.4777375653578494E-2</v>
      </c>
      <c r="W825" s="79">
        <v>1</v>
      </c>
    </row>
    <row r="826" spans="2:23" x14ac:dyDescent="0.2">
      <c r="B826" t="s">
        <v>3662</v>
      </c>
      <c r="C826" s="84">
        <v>3428</v>
      </c>
      <c r="D826" s="102">
        <v>0.9849022494566243</v>
      </c>
      <c r="E826" s="79">
        <v>6.6436466286072193E-2</v>
      </c>
      <c r="F826" s="79">
        <v>0.81888142130498398</v>
      </c>
      <c r="G826" s="79">
        <v>0.99362338620020496</v>
      </c>
      <c r="H826" s="79">
        <v>1</v>
      </c>
      <c r="I826" s="102">
        <v>0.9474699310143867</v>
      </c>
      <c r="J826" s="79">
        <v>6.5581170579541603E-2</v>
      </c>
      <c r="K826" s="79">
        <v>0.41062268674687402</v>
      </c>
      <c r="L826" s="79">
        <v>0.77250777393894599</v>
      </c>
      <c r="M826" s="79">
        <v>1</v>
      </c>
      <c r="N826" s="102">
        <v>1.0017069921791653</v>
      </c>
      <c r="O826" s="79">
        <v>6.4676207149040002E-2</v>
      </c>
      <c r="P826" s="79">
        <v>0.97896190984008302</v>
      </c>
      <c r="Q826" s="79">
        <v>0.98360704345735495</v>
      </c>
      <c r="R826" s="79">
        <v>1</v>
      </c>
      <c r="S826" s="102">
        <v>1.0352908039259692</v>
      </c>
      <c r="T826" s="79">
        <v>6.5384984480554006E-2</v>
      </c>
      <c r="U826" s="79">
        <v>0.59581171117385301</v>
      </c>
      <c r="V826" s="79">
        <v>0.68538756473453799</v>
      </c>
      <c r="W826" s="79">
        <v>1</v>
      </c>
    </row>
    <row r="827" spans="2:23" x14ac:dyDescent="0.2">
      <c r="B827" t="s">
        <v>3663</v>
      </c>
      <c r="C827" s="84">
        <v>3427</v>
      </c>
      <c r="D827" s="102">
        <v>1.0691881756700277</v>
      </c>
      <c r="E827" s="79">
        <v>8.7757137714359307E-2</v>
      </c>
      <c r="F827" s="79">
        <v>0.44586479074459101</v>
      </c>
      <c r="G827" s="79">
        <v>0.90780643692468399</v>
      </c>
      <c r="H827" s="79">
        <v>1</v>
      </c>
      <c r="I827" s="102">
        <v>1.1360697565799391</v>
      </c>
      <c r="J827" s="79">
        <v>8.77638626248778E-2</v>
      </c>
      <c r="K827" s="79">
        <v>0.14605352884856401</v>
      </c>
      <c r="L827" s="79">
        <v>0.59040772609061598</v>
      </c>
      <c r="M827" s="79">
        <v>1</v>
      </c>
      <c r="N827" s="102">
        <v>1.0828146360190138</v>
      </c>
      <c r="O827" s="79">
        <v>8.6497950998386197E-2</v>
      </c>
      <c r="P827" s="79">
        <v>0.357659275839455</v>
      </c>
      <c r="Q827" s="79">
        <v>0.47445169402665399</v>
      </c>
      <c r="R827" s="79">
        <v>1</v>
      </c>
      <c r="S827" s="102">
        <v>0.91512235997837965</v>
      </c>
      <c r="T827" s="79">
        <v>8.6226732637604706E-2</v>
      </c>
      <c r="U827" s="79">
        <v>0.30364217058647203</v>
      </c>
      <c r="V827" s="79">
        <v>0.41818685932803501</v>
      </c>
      <c r="W827" s="79">
        <v>1</v>
      </c>
    </row>
    <row r="828" spans="2:23" x14ac:dyDescent="0.2">
      <c r="B828" t="s">
        <v>3664</v>
      </c>
      <c r="C828" s="84">
        <v>3426</v>
      </c>
      <c r="D828" s="102">
        <v>0.90116748053837448</v>
      </c>
      <c r="E828" s="79">
        <v>7.9494955891035293E-2</v>
      </c>
      <c r="F828" s="79">
        <v>0.19051194492679099</v>
      </c>
      <c r="G828" s="79">
        <v>0.83003013605610498</v>
      </c>
      <c r="H828" s="79">
        <v>1</v>
      </c>
      <c r="I828" s="102">
        <v>1.0504804889719752</v>
      </c>
      <c r="J828" s="79">
        <v>7.9868325786546804E-2</v>
      </c>
      <c r="K828" s="79">
        <v>0.53749150403896595</v>
      </c>
      <c r="L828" s="79">
        <v>0.84586030755601305</v>
      </c>
      <c r="M828" s="79">
        <v>1</v>
      </c>
      <c r="N828" s="102">
        <v>1.0214258161610319</v>
      </c>
      <c r="O828" s="79">
        <v>7.8364841000907695E-2</v>
      </c>
      <c r="P828" s="79">
        <v>0.78675774525430597</v>
      </c>
      <c r="Q828" s="79">
        <v>0.85529803475449395</v>
      </c>
      <c r="R828" s="79">
        <v>1</v>
      </c>
      <c r="S828" s="102">
        <v>1.0874279957172663</v>
      </c>
      <c r="T828" s="79">
        <v>7.9682230993463596E-2</v>
      </c>
      <c r="U828" s="79">
        <v>0.29285964305782303</v>
      </c>
      <c r="V828" s="79">
        <v>0.406976403068049</v>
      </c>
      <c r="W828" s="79">
        <v>1</v>
      </c>
    </row>
    <row r="829" spans="2:23" x14ac:dyDescent="0.2">
      <c r="B829" t="s">
        <v>3665</v>
      </c>
      <c r="C829" s="84">
        <v>3426</v>
      </c>
      <c r="D829" s="102">
        <v>0.982227836642111</v>
      </c>
      <c r="E829" s="79">
        <v>8.8030702555647697E-2</v>
      </c>
      <c r="F829" s="79">
        <v>0.838586783189188</v>
      </c>
      <c r="G829" s="79">
        <v>0.99362338620020496</v>
      </c>
      <c r="H829" s="79">
        <v>1</v>
      </c>
      <c r="I829" s="102">
        <v>1.2130422434617512</v>
      </c>
      <c r="J829" s="79">
        <v>8.8444477811897598E-2</v>
      </c>
      <c r="K829" s="79">
        <v>2.89882500348724E-2</v>
      </c>
      <c r="L829" s="79">
        <v>0.32957111113472398</v>
      </c>
      <c r="M829" s="79">
        <v>1</v>
      </c>
      <c r="N829" s="102">
        <v>1.0794090573362038</v>
      </c>
      <c r="O829" s="79">
        <v>8.53066346632807E-2</v>
      </c>
      <c r="P829" s="79">
        <v>0.37038439428360698</v>
      </c>
      <c r="Q829" s="79">
        <v>0.48713599682952702</v>
      </c>
      <c r="R829" s="79">
        <v>1</v>
      </c>
      <c r="S829" s="102">
        <v>1.1750971348485277</v>
      </c>
      <c r="T829" s="79">
        <v>8.7348515082063496E-2</v>
      </c>
      <c r="U829" s="79">
        <v>6.4717106053690299E-2</v>
      </c>
      <c r="V829" s="79">
        <v>0.124686232966459</v>
      </c>
      <c r="W829" s="79">
        <v>1</v>
      </c>
    </row>
    <row r="830" spans="2:23" x14ac:dyDescent="0.2">
      <c r="B830" t="s">
        <v>3666</v>
      </c>
      <c r="C830" s="84">
        <v>3431</v>
      </c>
      <c r="D830" s="102">
        <v>0.93581993075637449</v>
      </c>
      <c r="E830" s="79">
        <v>5.4724109000824098E-2</v>
      </c>
      <c r="F830" s="79">
        <v>0.22546633925718901</v>
      </c>
      <c r="G830" s="79">
        <v>0.84071215771938901</v>
      </c>
      <c r="H830" s="79">
        <v>1</v>
      </c>
      <c r="I830" s="102">
        <v>1.0177861337754672</v>
      </c>
      <c r="J830" s="79">
        <v>5.44253959908313E-2</v>
      </c>
      <c r="K830" s="79">
        <v>0.74599391265277304</v>
      </c>
      <c r="L830" s="79">
        <v>0.91967633960533601</v>
      </c>
      <c r="M830" s="79">
        <v>1</v>
      </c>
      <c r="N830" s="102">
        <v>1.1167468895655348</v>
      </c>
      <c r="O830" s="79">
        <v>5.3609425724112397E-2</v>
      </c>
      <c r="P830" s="79">
        <v>3.9426226940201099E-2</v>
      </c>
      <c r="Q830" s="79">
        <v>8.3069687110324197E-2</v>
      </c>
      <c r="R830" s="79">
        <v>1</v>
      </c>
      <c r="S830" s="102">
        <v>1.0319122687843791</v>
      </c>
      <c r="T830" s="79">
        <v>5.42611984226649E-2</v>
      </c>
      <c r="U830" s="79">
        <v>0.56263370844489302</v>
      </c>
      <c r="V830" s="79">
        <v>0.65912966950598095</v>
      </c>
      <c r="W830" s="79">
        <v>1</v>
      </c>
    </row>
    <row r="831" spans="2:23" x14ac:dyDescent="0.2">
      <c r="B831" t="s">
        <v>3667</v>
      </c>
      <c r="C831" s="84">
        <v>3422</v>
      </c>
      <c r="D831" s="102">
        <v>1.0249692723075694</v>
      </c>
      <c r="E831" s="79">
        <v>7.8548759392847597E-2</v>
      </c>
      <c r="F831" s="79">
        <v>0.75353724967982205</v>
      </c>
      <c r="G831" s="79">
        <v>0.98006352001698205</v>
      </c>
      <c r="H831" s="79">
        <v>1</v>
      </c>
      <c r="I831" s="102">
        <v>1.0725549362974847</v>
      </c>
      <c r="J831" s="79">
        <v>7.8434580375308094E-2</v>
      </c>
      <c r="K831" s="79">
        <v>0.37184684334745399</v>
      </c>
      <c r="L831" s="79">
        <v>0.75347912994089405</v>
      </c>
      <c r="M831" s="79">
        <v>1</v>
      </c>
      <c r="N831" s="102">
        <v>1.0767202041483981</v>
      </c>
      <c r="O831" s="79">
        <v>7.6909029603789994E-2</v>
      </c>
      <c r="P831" s="79">
        <v>0.336486827322101</v>
      </c>
      <c r="Q831" s="79">
        <v>0.45274716877175503</v>
      </c>
      <c r="R831" s="79">
        <v>1</v>
      </c>
      <c r="S831" s="102">
        <v>1.1390706930920693</v>
      </c>
      <c r="T831" s="79">
        <v>7.8193654446183994E-2</v>
      </c>
      <c r="U831" s="79">
        <v>9.58609372934736E-2</v>
      </c>
      <c r="V831" s="79">
        <v>0.169684877507988</v>
      </c>
      <c r="W831" s="79">
        <v>1</v>
      </c>
    </row>
    <row r="832" spans="2:23" x14ac:dyDescent="0.2">
      <c r="B832" t="s">
        <v>899</v>
      </c>
      <c r="C832" s="84">
        <v>1765</v>
      </c>
      <c r="D832" s="102">
        <v>1.91354607311237E-2</v>
      </c>
      <c r="E832" s="79">
        <v>5.0006479504767103E-2</v>
      </c>
      <c r="F832" s="79">
        <v>0.70249488936632598</v>
      </c>
      <c r="G832" s="79">
        <v>0.96986661987494405</v>
      </c>
      <c r="H832" s="79">
        <v>1</v>
      </c>
      <c r="I832" s="102">
        <v>-0.10580218315801899</v>
      </c>
      <c r="J832" s="79">
        <v>5.1363424599023197E-2</v>
      </c>
      <c r="K832" s="79">
        <v>4.0954882078564799E-2</v>
      </c>
      <c r="L832" s="79">
        <v>0.37791856411061397</v>
      </c>
      <c r="M832" s="79">
        <v>1</v>
      </c>
      <c r="N832" s="102">
        <v>-1.3915474432479801E-2</v>
      </c>
      <c r="O832" s="79">
        <v>4.34609416711009E-2</v>
      </c>
      <c r="P832" s="79">
        <v>0.74922398847832195</v>
      </c>
      <c r="Q832" s="79">
        <v>0.82953296502109697</v>
      </c>
      <c r="R832" s="79">
        <v>1</v>
      </c>
      <c r="S832" s="102">
        <v>-4.8586176120092403E-2</v>
      </c>
      <c r="T832" s="79">
        <v>4.8539160682414102E-2</v>
      </c>
      <c r="U832" s="79">
        <v>0.31840657526662403</v>
      </c>
      <c r="V832" s="79">
        <v>0.43323754096519002</v>
      </c>
      <c r="W832" s="79">
        <v>1</v>
      </c>
    </row>
    <row r="833" spans="2:23" x14ac:dyDescent="0.2">
      <c r="B833" t="s">
        <v>1386</v>
      </c>
      <c r="C833" s="84">
        <v>1766</v>
      </c>
      <c r="D833" s="102">
        <v>-1.6827925235553699E-2</v>
      </c>
      <c r="E833" s="79">
        <v>1.46666687725109E-2</v>
      </c>
      <c r="F833" s="79">
        <v>0.25129226607057298</v>
      </c>
      <c r="G833" s="79">
        <v>0.85990749347533801</v>
      </c>
      <c r="H833" s="79">
        <v>1</v>
      </c>
      <c r="I833" s="102">
        <v>8.3481465959544306E-3</v>
      </c>
      <c r="J833" s="79">
        <v>1.45907566824642E-2</v>
      </c>
      <c r="K833" s="79">
        <v>0.56724650385084996</v>
      </c>
      <c r="L833" s="79">
        <v>0.85878159627519401</v>
      </c>
      <c r="M833" s="79">
        <v>1</v>
      </c>
      <c r="N833" s="102">
        <v>2.0794025666132501E-2</v>
      </c>
      <c r="O833" s="79">
        <v>1.44687677480092E-2</v>
      </c>
      <c r="P833" s="79">
        <v>0.15073860071259201</v>
      </c>
      <c r="Q833" s="79">
        <v>0.24044368136264699</v>
      </c>
      <c r="R833" s="79">
        <v>1</v>
      </c>
      <c r="S833" s="102">
        <v>3.6322255996149903E-2</v>
      </c>
      <c r="T833" s="79">
        <v>1.44381876370842E-2</v>
      </c>
      <c r="U833" s="79">
        <v>1.1913101501584301E-2</v>
      </c>
      <c r="V833" s="79">
        <v>3.2289270309894098E-2</v>
      </c>
      <c r="W833" s="79">
        <v>1</v>
      </c>
    </row>
    <row r="834" spans="2:23" x14ac:dyDescent="0.2">
      <c r="B834" t="s">
        <v>900</v>
      </c>
      <c r="C834" s="84">
        <v>1766</v>
      </c>
      <c r="D834" s="102">
        <v>-7.1601511899405997E-3</v>
      </c>
      <c r="E834" s="79">
        <v>1.7322982712591299E-2</v>
      </c>
      <c r="F834" s="79">
        <v>0.67939102300473597</v>
      </c>
      <c r="G834" s="79">
        <v>0.96670198527320195</v>
      </c>
      <c r="H834" s="79">
        <v>1</v>
      </c>
      <c r="I834" s="102">
        <v>-5.6005663030652703E-3</v>
      </c>
      <c r="J834" s="79">
        <v>1.7197611992984099E-2</v>
      </c>
      <c r="K834" s="79">
        <v>0.74470414151743403</v>
      </c>
      <c r="L834" s="79">
        <v>0.91967633960533601</v>
      </c>
      <c r="M834" s="79">
        <v>1</v>
      </c>
      <c r="N834" s="102">
        <v>-2.68001525188664E-3</v>
      </c>
      <c r="O834" s="79">
        <v>1.6971728382026902E-2</v>
      </c>
      <c r="P834" s="79">
        <v>0.87453737185394897</v>
      </c>
      <c r="Q834" s="79">
        <v>0.91621403291221304</v>
      </c>
      <c r="R834" s="79">
        <v>1</v>
      </c>
      <c r="S834" s="102">
        <v>2.3616288600887499E-2</v>
      </c>
      <c r="T834" s="79">
        <v>1.7102692885030801E-2</v>
      </c>
      <c r="U834" s="79">
        <v>0.16742264927261599</v>
      </c>
      <c r="V834" s="79">
        <v>0.26431870257950701</v>
      </c>
      <c r="W834" s="79">
        <v>1</v>
      </c>
    </row>
    <row r="835" spans="2:23" x14ac:dyDescent="0.2">
      <c r="B835" t="s">
        <v>901</v>
      </c>
      <c r="C835" s="84">
        <v>1766</v>
      </c>
      <c r="D835" s="102">
        <v>5.3772157572427298E-3</v>
      </c>
      <c r="E835" s="79">
        <v>1.7343774009931999E-2</v>
      </c>
      <c r="F835" s="79">
        <v>0.756551600032913</v>
      </c>
      <c r="G835" s="79">
        <v>0.98065979399160996</v>
      </c>
      <c r="H835" s="79">
        <v>1</v>
      </c>
      <c r="I835" s="102">
        <v>-2.05104010612886E-2</v>
      </c>
      <c r="J835" s="79">
        <v>1.7217252277441201E-2</v>
      </c>
      <c r="K835" s="79">
        <v>0.23363038080201601</v>
      </c>
      <c r="L835" s="79">
        <v>0.66141104862732303</v>
      </c>
      <c r="M835" s="79">
        <v>1</v>
      </c>
      <c r="N835" s="102">
        <v>-5.7095769078712401E-3</v>
      </c>
      <c r="O835" s="79">
        <v>1.6978201298570299E-2</v>
      </c>
      <c r="P835" s="79">
        <v>0.73667404742324605</v>
      </c>
      <c r="Q835" s="79">
        <v>0.82425748767171603</v>
      </c>
      <c r="R835" s="79">
        <v>1</v>
      </c>
      <c r="S835" s="102">
        <v>-2.2381363140135798E-3</v>
      </c>
      <c r="T835" s="79">
        <v>1.7113227229531999E-2</v>
      </c>
      <c r="U835" s="79">
        <v>0.89595395524621402</v>
      </c>
      <c r="V835" s="79">
        <v>0.92489092028463504</v>
      </c>
      <c r="W835" s="79">
        <v>1</v>
      </c>
    </row>
    <row r="836" spans="2:23" x14ac:dyDescent="0.2">
      <c r="B836" t="s">
        <v>902</v>
      </c>
      <c r="C836" s="84">
        <v>1766</v>
      </c>
      <c r="D836" s="102">
        <v>-9.5023861297515704E-3</v>
      </c>
      <c r="E836" s="79">
        <v>1.7543678243881901E-2</v>
      </c>
      <c r="F836" s="79">
        <v>0.58810323317101199</v>
      </c>
      <c r="G836" s="79">
        <v>0.93838695059676502</v>
      </c>
      <c r="H836" s="79">
        <v>1</v>
      </c>
      <c r="I836" s="102">
        <v>1.31986502763068E-2</v>
      </c>
      <c r="J836" s="79">
        <v>1.7466115949965801E-2</v>
      </c>
      <c r="K836" s="79">
        <v>0.449903292306714</v>
      </c>
      <c r="L836" s="79">
        <v>0.79746066051088205</v>
      </c>
      <c r="M836" s="79">
        <v>1</v>
      </c>
      <c r="N836" s="102">
        <v>3.4761071653221201E-3</v>
      </c>
      <c r="O836" s="79">
        <v>1.7180590415196598E-2</v>
      </c>
      <c r="P836" s="79">
        <v>0.83967355487382001</v>
      </c>
      <c r="Q836" s="79">
        <v>0.89123245736607204</v>
      </c>
      <c r="R836" s="79">
        <v>1</v>
      </c>
      <c r="S836" s="102">
        <v>-1.26230097874579E-2</v>
      </c>
      <c r="T836" s="79">
        <v>1.7330953938445501E-2</v>
      </c>
      <c r="U836" s="79">
        <v>0.466452958124001</v>
      </c>
      <c r="V836" s="79">
        <v>0.57987691184274504</v>
      </c>
      <c r="W836" s="79">
        <v>1</v>
      </c>
    </row>
    <row r="837" spans="2:23" x14ac:dyDescent="0.2">
      <c r="B837" t="s">
        <v>903</v>
      </c>
      <c r="C837" s="84">
        <v>1766</v>
      </c>
      <c r="D837" s="102">
        <v>-1.98903604404965E-2</v>
      </c>
      <c r="E837" s="79">
        <v>1.6989401875414801E-2</v>
      </c>
      <c r="F837" s="79">
        <v>0.24179382308671099</v>
      </c>
      <c r="G837" s="79">
        <v>0.85990749347533801</v>
      </c>
      <c r="H837" s="79">
        <v>1</v>
      </c>
      <c r="I837" s="102">
        <v>2.0124157550526801E-2</v>
      </c>
      <c r="J837" s="79">
        <v>1.70587722921824E-2</v>
      </c>
      <c r="K837" s="79">
        <v>0.23821530255513701</v>
      </c>
      <c r="L837" s="79">
        <v>0.66590218239010301</v>
      </c>
      <c r="M837" s="79">
        <v>1</v>
      </c>
      <c r="N837" s="102">
        <v>-1.33823523923672E-2</v>
      </c>
      <c r="O837" s="79">
        <v>1.65432867530367E-2</v>
      </c>
      <c r="P837" s="79">
        <v>0.41862340422897498</v>
      </c>
      <c r="Q837" s="79">
        <v>0.53520607302934597</v>
      </c>
      <c r="R837" s="79">
        <v>1</v>
      </c>
      <c r="S837" s="102">
        <v>-7.9382121336407999E-3</v>
      </c>
      <c r="T837" s="79">
        <v>1.69445839061797E-2</v>
      </c>
      <c r="U837" s="79">
        <v>0.63947448960277498</v>
      </c>
      <c r="V837" s="79">
        <v>0.71502956131161799</v>
      </c>
      <c r="W837" s="79">
        <v>1</v>
      </c>
    </row>
    <row r="838" spans="2:23" x14ac:dyDescent="0.2">
      <c r="B838" t="s">
        <v>904</v>
      </c>
      <c r="C838" s="84">
        <v>1766</v>
      </c>
      <c r="D838" s="102">
        <v>-2.8805583899758201E-2</v>
      </c>
      <c r="E838" s="79">
        <v>1.6730423842830602E-2</v>
      </c>
      <c r="F838" s="79">
        <v>8.5224676187032194E-2</v>
      </c>
      <c r="G838" s="79">
        <v>0.74561034814826599</v>
      </c>
      <c r="H838" s="79">
        <v>1</v>
      </c>
      <c r="I838" s="102">
        <v>4.88815412051724E-2</v>
      </c>
      <c r="J838" s="79">
        <v>1.6791720655051998E-2</v>
      </c>
      <c r="K838" s="79">
        <v>3.6298809367458799E-3</v>
      </c>
      <c r="L838" s="79">
        <v>0.140536071937475</v>
      </c>
      <c r="M838" s="79">
        <v>1</v>
      </c>
      <c r="N838" s="102">
        <v>-1.04384767134645E-2</v>
      </c>
      <c r="O838" s="79">
        <v>1.62914022442191E-2</v>
      </c>
      <c r="P838" s="79">
        <v>0.52174856863409702</v>
      </c>
      <c r="Q838" s="79">
        <v>0.63494401958775903</v>
      </c>
      <c r="R838" s="79">
        <v>1</v>
      </c>
      <c r="S838" s="102">
        <v>2.4812718584401799E-2</v>
      </c>
      <c r="T838" s="79">
        <v>1.67058816458696E-2</v>
      </c>
      <c r="U838" s="79">
        <v>0.13758052945566299</v>
      </c>
      <c r="V838" s="79">
        <v>0.22715537709346301</v>
      </c>
      <c r="W838" s="79">
        <v>1</v>
      </c>
    </row>
    <row r="839" spans="2:23" x14ac:dyDescent="0.2">
      <c r="B839" t="s">
        <v>905</v>
      </c>
      <c r="C839" s="84">
        <v>1766</v>
      </c>
      <c r="D839" s="102">
        <v>-1.9887535542379601E-2</v>
      </c>
      <c r="E839" s="79">
        <v>1.77297938288822E-2</v>
      </c>
      <c r="F839" s="79">
        <v>0.26206920864710098</v>
      </c>
      <c r="G839" s="79">
        <v>0.85990749347533801</v>
      </c>
      <c r="H839" s="79">
        <v>1</v>
      </c>
      <c r="I839" s="102">
        <v>1.03841932291897E-2</v>
      </c>
      <c r="J839" s="79">
        <v>1.7734852563211601E-2</v>
      </c>
      <c r="K839" s="79">
        <v>0.55823446425479895</v>
      </c>
      <c r="L839" s="79">
        <v>0.85878159627519401</v>
      </c>
      <c r="M839" s="79">
        <v>1</v>
      </c>
      <c r="N839" s="102">
        <v>2.3072734141678201E-2</v>
      </c>
      <c r="O839" s="79">
        <v>1.7351163597367599E-2</v>
      </c>
      <c r="P839" s="79">
        <v>0.18368961044745799</v>
      </c>
      <c r="Q839" s="79">
        <v>0.28160199103890898</v>
      </c>
      <c r="R839" s="79">
        <v>1</v>
      </c>
      <c r="S839" s="102">
        <v>7.9477299020443894E-3</v>
      </c>
      <c r="T839" s="79">
        <v>1.7597930047128101E-2</v>
      </c>
      <c r="U839" s="79">
        <v>0.651565673666895</v>
      </c>
      <c r="V839" s="79">
        <v>0.723771967994571</v>
      </c>
      <c r="W839" s="79">
        <v>1</v>
      </c>
    </row>
    <row r="840" spans="2:23" x14ac:dyDescent="0.2">
      <c r="B840" t="s">
        <v>1387</v>
      </c>
      <c r="C840" s="84">
        <v>1766</v>
      </c>
      <c r="D840" s="102">
        <v>3.8678995940403002E-3</v>
      </c>
      <c r="E840" s="79">
        <v>1.7647365715657101E-2</v>
      </c>
      <c r="F840" s="79">
        <v>0.82652565278458101</v>
      </c>
      <c r="G840" s="79">
        <v>0.99362338620020496</v>
      </c>
      <c r="H840" s="79">
        <v>1</v>
      </c>
      <c r="I840" s="102">
        <v>5.7567898401544998E-3</v>
      </c>
      <c r="J840" s="79">
        <v>1.76127939602117E-2</v>
      </c>
      <c r="K840" s="79">
        <v>0.74380045027224795</v>
      </c>
      <c r="L840" s="79">
        <v>0.91967633960533601</v>
      </c>
      <c r="M840" s="79">
        <v>1</v>
      </c>
      <c r="N840" s="102">
        <v>4.1029951649995998E-3</v>
      </c>
      <c r="O840" s="79">
        <v>1.7288891873100599E-2</v>
      </c>
      <c r="P840" s="79">
        <v>0.81242351083825703</v>
      </c>
      <c r="Q840" s="79">
        <v>0.86774617109710395</v>
      </c>
      <c r="R840" s="79">
        <v>1</v>
      </c>
      <c r="S840" s="102">
        <v>2.16843422863068E-2</v>
      </c>
      <c r="T840" s="79">
        <v>1.7439433846530499E-2</v>
      </c>
      <c r="U840" s="79">
        <v>0.213806836965765</v>
      </c>
      <c r="V840" s="79">
        <v>0.317988394925378</v>
      </c>
      <c r="W840" s="79">
        <v>1</v>
      </c>
    </row>
    <row r="841" spans="2:23" x14ac:dyDescent="0.2">
      <c r="B841" t="s">
        <v>1243</v>
      </c>
      <c r="C841" s="84">
        <v>2662</v>
      </c>
      <c r="D841" s="102">
        <v>2.3483835914033802E-2</v>
      </c>
      <c r="E841" s="79">
        <v>4.8714901612215401E-2</v>
      </c>
      <c r="F841" s="79">
        <v>0.62999827710022105</v>
      </c>
      <c r="G841" s="79">
        <v>0.95687505350859803</v>
      </c>
      <c r="H841" s="79">
        <v>1</v>
      </c>
      <c r="I841" s="102">
        <v>-7.4548260361747706E-2</v>
      </c>
      <c r="J841" s="79">
        <v>4.8092779237735701E-2</v>
      </c>
      <c r="K841" s="79">
        <v>0.121839179164662</v>
      </c>
      <c r="L841" s="79">
        <v>0.55552266356551805</v>
      </c>
      <c r="M841" s="79">
        <v>1</v>
      </c>
      <c r="N841" s="102">
        <v>-2.9004863938718199E-2</v>
      </c>
      <c r="O841" s="79">
        <v>4.8269137712953498E-2</v>
      </c>
      <c r="P841" s="79">
        <v>0.54822266969205102</v>
      </c>
      <c r="Q841" s="79">
        <v>0.65954164348361399</v>
      </c>
      <c r="R841" s="79">
        <v>1</v>
      </c>
      <c r="S841" s="102">
        <v>-2.1154495459974498E-2</v>
      </c>
      <c r="T841" s="79">
        <v>4.9541060167848303E-2</v>
      </c>
      <c r="U841" s="79">
        <v>0.66958214203007105</v>
      </c>
      <c r="V841" s="79">
        <v>0.73845843007743495</v>
      </c>
      <c r="W841" s="79">
        <v>1</v>
      </c>
    </row>
    <row r="842" spans="2:23" x14ac:dyDescent="0.2">
      <c r="B842" t="s">
        <v>1240</v>
      </c>
      <c r="C842" s="84">
        <v>2665</v>
      </c>
      <c r="D842" s="102">
        <v>-6.68631452628722E-3</v>
      </c>
      <c r="E842" s="79">
        <v>4.7779702177677102E-2</v>
      </c>
      <c r="F842" s="79">
        <v>0.88876562141631699</v>
      </c>
      <c r="G842" s="79">
        <v>0.99362338620020496</v>
      </c>
      <c r="H842" s="79">
        <v>1</v>
      </c>
      <c r="I842" s="102">
        <v>8.6953465280003499E-4</v>
      </c>
      <c r="J842" s="79">
        <v>4.7055484489009501E-2</v>
      </c>
      <c r="K842" s="79">
        <v>0.98526475686430304</v>
      </c>
      <c r="L842" s="79">
        <v>0.99629532610271199</v>
      </c>
      <c r="M842" s="79">
        <v>1</v>
      </c>
      <c r="N842" s="102">
        <v>-2.4259157374728502E-2</v>
      </c>
      <c r="O842" s="79">
        <v>4.6694151412510501E-2</v>
      </c>
      <c r="P842" s="79">
        <v>0.60363520185617703</v>
      </c>
      <c r="Q842" s="79">
        <v>0.70472641760466204</v>
      </c>
      <c r="R842" s="79">
        <v>1</v>
      </c>
      <c r="S842" s="102">
        <v>-4.3951070304983998E-2</v>
      </c>
      <c r="T842" s="79">
        <v>4.7173065128021802E-2</v>
      </c>
      <c r="U842" s="79">
        <v>0.35196460200290802</v>
      </c>
      <c r="V842" s="79">
        <v>0.469470894325139</v>
      </c>
      <c r="W842" s="79">
        <v>1</v>
      </c>
    </row>
    <row r="843" spans="2:23" x14ac:dyDescent="0.2">
      <c r="B843" t="s">
        <v>1285</v>
      </c>
      <c r="C843" s="84">
        <v>2427</v>
      </c>
      <c r="D843" s="102">
        <v>-0.129886030598649</v>
      </c>
      <c r="E843" s="79">
        <v>0.10153750867309901</v>
      </c>
      <c r="F843" s="79">
        <v>0.20082923803385899</v>
      </c>
      <c r="G843" s="79">
        <v>0.83003013605610498</v>
      </c>
      <c r="H843" s="79">
        <v>1</v>
      </c>
      <c r="I843" s="102">
        <v>-3.7884003522064197E-2</v>
      </c>
      <c r="J843" s="79">
        <v>9.9269527979887098E-2</v>
      </c>
      <c r="K843" s="79">
        <v>0.70273752089542096</v>
      </c>
      <c r="L843" s="79">
        <v>0.90623303456965298</v>
      </c>
      <c r="M843" s="79">
        <v>1</v>
      </c>
      <c r="N843" s="102">
        <v>0.19888548897415601</v>
      </c>
      <c r="O843" s="79">
        <v>0.101409912661569</v>
      </c>
      <c r="P843" s="79">
        <v>4.9855273429488797E-2</v>
      </c>
      <c r="Q843" s="79">
        <v>0.100541468082802</v>
      </c>
      <c r="R843" s="79">
        <v>1</v>
      </c>
      <c r="S843" s="102">
        <v>0.117074240619466</v>
      </c>
      <c r="T843" s="79">
        <v>9.7940255801455905E-2</v>
      </c>
      <c r="U843" s="79">
        <v>0.23194490569434301</v>
      </c>
      <c r="V843" s="79">
        <v>0.34048065012670498</v>
      </c>
      <c r="W843" s="79">
        <v>1</v>
      </c>
    </row>
    <row r="844" spans="2:23" x14ac:dyDescent="0.2">
      <c r="B844" t="s">
        <v>1284</v>
      </c>
      <c r="C844" s="84">
        <v>2428</v>
      </c>
      <c r="D844" s="102">
        <v>-6.5668772840299205E-2</v>
      </c>
      <c r="E844" s="79">
        <v>9.3600056939512705E-2</v>
      </c>
      <c r="F844" s="79">
        <v>0.48293549694072002</v>
      </c>
      <c r="G844" s="79">
        <v>0.91611728087074995</v>
      </c>
      <c r="H844" s="79">
        <v>1</v>
      </c>
      <c r="I844" s="102">
        <v>-0.110675263353262</v>
      </c>
      <c r="J844" s="79">
        <v>9.3359044464303195E-2</v>
      </c>
      <c r="K844" s="79">
        <v>0.23582778829451201</v>
      </c>
      <c r="L844" s="79">
        <v>0.66141104862732303</v>
      </c>
      <c r="M844" s="79">
        <v>1</v>
      </c>
      <c r="N844" s="102">
        <v>2.3955868025494698E-2</v>
      </c>
      <c r="O844" s="79">
        <v>9.0491493211397697E-2</v>
      </c>
      <c r="P844" s="79">
        <v>0.79121699661485501</v>
      </c>
      <c r="Q844" s="79">
        <v>0.85753140899908198</v>
      </c>
      <c r="R844" s="79">
        <v>1</v>
      </c>
      <c r="S844" s="102">
        <v>-4.7221620017235698E-2</v>
      </c>
      <c r="T844" s="79">
        <v>9.4601168891002493E-2</v>
      </c>
      <c r="U844" s="79">
        <v>0.61766294410315803</v>
      </c>
      <c r="V844" s="79">
        <v>0.70177992348704599</v>
      </c>
      <c r="W844" s="79">
        <v>1</v>
      </c>
    </row>
    <row r="845" spans="2:23" x14ac:dyDescent="0.2">
      <c r="B845" t="s">
        <v>1244</v>
      </c>
      <c r="C845" s="84">
        <v>2663</v>
      </c>
      <c r="D845" s="102">
        <v>-3.10342315292065E-2</v>
      </c>
      <c r="E845" s="79">
        <v>3.9878992131621202E-2</v>
      </c>
      <c r="F845" s="79">
        <v>0.43674113198053899</v>
      </c>
      <c r="G845" s="79">
        <v>0.90581448957043498</v>
      </c>
      <c r="H845" s="79">
        <v>1</v>
      </c>
      <c r="I845" s="102">
        <v>4.0429589461456E-2</v>
      </c>
      <c r="J845" s="79">
        <v>3.9833309898382803E-2</v>
      </c>
      <c r="K845" s="79">
        <v>0.31052476831582798</v>
      </c>
      <c r="L845" s="79">
        <v>0.712776365212754</v>
      </c>
      <c r="M845" s="79">
        <v>1</v>
      </c>
      <c r="N845" s="102">
        <v>0.108931051234868</v>
      </c>
      <c r="O845" s="79">
        <v>4.0350245704944401E-2</v>
      </c>
      <c r="P845" s="79">
        <v>7.1315979395556901E-3</v>
      </c>
      <c r="Q845" s="79">
        <v>2.13443938332285E-2</v>
      </c>
      <c r="R845" s="79">
        <v>1</v>
      </c>
      <c r="S845" s="102">
        <v>0.14910959323879</v>
      </c>
      <c r="T845" s="79">
        <v>4.0562282605349803E-2</v>
      </c>
      <c r="U845" s="79">
        <v>2.5748084418588199E-4</v>
      </c>
      <c r="V845" s="79">
        <v>1.5333837510616601E-3</v>
      </c>
      <c r="W845" s="79">
        <v>0.43617255005088401</v>
      </c>
    </row>
    <row r="846" spans="2:23" x14ac:dyDescent="0.2">
      <c r="B846" t="s">
        <v>1241</v>
      </c>
      <c r="C846" s="84">
        <v>2662</v>
      </c>
      <c r="D846" s="102">
        <v>3.6459476717419802E-2</v>
      </c>
      <c r="E846" s="79">
        <v>4.0529854403021703E-2</v>
      </c>
      <c r="F846" s="79">
        <v>0.36870292241476499</v>
      </c>
      <c r="G846" s="79">
        <v>0.89461055933914202</v>
      </c>
      <c r="H846" s="79">
        <v>1</v>
      </c>
      <c r="I846" s="102">
        <v>1.76494394430465E-3</v>
      </c>
      <c r="J846" s="79">
        <v>4.0275131693269302E-2</v>
      </c>
      <c r="K846" s="79">
        <v>0.96506113538799798</v>
      </c>
      <c r="L846" s="79">
        <v>0.99551534580938295</v>
      </c>
      <c r="M846" s="79">
        <v>1</v>
      </c>
      <c r="N846" s="102">
        <v>3.9063748438052902E-2</v>
      </c>
      <c r="O846" s="79">
        <v>3.8897963499886799E-2</v>
      </c>
      <c r="P846" s="79">
        <v>0.31566629619249398</v>
      </c>
      <c r="Q846" s="79">
        <v>0.43020008507649599</v>
      </c>
      <c r="R846" s="79">
        <v>1</v>
      </c>
      <c r="S846" s="102">
        <v>9.7998641529451397E-2</v>
      </c>
      <c r="T846" s="79">
        <v>4.1129524695922702E-2</v>
      </c>
      <c r="U846" s="79">
        <v>1.7493783808057599E-2</v>
      </c>
      <c r="V846" s="79">
        <v>4.4296666324139901E-2</v>
      </c>
      <c r="W846" s="79">
        <v>1</v>
      </c>
    </row>
    <row r="847" spans="2:23" x14ac:dyDescent="0.2">
      <c r="B847" t="s">
        <v>1245</v>
      </c>
      <c r="C847" s="84">
        <v>2661</v>
      </c>
      <c r="D847" s="102">
        <v>1.7134342443074599E-3</v>
      </c>
      <c r="E847" s="79">
        <v>3.9882050215225097E-2</v>
      </c>
      <c r="F847" s="79">
        <v>0.965744880658437</v>
      </c>
      <c r="G847" s="79">
        <v>0.99840985319461195</v>
      </c>
      <c r="H847" s="79">
        <v>1</v>
      </c>
      <c r="I847" s="102">
        <v>4.3567693325643302E-2</v>
      </c>
      <c r="J847" s="79">
        <v>3.9134960882895101E-2</v>
      </c>
      <c r="K847" s="79">
        <v>0.26602215297189002</v>
      </c>
      <c r="L847" s="79">
        <v>0.68382629307189902</v>
      </c>
      <c r="M847" s="79">
        <v>1</v>
      </c>
      <c r="N847" s="102">
        <v>7.8927333919688897E-2</v>
      </c>
      <c r="O847" s="79">
        <v>3.98685143537457E-2</v>
      </c>
      <c r="P847" s="79">
        <v>4.8168632956924799E-2</v>
      </c>
      <c r="Q847" s="79">
        <v>9.8310438830157401E-2</v>
      </c>
      <c r="R847" s="79">
        <v>1</v>
      </c>
      <c r="S847" s="102">
        <v>0.144314742826395</v>
      </c>
      <c r="T847" s="79">
        <v>4.0045146571013601E-2</v>
      </c>
      <c r="U847" s="79">
        <v>3.38196581362444E-4</v>
      </c>
      <c r="V847" s="79">
        <v>1.90650642529931E-3</v>
      </c>
      <c r="W847" s="79">
        <v>0.57290500882798001</v>
      </c>
    </row>
    <row r="848" spans="2:23" x14ac:dyDescent="0.2">
      <c r="B848" t="s">
        <v>1242</v>
      </c>
      <c r="C848" s="84">
        <v>2660</v>
      </c>
      <c r="D848" s="102">
        <v>5.8593341520942702E-3</v>
      </c>
      <c r="E848" s="79">
        <v>4.0223530442743197E-2</v>
      </c>
      <c r="F848" s="79">
        <v>0.88422840467215102</v>
      </c>
      <c r="G848" s="79">
        <v>0.99362338620020496</v>
      </c>
      <c r="H848" s="79">
        <v>1</v>
      </c>
      <c r="I848" s="102">
        <v>5.1013773620364397E-2</v>
      </c>
      <c r="J848" s="79">
        <v>4.0633572551408502E-2</v>
      </c>
      <c r="K848" s="79">
        <v>0.209790280329469</v>
      </c>
      <c r="L848" s="79">
        <v>0.64803390121802296</v>
      </c>
      <c r="M848" s="79">
        <v>1</v>
      </c>
      <c r="N848" s="102">
        <v>5.3215286716629803E-3</v>
      </c>
      <c r="O848" s="79">
        <v>3.8977214404450199E-2</v>
      </c>
      <c r="P848" s="79">
        <v>0.89144806157510803</v>
      </c>
      <c r="Q848" s="79">
        <v>0.92648730085814202</v>
      </c>
      <c r="R848" s="79">
        <v>1</v>
      </c>
      <c r="S848" s="102">
        <v>9.6325096715880895E-2</v>
      </c>
      <c r="T848" s="79">
        <v>4.0676023642951802E-2</v>
      </c>
      <c r="U848" s="79">
        <v>1.8181245845187599E-2</v>
      </c>
      <c r="V848" s="79">
        <v>4.5695890892800899E-2</v>
      </c>
      <c r="W848" s="79">
        <v>1</v>
      </c>
    </row>
    <row r="849" spans="2:23" x14ac:dyDescent="0.2">
      <c r="B849" t="s">
        <v>914</v>
      </c>
      <c r="C849" s="84">
        <v>1766</v>
      </c>
      <c r="D849" s="102">
        <v>-5.1180756729865995E-4</v>
      </c>
      <c r="E849" s="79">
        <v>2.4047884363207501E-2</v>
      </c>
      <c r="F849" s="79">
        <v>0.98302241777753596</v>
      </c>
      <c r="G849" s="79">
        <v>0.99881358178002599</v>
      </c>
      <c r="H849" s="79">
        <v>1</v>
      </c>
      <c r="I849" s="102">
        <v>1.6313844844020601E-2</v>
      </c>
      <c r="J849" s="79">
        <v>2.4085618433494702E-2</v>
      </c>
      <c r="K849" s="79">
        <v>0.49828852366766002</v>
      </c>
      <c r="L849" s="79">
        <v>0.81806688763786795</v>
      </c>
      <c r="M849" s="79">
        <v>1</v>
      </c>
      <c r="N849" s="102">
        <v>8.5520320959323104E-2</v>
      </c>
      <c r="O849" s="79">
        <v>2.3321284122936301E-2</v>
      </c>
      <c r="P849" s="79">
        <v>2.5249574789373299E-4</v>
      </c>
      <c r="Q849" s="79">
        <v>1.4548564521495999E-3</v>
      </c>
      <c r="R849" s="79">
        <v>0.42772779693198398</v>
      </c>
      <c r="S849" s="102">
        <v>1.83861634115083E-2</v>
      </c>
      <c r="T849" s="79">
        <v>2.3078414184591198E-2</v>
      </c>
      <c r="U849" s="79">
        <v>0.42574226790629099</v>
      </c>
      <c r="V849" s="79">
        <v>0.541853795517098</v>
      </c>
      <c r="W849" s="79">
        <v>1</v>
      </c>
    </row>
    <row r="850" spans="2:23" x14ac:dyDescent="0.2">
      <c r="B850" t="s">
        <v>3673</v>
      </c>
      <c r="C850" s="84">
        <v>5021</v>
      </c>
      <c r="D850" s="102">
        <v>1.0005053341693173</v>
      </c>
      <c r="E850" s="79">
        <v>3.0277051226383401E-2</v>
      </c>
      <c r="F850" s="79">
        <v>0.98668701970325501</v>
      </c>
      <c r="G850" s="79">
        <v>0.99907221241919597</v>
      </c>
      <c r="H850" s="79">
        <v>1</v>
      </c>
      <c r="I850" s="102">
        <v>1.0223482944584454</v>
      </c>
      <c r="J850" s="79">
        <v>3.00740556627681E-2</v>
      </c>
      <c r="K850" s="79">
        <v>0.46238405214229999</v>
      </c>
      <c r="L850" s="79">
        <v>0.799032058493933</v>
      </c>
      <c r="M850" s="79">
        <v>1</v>
      </c>
      <c r="N850" s="102">
        <v>1.0700961914554612</v>
      </c>
      <c r="O850" s="79">
        <v>2.9836908428958701E-2</v>
      </c>
      <c r="P850" s="79">
        <v>2.3169459704158801E-2</v>
      </c>
      <c r="Q850" s="79">
        <v>5.4512589915062498E-2</v>
      </c>
      <c r="R850" s="79">
        <v>1</v>
      </c>
      <c r="S850" s="102">
        <v>1.0908487755141725</v>
      </c>
      <c r="T850" s="79">
        <v>2.98493798653412E-2</v>
      </c>
      <c r="U850" s="79">
        <v>3.5778865789492598E-3</v>
      </c>
      <c r="V850" s="79">
        <v>1.23440730442771E-2</v>
      </c>
      <c r="W850" s="79">
        <v>1</v>
      </c>
    </row>
    <row r="851" spans="2:23" x14ac:dyDescent="0.2">
      <c r="B851" t="s">
        <v>915</v>
      </c>
      <c r="C851" s="84">
        <v>1770</v>
      </c>
      <c r="D851" s="102">
        <v>-1.15682652986379E-2</v>
      </c>
      <c r="E851" s="79">
        <v>2.4018005895463001E-2</v>
      </c>
      <c r="F851" s="79">
        <v>0.63011495595063804</v>
      </c>
      <c r="G851" s="79">
        <v>0.95687505350859803</v>
      </c>
      <c r="H851" s="79">
        <v>1</v>
      </c>
      <c r="I851" s="102">
        <v>1.02209358688665E-2</v>
      </c>
      <c r="J851" s="79">
        <v>2.40794109600426E-2</v>
      </c>
      <c r="K851" s="79">
        <v>0.67127801645098395</v>
      </c>
      <c r="L851" s="79">
        <v>0.89048156606731899</v>
      </c>
      <c r="M851" s="79">
        <v>1</v>
      </c>
      <c r="N851" s="102">
        <v>2.2211898726812399E-2</v>
      </c>
      <c r="O851" s="79">
        <v>2.3389640245669301E-2</v>
      </c>
      <c r="P851" s="79">
        <v>0.34242015993507102</v>
      </c>
      <c r="Q851" s="79">
        <v>0.45927137840855897</v>
      </c>
      <c r="R851" s="79">
        <v>1</v>
      </c>
      <c r="S851" s="102">
        <v>3.8323951247940398E-3</v>
      </c>
      <c r="T851" s="79">
        <v>2.30573105412256E-2</v>
      </c>
      <c r="U851" s="79">
        <v>0.86800949064728095</v>
      </c>
      <c r="V851" s="79">
        <v>0.90545460358382202</v>
      </c>
      <c r="W851" s="79">
        <v>1</v>
      </c>
    </row>
    <row r="852" spans="2:23" x14ac:dyDescent="0.2">
      <c r="B852" t="s">
        <v>913</v>
      </c>
      <c r="C852" s="84">
        <v>1766</v>
      </c>
      <c r="D852" s="102">
        <v>8.8687106070520199E-3</v>
      </c>
      <c r="E852" s="79">
        <v>2.3998591693084499E-2</v>
      </c>
      <c r="F852" s="79">
        <v>0.71176168308366805</v>
      </c>
      <c r="G852" s="79">
        <v>0.97160036230239</v>
      </c>
      <c r="H852" s="79">
        <v>1</v>
      </c>
      <c r="I852" s="102">
        <v>-2.2190971759824599E-2</v>
      </c>
      <c r="J852" s="79">
        <v>2.4059075951071901E-2</v>
      </c>
      <c r="K852" s="79">
        <v>0.35647486393660599</v>
      </c>
      <c r="L852" s="79">
        <v>0.74482453015727901</v>
      </c>
      <c r="M852" s="79">
        <v>1</v>
      </c>
      <c r="N852" s="102">
        <v>4.67030222769374E-2</v>
      </c>
      <c r="O852" s="79">
        <v>2.3338247734350202E-2</v>
      </c>
      <c r="P852" s="79">
        <v>4.5529083042022099E-2</v>
      </c>
      <c r="Q852" s="79">
        <v>9.3941859528849495E-2</v>
      </c>
      <c r="R852" s="79">
        <v>1</v>
      </c>
      <c r="S852" s="102">
        <v>3.8671443294216401E-2</v>
      </c>
      <c r="T852" s="79">
        <v>2.3017222120624199E-2</v>
      </c>
      <c r="U852" s="79">
        <v>9.3114840686666395E-2</v>
      </c>
      <c r="V852" s="79">
        <v>0.166213424787369</v>
      </c>
      <c r="W852" s="79">
        <v>1</v>
      </c>
    </row>
    <row r="853" spans="2:23" x14ac:dyDescent="0.2">
      <c r="B853" t="s">
        <v>210</v>
      </c>
      <c r="C853" s="84">
        <v>112</v>
      </c>
      <c r="D853" s="102">
        <v>-1.42528839649829E-2</v>
      </c>
      <c r="E853" s="79">
        <v>1.4407921317290601E-2</v>
      </c>
      <c r="F853" s="79">
        <v>0.32259497563714401</v>
      </c>
      <c r="G853" s="79">
        <v>0.88730162874475904</v>
      </c>
      <c r="H853" s="79">
        <v>1</v>
      </c>
      <c r="I853" s="102">
        <v>4.7057345931004302E-2</v>
      </c>
      <c r="J853" s="79">
        <v>1.4327875330554201E-2</v>
      </c>
      <c r="K853" s="79">
        <v>1.0295565846776501E-3</v>
      </c>
      <c r="L853" s="79">
        <v>0.10259228555552601</v>
      </c>
      <c r="M853" s="79">
        <v>1</v>
      </c>
      <c r="N853" s="102">
        <v>2.5178492380376501E-2</v>
      </c>
      <c r="O853" s="79">
        <v>1.4217103977052401E-2</v>
      </c>
      <c r="P853" s="79">
        <v>7.6623243270747293E-2</v>
      </c>
      <c r="Q853" s="79">
        <v>0.14279403091380199</v>
      </c>
      <c r="R853" s="79">
        <v>1</v>
      </c>
      <c r="S853" s="102">
        <v>2.7178013417366999E-2</v>
      </c>
      <c r="T853" s="79">
        <v>1.4214749332045799E-2</v>
      </c>
      <c r="U853" s="79">
        <v>5.5940278420586999E-2</v>
      </c>
      <c r="V853" s="79">
        <v>0.112278236545586</v>
      </c>
      <c r="W853" s="79">
        <v>1</v>
      </c>
    </row>
    <row r="854" spans="2:23" x14ac:dyDescent="0.2">
      <c r="B854" t="s">
        <v>211</v>
      </c>
      <c r="C854" s="84">
        <v>2222</v>
      </c>
      <c r="D854" s="102">
        <v>-1.3961950630824E-2</v>
      </c>
      <c r="E854" s="79">
        <v>1.4070977206654499E-2</v>
      </c>
      <c r="F854" s="79">
        <v>0.32112464155575199</v>
      </c>
      <c r="G854" s="79">
        <v>0.88730162874475904</v>
      </c>
      <c r="H854" s="79">
        <v>1</v>
      </c>
      <c r="I854" s="102">
        <v>2.00510143638927E-2</v>
      </c>
      <c r="J854" s="79">
        <v>1.4043376801189901E-2</v>
      </c>
      <c r="K854" s="79">
        <v>0.153416968906536</v>
      </c>
      <c r="L854" s="79">
        <v>0.59601477595142704</v>
      </c>
      <c r="M854" s="79">
        <v>1</v>
      </c>
      <c r="N854" s="102">
        <v>4.2599325915805397E-2</v>
      </c>
      <c r="O854" s="79">
        <v>1.38897172130033E-2</v>
      </c>
      <c r="P854" s="79">
        <v>2.17442511023642E-3</v>
      </c>
      <c r="Q854" s="79">
        <v>7.9728920708668702E-3</v>
      </c>
      <c r="R854" s="79">
        <v>1</v>
      </c>
      <c r="S854" s="102">
        <v>4.47100516020906E-2</v>
      </c>
      <c r="T854" s="79">
        <v>1.38462215143329E-2</v>
      </c>
      <c r="U854" s="79">
        <v>1.2504074309785901E-3</v>
      </c>
      <c r="V854" s="79">
        <v>5.34896512140841E-3</v>
      </c>
      <c r="W854" s="79">
        <v>1</v>
      </c>
    </row>
    <row r="855" spans="2:23" x14ac:dyDescent="0.2">
      <c r="B855" t="s">
        <v>212</v>
      </c>
      <c r="C855" s="84">
        <v>1449</v>
      </c>
      <c r="D855" s="102">
        <v>-2.2712923596674298E-3</v>
      </c>
      <c r="E855" s="79">
        <v>1.39079568009371E-2</v>
      </c>
      <c r="F855" s="79">
        <v>0.87028193328655701</v>
      </c>
      <c r="G855" s="79">
        <v>0.99362338620020496</v>
      </c>
      <c r="H855" s="79">
        <v>1</v>
      </c>
      <c r="I855" s="102">
        <v>2.1749239358373799E-2</v>
      </c>
      <c r="J855" s="79">
        <v>1.38404388048561E-2</v>
      </c>
      <c r="K855" s="79">
        <v>0.116147782088508</v>
      </c>
      <c r="L855" s="79">
        <v>0.54991179036125304</v>
      </c>
      <c r="M855" s="79">
        <v>1</v>
      </c>
      <c r="N855" s="107">
        <v>6.1482393090229397E-2</v>
      </c>
      <c r="O855" s="81">
        <v>1.3696321927811299E-2</v>
      </c>
      <c r="P855" s="81">
        <v>7.3195367217751102E-6</v>
      </c>
      <c r="Q855" s="81">
        <v>7.5147243676891101E-5</v>
      </c>
      <c r="R855" s="81">
        <v>1.2399295206687E-2</v>
      </c>
      <c r="S855" s="102">
        <v>4.1261523139046602E-2</v>
      </c>
      <c r="T855" s="79">
        <v>1.3706879642805999E-2</v>
      </c>
      <c r="U855" s="79">
        <v>2.6232981634182798E-3</v>
      </c>
      <c r="V855" s="79">
        <v>9.5361954695934899E-3</v>
      </c>
      <c r="W855" s="79">
        <v>1</v>
      </c>
    </row>
    <row r="856" spans="2:23" x14ac:dyDescent="0.2">
      <c r="B856" t="s">
        <v>215</v>
      </c>
      <c r="C856" s="84">
        <v>212</v>
      </c>
      <c r="D856" s="102">
        <v>-2.44644487049884E-3</v>
      </c>
      <c r="E856" s="79">
        <v>1.3980351282418599E-2</v>
      </c>
      <c r="F856" s="79">
        <v>0.86109358784863999</v>
      </c>
      <c r="G856" s="79">
        <v>0.99362338620020496</v>
      </c>
      <c r="H856" s="79">
        <v>1</v>
      </c>
      <c r="I856" s="102">
        <v>4.4814826414927803E-2</v>
      </c>
      <c r="J856" s="79">
        <v>1.3906179974303099E-2</v>
      </c>
      <c r="K856" s="79">
        <v>1.27870706141494E-3</v>
      </c>
      <c r="L856" s="79">
        <v>0.108306488101845</v>
      </c>
      <c r="M856" s="79">
        <v>1</v>
      </c>
      <c r="N856" s="102">
        <v>3.5184576943592401E-2</v>
      </c>
      <c r="O856" s="79">
        <v>1.3772942349035399E-2</v>
      </c>
      <c r="P856" s="79">
        <v>1.0661434014022799E-2</v>
      </c>
      <c r="Q856" s="79">
        <v>2.9414444983313699E-2</v>
      </c>
      <c r="R856" s="79">
        <v>1</v>
      </c>
      <c r="S856" s="102">
        <v>4.14190771914454E-2</v>
      </c>
      <c r="T856" s="79">
        <v>1.37503555067198E-2</v>
      </c>
      <c r="U856" s="79">
        <v>2.6071494657145902E-3</v>
      </c>
      <c r="V856" s="79">
        <v>9.49787353746347E-3</v>
      </c>
      <c r="W856" s="79">
        <v>1</v>
      </c>
    </row>
    <row r="857" spans="2:23" x14ac:dyDescent="0.2">
      <c r="B857" t="s">
        <v>688</v>
      </c>
      <c r="C857" s="84">
        <v>106</v>
      </c>
      <c r="D857" s="102">
        <v>3.0721480258151402E-3</v>
      </c>
      <c r="E857" s="79">
        <v>2.0942095207930399E-2</v>
      </c>
      <c r="F857" s="79">
        <v>0.88338453464573796</v>
      </c>
      <c r="G857" s="79">
        <v>0.99362338620020496</v>
      </c>
      <c r="H857" s="79">
        <v>1</v>
      </c>
      <c r="I857" s="102">
        <v>2.4012832411965199E-2</v>
      </c>
      <c r="J857" s="79">
        <v>2.0448069693213701E-2</v>
      </c>
      <c r="K857" s="79">
        <v>0.24039467480357099</v>
      </c>
      <c r="L857" s="79">
        <v>0.66758783461844196</v>
      </c>
      <c r="M857" s="79">
        <v>1</v>
      </c>
      <c r="N857" s="102">
        <v>3.9567428004305502E-2</v>
      </c>
      <c r="O857" s="79">
        <v>2.02134611958384E-2</v>
      </c>
      <c r="P857" s="79">
        <v>5.0420901498215598E-2</v>
      </c>
      <c r="Q857" s="79">
        <v>0.10120024542414401</v>
      </c>
      <c r="R857" s="79">
        <v>1</v>
      </c>
      <c r="S857" s="102">
        <v>4.3645208656077697E-2</v>
      </c>
      <c r="T857" s="79">
        <v>2.0592637160175599E-2</v>
      </c>
      <c r="U857" s="79">
        <v>3.4167265417729402E-2</v>
      </c>
      <c r="V857" s="79">
        <v>7.6257374990294599E-2</v>
      </c>
      <c r="W857" s="79">
        <v>1</v>
      </c>
    </row>
    <row r="858" spans="2:23" x14ac:dyDescent="0.2">
      <c r="B858" t="s">
        <v>687</v>
      </c>
      <c r="C858" s="84">
        <v>1529</v>
      </c>
      <c r="D858" s="102">
        <v>-1.5090449889677801E-2</v>
      </c>
      <c r="E858" s="79">
        <v>2.0415909020518701E-2</v>
      </c>
      <c r="F858" s="79">
        <v>0.45988987203936399</v>
      </c>
      <c r="G858" s="79">
        <v>0.91151047511105199</v>
      </c>
      <c r="H858" s="79">
        <v>1</v>
      </c>
      <c r="I858" s="102">
        <v>7.88491198784925E-3</v>
      </c>
      <c r="J858" s="79">
        <v>1.9950968551806399E-2</v>
      </c>
      <c r="K858" s="79">
        <v>0.69272179295691505</v>
      </c>
      <c r="L858" s="79">
        <v>0.90059149445051001</v>
      </c>
      <c r="M858" s="79">
        <v>1</v>
      </c>
      <c r="N858" s="102">
        <v>6.53329612554438E-2</v>
      </c>
      <c r="O858" s="79">
        <v>1.9702419405081401E-2</v>
      </c>
      <c r="P858" s="79">
        <v>9.2743464359235604E-4</v>
      </c>
      <c r="Q858" s="79">
        <v>4.1453147394339097E-3</v>
      </c>
      <c r="R858" s="79">
        <v>1</v>
      </c>
      <c r="S858" s="102">
        <v>4.4583435190693702E-2</v>
      </c>
      <c r="T858" s="79">
        <v>2.0148487988149E-2</v>
      </c>
      <c r="U858" s="79">
        <v>2.7014118662533299E-2</v>
      </c>
      <c r="V858" s="79">
        <v>6.3470065207117093E-2</v>
      </c>
      <c r="W858" s="79">
        <v>1</v>
      </c>
    </row>
    <row r="859" spans="2:23" x14ac:dyDescent="0.2">
      <c r="B859" t="s">
        <v>1282</v>
      </c>
      <c r="C859" s="84">
        <v>2424</v>
      </c>
      <c r="D859" s="102">
        <v>-9.8379186819166103E-2</v>
      </c>
      <c r="E859" s="79">
        <v>5.3536261574154601E-2</v>
      </c>
      <c r="F859" s="79">
        <v>6.6118745110613095E-2</v>
      </c>
      <c r="G859" s="79">
        <v>0.73538141425839998</v>
      </c>
      <c r="H859" s="79">
        <v>1</v>
      </c>
      <c r="I859" s="102">
        <v>9.7899931548861494E-2</v>
      </c>
      <c r="J859" s="79">
        <v>5.2076555371011399E-2</v>
      </c>
      <c r="K859" s="79">
        <v>6.0118527388877803E-2</v>
      </c>
      <c r="L859" s="79">
        <v>0.42433660581982902</v>
      </c>
      <c r="M859" s="79">
        <v>1</v>
      </c>
      <c r="N859" s="102">
        <v>0.14298820610822699</v>
      </c>
      <c r="O859" s="79">
        <v>5.2078237239395898E-2</v>
      </c>
      <c r="P859" s="79">
        <v>6.0392587866005803E-3</v>
      </c>
      <c r="Q859" s="79">
        <v>1.8600917062729799E-2</v>
      </c>
      <c r="R859" s="79">
        <v>1</v>
      </c>
      <c r="S859" s="102">
        <v>0.201366976802442</v>
      </c>
      <c r="T859" s="79">
        <v>5.3294972981248502E-2</v>
      </c>
      <c r="U859" s="79">
        <v>1.57871900829251E-4</v>
      </c>
      <c r="V859" s="79">
        <v>1.0146585378781701E-3</v>
      </c>
      <c r="W859" s="79">
        <v>0.26743500000475101</v>
      </c>
    </row>
    <row r="860" spans="2:23" x14ac:dyDescent="0.2">
      <c r="B860" t="s">
        <v>1283</v>
      </c>
      <c r="C860" s="84">
        <v>2425</v>
      </c>
      <c r="D860" s="102">
        <v>-9.8831813357992196E-2</v>
      </c>
      <c r="E860" s="79">
        <v>5.2721692396076499E-2</v>
      </c>
      <c r="F860" s="79">
        <v>6.0848481417358102E-2</v>
      </c>
      <c r="G860" s="79">
        <v>0.72082047217485701</v>
      </c>
      <c r="H860" s="79">
        <v>1</v>
      </c>
      <c r="I860" s="102">
        <v>4.9056648286382003E-2</v>
      </c>
      <c r="J860" s="79">
        <v>5.0939346360470601E-2</v>
      </c>
      <c r="K860" s="79">
        <v>0.33552725141809298</v>
      </c>
      <c r="L860" s="79">
        <v>0.72869636397724302</v>
      </c>
      <c r="M860" s="79">
        <v>1</v>
      </c>
      <c r="N860" s="102">
        <v>0.16147589587236699</v>
      </c>
      <c r="O860" s="79">
        <v>5.1752092708800802E-2</v>
      </c>
      <c r="P860" s="79">
        <v>1.80739950117305E-3</v>
      </c>
      <c r="Q860" s="79">
        <v>6.9673154635377403E-3</v>
      </c>
      <c r="R860" s="79">
        <v>1</v>
      </c>
      <c r="S860" s="102">
        <v>0.21356294781757201</v>
      </c>
      <c r="T860" s="79">
        <v>5.2543296494991801E-2</v>
      </c>
      <c r="U860" s="79">
        <v>4.8132714317733103E-5</v>
      </c>
      <c r="V860" s="79">
        <v>4.1697114805139301E-4</v>
      </c>
      <c r="W860" s="79">
        <v>8.1536818054239901E-2</v>
      </c>
    </row>
    <row r="861" spans="2:23" x14ac:dyDescent="0.2">
      <c r="B861" t="s">
        <v>1239</v>
      </c>
      <c r="C861" s="84">
        <v>910</v>
      </c>
      <c r="D861" s="102">
        <v>2.0008774041437E-2</v>
      </c>
      <c r="E861" s="79">
        <v>3.2399309966626398E-2</v>
      </c>
      <c r="F861" s="79">
        <v>0.53706245664494801</v>
      </c>
      <c r="G861" s="79">
        <v>0.92176676956083303</v>
      </c>
      <c r="H861" s="79">
        <v>1</v>
      </c>
      <c r="I861" s="102">
        <v>-4.3693507108052499E-3</v>
      </c>
      <c r="J861" s="79">
        <v>3.1471206052434801E-2</v>
      </c>
      <c r="K861" s="79">
        <v>0.88962068473956402</v>
      </c>
      <c r="L861" s="79">
        <v>0.97964316813373198</v>
      </c>
      <c r="M861" s="79">
        <v>1</v>
      </c>
      <c r="N861" s="102">
        <v>-0.10184934230808899</v>
      </c>
      <c r="O861" s="79">
        <v>3.1866633740343903E-2</v>
      </c>
      <c r="P861" s="79">
        <v>1.4567504789356801E-3</v>
      </c>
      <c r="Q861" s="79">
        <v>5.9607133123600097E-3</v>
      </c>
      <c r="R861" s="79">
        <v>1</v>
      </c>
      <c r="S861" s="102">
        <v>-4.9617790186540701E-2</v>
      </c>
      <c r="T861" s="79">
        <v>3.2688921180119103E-2</v>
      </c>
      <c r="U861" s="79">
        <v>0.129505608398121</v>
      </c>
      <c r="V861" s="79">
        <v>0.21699554958102599</v>
      </c>
      <c r="W861" s="79">
        <v>1</v>
      </c>
    </row>
    <row r="862" spans="2:23" x14ac:dyDescent="0.2">
      <c r="B862" t="s">
        <v>1236</v>
      </c>
      <c r="C862" s="84">
        <v>853</v>
      </c>
      <c r="D862" s="102">
        <v>1.38969328775384E-2</v>
      </c>
      <c r="E862" s="79">
        <v>3.5079811307558502E-2</v>
      </c>
      <c r="F862" s="79">
        <v>0.69212853863729396</v>
      </c>
      <c r="G862" s="79">
        <v>0.96897995409221205</v>
      </c>
      <c r="H862" s="79">
        <v>1</v>
      </c>
      <c r="I862" s="102">
        <v>-2.0557268389455801E-2</v>
      </c>
      <c r="J862" s="79">
        <v>3.5824025716320998E-2</v>
      </c>
      <c r="K862" s="79">
        <v>0.566290938876165</v>
      </c>
      <c r="L862" s="79">
        <v>0.85878159627519401</v>
      </c>
      <c r="M862" s="79">
        <v>1</v>
      </c>
      <c r="N862" s="102">
        <v>-9.7568657709557902E-2</v>
      </c>
      <c r="O862" s="79">
        <v>3.5093713055702497E-2</v>
      </c>
      <c r="P862" s="79">
        <v>5.6018070556600099E-3</v>
      </c>
      <c r="Q862" s="79">
        <v>1.75082309082806E-2</v>
      </c>
      <c r="R862" s="79">
        <v>1</v>
      </c>
      <c r="S862" s="102">
        <v>-6.9044485077422807E-2</v>
      </c>
      <c r="T862" s="79">
        <v>3.6148518306801297E-2</v>
      </c>
      <c r="U862" s="79">
        <v>5.6598458022212902E-2</v>
      </c>
      <c r="V862" s="79">
        <v>0.113063429115128</v>
      </c>
      <c r="W862" s="79">
        <v>1</v>
      </c>
    </row>
    <row r="863" spans="2:23" x14ac:dyDescent="0.2">
      <c r="B863" t="s">
        <v>213</v>
      </c>
      <c r="C863" s="84">
        <v>768</v>
      </c>
      <c r="D863" s="102">
        <v>-8.3215112910847901E-3</v>
      </c>
      <c r="E863" s="79">
        <v>1.4404527624607E-2</v>
      </c>
      <c r="F863" s="79">
        <v>0.56349362345906695</v>
      </c>
      <c r="G863" s="79">
        <v>0.93167796111031398</v>
      </c>
      <c r="H863" s="79">
        <v>1</v>
      </c>
      <c r="I863" s="102">
        <v>1.2060050084252399E-2</v>
      </c>
      <c r="J863" s="79">
        <v>1.43411585548337E-2</v>
      </c>
      <c r="K863" s="79">
        <v>0.400425266154118</v>
      </c>
      <c r="L863" s="79">
        <v>0.76559864657457799</v>
      </c>
      <c r="M863" s="79">
        <v>1</v>
      </c>
      <c r="N863" s="102">
        <v>8.7461619500520307E-3</v>
      </c>
      <c r="O863" s="79">
        <v>1.4197533976139201E-2</v>
      </c>
      <c r="P863" s="79">
        <v>0.53790230398145999</v>
      </c>
      <c r="Q863" s="79">
        <v>0.65086178781756698</v>
      </c>
      <c r="R863" s="79">
        <v>1</v>
      </c>
      <c r="S863" s="102">
        <v>4.1162553865111501E-2</v>
      </c>
      <c r="T863" s="79">
        <v>1.4200364448010301E-2</v>
      </c>
      <c r="U863" s="79">
        <v>3.7646846848103299E-3</v>
      </c>
      <c r="V863" s="79">
        <v>1.2831742165128199E-2</v>
      </c>
      <c r="W863" s="79">
        <v>1</v>
      </c>
    </row>
    <row r="864" spans="2:23" x14ac:dyDescent="0.2">
      <c r="B864" t="s">
        <v>1238</v>
      </c>
      <c r="C864" s="84">
        <v>317</v>
      </c>
      <c r="D864" s="102">
        <v>2.55351936829935E-3</v>
      </c>
      <c r="E864" s="79">
        <v>1.8547025828943499E-2</v>
      </c>
      <c r="F864" s="79">
        <v>0.89050534690662098</v>
      </c>
      <c r="G864" s="79">
        <v>0.99362338620020496</v>
      </c>
      <c r="H864" s="79">
        <v>1</v>
      </c>
      <c r="I864" s="102">
        <v>2.88225126658339E-2</v>
      </c>
      <c r="J864" s="79">
        <v>1.88262974255602E-2</v>
      </c>
      <c r="K864" s="79">
        <v>0.125896656666101</v>
      </c>
      <c r="L864" s="79">
        <v>0.55552266356551805</v>
      </c>
      <c r="M864" s="79">
        <v>1</v>
      </c>
      <c r="N864" s="102">
        <v>4.4401398441990897E-2</v>
      </c>
      <c r="O864" s="79">
        <v>1.8613115141824E-2</v>
      </c>
      <c r="P864" s="79">
        <v>1.71268067304911E-2</v>
      </c>
      <c r="Q864" s="79">
        <v>4.2918358877887502E-2</v>
      </c>
      <c r="R864" s="79">
        <v>1</v>
      </c>
      <c r="S864" s="102">
        <v>3.0675930780856599E-2</v>
      </c>
      <c r="T864" s="79">
        <v>1.82933806692788E-2</v>
      </c>
      <c r="U864" s="79">
        <v>9.3683101416229597E-2</v>
      </c>
      <c r="V864" s="79">
        <v>0.16687610283816301</v>
      </c>
      <c r="W864" s="79">
        <v>1</v>
      </c>
    </row>
    <row r="865" spans="2:23" x14ac:dyDescent="0.2">
      <c r="B865" t="s">
        <v>689</v>
      </c>
      <c r="C865" s="84">
        <v>437</v>
      </c>
      <c r="D865" s="102">
        <v>1.6440254462156498E-2</v>
      </c>
      <c r="E865" s="79">
        <v>1.93373465398743E-2</v>
      </c>
      <c r="F865" s="79">
        <v>0.395303682725689</v>
      </c>
      <c r="G865" s="79">
        <v>0.89461055933914202</v>
      </c>
      <c r="H865" s="79">
        <v>1</v>
      </c>
      <c r="I865" s="102">
        <v>4.3901766092602497E-2</v>
      </c>
      <c r="J865" s="79">
        <v>1.96379332404828E-2</v>
      </c>
      <c r="K865" s="79">
        <v>2.5466865720414601E-2</v>
      </c>
      <c r="L865" s="79">
        <v>0.31185895140801101</v>
      </c>
      <c r="M865" s="79">
        <v>1</v>
      </c>
      <c r="N865" s="102">
        <v>3.6094533375436798E-2</v>
      </c>
      <c r="O865" s="79">
        <v>1.9420034938159799E-2</v>
      </c>
      <c r="P865" s="79">
        <v>6.3195541681689005E-2</v>
      </c>
      <c r="Q865" s="79">
        <v>0.122767485789887</v>
      </c>
      <c r="R865" s="79">
        <v>1</v>
      </c>
      <c r="S865" s="102">
        <v>4.7997806624450801E-2</v>
      </c>
      <c r="T865" s="79">
        <v>1.9061964476468699E-2</v>
      </c>
      <c r="U865" s="79">
        <v>1.18632765038581E-2</v>
      </c>
      <c r="V865" s="79">
        <v>3.2257448471164699E-2</v>
      </c>
      <c r="W865" s="79">
        <v>1</v>
      </c>
    </row>
    <row r="866" spans="2:23" x14ac:dyDescent="0.2">
      <c r="B866" t="s">
        <v>1237</v>
      </c>
      <c r="C866" s="84">
        <v>107</v>
      </c>
      <c r="D866" s="102">
        <v>-1.5777727034758399E-2</v>
      </c>
      <c r="E866" s="79">
        <v>1.9132315264671299E-2</v>
      </c>
      <c r="F866" s="79">
        <v>0.40963783885659899</v>
      </c>
      <c r="G866" s="79">
        <v>0.89561567502544503</v>
      </c>
      <c r="H866" s="79">
        <v>1</v>
      </c>
      <c r="I866" s="102">
        <v>-7.4292219706976999E-3</v>
      </c>
      <c r="J866" s="79">
        <v>1.9423887927363201E-2</v>
      </c>
      <c r="K866" s="79">
        <v>0.70213753054553396</v>
      </c>
      <c r="L866" s="79">
        <v>0.90623303456965298</v>
      </c>
      <c r="M866" s="79">
        <v>1</v>
      </c>
      <c r="N866" s="102">
        <v>2.3124468931032802E-2</v>
      </c>
      <c r="O866" s="79">
        <v>1.9197240550817798E-2</v>
      </c>
      <c r="P866" s="79">
        <v>0.22847783736289401</v>
      </c>
      <c r="Q866" s="79">
        <v>0.33597348653883902</v>
      </c>
      <c r="R866" s="79">
        <v>1</v>
      </c>
      <c r="S866" s="102">
        <v>1.33221737169733E-2</v>
      </c>
      <c r="T866" s="79">
        <v>1.8872419760151499E-2</v>
      </c>
      <c r="U866" s="79">
        <v>0.480308882228766</v>
      </c>
      <c r="V866" s="79">
        <v>0.593900179923744</v>
      </c>
      <c r="W866" s="79">
        <v>1</v>
      </c>
    </row>
    <row r="867" spans="2:23" x14ac:dyDescent="0.2">
      <c r="B867" t="s">
        <v>690</v>
      </c>
      <c r="C867" s="84">
        <v>688</v>
      </c>
      <c r="D867" s="102">
        <v>6.8822684502872697E-3</v>
      </c>
      <c r="E867" s="79">
        <v>1.9339374738052199E-2</v>
      </c>
      <c r="F867" s="79">
        <v>0.72196821381395504</v>
      </c>
      <c r="G867" s="79">
        <v>0.97218931176537404</v>
      </c>
      <c r="H867" s="79">
        <v>1</v>
      </c>
      <c r="I867" s="102">
        <v>1.9806875777980799E-2</v>
      </c>
      <c r="J867" s="79">
        <v>1.9642729900520999E-2</v>
      </c>
      <c r="K867" s="79">
        <v>0.313377662068267</v>
      </c>
      <c r="L867" s="79">
        <v>0.71287249273680797</v>
      </c>
      <c r="M867" s="79">
        <v>1</v>
      </c>
      <c r="N867" s="102">
        <v>4.1655543498406403E-2</v>
      </c>
      <c r="O867" s="79">
        <v>1.9405764341762201E-2</v>
      </c>
      <c r="P867" s="79">
        <v>3.1921561054076203E-2</v>
      </c>
      <c r="Q867" s="79">
        <v>7.06864371576537E-2</v>
      </c>
      <c r="R867" s="79">
        <v>1</v>
      </c>
      <c r="S867" s="102">
        <v>3.1694182006824403E-2</v>
      </c>
      <c r="T867" s="79">
        <v>1.9063190330710401E-2</v>
      </c>
      <c r="U867" s="79">
        <v>9.6516351728673594E-2</v>
      </c>
      <c r="V867" s="79">
        <v>0.17048873809006601</v>
      </c>
      <c r="W867" s="79">
        <v>1</v>
      </c>
    </row>
    <row r="868" spans="2:23" x14ac:dyDescent="0.2">
      <c r="B868" t="s">
        <v>691</v>
      </c>
      <c r="C868" s="84">
        <v>452</v>
      </c>
      <c r="D868" s="102">
        <v>-2.06933084382592E-2</v>
      </c>
      <c r="E868" s="79">
        <v>2.01068007911651E-2</v>
      </c>
      <c r="F868" s="79">
        <v>0.303512440106672</v>
      </c>
      <c r="G868" s="79">
        <v>0.87948619772625702</v>
      </c>
      <c r="H868" s="79">
        <v>1</v>
      </c>
      <c r="I868" s="102">
        <v>2.1802485858272901E-2</v>
      </c>
      <c r="J868" s="79">
        <v>1.9661512254914301E-2</v>
      </c>
      <c r="K868" s="79">
        <v>0.26760013431248397</v>
      </c>
      <c r="L868" s="79">
        <v>0.68528643711745596</v>
      </c>
      <c r="M868" s="79">
        <v>1</v>
      </c>
      <c r="N868" s="107">
        <v>8.1955179431866101E-2</v>
      </c>
      <c r="O868" s="81">
        <v>1.9441418724271999E-2</v>
      </c>
      <c r="P868" s="81">
        <v>2.59351895516037E-5</v>
      </c>
      <c r="Q868" s="81">
        <v>2.1224256570249599E-4</v>
      </c>
      <c r="R868" s="81">
        <v>4.3934211100416697E-2</v>
      </c>
      <c r="S868" s="102">
        <v>7.6676171206498903E-2</v>
      </c>
      <c r="T868" s="79">
        <v>1.9750016067712501E-2</v>
      </c>
      <c r="U868" s="79">
        <v>1.0654584752579E-4</v>
      </c>
      <c r="V868" s="79">
        <v>7.4275171073534302E-4</v>
      </c>
      <c r="W868" s="79">
        <v>0.18048866570868799</v>
      </c>
    </row>
    <row r="869" spans="2:23" x14ac:dyDescent="0.2">
      <c r="B869" t="s">
        <v>692</v>
      </c>
      <c r="C869" s="84">
        <v>341</v>
      </c>
      <c r="D869" s="102">
        <v>-1.3750626743264001E-2</v>
      </c>
      <c r="E869" s="79">
        <v>1.8507829550387499E-2</v>
      </c>
      <c r="F869" s="79">
        <v>0.45757284168630202</v>
      </c>
      <c r="G869" s="79">
        <v>0.91151047511105199</v>
      </c>
      <c r="H869" s="79">
        <v>1</v>
      </c>
      <c r="I869" s="102">
        <v>2.1459546741410099E-2</v>
      </c>
      <c r="J869" s="79">
        <v>1.8770962738343101E-2</v>
      </c>
      <c r="K869" s="79">
        <v>0.25305004465278902</v>
      </c>
      <c r="L869" s="79">
        <v>0.68025543872958705</v>
      </c>
      <c r="M869" s="79">
        <v>1</v>
      </c>
      <c r="N869" s="102">
        <v>4.6143104898241798E-2</v>
      </c>
      <c r="O869" s="79">
        <v>1.8571386372936899E-2</v>
      </c>
      <c r="P869" s="79">
        <v>1.30323406329897E-2</v>
      </c>
      <c r="Q869" s="79">
        <v>3.4334035820038203E-2</v>
      </c>
      <c r="R869" s="79">
        <v>1</v>
      </c>
      <c r="S869" s="102">
        <v>3.6807264982320502E-2</v>
      </c>
      <c r="T869" s="79">
        <v>1.81343607449241E-2</v>
      </c>
      <c r="U869" s="79">
        <v>4.2490932160060502E-2</v>
      </c>
      <c r="V869" s="79">
        <v>9.02000489713565E-2</v>
      </c>
      <c r="W869" s="79">
        <v>1</v>
      </c>
    </row>
    <row r="870" spans="2:23" x14ac:dyDescent="0.2">
      <c r="B870" t="s">
        <v>214</v>
      </c>
      <c r="C870" s="84">
        <v>916</v>
      </c>
      <c r="D870" s="102">
        <v>1.06457105094957E-2</v>
      </c>
      <c r="E870" s="79">
        <v>1.40913989309761E-2</v>
      </c>
      <c r="F870" s="79">
        <v>0.45000103798645102</v>
      </c>
      <c r="G870" s="79">
        <v>0.90900414379806505</v>
      </c>
      <c r="H870" s="79">
        <v>1</v>
      </c>
      <c r="I870" s="102">
        <v>4.8299371898208002E-2</v>
      </c>
      <c r="J870" s="79">
        <v>1.39992797383871E-2</v>
      </c>
      <c r="K870" s="79">
        <v>5.6528704144203105E-4</v>
      </c>
      <c r="L870" s="79">
        <v>7.0354115199296699E-2</v>
      </c>
      <c r="M870" s="79">
        <v>0.95759624820280098</v>
      </c>
      <c r="N870" s="102">
        <v>3.0412479364199E-2</v>
      </c>
      <c r="O870" s="79">
        <v>1.3891784457635401E-2</v>
      </c>
      <c r="P870" s="79">
        <v>2.86283392883913E-2</v>
      </c>
      <c r="Q870" s="79">
        <v>6.4921561920394694E-2</v>
      </c>
      <c r="R870" s="79">
        <v>1</v>
      </c>
      <c r="S870" s="102">
        <v>4.2578662249358801E-2</v>
      </c>
      <c r="T870" s="79">
        <v>1.38655627307107E-2</v>
      </c>
      <c r="U870" s="79">
        <v>2.14691962734359E-3</v>
      </c>
      <c r="V870" s="79">
        <v>8.1362010038479697E-3</v>
      </c>
      <c r="W870" s="79">
        <v>1</v>
      </c>
    </row>
    <row r="871" spans="2:23" x14ac:dyDescent="0.2">
      <c r="B871" t="s">
        <v>693</v>
      </c>
      <c r="C871" s="84">
        <v>105</v>
      </c>
      <c r="D871" s="102">
        <v>-3.11198195861918E-2</v>
      </c>
      <c r="E871" s="79">
        <v>2.0338510631743901E-2</v>
      </c>
      <c r="F871" s="79">
        <v>0.126140721836838</v>
      </c>
      <c r="G871" s="79">
        <v>0.80938271582532695</v>
      </c>
      <c r="H871" s="79">
        <v>1</v>
      </c>
      <c r="I871" s="102">
        <v>3.20796215659317E-2</v>
      </c>
      <c r="J871" s="79">
        <v>1.9966929052399E-2</v>
      </c>
      <c r="K871" s="79">
        <v>0.10828492073543</v>
      </c>
      <c r="L871" s="79">
        <v>0.53622641688935602</v>
      </c>
      <c r="M871" s="79">
        <v>1</v>
      </c>
      <c r="N871" s="102">
        <v>6.8516737082440396E-2</v>
      </c>
      <c r="O871" s="79">
        <v>1.9575575985335901E-2</v>
      </c>
      <c r="P871" s="79">
        <v>4.7464943176531502E-4</v>
      </c>
      <c r="Q871" s="79">
        <v>2.4439396273873699E-3</v>
      </c>
      <c r="R871" s="79">
        <v>0.80405613741044402</v>
      </c>
      <c r="S871" s="102">
        <v>6.8338806016392403E-2</v>
      </c>
      <c r="T871" s="79">
        <v>1.9923778077815601E-2</v>
      </c>
      <c r="U871" s="79">
        <v>6.1513208380139996E-4</v>
      </c>
      <c r="V871" s="79">
        <v>3.0738458700872301E-3</v>
      </c>
      <c r="W871" s="79">
        <v>1</v>
      </c>
    </row>
    <row r="872" spans="2:23" x14ac:dyDescent="0.2">
      <c r="B872" t="s">
        <v>694</v>
      </c>
      <c r="C872" s="84">
        <v>584</v>
      </c>
      <c r="D872" s="102">
        <v>8.9134824955873805E-3</v>
      </c>
      <c r="E872" s="79">
        <v>1.8913913779404198E-2</v>
      </c>
      <c r="F872" s="79">
        <v>0.63749103460669998</v>
      </c>
      <c r="G872" s="79">
        <v>0.95767440062337605</v>
      </c>
      <c r="H872" s="79">
        <v>1</v>
      </c>
      <c r="I872" s="102">
        <v>6.0836286782421103E-2</v>
      </c>
      <c r="J872" s="79">
        <v>1.9151277483865199E-2</v>
      </c>
      <c r="K872" s="79">
        <v>1.50780792780709E-3</v>
      </c>
      <c r="L872" s="79">
        <v>0.113986182531366</v>
      </c>
      <c r="M872" s="79">
        <v>1</v>
      </c>
      <c r="N872" s="102">
        <v>5.6689120997824499E-2</v>
      </c>
      <c r="O872" s="79">
        <v>1.8928620310156699E-2</v>
      </c>
      <c r="P872" s="79">
        <v>2.7718988395497601E-3</v>
      </c>
      <c r="Q872" s="79">
        <v>9.6816425447366905E-3</v>
      </c>
      <c r="R872" s="79">
        <v>1</v>
      </c>
      <c r="S872" s="102">
        <v>7.6553157220320203E-2</v>
      </c>
      <c r="T872" s="79">
        <v>1.85733522363156E-2</v>
      </c>
      <c r="U872" s="79">
        <v>3.88120253982299E-5</v>
      </c>
      <c r="V872" s="79">
        <v>3.5348156464839499E-4</v>
      </c>
      <c r="W872" s="79">
        <v>6.5747571024601506E-2</v>
      </c>
    </row>
    <row r="873" spans="2:23" x14ac:dyDescent="0.2">
      <c r="B873" t="s">
        <v>916</v>
      </c>
      <c r="C873" s="84">
        <v>1772</v>
      </c>
      <c r="D873" s="102">
        <v>1.2170667079919701E-2</v>
      </c>
      <c r="E873" s="79">
        <v>1.4557583203827299E-2</v>
      </c>
      <c r="F873" s="79">
        <v>0.40317605631674502</v>
      </c>
      <c r="G873" s="79">
        <v>0.89461055933914202</v>
      </c>
      <c r="H873" s="79">
        <v>1</v>
      </c>
      <c r="I873" s="102">
        <v>1.7680004772922801E-2</v>
      </c>
      <c r="J873" s="79">
        <v>1.4482940546978899E-2</v>
      </c>
      <c r="K873" s="79">
        <v>0.22224273861496399</v>
      </c>
      <c r="L873" s="79">
        <v>0.65304481397729397</v>
      </c>
      <c r="M873" s="79">
        <v>1</v>
      </c>
      <c r="N873" s="102">
        <v>-3.29458214223846E-2</v>
      </c>
      <c r="O873" s="79">
        <v>1.4350515366738901E-2</v>
      </c>
      <c r="P873" s="79">
        <v>2.1730903573461399E-2</v>
      </c>
      <c r="Q873" s="79">
        <v>5.1629944815488903E-2</v>
      </c>
      <c r="R873" s="79">
        <v>1</v>
      </c>
      <c r="S873" s="102">
        <v>-1.7002096892064701E-2</v>
      </c>
      <c r="T873" s="79">
        <v>1.43396708372666E-2</v>
      </c>
      <c r="U873" s="79">
        <v>0.235812332787289</v>
      </c>
      <c r="V873" s="79">
        <v>0.34496208267846901</v>
      </c>
      <c r="W873" s="79">
        <v>1</v>
      </c>
    </row>
    <row r="874" spans="2:23" x14ac:dyDescent="0.2">
      <c r="B874" t="s">
        <v>917</v>
      </c>
      <c r="C874" s="84">
        <v>1539</v>
      </c>
      <c r="D874" s="102">
        <v>-1.22529372593596E-2</v>
      </c>
      <c r="E874" s="79">
        <v>1.45279035727847E-2</v>
      </c>
      <c r="F874" s="79">
        <v>0.39904348154888097</v>
      </c>
      <c r="G874" s="79">
        <v>0.89461055933914202</v>
      </c>
      <c r="H874" s="79">
        <v>1</v>
      </c>
      <c r="I874" s="102">
        <v>1.45860538952129E-2</v>
      </c>
      <c r="J874" s="79">
        <v>1.4438959465387501E-2</v>
      </c>
      <c r="K874" s="79">
        <v>0.31245834343400702</v>
      </c>
      <c r="L874" s="79">
        <v>0.71287249273680797</v>
      </c>
      <c r="M874" s="79">
        <v>1</v>
      </c>
      <c r="N874" s="102">
        <v>-6.78762473622712E-3</v>
      </c>
      <c r="O874" s="79">
        <v>1.43163037271878E-2</v>
      </c>
      <c r="P874" s="79">
        <v>0.63543761051768199</v>
      </c>
      <c r="Q874" s="79">
        <v>0.73526728976567901</v>
      </c>
      <c r="R874" s="79">
        <v>1</v>
      </c>
      <c r="S874" s="102">
        <v>2.0655641727394401E-3</v>
      </c>
      <c r="T874" s="79">
        <v>1.43001132738336E-2</v>
      </c>
      <c r="U874" s="79">
        <v>0.88515618234660298</v>
      </c>
      <c r="V874" s="79">
        <v>0.91709759810100699</v>
      </c>
      <c r="W874" s="79">
        <v>1</v>
      </c>
    </row>
    <row r="875" spans="2:23" x14ac:dyDescent="0.2">
      <c r="B875" t="s">
        <v>918</v>
      </c>
      <c r="C875" s="84">
        <v>1765</v>
      </c>
      <c r="D875" s="102">
        <v>-1.0556998745997999E-2</v>
      </c>
      <c r="E875" s="79">
        <v>1.38946818930792E-2</v>
      </c>
      <c r="F875" s="79">
        <v>0.44741862166416402</v>
      </c>
      <c r="G875" s="79">
        <v>0.90878554568236702</v>
      </c>
      <c r="H875" s="79">
        <v>1</v>
      </c>
      <c r="I875" s="102">
        <v>-1.9493622030254801E-2</v>
      </c>
      <c r="J875" s="79">
        <v>1.38347712353711E-2</v>
      </c>
      <c r="K875" s="79">
        <v>0.158890581685592</v>
      </c>
      <c r="L875" s="79">
        <v>0.600805011998645</v>
      </c>
      <c r="M875" s="79">
        <v>1</v>
      </c>
      <c r="N875" s="102">
        <v>-3.4838211699090703E-2</v>
      </c>
      <c r="O875" s="79">
        <v>1.3703877182736E-2</v>
      </c>
      <c r="P875" s="79">
        <v>1.10460630144629E-2</v>
      </c>
      <c r="Q875" s="79">
        <v>3.0132094599839201E-2</v>
      </c>
      <c r="R875" s="79">
        <v>1</v>
      </c>
      <c r="S875" s="102">
        <v>-6.9513174539066703E-3</v>
      </c>
      <c r="T875" s="79">
        <v>1.36974469811644E-2</v>
      </c>
      <c r="U875" s="79">
        <v>0.61183417012532204</v>
      </c>
      <c r="V875" s="79">
        <v>0.69700543657854397</v>
      </c>
      <c r="W875" s="79">
        <v>1</v>
      </c>
    </row>
    <row r="876" spans="2:23" x14ac:dyDescent="0.2">
      <c r="B876" t="s">
        <v>118</v>
      </c>
      <c r="C876" s="84">
        <v>5048</v>
      </c>
      <c r="D876" s="102">
        <v>9.2775225828063308E-3</v>
      </c>
      <c r="E876" s="79">
        <v>1.36351112376903E-2</v>
      </c>
      <c r="F876" s="79">
        <v>0.496274127249962</v>
      </c>
      <c r="G876" s="79">
        <v>0.91678121217168596</v>
      </c>
      <c r="H876" s="79">
        <v>1</v>
      </c>
      <c r="I876" s="102">
        <v>-2.41689357697163E-2</v>
      </c>
      <c r="J876" s="79">
        <v>1.36466918355781E-2</v>
      </c>
      <c r="K876" s="79">
        <v>7.6613920571270894E-2</v>
      </c>
      <c r="L876" s="79">
        <v>0.46226633181563198</v>
      </c>
      <c r="M876" s="79">
        <v>1</v>
      </c>
      <c r="N876" s="102">
        <v>-3.8236116732657997E-2</v>
      </c>
      <c r="O876" s="79">
        <v>1.3463618277956601E-2</v>
      </c>
      <c r="P876" s="79">
        <v>4.5303203125879798E-3</v>
      </c>
      <c r="Q876" s="79">
        <v>1.4786825837233199E-2</v>
      </c>
      <c r="R876" s="79">
        <v>1</v>
      </c>
      <c r="S876" s="102">
        <v>-5.1139431810084499E-2</v>
      </c>
      <c r="T876" s="79">
        <v>1.34815604184007E-2</v>
      </c>
      <c r="U876" s="79">
        <v>1.50428399967016E-4</v>
      </c>
      <c r="V876" s="79">
        <v>9.7634371472844902E-4</v>
      </c>
      <c r="W876" s="79">
        <v>0.25482570954412498</v>
      </c>
    </row>
    <row r="877" spans="2:23" x14ac:dyDescent="0.2">
      <c r="B877" t="s">
        <v>897</v>
      </c>
      <c r="C877" s="84">
        <v>4731</v>
      </c>
      <c r="D877" s="102">
        <v>-2.5425763253637899E-2</v>
      </c>
      <c r="E877" s="79">
        <v>1.42356384606238E-2</v>
      </c>
      <c r="F877" s="79">
        <v>7.41531480273903E-2</v>
      </c>
      <c r="G877" s="79">
        <v>0.73538141425839998</v>
      </c>
      <c r="H877" s="79">
        <v>1</v>
      </c>
      <c r="I877" s="102">
        <v>-5.7186033919162903E-3</v>
      </c>
      <c r="J877" s="79">
        <v>1.43444380241324E-2</v>
      </c>
      <c r="K877" s="79">
        <v>0.69015925106286502</v>
      </c>
      <c r="L877" s="79">
        <v>0.898639332283238</v>
      </c>
      <c r="M877" s="79">
        <v>1</v>
      </c>
      <c r="N877" s="102">
        <v>4.5523180135461597E-2</v>
      </c>
      <c r="O877" s="79">
        <v>1.41061689341004E-2</v>
      </c>
      <c r="P877" s="79">
        <v>1.25871203679213E-3</v>
      </c>
      <c r="Q877" s="79">
        <v>5.2909632514289498E-3</v>
      </c>
      <c r="R877" s="79">
        <v>1</v>
      </c>
      <c r="S877" s="102">
        <v>4.3507059684628299E-2</v>
      </c>
      <c r="T877" s="79">
        <v>1.41244566234564E-2</v>
      </c>
      <c r="U877" s="79">
        <v>2.0800861954203501E-3</v>
      </c>
      <c r="V877" s="79">
        <v>7.9540993567541202E-3</v>
      </c>
      <c r="W877" s="79">
        <v>1</v>
      </c>
    </row>
    <row r="878" spans="2:23" x14ac:dyDescent="0.2">
      <c r="B878" t="s">
        <v>898</v>
      </c>
      <c r="C878" s="84">
        <v>4870</v>
      </c>
      <c r="D878" s="102">
        <v>-3.9706353049703602E-4</v>
      </c>
      <c r="E878" s="79">
        <v>1.4343564303845299E-2</v>
      </c>
      <c r="F878" s="79">
        <v>0.9779166476333</v>
      </c>
      <c r="G878" s="79">
        <v>0.99840985319461195</v>
      </c>
      <c r="H878" s="79">
        <v>1</v>
      </c>
      <c r="I878" s="102">
        <v>-2.25817408686525E-2</v>
      </c>
      <c r="J878" s="79">
        <v>1.43611858561551E-2</v>
      </c>
      <c r="K878" s="79">
        <v>0.11592036941521899</v>
      </c>
      <c r="L878" s="79">
        <v>0.54991179036125304</v>
      </c>
      <c r="M878" s="79">
        <v>1</v>
      </c>
      <c r="N878" s="102">
        <v>-4.9964229995943403E-2</v>
      </c>
      <c r="O878" s="79">
        <v>1.41429588577211E-2</v>
      </c>
      <c r="P878" s="79">
        <v>4.1503875911458099E-4</v>
      </c>
      <c r="Q878" s="79">
        <v>2.19026684716542E-3</v>
      </c>
      <c r="R878" s="79">
        <v>0.70307565794009996</v>
      </c>
      <c r="S878" s="102">
        <v>-3.4554708315322799E-2</v>
      </c>
      <c r="T878" s="79">
        <v>1.41409303871999E-2</v>
      </c>
      <c r="U878" s="79">
        <v>1.4577406927824299E-2</v>
      </c>
      <c r="V878" s="79">
        <v>3.7816427772946998E-2</v>
      </c>
      <c r="W878" s="79">
        <v>1</v>
      </c>
    </row>
    <row r="879" spans="2:23" x14ac:dyDescent="0.2">
      <c r="B879" t="s">
        <v>616</v>
      </c>
      <c r="C879" s="84">
        <v>1765</v>
      </c>
      <c r="D879" s="102">
        <v>-2.6309631892818101E-2</v>
      </c>
      <c r="E879" s="79">
        <v>1.46630413548336E-2</v>
      </c>
      <c r="F879" s="79">
        <v>7.2829808469604698E-2</v>
      </c>
      <c r="G879" s="79">
        <v>0.73538141425839998</v>
      </c>
      <c r="H879" s="79">
        <v>1</v>
      </c>
      <c r="I879" s="102">
        <v>-7.9066847970281906E-3</v>
      </c>
      <c r="J879" s="79">
        <v>1.4597504625745401E-2</v>
      </c>
      <c r="K879" s="79">
        <v>0.58808711329778296</v>
      </c>
      <c r="L879" s="79">
        <v>0.86627788689256002</v>
      </c>
      <c r="M879" s="79">
        <v>1</v>
      </c>
      <c r="N879" s="102">
        <v>1.0771102178951599E-2</v>
      </c>
      <c r="O879" s="79">
        <v>1.4469756731005499E-2</v>
      </c>
      <c r="P879" s="79">
        <v>0.456678179268864</v>
      </c>
      <c r="Q879" s="79">
        <v>0.57474950644981904</v>
      </c>
      <c r="R879" s="79">
        <v>1</v>
      </c>
      <c r="S879" s="102">
        <v>4.9406420911576099E-2</v>
      </c>
      <c r="T879" s="79">
        <v>1.4445571893796E-2</v>
      </c>
      <c r="U879" s="79">
        <v>6.30955658188863E-4</v>
      </c>
      <c r="V879" s="79">
        <v>3.1344248826156401E-3</v>
      </c>
      <c r="W879" s="79">
        <v>1</v>
      </c>
    </row>
    <row r="880" spans="2:23" x14ac:dyDescent="0.2">
      <c r="B880" t="s">
        <v>614</v>
      </c>
      <c r="C880" s="84">
        <v>1765</v>
      </c>
      <c r="D880" s="102">
        <v>-6.5007718690090702E-3</v>
      </c>
      <c r="E880" s="79">
        <v>1.45845070446861E-2</v>
      </c>
      <c r="F880" s="79">
        <v>0.65581130897711903</v>
      </c>
      <c r="G880" s="79">
        <v>0.95805425431636804</v>
      </c>
      <c r="H880" s="79">
        <v>1</v>
      </c>
      <c r="I880" s="102">
        <v>5.9367130152008498E-3</v>
      </c>
      <c r="J880" s="79">
        <v>1.4505843767263301E-2</v>
      </c>
      <c r="K880" s="79">
        <v>0.68236471994371395</v>
      </c>
      <c r="L880" s="79">
        <v>0.8940422852919</v>
      </c>
      <c r="M880" s="79">
        <v>1</v>
      </c>
      <c r="N880" s="107">
        <v>8.4262765890360997E-2</v>
      </c>
      <c r="O880" s="81">
        <v>1.43333067599707E-2</v>
      </c>
      <c r="P880" s="81">
        <v>4.41304615462448E-9</v>
      </c>
      <c r="Q880" s="81">
        <v>9.8364476130708803E-8</v>
      </c>
      <c r="R880" s="81">
        <v>7.4757001859338703E-6</v>
      </c>
      <c r="S880" s="107">
        <v>8.2225101513062102E-2</v>
      </c>
      <c r="T880" s="81">
        <v>1.43338352579049E-2</v>
      </c>
      <c r="U880" s="81">
        <v>1.02639522002162E-8</v>
      </c>
      <c r="V880" s="81">
        <v>4.2407646407722601E-7</v>
      </c>
      <c r="W880" s="81">
        <v>1.7387135027166201E-5</v>
      </c>
    </row>
    <row r="881" spans="2:23" x14ac:dyDescent="0.2">
      <c r="B881" t="s">
        <v>618</v>
      </c>
      <c r="C881" s="84">
        <v>1765</v>
      </c>
      <c r="D881" s="102">
        <v>-1.0119207867783401E-2</v>
      </c>
      <c r="E881" s="79">
        <v>1.45525602240142E-2</v>
      </c>
      <c r="F881" s="79">
        <v>0.48686521255464998</v>
      </c>
      <c r="G881" s="79">
        <v>0.91678121217168596</v>
      </c>
      <c r="H881" s="79">
        <v>1</v>
      </c>
      <c r="I881" s="102">
        <v>1.7265394748326598E-2</v>
      </c>
      <c r="J881" s="79">
        <v>1.44881725025107E-2</v>
      </c>
      <c r="K881" s="79">
        <v>0.233441490770915</v>
      </c>
      <c r="L881" s="79">
        <v>0.66141104862732303</v>
      </c>
      <c r="M881" s="79">
        <v>1</v>
      </c>
      <c r="N881" s="102">
        <v>5.9734156853140097E-2</v>
      </c>
      <c r="O881" s="79">
        <v>1.4336540962011399E-2</v>
      </c>
      <c r="P881" s="79">
        <v>3.1456529168526101E-5</v>
      </c>
      <c r="Q881" s="79">
        <v>2.5017540099287898E-4</v>
      </c>
      <c r="R881" s="79">
        <v>5.3287360411483201E-2</v>
      </c>
      <c r="S881" s="107">
        <v>6.4843916953851499E-2</v>
      </c>
      <c r="T881" s="81">
        <v>1.43259728363434E-2</v>
      </c>
      <c r="U881" s="81">
        <v>6.1448896792070197E-6</v>
      </c>
      <c r="V881" s="81">
        <v>8.2575161650791495E-5</v>
      </c>
      <c r="W881" s="81">
        <v>1.0409443116576701E-2</v>
      </c>
    </row>
    <row r="882" spans="2:23" x14ac:dyDescent="0.2">
      <c r="B882" t="s">
        <v>615</v>
      </c>
      <c r="C882" s="84">
        <v>1765</v>
      </c>
      <c r="D882" s="102">
        <v>-2.2197633451617901E-2</v>
      </c>
      <c r="E882" s="79">
        <v>1.4627619746844201E-2</v>
      </c>
      <c r="F882" s="79">
        <v>0.12920291124133801</v>
      </c>
      <c r="G882" s="79">
        <v>0.80938271582532695</v>
      </c>
      <c r="H882" s="79">
        <v>1</v>
      </c>
      <c r="I882" s="102">
        <v>1.95079140105537E-3</v>
      </c>
      <c r="J882" s="79">
        <v>1.45334295846567E-2</v>
      </c>
      <c r="K882" s="79">
        <v>0.89322814043076904</v>
      </c>
      <c r="L882" s="79">
        <v>0.98103349543168095</v>
      </c>
      <c r="M882" s="79">
        <v>1</v>
      </c>
      <c r="N882" s="102">
        <v>4.5320193578519199E-2</v>
      </c>
      <c r="O882" s="79">
        <v>1.4400047227655401E-2</v>
      </c>
      <c r="P882" s="79">
        <v>1.6585513449834E-3</v>
      </c>
      <c r="Q882" s="79">
        <v>6.5644532205651404E-3</v>
      </c>
      <c r="R882" s="79">
        <v>1</v>
      </c>
      <c r="S882" s="102">
        <v>2.8306930385850099E-2</v>
      </c>
      <c r="T882" s="79">
        <v>1.440504827696E-2</v>
      </c>
      <c r="U882" s="79">
        <v>4.9464566200125397E-2</v>
      </c>
      <c r="V882" s="79">
        <v>0.101199245341802</v>
      </c>
      <c r="W882" s="79">
        <v>1</v>
      </c>
    </row>
    <row r="883" spans="2:23" x14ac:dyDescent="0.2">
      <c r="B883" t="s">
        <v>619</v>
      </c>
      <c r="C883" s="84">
        <v>1765</v>
      </c>
      <c r="D883" s="102">
        <v>1.40956089193246E-2</v>
      </c>
      <c r="E883" s="79">
        <v>1.4603808042233201E-2</v>
      </c>
      <c r="F883" s="79">
        <v>0.33449386687358401</v>
      </c>
      <c r="G883" s="79">
        <v>0.887497895560034</v>
      </c>
      <c r="H883" s="79">
        <v>1</v>
      </c>
      <c r="I883" s="102">
        <v>4.0475815260139101E-3</v>
      </c>
      <c r="J883" s="79">
        <v>1.4511999557609101E-2</v>
      </c>
      <c r="K883" s="79">
        <v>0.780324373299776</v>
      </c>
      <c r="L883" s="79">
        <v>0.92863930730510702</v>
      </c>
      <c r="M883" s="79">
        <v>1</v>
      </c>
      <c r="N883" s="102">
        <v>2.0657456405074701E-2</v>
      </c>
      <c r="O883" s="79">
        <v>1.4393455517162399E-2</v>
      </c>
      <c r="P883" s="79">
        <v>0.15129829098776801</v>
      </c>
      <c r="Q883" s="79">
        <v>0.24110941197862601</v>
      </c>
      <c r="R883" s="79">
        <v>1</v>
      </c>
      <c r="S883" s="102">
        <v>2.1957288307011501E-2</v>
      </c>
      <c r="T883" s="79">
        <v>1.43855077073296E-2</v>
      </c>
      <c r="U883" s="79">
        <v>0.12699146658050001</v>
      </c>
      <c r="V883" s="79">
        <v>0.213840501379092</v>
      </c>
      <c r="W883" s="79">
        <v>1</v>
      </c>
    </row>
    <row r="884" spans="2:23" x14ac:dyDescent="0.2">
      <c r="B884" t="s">
        <v>617</v>
      </c>
      <c r="C884" s="84">
        <v>1765</v>
      </c>
      <c r="D884" s="102">
        <v>9.8080743664973307E-3</v>
      </c>
      <c r="E884" s="79">
        <v>1.4529567404180601E-2</v>
      </c>
      <c r="F884" s="79">
        <v>0.499680118485128</v>
      </c>
      <c r="G884" s="79">
        <v>0.91752655785263504</v>
      </c>
      <c r="H884" s="79">
        <v>1</v>
      </c>
      <c r="I884" s="102">
        <v>1.7202392234654199E-2</v>
      </c>
      <c r="J884" s="79">
        <v>1.44917796156868E-2</v>
      </c>
      <c r="K884" s="79">
        <v>0.23526683208865301</v>
      </c>
      <c r="L884" s="79">
        <v>0.66141104862732303</v>
      </c>
      <c r="M884" s="79">
        <v>1</v>
      </c>
      <c r="N884" s="102">
        <v>2.9668186552907001E-2</v>
      </c>
      <c r="O884" s="79">
        <v>1.4346458450407201E-2</v>
      </c>
      <c r="P884" s="79">
        <v>3.8693501629785701E-2</v>
      </c>
      <c r="Q884" s="79">
        <v>8.1831200700196005E-2</v>
      </c>
      <c r="R884" s="79">
        <v>1</v>
      </c>
      <c r="S884" s="102">
        <v>4.9351887282247403E-2</v>
      </c>
      <c r="T884" s="79">
        <v>1.43360769910143E-2</v>
      </c>
      <c r="U884" s="79">
        <v>5.8113141317323296E-4</v>
      </c>
      <c r="V884" s="79">
        <v>2.96517052384174E-3</v>
      </c>
      <c r="W884" s="79">
        <v>0.984436613915457</v>
      </c>
    </row>
    <row r="885" spans="2:23" x14ac:dyDescent="0.2">
      <c r="B885" t="s">
        <v>620</v>
      </c>
      <c r="C885" s="84">
        <v>1765</v>
      </c>
      <c r="D885" s="102">
        <v>-5.3060427782418802E-3</v>
      </c>
      <c r="E885" s="79">
        <v>1.44235918139098E-2</v>
      </c>
      <c r="F885" s="79">
        <v>0.712983913445562</v>
      </c>
      <c r="G885" s="79">
        <v>0.97160036230239</v>
      </c>
      <c r="H885" s="79">
        <v>1</v>
      </c>
      <c r="I885" s="102">
        <v>1.79941438541312E-2</v>
      </c>
      <c r="J885" s="79">
        <v>1.4389238938314E-2</v>
      </c>
      <c r="K885" s="79">
        <v>0.21116571043231899</v>
      </c>
      <c r="L885" s="79">
        <v>0.64803390121802296</v>
      </c>
      <c r="M885" s="79">
        <v>1</v>
      </c>
      <c r="N885" s="107">
        <v>7.7217356897433698E-2</v>
      </c>
      <c r="O885" s="81">
        <v>1.4206750202595901E-2</v>
      </c>
      <c r="P885" s="81">
        <v>5.7325235986890697E-8</v>
      </c>
      <c r="Q885" s="81">
        <v>1.0555320626281799E-6</v>
      </c>
      <c r="R885" s="81">
        <v>9.71089497617929E-5</v>
      </c>
      <c r="S885" s="107">
        <v>8.8660984047921207E-2</v>
      </c>
      <c r="T885" s="81">
        <v>1.4196460711744499E-2</v>
      </c>
      <c r="U885" s="81">
        <v>4.5822000551770098E-10</v>
      </c>
      <c r="V885" s="81">
        <v>3.6506518734402999E-8</v>
      </c>
      <c r="W885" s="81">
        <v>7.76224689346985E-7</v>
      </c>
    </row>
    <row r="886" spans="2:23" x14ac:dyDescent="0.2">
      <c r="B886" t="s">
        <v>621</v>
      </c>
      <c r="C886" s="84">
        <v>1766</v>
      </c>
      <c r="D886" s="102">
        <v>-2.0136495496231799E-2</v>
      </c>
      <c r="E886" s="79">
        <v>1.4011273866587501E-2</v>
      </c>
      <c r="F886" s="79">
        <v>0.15073417679405801</v>
      </c>
      <c r="G886" s="79">
        <v>0.80938271582532695</v>
      </c>
      <c r="H886" s="79">
        <v>1</v>
      </c>
      <c r="I886" s="102">
        <v>2.5106744594154899E-2</v>
      </c>
      <c r="J886" s="79">
        <v>1.3994512628923201E-2</v>
      </c>
      <c r="K886" s="79">
        <v>7.2866974627969094E-2</v>
      </c>
      <c r="L886" s="79">
        <v>0.45523555939255</v>
      </c>
      <c r="M886" s="79">
        <v>1</v>
      </c>
      <c r="N886" s="107">
        <v>8.2694824553780993E-2</v>
      </c>
      <c r="O886" s="81">
        <v>1.38025801193284E-2</v>
      </c>
      <c r="P886" s="81">
        <v>2.2282764656449299E-9</v>
      </c>
      <c r="Q886" s="81">
        <v>5.5510299011801602E-8</v>
      </c>
      <c r="R886" s="81">
        <v>3.7747003328025099E-6</v>
      </c>
      <c r="S886" s="102">
        <v>5.4371027281034399E-2</v>
      </c>
      <c r="T886" s="79">
        <v>1.38373974609204E-2</v>
      </c>
      <c r="U886" s="79">
        <v>8.6351989745429996E-5</v>
      </c>
      <c r="V886" s="79">
        <v>6.4158013433665995E-4</v>
      </c>
      <c r="W886" s="79">
        <v>0.14628027062875801</v>
      </c>
    </row>
    <row r="887" spans="2:23" x14ac:dyDescent="0.2">
      <c r="B887" t="s">
        <v>629</v>
      </c>
      <c r="C887" s="84">
        <v>1764</v>
      </c>
      <c r="D887" s="102">
        <v>-3.52424431770997E-3</v>
      </c>
      <c r="E887" s="79">
        <v>1.4663290479790101E-2</v>
      </c>
      <c r="F887" s="79">
        <v>0.81007329753775803</v>
      </c>
      <c r="G887" s="79">
        <v>0.99362338620020496</v>
      </c>
      <c r="H887" s="79">
        <v>1</v>
      </c>
      <c r="I887" s="102">
        <v>-1.7618227943556199E-2</v>
      </c>
      <c r="J887" s="79">
        <v>1.4574565484739401E-2</v>
      </c>
      <c r="K887" s="79">
        <v>0.22678735892181701</v>
      </c>
      <c r="L887" s="79">
        <v>0.66009928868308898</v>
      </c>
      <c r="M887" s="79">
        <v>1</v>
      </c>
      <c r="N887" s="102">
        <v>4.4917810841990098E-2</v>
      </c>
      <c r="O887" s="79">
        <v>1.44477703232297E-2</v>
      </c>
      <c r="P887" s="79">
        <v>1.8884488894128199E-3</v>
      </c>
      <c r="Q887" s="79">
        <v>7.15667207755105E-3</v>
      </c>
      <c r="R887" s="79">
        <v>1</v>
      </c>
      <c r="S887" s="107">
        <v>6.457245831873E-2</v>
      </c>
      <c r="T887" s="81">
        <v>1.4425586142974201E-2</v>
      </c>
      <c r="U887" s="81">
        <v>7.7742914432097794E-6</v>
      </c>
      <c r="V887" s="81">
        <v>1.0130499772921099E-4</v>
      </c>
      <c r="W887" s="81">
        <v>1.31696497047974E-2</v>
      </c>
    </row>
    <row r="888" spans="2:23" x14ac:dyDescent="0.2">
      <c r="B888" t="s">
        <v>630</v>
      </c>
      <c r="C888" s="84">
        <v>1764</v>
      </c>
      <c r="D888" s="102">
        <v>-1.22635463038683E-2</v>
      </c>
      <c r="E888" s="79">
        <v>1.4676393224458399E-2</v>
      </c>
      <c r="F888" s="79">
        <v>0.40342329600080201</v>
      </c>
      <c r="G888" s="79">
        <v>0.89461055933914202</v>
      </c>
      <c r="H888" s="79">
        <v>1</v>
      </c>
      <c r="I888" s="102">
        <v>-1.86730549488782E-2</v>
      </c>
      <c r="J888" s="79">
        <v>1.4590440374952799E-2</v>
      </c>
      <c r="K888" s="79">
        <v>0.200673240534052</v>
      </c>
      <c r="L888" s="79">
        <v>0.64163197767429703</v>
      </c>
      <c r="M888" s="79">
        <v>1</v>
      </c>
      <c r="N888" s="102">
        <v>3.0184378290779499E-2</v>
      </c>
      <c r="O888" s="79">
        <v>1.44678951367695E-2</v>
      </c>
      <c r="P888" s="79">
        <v>3.7004440867783699E-2</v>
      </c>
      <c r="Q888" s="79">
        <v>7.8651847967409802E-2</v>
      </c>
      <c r="R888" s="79">
        <v>1</v>
      </c>
      <c r="S888" s="107">
        <v>6.0823906853831398E-2</v>
      </c>
      <c r="T888" s="81">
        <v>1.44438949310706E-2</v>
      </c>
      <c r="U888" s="81">
        <v>2.5887473351950801E-5</v>
      </c>
      <c r="V888" s="81">
        <v>2.5796105798943901E-4</v>
      </c>
      <c r="W888" s="81">
        <v>4.38533798582047E-2</v>
      </c>
    </row>
    <row r="889" spans="2:23" x14ac:dyDescent="0.2">
      <c r="B889" t="s">
        <v>631</v>
      </c>
      <c r="C889" s="84">
        <v>1765</v>
      </c>
      <c r="D889" s="102">
        <v>-9.0618207336397097E-3</v>
      </c>
      <c r="E889" s="79">
        <v>1.46547025428052E-2</v>
      </c>
      <c r="F889" s="79">
        <v>0.53637019747255799</v>
      </c>
      <c r="G889" s="79">
        <v>0.92176676956083303</v>
      </c>
      <c r="H889" s="79">
        <v>1</v>
      </c>
      <c r="I889" s="102">
        <v>6.8706249236303802E-3</v>
      </c>
      <c r="J889" s="79">
        <v>1.45780730193777E-2</v>
      </c>
      <c r="K889" s="79">
        <v>0.63744942060826804</v>
      </c>
      <c r="L889" s="79">
        <v>0.88078247839348001</v>
      </c>
      <c r="M889" s="79">
        <v>1</v>
      </c>
      <c r="N889" s="102">
        <v>1.2643368532756999E-3</v>
      </c>
      <c r="O889" s="79">
        <v>1.4456411704161801E-2</v>
      </c>
      <c r="P889" s="79">
        <v>0.93031072206640797</v>
      </c>
      <c r="Q889" s="79">
        <v>0.95061921202892796</v>
      </c>
      <c r="R889" s="79">
        <v>1</v>
      </c>
      <c r="S889" s="102">
        <v>1.60728219639764E-2</v>
      </c>
      <c r="T889" s="79">
        <v>1.44475571740104E-2</v>
      </c>
      <c r="U889" s="79">
        <v>0.26598221458194499</v>
      </c>
      <c r="V889" s="79">
        <v>0.375791385739629</v>
      </c>
      <c r="W889" s="79">
        <v>1</v>
      </c>
    </row>
    <row r="890" spans="2:23" x14ac:dyDescent="0.2">
      <c r="B890" t="s">
        <v>632</v>
      </c>
      <c r="C890" s="84">
        <v>1765</v>
      </c>
      <c r="D890" s="102">
        <v>-1.8761154893333101E-2</v>
      </c>
      <c r="E890" s="79">
        <v>1.45599165918398E-2</v>
      </c>
      <c r="F890" s="79">
        <v>0.197618528598588</v>
      </c>
      <c r="G890" s="79">
        <v>0.83003013605610498</v>
      </c>
      <c r="H890" s="79">
        <v>1</v>
      </c>
      <c r="I890" s="102">
        <v>-6.1607694704393897E-3</v>
      </c>
      <c r="J890" s="79">
        <v>1.44422728983383E-2</v>
      </c>
      <c r="K890" s="79">
        <v>0.669705923765467</v>
      </c>
      <c r="L890" s="79">
        <v>0.89010642208003798</v>
      </c>
      <c r="M890" s="79">
        <v>1</v>
      </c>
      <c r="N890" s="102">
        <v>3.3970774668465598E-2</v>
      </c>
      <c r="O890" s="79">
        <v>1.43143455316331E-2</v>
      </c>
      <c r="P890" s="79">
        <v>1.7675379666190798E-2</v>
      </c>
      <c r="Q890" s="79">
        <v>4.4118632513844701E-2</v>
      </c>
      <c r="R890" s="79">
        <v>1</v>
      </c>
      <c r="S890" s="102">
        <v>8.2068026540723007E-3</v>
      </c>
      <c r="T890" s="79">
        <v>1.4322180871954301E-2</v>
      </c>
      <c r="U890" s="79">
        <v>0.56666320555259198</v>
      </c>
      <c r="V890" s="79">
        <v>0.66148980826584303</v>
      </c>
      <c r="W890" s="79">
        <v>1</v>
      </c>
    </row>
    <row r="891" spans="2:23" x14ac:dyDescent="0.2">
      <c r="B891" t="s">
        <v>633</v>
      </c>
      <c r="C891" s="84">
        <v>1762</v>
      </c>
      <c r="D891" s="102">
        <v>-2.28170453061011E-2</v>
      </c>
      <c r="E891" s="79">
        <v>1.4638340921257299E-2</v>
      </c>
      <c r="F891" s="79">
        <v>0.11912869981650399</v>
      </c>
      <c r="G891" s="79">
        <v>0.80938271582532695</v>
      </c>
      <c r="H891" s="79">
        <v>1</v>
      </c>
      <c r="I891" s="102">
        <v>1.3253276188867101E-4</v>
      </c>
      <c r="J891" s="79">
        <v>1.4553475453069E-2</v>
      </c>
      <c r="K891" s="79">
        <v>0.99273446228137596</v>
      </c>
      <c r="L891" s="79">
        <v>0.99763484948745695</v>
      </c>
      <c r="M891" s="79">
        <v>1</v>
      </c>
      <c r="N891" s="102">
        <v>3.8242304404624797E-2</v>
      </c>
      <c r="O891" s="79">
        <v>1.44226142588857E-2</v>
      </c>
      <c r="P891" s="79">
        <v>8.0387165722409296E-3</v>
      </c>
      <c r="Q891" s="79">
        <v>2.35191465861419E-2</v>
      </c>
      <c r="R891" s="79">
        <v>1</v>
      </c>
      <c r="S891" s="102">
        <v>2.61257406094321E-2</v>
      </c>
      <c r="T891" s="79">
        <v>1.44227508873877E-2</v>
      </c>
      <c r="U891" s="79">
        <v>7.0137631673663797E-2</v>
      </c>
      <c r="V891" s="79">
        <v>0.132752120732052</v>
      </c>
      <c r="W891" s="79">
        <v>1</v>
      </c>
    </row>
    <row r="892" spans="2:23" x14ac:dyDescent="0.2">
      <c r="B892" t="s">
        <v>634</v>
      </c>
      <c r="C892" s="84">
        <v>1762</v>
      </c>
      <c r="D892" s="102">
        <v>8.8834639419743192E-3</v>
      </c>
      <c r="E892" s="79">
        <v>1.4612531522695401E-2</v>
      </c>
      <c r="F892" s="79">
        <v>0.54326011219272996</v>
      </c>
      <c r="G892" s="79">
        <v>0.92553627343659495</v>
      </c>
      <c r="H892" s="79">
        <v>1</v>
      </c>
      <c r="I892" s="102">
        <v>3.7612624884844203E-4</v>
      </c>
      <c r="J892" s="79">
        <v>1.4522676274590701E-2</v>
      </c>
      <c r="K892" s="79">
        <v>0.97933883070606198</v>
      </c>
      <c r="L892" s="79">
        <v>0.99629532610271199</v>
      </c>
      <c r="M892" s="79">
        <v>1</v>
      </c>
      <c r="N892" s="102">
        <v>1.3878487163693901E-2</v>
      </c>
      <c r="O892" s="79">
        <v>1.4404941917928901E-2</v>
      </c>
      <c r="P892" s="79">
        <v>0.33537026866136599</v>
      </c>
      <c r="Q892" s="79">
        <v>0.45196279642987602</v>
      </c>
      <c r="R892" s="79">
        <v>1</v>
      </c>
      <c r="S892" s="102">
        <v>1.6620186353020001E-2</v>
      </c>
      <c r="T892" s="79">
        <v>1.43964836971821E-2</v>
      </c>
      <c r="U892" s="79">
        <v>0.248370293099265</v>
      </c>
      <c r="V892" s="79">
        <v>0.35852345926970702</v>
      </c>
      <c r="W892" s="79">
        <v>1</v>
      </c>
    </row>
    <row r="893" spans="2:23" x14ac:dyDescent="0.2">
      <c r="B893" t="s">
        <v>635</v>
      </c>
      <c r="C893" s="84">
        <v>1765</v>
      </c>
      <c r="D893" s="102">
        <v>-1.9463134651111599E-2</v>
      </c>
      <c r="E893" s="79">
        <v>1.46248882758926E-2</v>
      </c>
      <c r="F893" s="79">
        <v>0.18331180396987401</v>
      </c>
      <c r="G893" s="79">
        <v>0.83003013605610498</v>
      </c>
      <c r="H893" s="79">
        <v>1</v>
      </c>
      <c r="I893" s="102">
        <v>-1.06254994699642E-2</v>
      </c>
      <c r="J893" s="79">
        <v>1.4519261428203801E-2</v>
      </c>
      <c r="K893" s="79">
        <v>0.46431511311213503</v>
      </c>
      <c r="L893" s="79">
        <v>0.799032058493933</v>
      </c>
      <c r="M893" s="79">
        <v>1</v>
      </c>
      <c r="N893" s="102">
        <v>-9.4951491912659506E-3</v>
      </c>
      <c r="O893" s="79">
        <v>1.44026605052394E-2</v>
      </c>
      <c r="P893" s="79">
        <v>0.50975936712919701</v>
      </c>
      <c r="Q893" s="79">
        <v>0.62526795573274996</v>
      </c>
      <c r="R893" s="79">
        <v>1</v>
      </c>
      <c r="S893" s="102">
        <v>2.3211279470334301E-2</v>
      </c>
      <c r="T893" s="79">
        <v>1.43915375912288E-2</v>
      </c>
      <c r="U893" s="79">
        <v>0.106846739845514</v>
      </c>
      <c r="V893" s="79">
        <v>0.185259342168169</v>
      </c>
      <c r="W893" s="79">
        <v>1</v>
      </c>
    </row>
    <row r="894" spans="2:23" x14ac:dyDescent="0.2">
      <c r="B894" t="s">
        <v>636</v>
      </c>
      <c r="C894" s="84">
        <v>1765</v>
      </c>
      <c r="D894" s="102">
        <v>-4.9867099086621496E-3</v>
      </c>
      <c r="E894" s="79">
        <v>1.4661281432747799E-2</v>
      </c>
      <c r="F894" s="79">
        <v>0.73377487982494105</v>
      </c>
      <c r="G894" s="79">
        <v>0.97686658960652195</v>
      </c>
      <c r="H894" s="79">
        <v>1</v>
      </c>
      <c r="I894" s="102">
        <v>-8.4447544284643895E-3</v>
      </c>
      <c r="J894" s="79">
        <v>1.45944556291782E-2</v>
      </c>
      <c r="K894" s="79">
        <v>0.56286754617624202</v>
      </c>
      <c r="L894" s="79">
        <v>0.85878159627519401</v>
      </c>
      <c r="M894" s="79">
        <v>1</v>
      </c>
      <c r="N894" s="102">
        <v>2.8343239086411998E-2</v>
      </c>
      <c r="O894" s="79">
        <v>1.4463057455058E-2</v>
      </c>
      <c r="P894" s="79">
        <v>5.00881185787031E-2</v>
      </c>
      <c r="Q894" s="79">
        <v>0.100890930882667</v>
      </c>
      <c r="R894" s="79">
        <v>1</v>
      </c>
      <c r="S894" s="102">
        <v>4.4578083927781398E-2</v>
      </c>
      <c r="T894" s="79">
        <v>1.44465802152669E-2</v>
      </c>
      <c r="U894" s="79">
        <v>2.0420704646297002E-3</v>
      </c>
      <c r="V894" s="79">
        <v>7.8798801072499092E-3</v>
      </c>
      <c r="W894" s="79">
        <v>1</v>
      </c>
    </row>
    <row r="895" spans="2:23" x14ac:dyDescent="0.2">
      <c r="B895" t="s">
        <v>637</v>
      </c>
      <c r="C895" s="84">
        <v>1765</v>
      </c>
      <c r="D895" s="102">
        <v>1.6286664584460899E-2</v>
      </c>
      <c r="E895" s="79">
        <v>1.46683336557056E-2</v>
      </c>
      <c r="F895" s="79">
        <v>0.26691291435905301</v>
      </c>
      <c r="G895" s="79">
        <v>0.85990749347533801</v>
      </c>
      <c r="H895" s="79">
        <v>1</v>
      </c>
      <c r="I895" s="102">
        <v>3.0288037310326799E-2</v>
      </c>
      <c r="J895" s="79">
        <v>1.4588318788754599E-2</v>
      </c>
      <c r="K895" s="79">
        <v>3.7930627037560102E-2</v>
      </c>
      <c r="L895" s="79">
        <v>0.374397350453329</v>
      </c>
      <c r="M895" s="79">
        <v>1</v>
      </c>
      <c r="N895" s="102">
        <v>1.55263058857893E-2</v>
      </c>
      <c r="O895" s="79">
        <v>1.4470375083895599E-2</v>
      </c>
      <c r="P895" s="79">
        <v>0.28333781976774203</v>
      </c>
      <c r="Q895" s="79">
        <v>0.39569189339369698</v>
      </c>
      <c r="R895" s="79">
        <v>1</v>
      </c>
      <c r="S895" s="102">
        <v>9.1270337800249592E-3</v>
      </c>
      <c r="T895" s="79">
        <v>1.44630462900145E-2</v>
      </c>
      <c r="U895" s="79">
        <v>0.52803220442795196</v>
      </c>
      <c r="V895" s="79">
        <v>0.62992010866264103</v>
      </c>
      <c r="W895" s="79">
        <v>1</v>
      </c>
    </row>
    <row r="896" spans="2:23" x14ac:dyDescent="0.2">
      <c r="B896" t="s">
        <v>622</v>
      </c>
      <c r="C896" s="84">
        <v>1766</v>
      </c>
      <c r="D896" s="102">
        <v>-2.4941575995332602E-2</v>
      </c>
      <c r="E896" s="79">
        <v>1.4581635715422999E-2</v>
      </c>
      <c r="F896" s="79">
        <v>8.7241296572924301E-2</v>
      </c>
      <c r="G896" s="79">
        <v>0.74561034814826599</v>
      </c>
      <c r="H896" s="79">
        <v>1</v>
      </c>
      <c r="I896" s="102">
        <v>-1.5018728873365399E-2</v>
      </c>
      <c r="J896" s="79">
        <v>1.4507054337628099E-2</v>
      </c>
      <c r="K896" s="79">
        <v>0.300594798986491</v>
      </c>
      <c r="L896" s="79">
        <v>0.70600202719357597</v>
      </c>
      <c r="M896" s="79">
        <v>1</v>
      </c>
      <c r="N896" s="102">
        <v>5.7297646989419401E-2</v>
      </c>
      <c r="O896" s="79">
        <v>1.4362360211244001E-2</v>
      </c>
      <c r="P896" s="79">
        <v>6.7215369439457297E-5</v>
      </c>
      <c r="Q896" s="79">
        <v>4.97217623713715E-4</v>
      </c>
      <c r="R896" s="79">
        <v>0.113862835830441</v>
      </c>
      <c r="S896" s="102">
        <v>5.86785245953826E-2</v>
      </c>
      <c r="T896" s="79">
        <v>1.43563797491586E-2</v>
      </c>
      <c r="U896" s="79">
        <v>4.4357392756418597E-5</v>
      </c>
      <c r="V896" s="79">
        <v>3.9548117541775301E-4</v>
      </c>
      <c r="W896" s="79">
        <v>7.5141423329373097E-2</v>
      </c>
    </row>
    <row r="897" spans="2:23" x14ac:dyDescent="0.2">
      <c r="B897" t="s">
        <v>638</v>
      </c>
      <c r="C897" s="84">
        <v>1765</v>
      </c>
      <c r="D897" s="102">
        <v>-2.9742448469308401E-3</v>
      </c>
      <c r="E897" s="79">
        <v>1.4695552155226801E-2</v>
      </c>
      <c r="F897" s="79">
        <v>0.83961969110035395</v>
      </c>
      <c r="G897" s="79">
        <v>0.99362338620020496</v>
      </c>
      <c r="H897" s="79">
        <v>1</v>
      </c>
      <c r="I897" s="102">
        <v>-7.6645190315418697E-3</v>
      </c>
      <c r="J897" s="79">
        <v>1.4613778189656699E-2</v>
      </c>
      <c r="K897" s="79">
        <v>0.599974534799677</v>
      </c>
      <c r="L897" s="79">
        <v>0.86877257647115202</v>
      </c>
      <c r="M897" s="79">
        <v>1</v>
      </c>
      <c r="N897" s="102">
        <v>-9.3762461758268908E-3</v>
      </c>
      <c r="O897" s="79">
        <v>1.4482467414939601E-2</v>
      </c>
      <c r="P897" s="79">
        <v>0.51739074971481003</v>
      </c>
      <c r="Q897" s="79">
        <v>0.63100066955859502</v>
      </c>
      <c r="R897" s="79">
        <v>1</v>
      </c>
      <c r="S897" s="102">
        <v>1.2034329781135E-2</v>
      </c>
      <c r="T897" s="79">
        <v>1.4475233562641601E-2</v>
      </c>
      <c r="U897" s="79">
        <v>0.405803808662829</v>
      </c>
      <c r="V897" s="79">
        <v>0.52315955241615897</v>
      </c>
      <c r="W897" s="79">
        <v>1</v>
      </c>
    </row>
    <row r="898" spans="2:23" x14ac:dyDescent="0.2">
      <c r="B898" t="s">
        <v>639</v>
      </c>
      <c r="C898" s="84">
        <v>1765</v>
      </c>
      <c r="D898" s="102">
        <v>-2.61710173645111E-2</v>
      </c>
      <c r="E898" s="79">
        <v>1.4676920330096901E-2</v>
      </c>
      <c r="F898" s="79">
        <v>7.4625647003465898E-2</v>
      </c>
      <c r="G898" s="79">
        <v>0.73538141425839998</v>
      </c>
      <c r="H898" s="79">
        <v>1</v>
      </c>
      <c r="I898" s="102">
        <v>6.3902134412348896E-4</v>
      </c>
      <c r="J898" s="79">
        <v>1.4607847950322401E-2</v>
      </c>
      <c r="K898" s="79">
        <v>0.96510943209453603</v>
      </c>
      <c r="L898" s="79">
        <v>0.99551534580938295</v>
      </c>
      <c r="M898" s="79">
        <v>1</v>
      </c>
      <c r="N898" s="102">
        <v>3.5149215490949098E-2</v>
      </c>
      <c r="O898" s="79">
        <v>1.44726929042415E-2</v>
      </c>
      <c r="P898" s="79">
        <v>1.5191093325239401E-2</v>
      </c>
      <c r="Q898" s="79">
        <v>3.9168511557009997E-2</v>
      </c>
      <c r="R898" s="79">
        <v>1</v>
      </c>
      <c r="S898" s="107">
        <v>6.1054746154473503E-2</v>
      </c>
      <c r="T898" s="81">
        <v>1.44487355660171E-2</v>
      </c>
      <c r="U898" s="81">
        <v>2.4268969909955301E-5</v>
      </c>
      <c r="V898" s="81">
        <v>2.44712113258716E-4</v>
      </c>
      <c r="W898" s="81">
        <v>4.1111635027464302E-2</v>
      </c>
    </row>
    <row r="899" spans="2:23" x14ac:dyDescent="0.2">
      <c r="B899" t="s">
        <v>640</v>
      </c>
      <c r="C899" s="84">
        <v>1765</v>
      </c>
      <c r="D899" s="102">
        <v>-1.79598582308786E-2</v>
      </c>
      <c r="E899" s="79">
        <v>1.46004657950851E-2</v>
      </c>
      <c r="F899" s="79">
        <v>0.21872464062615901</v>
      </c>
      <c r="G899" s="79">
        <v>0.84071215771938901</v>
      </c>
      <c r="H899" s="79">
        <v>1</v>
      </c>
      <c r="I899" s="102">
        <v>1.8759169323199799E-2</v>
      </c>
      <c r="J899" s="79">
        <v>1.45088355048164E-2</v>
      </c>
      <c r="K899" s="79">
        <v>0.19609263946095201</v>
      </c>
      <c r="L899" s="79">
        <v>0.63930272249608699</v>
      </c>
      <c r="M899" s="79">
        <v>1</v>
      </c>
      <c r="N899" s="107">
        <v>6.4361898419523805E-2</v>
      </c>
      <c r="O899" s="81">
        <v>1.4361799122852801E-2</v>
      </c>
      <c r="P899" s="81">
        <v>7.58840134380133E-6</v>
      </c>
      <c r="Q899" s="81">
        <v>7.7438264315659406E-5</v>
      </c>
      <c r="R899" s="81">
        <v>1.2854751876399499E-2</v>
      </c>
      <c r="S899" s="102">
        <v>4.3102764583913697E-2</v>
      </c>
      <c r="T899" s="79">
        <v>1.43741423154572E-2</v>
      </c>
      <c r="U899" s="79">
        <v>2.72604295031364E-3</v>
      </c>
      <c r="V899" s="79">
        <v>9.8253548038964005E-3</v>
      </c>
      <c r="W899" s="79">
        <v>1</v>
      </c>
    </row>
    <row r="900" spans="2:23" x14ac:dyDescent="0.2">
      <c r="B900" t="s">
        <v>641</v>
      </c>
      <c r="C900" s="84">
        <v>1765</v>
      </c>
      <c r="D900" s="102">
        <v>-5.49961970509911E-3</v>
      </c>
      <c r="E900" s="79">
        <v>1.45715452420136E-2</v>
      </c>
      <c r="F900" s="79">
        <v>0.70587668467535403</v>
      </c>
      <c r="G900" s="79">
        <v>0.97144983428590104</v>
      </c>
      <c r="H900" s="79">
        <v>1</v>
      </c>
      <c r="I900" s="102">
        <v>-5.6191007112619802E-4</v>
      </c>
      <c r="J900" s="79">
        <v>1.4490960841032701E-2</v>
      </c>
      <c r="K900" s="79">
        <v>0.96907013296320699</v>
      </c>
      <c r="L900" s="79">
        <v>0.99551534580938295</v>
      </c>
      <c r="M900" s="79">
        <v>1</v>
      </c>
      <c r="N900" s="102">
        <v>3.9758655634295099E-2</v>
      </c>
      <c r="O900" s="79">
        <v>1.4359869267105901E-2</v>
      </c>
      <c r="P900" s="79">
        <v>5.6490805946816103E-3</v>
      </c>
      <c r="Q900" s="79">
        <v>1.7591070822409301E-2</v>
      </c>
      <c r="R900" s="79">
        <v>1</v>
      </c>
      <c r="S900" s="102">
        <v>5.0661154942995203E-2</v>
      </c>
      <c r="T900" s="79">
        <v>1.43458610168714E-2</v>
      </c>
      <c r="U900" s="79">
        <v>4.1723401612891401E-4</v>
      </c>
      <c r="V900" s="79">
        <v>2.2726508788501001E-3</v>
      </c>
      <c r="W900" s="79">
        <v>0.70679442332237996</v>
      </c>
    </row>
    <row r="901" spans="2:23" x14ac:dyDescent="0.2">
      <c r="B901" t="s">
        <v>642</v>
      </c>
      <c r="C901" s="84">
        <v>1765</v>
      </c>
      <c r="D901" s="102">
        <v>1.7987682814525E-3</v>
      </c>
      <c r="E901" s="79">
        <v>1.46931956098079E-2</v>
      </c>
      <c r="F901" s="79">
        <v>0.90257002408160902</v>
      </c>
      <c r="G901" s="79">
        <v>0.99533029194181499</v>
      </c>
      <c r="H901" s="79">
        <v>1</v>
      </c>
      <c r="I901" s="102">
        <v>1.8819716749803001E-2</v>
      </c>
      <c r="J901" s="79">
        <v>1.46051979452192E-2</v>
      </c>
      <c r="K901" s="79">
        <v>0.197612824232517</v>
      </c>
      <c r="L901" s="79">
        <v>0.64129525718368596</v>
      </c>
      <c r="M901" s="79">
        <v>1</v>
      </c>
      <c r="N901" s="102">
        <v>3.05057815857789E-2</v>
      </c>
      <c r="O901" s="79">
        <v>1.44714515246672E-2</v>
      </c>
      <c r="P901" s="79">
        <v>3.5083156602948903E-2</v>
      </c>
      <c r="Q901" s="79">
        <v>7.5708111191586505E-2</v>
      </c>
      <c r="R901" s="79">
        <v>1</v>
      </c>
      <c r="S901" s="102">
        <v>3.5680963243752702E-2</v>
      </c>
      <c r="T901" s="79">
        <v>1.44610521196027E-2</v>
      </c>
      <c r="U901" s="79">
        <v>1.3645251038812201E-2</v>
      </c>
      <c r="V901" s="79">
        <v>3.5948764012049599E-2</v>
      </c>
      <c r="W901" s="79">
        <v>1</v>
      </c>
    </row>
    <row r="902" spans="2:23" x14ac:dyDescent="0.2">
      <c r="B902" t="s">
        <v>643</v>
      </c>
      <c r="C902" s="84">
        <v>1765</v>
      </c>
      <c r="D902" s="102">
        <v>-1.6084048411818899E-3</v>
      </c>
      <c r="E902" s="79">
        <v>1.4521470254219499E-2</v>
      </c>
      <c r="F902" s="79">
        <v>0.91181077794653898</v>
      </c>
      <c r="G902" s="79">
        <v>0.99533029194181499</v>
      </c>
      <c r="H902" s="79">
        <v>1</v>
      </c>
      <c r="I902" s="102">
        <v>2.6429554603389301E-2</v>
      </c>
      <c r="J902" s="79">
        <v>1.44663755783862E-2</v>
      </c>
      <c r="K902" s="79">
        <v>6.7765750178745005E-2</v>
      </c>
      <c r="L902" s="79">
        <v>0.44151992616459301</v>
      </c>
      <c r="M902" s="79">
        <v>1</v>
      </c>
      <c r="N902" s="102">
        <v>4.2032973171331603E-2</v>
      </c>
      <c r="O902" s="79">
        <v>1.4326010755346801E-2</v>
      </c>
      <c r="P902" s="79">
        <v>3.36129892507418E-3</v>
      </c>
      <c r="Q902" s="79">
        <v>1.1433816022240299E-2</v>
      </c>
      <c r="R902" s="79">
        <v>1</v>
      </c>
      <c r="S902" s="107">
        <v>6.9254642367514094E-2</v>
      </c>
      <c r="T902" s="81">
        <v>1.4299706631759401E-2</v>
      </c>
      <c r="U902" s="81">
        <v>1.31756062422283E-6</v>
      </c>
      <c r="V902" s="81">
        <v>2.3009770076633801E-5</v>
      </c>
      <c r="W902" s="81">
        <v>2.2319476974334701E-3</v>
      </c>
    </row>
    <row r="903" spans="2:23" x14ac:dyDescent="0.2">
      <c r="B903" t="s">
        <v>623</v>
      </c>
      <c r="C903" s="84">
        <v>1765</v>
      </c>
      <c r="D903" s="102">
        <v>3.4078292971282701E-3</v>
      </c>
      <c r="E903" s="79">
        <v>1.46148713200807E-2</v>
      </c>
      <c r="F903" s="79">
        <v>0.81563491729924198</v>
      </c>
      <c r="G903" s="79">
        <v>0.99362338620020496</v>
      </c>
      <c r="H903" s="79">
        <v>1</v>
      </c>
      <c r="I903" s="102">
        <v>3.1126232954872299E-2</v>
      </c>
      <c r="J903" s="79">
        <v>1.4542137375057201E-2</v>
      </c>
      <c r="K903" s="79">
        <v>3.2371044322636197E-2</v>
      </c>
      <c r="L903" s="79">
        <v>0.34116449862822301</v>
      </c>
      <c r="M903" s="79">
        <v>1</v>
      </c>
      <c r="N903" s="107">
        <v>7.4458026327689802E-2</v>
      </c>
      <c r="O903" s="81">
        <v>1.43843136678742E-2</v>
      </c>
      <c r="P903" s="81">
        <v>2.3540037161010801E-7</v>
      </c>
      <c r="Q903" s="81">
        <v>3.4376571509269199E-6</v>
      </c>
      <c r="R903" s="81">
        <v>3.9876822950752299E-4</v>
      </c>
      <c r="S903" s="102">
        <v>3.3832793425922797E-2</v>
      </c>
      <c r="T903" s="79">
        <v>1.44081580406323E-2</v>
      </c>
      <c r="U903" s="79">
        <v>1.8905853692993899E-2</v>
      </c>
      <c r="V903" s="79">
        <v>4.6962517460519201E-2</v>
      </c>
      <c r="W903" s="79">
        <v>1</v>
      </c>
    </row>
    <row r="904" spans="2:23" x14ac:dyDescent="0.2">
      <c r="B904" t="s">
        <v>624</v>
      </c>
      <c r="C904" s="84">
        <v>1765</v>
      </c>
      <c r="D904" s="102">
        <v>4.5507391827977698E-3</v>
      </c>
      <c r="E904" s="79">
        <v>1.45551615584951E-2</v>
      </c>
      <c r="F904" s="79">
        <v>0.75455696780137804</v>
      </c>
      <c r="G904" s="79">
        <v>0.98006352001698205</v>
      </c>
      <c r="H904" s="79">
        <v>1</v>
      </c>
      <c r="I904" s="102">
        <v>-9.2249791451384996E-3</v>
      </c>
      <c r="J904" s="79">
        <v>1.44493075372232E-2</v>
      </c>
      <c r="K904" s="79">
        <v>0.52322091436252605</v>
      </c>
      <c r="L904" s="79">
        <v>0.83616625370765996</v>
      </c>
      <c r="M904" s="79">
        <v>1</v>
      </c>
      <c r="N904" s="102">
        <v>5.0240202502342797E-2</v>
      </c>
      <c r="O904" s="79">
        <v>1.4319361331407199E-2</v>
      </c>
      <c r="P904" s="79">
        <v>4.5486044405690699E-4</v>
      </c>
      <c r="Q904" s="79">
        <v>2.3781900994827199E-3</v>
      </c>
      <c r="R904" s="79">
        <v>0.77053359223240103</v>
      </c>
      <c r="S904" s="102">
        <v>5.0998337652261597E-2</v>
      </c>
      <c r="T904" s="79">
        <v>1.4317526125874801E-2</v>
      </c>
      <c r="U904" s="79">
        <v>3.7181155894795302E-4</v>
      </c>
      <c r="V904" s="79">
        <v>2.0516246933479899E-3</v>
      </c>
      <c r="W904" s="79">
        <v>0.62984878085783302</v>
      </c>
    </row>
    <row r="905" spans="2:23" x14ac:dyDescent="0.2">
      <c r="B905" t="s">
        <v>625</v>
      </c>
      <c r="C905" s="84">
        <v>1765</v>
      </c>
      <c r="D905" s="102">
        <v>2.74026758405123E-2</v>
      </c>
      <c r="E905" s="79">
        <v>1.4563420152529E-2</v>
      </c>
      <c r="F905" s="79">
        <v>5.9952671793136403E-2</v>
      </c>
      <c r="G905" s="79">
        <v>0.71521004237727503</v>
      </c>
      <c r="H905" s="79">
        <v>1</v>
      </c>
      <c r="I905" s="102">
        <v>2.4456055504804699E-2</v>
      </c>
      <c r="J905" s="79">
        <v>1.4456772123978501E-2</v>
      </c>
      <c r="K905" s="79">
        <v>9.0779905350594506E-2</v>
      </c>
      <c r="L905" s="79">
        <v>0.50420052348821998</v>
      </c>
      <c r="M905" s="79">
        <v>1</v>
      </c>
      <c r="N905" s="102">
        <v>2.0792602573273599E-2</v>
      </c>
      <c r="O905" s="79">
        <v>1.4347312000397501E-2</v>
      </c>
      <c r="P905" s="79">
        <v>0.14734272380739999</v>
      </c>
      <c r="Q905" s="79">
        <v>0.23658632618932299</v>
      </c>
      <c r="R905" s="79">
        <v>1</v>
      </c>
      <c r="S905" s="102">
        <v>5.5025743643012E-2</v>
      </c>
      <c r="T905" s="79">
        <v>1.4323697434975901E-2</v>
      </c>
      <c r="U905" s="79">
        <v>1.2392900780854699E-4</v>
      </c>
      <c r="V905" s="79">
        <v>8.3639736744095105E-4</v>
      </c>
      <c r="W905" s="79">
        <v>0.209935739227679</v>
      </c>
    </row>
    <row r="906" spans="2:23" x14ac:dyDescent="0.2">
      <c r="B906" t="s">
        <v>626</v>
      </c>
      <c r="C906" s="84">
        <v>1756</v>
      </c>
      <c r="D906" s="102">
        <v>1.77841316954165E-2</v>
      </c>
      <c r="E906" s="79">
        <v>1.46972843989021E-2</v>
      </c>
      <c r="F906" s="79">
        <v>0.22632637547246101</v>
      </c>
      <c r="G906" s="79">
        <v>0.84071215771938901</v>
      </c>
      <c r="H906" s="79">
        <v>1</v>
      </c>
      <c r="I906" s="102">
        <v>1.16970873768592E-2</v>
      </c>
      <c r="J906" s="79">
        <v>1.4632585086909801E-2</v>
      </c>
      <c r="K906" s="79">
        <v>0.42410576416103901</v>
      </c>
      <c r="L906" s="79">
        <v>0.78175752392687703</v>
      </c>
      <c r="M906" s="79">
        <v>1</v>
      </c>
      <c r="N906" s="102">
        <v>1.94716945500156E-2</v>
      </c>
      <c r="O906" s="79">
        <v>1.45017291843457E-2</v>
      </c>
      <c r="P906" s="79">
        <v>0.17942679227070399</v>
      </c>
      <c r="Q906" s="79">
        <v>0.27732571725052202</v>
      </c>
      <c r="R906" s="79">
        <v>1</v>
      </c>
      <c r="S906" s="102">
        <v>4.4824570091261701E-2</v>
      </c>
      <c r="T906" s="79">
        <v>1.44862046042195E-2</v>
      </c>
      <c r="U906" s="79">
        <v>1.9840316285603199E-3</v>
      </c>
      <c r="V906" s="79">
        <v>7.7716301541054999E-3</v>
      </c>
      <c r="W906" s="79">
        <v>1</v>
      </c>
    </row>
    <row r="907" spans="2:23" x14ac:dyDescent="0.2">
      <c r="B907" t="s">
        <v>627</v>
      </c>
      <c r="C907" s="84">
        <v>1760</v>
      </c>
      <c r="D907" s="102">
        <v>3.4440632434823699E-3</v>
      </c>
      <c r="E907" s="79">
        <v>1.4659717722891E-2</v>
      </c>
      <c r="F907" s="79">
        <v>0.81427004005147197</v>
      </c>
      <c r="G907" s="79">
        <v>0.99362338620020496</v>
      </c>
      <c r="H907" s="79">
        <v>1</v>
      </c>
      <c r="I907" s="102">
        <v>1.9726755220286302E-2</v>
      </c>
      <c r="J907" s="79">
        <v>1.45829371780289E-2</v>
      </c>
      <c r="K907" s="79">
        <v>0.176206531791611</v>
      </c>
      <c r="L907" s="79">
        <v>0.61396896490869202</v>
      </c>
      <c r="M907" s="79">
        <v>1</v>
      </c>
      <c r="N907" s="102">
        <v>3.3372034406051798E-2</v>
      </c>
      <c r="O907" s="79">
        <v>1.44527651438871E-2</v>
      </c>
      <c r="P907" s="79">
        <v>2.0983532697755401E-2</v>
      </c>
      <c r="Q907" s="79">
        <v>5.0348589787532101E-2</v>
      </c>
      <c r="R907" s="79">
        <v>1</v>
      </c>
      <c r="S907" s="102">
        <v>4.7218652311457797E-2</v>
      </c>
      <c r="T907" s="79">
        <v>1.4436227127068E-2</v>
      </c>
      <c r="U907" s="79">
        <v>1.0798492968869401E-3</v>
      </c>
      <c r="V907" s="79">
        <v>4.76371017949603E-3</v>
      </c>
      <c r="W907" s="79">
        <v>1</v>
      </c>
    </row>
    <row r="908" spans="2:23" x14ac:dyDescent="0.2">
      <c r="B908" t="s">
        <v>628</v>
      </c>
      <c r="C908" s="84">
        <v>1763</v>
      </c>
      <c r="D908" s="102">
        <v>1.79471933750282E-2</v>
      </c>
      <c r="E908" s="79">
        <v>1.45867132501909E-2</v>
      </c>
      <c r="F908" s="79">
        <v>0.218617421604897</v>
      </c>
      <c r="G908" s="79">
        <v>0.84071215771938901</v>
      </c>
      <c r="H908" s="79">
        <v>1</v>
      </c>
      <c r="I908" s="102">
        <v>7.2923708037355402E-3</v>
      </c>
      <c r="J908" s="79">
        <v>1.4483499955164399E-2</v>
      </c>
      <c r="K908" s="79">
        <v>0.61464078867351801</v>
      </c>
      <c r="L908" s="79">
        <v>0.87455910458575803</v>
      </c>
      <c r="M908" s="79">
        <v>1</v>
      </c>
      <c r="N908" s="102">
        <v>2.5373443260419199E-2</v>
      </c>
      <c r="O908" s="79">
        <v>1.4366451692782599E-2</v>
      </c>
      <c r="P908" s="79">
        <v>7.7436045261410805E-2</v>
      </c>
      <c r="Q908" s="79">
        <v>0.14367651771394299</v>
      </c>
      <c r="R908" s="79">
        <v>1</v>
      </c>
      <c r="S908" s="102">
        <v>2.4695565259443102E-2</v>
      </c>
      <c r="T908" s="79">
        <v>1.4360166555388401E-2</v>
      </c>
      <c r="U908" s="79">
        <v>8.5549694935356302E-2</v>
      </c>
      <c r="V908" s="79">
        <v>0.15532817065433399</v>
      </c>
      <c r="W908" s="79">
        <v>1</v>
      </c>
    </row>
    <row r="909" spans="2:23" x14ac:dyDescent="0.2">
      <c r="B909" t="s">
        <v>3674</v>
      </c>
      <c r="C909" s="84">
        <v>5025</v>
      </c>
      <c r="D909" s="102">
        <v>0.91377355813007166</v>
      </c>
      <c r="E909" s="79">
        <v>7.6224724754376999E-2</v>
      </c>
      <c r="F909" s="79">
        <v>0.23681623391926801</v>
      </c>
      <c r="G909" s="79">
        <v>0.85383558790471104</v>
      </c>
      <c r="H909" s="79">
        <v>1</v>
      </c>
      <c r="I909" s="102">
        <v>1.0711642495020814</v>
      </c>
      <c r="J909" s="79">
        <v>7.6319640180420298E-2</v>
      </c>
      <c r="K909" s="79">
        <v>0.36771272366746599</v>
      </c>
      <c r="L909" s="79">
        <v>0.74754780849462499</v>
      </c>
      <c r="M909" s="79">
        <v>1</v>
      </c>
      <c r="N909" s="102">
        <v>1.0847570054817015</v>
      </c>
      <c r="O909" s="79">
        <v>7.5307941694023897E-2</v>
      </c>
      <c r="P909" s="79">
        <v>0.28000367731902598</v>
      </c>
      <c r="Q909" s="79">
        <v>0.392131231823729</v>
      </c>
      <c r="R909" s="79">
        <v>1</v>
      </c>
      <c r="S909" s="102">
        <v>1.0462254140665985</v>
      </c>
      <c r="T909" s="79">
        <v>7.5335251979375906E-2</v>
      </c>
      <c r="U909" s="79">
        <v>0.54861512060774098</v>
      </c>
      <c r="V909" s="79">
        <v>0.64775971066760296</v>
      </c>
      <c r="W909" s="79">
        <v>1</v>
      </c>
    </row>
    <row r="910" spans="2:23" x14ac:dyDescent="0.2">
      <c r="B910" t="s">
        <v>920</v>
      </c>
      <c r="C910" s="84">
        <v>1765</v>
      </c>
      <c r="D910" s="102">
        <v>-1.87471087869149E-2</v>
      </c>
      <c r="E910" s="79">
        <v>4.6462112572175203E-2</v>
      </c>
      <c r="F910" s="79">
        <v>0.68707744407847404</v>
      </c>
      <c r="G910" s="79">
        <v>0.96670198527320195</v>
      </c>
      <c r="H910" s="79">
        <v>1</v>
      </c>
      <c r="I910" s="102">
        <v>-7.1046187664323204E-3</v>
      </c>
      <c r="J910" s="79">
        <v>4.7130345315172698E-2</v>
      </c>
      <c r="K910" s="79">
        <v>0.88035791271419905</v>
      </c>
      <c r="L910" s="79">
        <v>0.97367036309529298</v>
      </c>
      <c r="M910" s="79">
        <v>1</v>
      </c>
      <c r="N910" s="102">
        <v>-1.4914191569276499E-2</v>
      </c>
      <c r="O910" s="79">
        <v>4.3472371416174903E-2</v>
      </c>
      <c r="P910" s="79">
        <v>0.73195514752251301</v>
      </c>
      <c r="Q910" s="79">
        <v>0.82006085972429699</v>
      </c>
      <c r="R910" s="79">
        <v>1</v>
      </c>
      <c r="S910" s="102">
        <v>-5.32332747271929E-2</v>
      </c>
      <c r="T910" s="79">
        <v>4.1426849138650898E-2</v>
      </c>
      <c r="U910" s="79">
        <v>0.20052523139213499</v>
      </c>
      <c r="V910" s="79">
        <v>0.30167827884394</v>
      </c>
      <c r="W910" s="79">
        <v>1</v>
      </c>
    </row>
    <row r="911" spans="2:23" x14ac:dyDescent="0.2">
      <c r="B911" s="51" t="s">
        <v>2355</v>
      </c>
      <c r="C911" s="84"/>
      <c r="D911" s="102"/>
      <c r="E911" s="79"/>
      <c r="F911" s="79"/>
      <c r="G911" s="79"/>
      <c r="H911" s="79"/>
      <c r="I911" s="102"/>
      <c r="J911" s="79"/>
      <c r="K911" s="79"/>
      <c r="L911" s="79"/>
      <c r="M911" s="79"/>
      <c r="N911" s="102" t="e">
        <v>#N/A</v>
      </c>
      <c r="O911" s="79" t="e">
        <v>#N/A</v>
      </c>
      <c r="P911" s="79" t="e">
        <v>#N/A</v>
      </c>
      <c r="Q911" s="79" t="e">
        <v>#N/A</v>
      </c>
      <c r="R911" s="79" t="e">
        <v>#N/A</v>
      </c>
      <c r="S911" s="102" t="e">
        <v>#N/A</v>
      </c>
      <c r="T911" s="79" t="e">
        <v>#N/A</v>
      </c>
      <c r="U911" s="79" t="e">
        <v>#N/A</v>
      </c>
      <c r="V911" s="79" t="e">
        <v>#N/A</v>
      </c>
      <c r="W911" s="79" t="e">
        <v>#N/A</v>
      </c>
    </row>
    <row r="912" spans="2:23" x14ac:dyDescent="0.2">
      <c r="B912" t="s">
        <v>1083</v>
      </c>
      <c r="C912" s="84">
        <v>5022</v>
      </c>
      <c r="D912" s="102">
        <v>-1.1869354742013999E-2</v>
      </c>
      <c r="E912" s="79">
        <v>1.2297589313332399E-2</v>
      </c>
      <c r="F912" s="79">
        <v>0.33453163840376199</v>
      </c>
      <c r="G912" s="79">
        <v>0.887497895560034</v>
      </c>
      <c r="H912" s="79">
        <v>1</v>
      </c>
      <c r="I912" s="102">
        <v>-3.9789028759676104E-3</v>
      </c>
      <c r="J912" s="79">
        <v>1.2537269559120399E-2</v>
      </c>
      <c r="K912" s="79">
        <v>0.75098593450961804</v>
      </c>
      <c r="L912" s="79">
        <v>0.92119491170115397</v>
      </c>
      <c r="M912" s="79">
        <v>1</v>
      </c>
      <c r="N912" s="102">
        <v>-8.9434079510696107E-3</v>
      </c>
      <c r="O912" s="79">
        <v>1.22578626042773E-2</v>
      </c>
      <c r="P912" s="79">
        <v>0.465685749234166</v>
      </c>
      <c r="Q912" s="79">
        <v>0.58434937718716795</v>
      </c>
      <c r="R912" s="79">
        <v>1</v>
      </c>
      <c r="S912" s="102">
        <v>-2.00950556239625E-2</v>
      </c>
      <c r="T912" s="79">
        <v>1.2317404909536299E-2</v>
      </c>
      <c r="U912" s="79">
        <v>0.102896783605654</v>
      </c>
      <c r="V912" s="79">
        <v>0.17969809425564701</v>
      </c>
      <c r="W912" s="79">
        <v>1</v>
      </c>
    </row>
    <row r="913" spans="2:23" x14ac:dyDescent="0.2">
      <c r="B913" t="s">
        <v>1089</v>
      </c>
      <c r="C913" s="84">
        <v>4068</v>
      </c>
      <c r="D913" s="102">
        <v>-1.6836920280768702E-2</v>
      </c>
      <c r="E913" s="79">
        <v>1.1245307409165999E-2</v>
      </c>
      <c r="F913" s="79">
        <v>0.13446303587983899</v>
      </c>
      <c r="G913" s="79">
        <v>0.80938271582532695</v>
      </c>
      <c r="H913" s="79">
        <v>1</v>
      </c>
      <c r="I913" s="102">
        <v>3.57269912858015E-2</v>
      </c>
      <c r="J913" s="79">
        <v>1.1531335624118001E-2</v>
      </c>
      <c r="K913" s="79">
        <v>1.96753394714024E-3</v>
      </c>
      <c r="L913" s="79">
        <v>0.113986182531366</v>
      </c>
      <c r="M913" s="79">
        <v>1</v>
      </c>
      <c r="N913" s="102">
        <v>2.4458855666950802E-2</v>
      </c>
      <c r="O913" s="79">
        <v>1.12376406428566E-2</v>
      </c>
      <c r="P913" s="79">
        <v>2.9612678281993599E-2</v>
      </c>
      <c r="Q913" s="79">
        <v>6.6796107869104102E-2</v>
      </c>
      <c r="R913" s="79">
        <v>1</v>
      </c>
      <c r="S913" s="102">
        <v>3.9859978680370299E-2</v>
      </c>
      <c r="T913" s="79">
        <v>1.1320921618707E-2</v>
      </c>
      <c r="U913" s="79">
        <v>4.3774770988789298E-4</v>
      </c>
      <c r="V913" s="79">
        <v>2.3616070718155799E-3</v>
      </c>
      <c r="W913" s="79">
        <v>0.74154462055009096</v>
      </c>
    </row>
    <row r="914" spans="2:23" x14ac:dyDescent="0.2">
      <c r="B914" t="s">
        <v>1084</v>
      </c>
      <c r="C914" s="84">
        <v>5022</v>
      </c>
      <c r="D914" s="102">
        <v>-1.31838311658384E-2</v>
      </c>
      <c r="E914" s="79">
        <v>1.18787093803493E-2</v>
      </c>
      <c r="F914" s="79">
        <v>0.26715192635442597</v>
      </c>
      <c r="G914" s="79">
        <v>0.85990749347533801</v>
      </c>
      <c r="H914" s="79">
        <v>1</v>
      </c>
      <c r="I914" s="102">
        <v>1.2948713695141299E-2</v>
      </c>
      <c r="J914" s="79">
        <v>1.21505636210256E-2</v>
      </c>
      <c r="K914" s="79">
        <v>0.28665098428969799</v>
      </c>
      <c r="L914" s="79">
        <v>0.70273048825868101</v>
      </c>
      <c r="M914" s="79">
        <v>1</v>
      </c>
      <c r="N914" s="102">
        <v>4.35542724828314E-3</v>
      </c>
      <c r="O914" s="79">
        <v>1.1853084164211301E-2</v>
      </c>
      <c r="P914" s="79">
        <v>0.71331040407631496</v>
      </c>
      <c r="Q914" s="79">
        <v>0.80502853064975199</v>
      </c>
      <c r="R914" s="79">
        <v>1</v>
      </c>
      <c r="S914" s="102">
        <v>3.2583489437027199E-2</v>
      </c>
      <c r="T914" s="79">
        <v>1.19355984872645E-2</v>
      </c>
      <c r="U914" s="79">
        <v>6.37310025645982E-3</v>
      </c>
      <c r="V914" s="79">
        <v>1.9522661545104798E-2</v>
      </c>
      <c r="W914" s="79">
        <v>1</v>
      </c>
    </row>
    <row r="915" spans="2:23" x14ac:dyDescent="0.2">
      <c r="B915" t="s">
        <v>1088</v>
      </c>
      <c r="C915" s="84">
        <v>4068</v>
      </c>
      <c r="D915" s="102">
        <v>-3.1812000545222201E-2</v>
      </c>
      <c r="E915" s="79">
        <v>1.0435433440134799E-2</v>
      </c>
      <c r="F915" s="79">
        <v>2.3312170583787398E-3</v>
      </c>
      <c r="G915" s="79">
        <v>0.22515221791711101</v>
      </c>
      <c r="H915" s="79">
        <v>1</v>
      </c>
      <c r="I915" s="102">
        <v>6.8222583436205898E-3</v>
      </c>
      <c r="J915" s="79">
        <v>1.07819969917305E-2</v>
      </c>
      <c r="K915" s="79">
        <v>0.52696862985872805</v>
      </c>
      <c r="L915" s="79">
        <v>0.83741543994435796</v>
      </c>
      <c r="M915" s="79">
        <v>1</v>
      </c>
      <c r="N915" s="102">
        <v>1.9772985573240399E-2</v>
      </c>
      <c r="O915" s="79">
        <v>1.0463289145320799E-2</v>
      </c>
      <c r="P915" s="79">
        <v>5.8937028601661903E-2</v>
      </c>
      <c r="Q915" s="79">
        <v>0.116362851341743</v>
      </c>
      <c r="R915" s="79">
        <v>1</v>
      </c>
      <c r="S915" s="102">
        <v>3.1951475968154203E-2</v>
      </c>
      <c r="T915" s="79">
        <v>1.05727402006929E-2</v>
      </c>
      <c r="U915" s="79">
        <v>2.5419645787045299E-3</v>
      </c>
      <c r="V915" s="79">
        <v>9.3610608615771196E-3</v>
      </c>
      <c r="W915" s="79">
        <v>1</v>
      </c>
    </row>
    <row r="916" spans="2:23" x14ac:dyDescent="0.2">
      <c r="B916" t="s">
        <v>1096</v>
      </c>
      <c r="C916" s="84">
        <v>4068</v>
      </c>
      <c r="D916" s="102">
        <v>-2.2644451926935701E-2</v>
      </c>
      <c r="E916" s="79">
        <v>1.15854630764207E-2</v>
      </c>
      <c r="F916" s="79">
        <v>5.0747286845897403E-2</v>
      </c>
      <c r="G916" s="79">
        <v>0.70184175957025496</v>
      </c>
      <c r="H916" s="79">
        <v>1</v>
      </c>
      <c r="I916" s="102">
        <v>2.2573710083718099E-2</v>
      </c>
      <c r="J916" s="79">
        <v>1.1888080164668901E-2</v>
      </c>
      <c r="K916" s="79">
        <v>5.7689893394959398E-2</v>
      </c>
      <c r="L916" s="79">
        <v>0.42179912679238901</v>
      </c>
      <c r="M916" s="79">
        <v>1</v>
      </c>
      <c r="N916" s="102">
        <v>2.8875466222326601E-2</v>
      </c>
      <c r="O916" s="79">
        <v>1.15837519099019E-2</v>
      </c>
      <c r="P916" s="79">
        <v>1.2738504807203E-2</v>
      </c>
      <c r="Q916" s="79">
        <v>3.3876023773001397E-2</v>
      </c>
      <c r="R916" s="79">
        <v>1</v>
      </c>
      <c r="S916" s="102">
        <v>3.3400584652271602E-2</v>
      </c>
      <c r="T916" s="79">
        <v>1.16768728749128E-2</v>
      </c>
      <c r="U916" s="79">
        <v>4.2645308086071898E-3</v>
      </c>
      <c r="V916" s="79">
        <v>1.41927606871917E-2</v>
      </c>
      <c r="W916" s="79">
        <v>1</v>
      </c>
    </row>
    <row r="917" spans="2:23" x14ac:dyDescent="0.2">
      <c r="B917" t="s">
        <v>1094</v>
      </c>
      <c r="C917" s="84">
        <v>4068</v>
      </c>
      <c r="D917" s="102">
        <v>-1.7953235114256401E-2</v>
      </c>
      <c r="E917" s="79">
        <v>9.7490978214543108E-3</v>
      </c>
      <c r="F917" s="79">
        <v>6.5715651641557293E-2</v>
      </c>
      <c r="G917" s="79">
        <v>0.73538141425839998</v>
      </c>
      <c r="H917" s="79">
        <v>1</v>
      </c>
      <c r="I917" s="102">
        <v>2.99791792159982E-2</v>
      </c>
      <c r="J917" s="79">
        <v>1.00755604175141E-2</v>
      </c>
      <c r="K917" s="79">
        <v>2.9634882142691799E-3</v>
      </c>
      <c r="L917" s="79">
        <v>0.13944858430477799</v>
      </c>
      <c r="M917" s="79">
        <v>1</v>
      </c>
      <c r="N917" s="102">
        <v>2.1793875982052301E-2</v>
      </c>
      <c r="O917" s="79">
        <v>9.7694753079594805E-3</v>
      </c>
      <c r="P917" s="79">
        <v>2.58193054163369E-2</v>
      </c>
      <c r="Q917" s="79">
        <v>5.9345866180834102E-2</v>
      </c>
      <c r="R917" s="79">
        <v>1</v>
      </c>
      <c r="S917" s="102">
        <v>3.3913365667416297E-2</v>
      </c>
      <c r="T917" s="79">
        <v>9.8675439142580593E-3</v>
      </c>
      <c r="U917" s="79">
        <v>6.01935280681738E-4</v>
      </c>
      <c r="V917" s="79">
        <v>3.0347570401037601E-3</v>
      </c>
      <c r="W917" s="79">
        <v>1</v>
      </c>
    </row>
    <row r="918" spans="2:23" x14ac:dyDescent="0.2">
      <c r="B918" t="s">
        <v>1093</v>
      </c>
      <c r="C918" s="84">
        <v>4068</v>
      </c>
      <c r="D918" s="102">
        <v>-2.4143741903446699E-2</v>
      </c>
      <c r="E918" s="79">
        <v>1.13210220129124E-2</v>
      </c>
      <c r="F918" s="79">
        <v>3.3052931272521298E-2</v>
      </c>
      <c r="G918" s="79">
        <v>0.62911983792866399</v>
      </c>
      <c r="H918" s="79">
        <v>1</v>
      </c>
      <c r="I918" s="102">
        <v>5.9710446642755096E-3</v>
      </c>
      <c r="J918" s="79">
        <v>1.1621684022068901E-2</v>
      </c>
      <c r="K918" s="79">
        <v>0.60744515489267004</v>
      </c>
      <c r="L918" s="79">
        <v>0.87455910458575803</v>
      </c>
      <c r="M918" s="79">
        <v>1</v>
      </c>
      <c r="N918" s="102">
        <v>1.2679263960259399E-2</v>
      </c>
      <c r="O918" s="79">
        <v>1.1317547093753599E-2</v>
      </c>
      <c r="P918" s="79">
        <v>0.262685308566804</v>
      </c>
      <c r="Q918" s="79">
        <v>0.37488769196302502</v>
      </c>
      <c r="R918" s="79">
        <v>1</v>
      </c>
      <c r="S918" s="102">
        <v>2.9347548861640999E-2</v>
      </c>
      <c r="T918" s="79">
        <v>1.1408746597221501E-2</v>
      </c>
      <c r="U918" s="79">
        <v>1.01561389386472E-2</v>
      </c>
      <c r="V918" s="79">
        <v>2.8626454845371602E-2</v>
      </c>
      <c r="W918" s="79">
        <v>1</v>
      </c>
    </row>
    <row r="919" spans="2:23" x14ac:dyDescent="0.2">
      <c r="B919" t="s">
        <v>1091</v>
      </c>
      <c r="C919" s="84">
        <v>4068</v>
      </c>
      <c r="D919" s="102">
        <v>-7.5565092588444401E-3</v>
      </c>
      <c r="E919" s="79">
        <v>1.09951586542544E-2</v>
      </c>
      <c r="F919" s="79">
        <v>0.49199216839972698</v>
      </c>
      <c r="G919" s="79">
        <v>0.91678121217168596</v>
      </c>
      <c r="H919" s="79">
        <v>1</v>
      </c>
      <c r="I919" s="102">
        <v>3.7793044618351097E-2</v>
      </c>
      <c r="J919" s="79">
        <v>1.12613849919211E-2</v>
      </c>
      <c r="K919" s="79">
        <v>8.0322982520709301E-4</v>
      </c>
      <c r="L919" s="79">
        <v>9.0711421593387701E-2</v>
      </c>
      <c r="M919" s="79">
        <v>1</v>
      </c>
      <c r="N919" s="102">
        <v>2.8117319296282001E-2</v>
      </c>
      <c r="O919" s="79">
        <v>1.09813193011835E-2</v>
      </c>
      <c r="P919" s="79">
        <v>1.05177774419469E-2</v>
      </c>
      <c r="Q919" s="79">
        <v>2.9065440435004999E-2</v>
      </c>
      <c r="R919" s="79">
        <v>1</v>
      </c>
      <c r="S919" s="102">
        <v>3.9897520253589898E-2</v>
      </c>
      <c r="T919" s="79">
        <v>1.10536029543162E-2</v>
      </c>
      <c r="U919" s="79">
        <v>3.1336936322592398E-4</v>
      </c>
      <c r="V919" s="79">
        <v>1.7994837332363199E-3</v>
      </c>
      <c r="W919" s="79">
        <v>0.53084770130471504</v>
      </c>
    </row>
    <row r="920" spans="2:23" x14ac:dyDescent="0.2">
      <c r="B920" t="s">
        <v>1092</v>
      </c>
      <c r="C920" s="84">
        <v>4068</v>
      </c>
      <c r="D920" s="102">
        <v>-2.7241361687435701E-2</v>
      </c>
      <c r="E920" s="79">
        <v>1.155038943354E-2</v>
      </c>
      <c r="F920" s="79">
        <v>1.8424509689566999E-2</v>
      </c>
      <c r="G920" s="79">
        <v>0.55550077810083998</v>
      </c>
      <c r="H920" s="79">
        <v>1</v>
      </c>
      <c r="I920" s="102">
        <v>2.1297576128076898E-2</v>
      </c>
      <c r="J920" s="79">
        <v>1.1837845406717E-2</v>
      </c>
      <c r="K920" s="79">
        <v>7.2109525293328397E-2</v>
      </c>
      <c r="L920" s="79">
        <v>0.45523555939255</v>
      </c>
      <c r="M920" s="79">
        <v>1</v>
      </c>
      <c r="N920" s="102">
        <v>2.7814738169553401E-2</v>
      </c>
      <c r="O920" s="79">
        <v>1.1546806336167699E-2</v>
      </c>
      <c r="P920" s="79">
        <v>1.60703163061152E-2</v>
      </c>
      <c r="Q920" s="79">
        <v>4.0937016274525E-2</v>
      </c>
      <c r="R920" s="79">
        <v>1</v>
      </c>
      <c r="S920" s="102">
        <v>2.8213487423154798E-2</v>
      </c>
      <c r="T920" s="79">
        <v>1.16396919552074E-2</v>
      </c>
      <c r="U920" s="79">
        <v>1.5420045540564999E-2</v>
      </c>
      <c r="V920" s="79">
        <v>3.9758838882370001E-2</v>
      </c>
      <c r="W920" s="79">
        <v>1</v>
      </c>
    </row>
    <row r="921" spans="2:23" x14ac:dyDescent="0.2">
      <c r="B921" t="s">
        <v>1090</v>
      </c>
      <c r="C921" s="84">
        <v>4068</v>
      </c>
      <c r="D921" s="102">
        <v>-1.39268651451393E-2</v>
      </c>
      <c r="E921" s="79">
        <v>8.7580165584339401E-3</v>
      </c>
      <c r="F921" s="79">
        <v>0.112013785285069</v>
      </c>
      <c r="G921" s="79">
        <v>0.80938271582532695</v>
      </c>
      <c r="H921" s="79">
        <v>1</v>
      </c>
      <c r="I921" s="102">
        <v>7.4881525977128901E-3</v>
      </c>
      <c r="J921" s="79">
        <v>9.0962058343572703E-3</v>
      </c>
      <c r="K921" s="79">
        <v>0.41051348250315201</v>
      </c>
      <c r="L921" s="79">
        <v>0.77250777393894599</v>
      </c>
      <c r="M921" s="79">
        <v>1</v>
      </c>
      <c r="N921" s="102">
        <v>1.7056929100301502E-2</v>
      </c>
      <c r="O921" s="79">
        <v>8.7783091846808901E-3</v>
      </c>
      <c r="P921" s="79">
        <v>5.2199796498498902E-2</v>
      </c>
      <c r="Q921" s="79">
        <v>0.104399592996998</v>
      </c>
      <c r="R921" s="79">
        <v>1</v>
      </c>
      <c r="S921" s="102">
        <v>2.0863555277296698E-2</v>
      </c>
      <c r="T921" s="79">
        <v>8.8800459220574699E-3</v>
      </c>
      <c r="U921" s="79">
        <v>1.8930778403811299E-2</v>
      </c>
      <c r="V921" s="79">
        <v>4.6962517460519201E-2</v>
      </c>
      <c r="W921" s="79">
        <v>1</v>
      </c>
    </row>
    <row r="922" spans="2:23" x14ac:dyDescent="0.2">
      <c r="B922" t="s">
        <v>1086</v>
      </c>
      <c r="C922" s="84">
        <v>4068</v>
      </c>
      <c r="D922" s="102">
        <v>-3.9877098196201402E-2</v>
      </c>
      <c r="E922" s="79">
        <v>1.24861569009582E-2</v>
      </c>
      <c r="F922" s="79">
        <v>1.4182406233056899E-3</v>
      </c>
      <c r="G922" s="79">
        <v>0.21538253082011999</v>
      </c>
      <c r="H922" s="79">
        <v>1</v>
      </c>
      <c r="I922" s="102">
        <v>-1.3889322857009299E-2</v>
      </c>
      <c r="J922" s="79">
        <v>1.2739215254429399E-2</v>
      </c>
      <c r="K922" s="79">
        <v>0.27566583282886398</v>
      </c>
      <c r="L922" s="79">
        <v>0.69490762025609498</v>
      </c>
      <c r="M922" s="79">
        <v>1</v>
      </c>
      <c r="N922" s="102">
        <v>1.7926018535092601E-2</v>
      </c>
      <c r="O922" s="79">
        <v>1.2470464197281801E-2</v>
      </c>
      <c r="P922" s="79">
        <v>0.15067794794182901</v>
      </c>
      <c r="Q922" s="79">
        <v>0.24044368136264699</v>
      </c>
      <c r="R922" s="79">
        <v>1</v>
      </c>
      <c r="S922" s="102">
        <v>3.5902530023952099E-2</v>
      </c>
      <c r="T922" s="79">
        <v>1.2538357934817401E-2</v>
      </c>
      <c r="U922" s="79">
        <v>4.2170474237201803E-3</v>
      </c>
      <c r="V922" s="79">
        <v>1.40900953368481E-2</v>
      </c>
      <c r="W922" s="79">
        <v>1</v>
      </c>
    </row>
    <row r="923" spans="2:23" x14ac:dyDescent="0.2">
      <c r="B923" t="s">
        <v>1087</v>
      </c>
      <c r="C923" s="84">
        <v>4068</v>
      </c>
      <c r="D923" s="102">
        <v>-8.2598984412734795E-3</v>
      </c>
      <c r="E923" s="79">
        <v>1.2487563607232299E-2</v>
      </c>
      <c r="F923" s="79">
        <v>0.50837399962983199</v>
      </c>
      <c r="G923" s="79">
        <v>0.91752655785263504</v>
      </c>
      <c r="H923" s="79">
        <v>1</v>
      </c>
      <c r="I923" s="102">
        <v>8.6390698313442895E-3</v>
      </c>
      <c r="J923" s="79">
        <v>1.2735756859806401E-2</v>
      </c>
      <c r="K923" s="79">
        <v>0.497609254216625</v>
      </c>
      <c r="L923" s="79">
        <v>0.81806688763786795</v>
      </c>
      <c r="M923" s="79">
        <v>1</v>
      </c>
      <c r="N923" s="102">
        <v>2.3504257595178799E-2</v>
      </c>
      <c r="O923" s="79">
        <v>1.24462656144999E-2</v>
      </c>
      <c r="P923" s="79">
        <v>5.9057901977889703E-2</v>
      </c>
      <c r="Q923" s="79">
        <v>0.116465757800402</v>
      </c>
      <c r="R923" s="79">
        <v>1</v>
      </c>
      <c r="S923" s="102">
        <v>2.9550601507799899E-2</v>
      </c>
      <c r="T923" s="79">
        <v>1.25142310120725E-2</v>
      </c>
      <c r="U923" s="79">
        <v>1.8268276783114601E-2</v>
      </c>
      <c r="V923" s="79">
        <v>4.57787882701126E-2</v>
      </c>
      <c r="W923" s="79">
        <v>1</v>
      </c>
    </row>
    <row r="924" spans="2:23" x14ac:dyDescent="0.2">
      <c r="B924" t="s">
        <v>1095</v>
      </c>
      <c r="C924" s="84">
        <v>4068</v>
      </c>
      <c r="D924" s="102">
        <v>-3.0375665659673801E-2</v>
      </c>
      <c r="E924" s="79">
        <v>1.0302098023799E-2</v>
      </c>
      <c r="F924" s="79">
        <v>3.2318303786572902E-3</v>
      </c>
      <c r="G924" s="79">
        <v>0.260700983878355</v>
      </c>
      <c r="H924" s="79">
        <v>1</v>
      </c>
      <c r="I924" s="102">
        <v>1.9242923830348199E-2</v>
      </c>
      <c r="J924" s="79">
        <v>1.0652425717497801E-2</v>
      </c>
      <c r="K924" s="79">
        <v>7.0994138070172699E-2</v>
      </c>
      <c r="L924" s="79">
        <v>0.45523555939255</v>
      </c>
      <c r="M924" s="79">
        <v>1</v>
      </c>
      <c r="N924" s="102">
        <v>2.2165577679656601E-2</v>
      </c>
      <c r="O924" s="79">
        <v>1.0339481646639099E-2</v>
      </c>
      <c r="P924" s="79">
        <v>3.2172599115265502E-2</v>
      </c>
      <c r="Q924" s="79">
        <v>7.0936621981243703E-2</v>
      </c>
      <c r="R924" s="79">
        <v>1</v>
      </c>
      <c r="S924" s="102">
        <v>3.2981339450555897E-2</v>
      </c>
      <c r="T924" s="79">
        <v>1.0449272394253899E-2</v>
      </c>
      <c r="U924" s="79">
        <v>1.6213457670572601E-3</v>
      </c>
      <c r="V924" s="79">
        <v>6.6502656886077401E-3</v>
      </c>
      <c r="W924" s="79">
        <v>1</v>
      </c>
    </row>
    <row r="925" spans="2:23" x14ac:dyDescent="0.2">
      <c r="B925" t="s">
        <v>1085</v>
      </c>
      <c r="C925" s="84">
        <v>4068</v>
      </c>
      <c r="D925" s="102">
        <v>-9.5738303891190705E-3</v>
      </c>
      <c r="E925" s="79">
        <v>1.1416184140833899E-2</v>
      </c>
      <c r="F925" s="79">
        <v>0.40176223908026998</v>
      </c>
      <c r="G925" s="79">
        <v>0.89461055933914202</v>
      </c>
      <c r="H925" s="79">
        <v>1</v>
      </c>
      <c r="I925" s="102">
        <v>1.21484177674233E-2</v>
      </c>
      <c r="J925" s="79">
        <v>1.1690484704921299E-2</v>
      </c>
      <c r="K925" s="79">
        <v>0.298816963046447</v>
      </c>
      <c r="L925" s="79">
        <v>0.70600202719357597</v>
      </c>
      <c r="M925" s="79">
        <v>1</v>
      </c>
      <c r="N925" s="102">
        <v>1.9841177809908898E-2</v>
      </c>
      <c r="O925" s="79">
        <v>1.13901597155898E-2</v>
      </c>
      <c r="P925" s="79">
        <v>8.1635307414902103E-2</v>
      </c>
      <c r="Q925" s="79">
        <v>0.14885921502781899</v>
      </c>
      <c r="R925" s="79">
        <v>1</v>
      </c>
      <c r="S925" s="102">
        <v>1.77265729208613E-2</v>
      </c>
      <c r="T925" s="79">
        <v>1.1468605460059201E-2</v>
      </c>
      <c r="U925" s="79">
        <v>0.122306682754276</v>
      </c>
      <c r="V925" s="79">
        <v>0.20718752058574399</v>
      </c>
      <c r="W925" s="79">
        <v>1</v>
      </c>
    </row>
    <row r="926" spans="2:23" x14ac:dyDescent="0.2">
      <c r="B926" t="s">
        <v>1081</v>
      </c>
      <c r="C926" s="84">
        <v>5022</v>
      </c>
      <c r="D926" s="102">
        <v>5.1190587635842498E-3</v>
      </c>
      <c r="E926" s="79">
        <v>1.06103208183652E-2</v>
      </c>
      <c r="F926" s="79">
        <v>0.62953089233014203</v>
      </c>
      <c r="G926" s="79">
        <v>0.95687505350859803</v>
      </c>
      <c r="H926" s="79">
        <v>1</v>
      </c>
      <c r="I926" s="102">
        <v>-8.5056340234565403E-3</v>
      </c>
      <c r="J926" s="79">
        <v>1.0903180099154801E-2</v>
      </c>
      <c r="K926" s="79">
        <v>0.43541320019322299</v>
      </c>
      <c r="L926" s="79">
        <v>0.78893272642295398</v>
      </c>
      <c r="M926" s="79">
        <v>1</v>
      </c>
      <c r="N926" s="102">
        <v>2.9891322446572799E-3</v>
      </c>
      <c r="O926" s="79">
        <v>1.05903758237726E-2</v>
      </c>
      <c r="P926" s="79">
        <v>0.77778022088000098</v>
      </c>
      <c r="Q926" s="79">
        <v>0.85003851236820804</v>
      </c>
      <c r="R926" s="79">
        <v>1</v>
      </c>
      <c r="S926" s="102">
        <v>1.8936519875072801E-2</v>
      </c>
      <c r="T926" s="79">
        <v>1.06722585668744E-2</v>
      </c>
      <c r="U926" s="79">
        <v>7.6146266042729796E-2</v>
      </c>
      <c r="V926" s="79">
        <v>0.14159360557232101</v>
      </c>
      <c r="W926" s="79">
        <v>1</v>
      </c>
    </row>
    <row r="927" spans="2:23" x14ac:dyDescent="0.2">
      <c r="B927" t="s">
        <v>1082</v>
      </c>
      <c r="C927" s="84">
        <v>5022</v>
      </c>
      <c r="D927" s="102">
        <v>-8.5916700341400198E-3</v>
      </c>
      <c r="E927" s="79">
        <v>3.8911753399004999E-3</v>
      </c>
      <c r="F927" s="79">
        <v>2.7503047157574099E-2</v>
      </c>
      <c r="G927" s="79">
        <v>0.59730976775552003</v>
      </c>
      <c r="H927" s="79">
        <v>1</v>
      </c>
      <c r="I927" s="102">
        <v>-1.9094970455389301E-3</v>
      </c>
      <c r="J927" s="79">
        <v>4.1048555535234104E-3</v>
      </c>
      <c r="K927" s="79">
        <v>0.64191554765755798</v>
      </c>
      <c r="L927" s="79">
        <v>0.88295581341012397</v>
      </c>
      <c r="M927" s="79">
        <v>1</v>
      </c>
      <c r="N927" s="102">
        <v>-4.18977343277322E-4</v>
      </c>
      <c r="O927" s="79">
        <v>3.9217988180950004E-3</v>
      </c>
      <c r="P927" s="79">
        <v>0.91494561872311297</v>
      </c>
      <c r="Q927" s="79">
        <v>0.94449596472696695</v>
      </c>
      <c r="R927" s="79">
        <v>1</v>
      </c>
      <c r="S927" s="102">
        <v>-6.7783036021204597E-3</v>
      </c>
      <c r="T927" s="79">
        <v>3.9606933813748002E-3</v>
      </c>
      <c r="U927" s="79">
        <v>8.7359327577665596E-2</v>
      </c>
      <c r="V927" s="79">
        <v>0.15766098570824599</v>
      </c>
      <c r="W927" s="79">
        <v>1</v>
      </c>
    </row>
    <row r="928" spans="2:23" x14ac:dyDescent="0.2">
      <c r="B928" t="s">
        <v>1097</v>
      </c>
      <c r="C928" s="84">
        <v>5022</v>
      </c>
      <c r="D928" s="102">
        <v>-8.3670312498700106E-3</v>
      </c>
      <c r="E928" s="79">
        <v>9.3868771724043808E-3</v>
      </c>
      <c r="F928" s="79">
        <v>0.37287424054681401</v>
      </c>
      <c r="G928" s="79">
        <v>0.89461055933914202</v>
      </c>
      <c r="H928" s="79">
        <v>1</v>
      </c>
      <c r="I928" s="102">
        <v>1.4987362625159499E-2</v>
      </c>
      <c r="J928" s="79">
        <v>9.7473825057657493E-3</v>
      </c>
      <c r="K928" s="79">
        <v>0.12433602571175</v>
      </c>
      <c r="L928" s="79">
        <v>0.55552266356551805</v>
      </c>
      <c r="M928" s="79">
        <v>1</v>
      </c>
      <c r="N928" s="102">
        <v>1.4082284299036799E-2</v>
      </c>
      <c r="O928" s="79">
        <v>9.3967405658281107E-3</v>
      </c>
      <c r="P928" s="79">
        <v>0.13416293971801599</v>
      </c>
      <c r="Q928" s="79">
        <v>0.219586492639922</v>
      </c>
      <c r="R928" s="79">
        <v>1</v>
      </c>
      <c r="S928" s="102">
        <v>7.0856575538528902E-3</v>
      </c>
      <c r="T928" s="79">
        <v>9.4942808958751491E-3</v>
      </c>
      <c r="U928" s="79">
        <v>0.45558776961236402</v>
      </c>
      <c r="V928" s="79">
        <v>0.57041070341710598</v>
      </c>
      <c r="W928" s="79">
        <v>1</v>
      </c>
    </row>
    <row r="929" spans="2:23" x14ac:dyDescent="0.2">
      <c r="B929" t="s">
        <v>1080</v>
      </c>
      <c r="C929" s="84">
        <v>5022</v>
      </c>
      <c r="D929" s="102">
        <v>1.3910772929233301E-4</v>
      </c>
      <c r="E929" s="79">
        <v>1.2066723010899699E-2</v>
      </c>
      <c r="F929" s="79">
        <v>0.99080294116844203</v>
      </c>
      <c r="G929" s="79">
        <v>0.99962502278478604</v>
      </c>
      <c r="H929" s="79">
        <v>1</v>
      </c>
      <c r="I929" s="102">
        <v>1.0781084150380701E-2</v>
      </c>
      <c r="J929" s="79">
        <v>1.23502131795997E-2</v>
      </c>
      <c r="K929" s="79">
        <v>0.38276927741969202</v>
      </c>
      <c r="L929" s="79">
        <v>0.75782823609722505</v>
      </c>
      <c r="M929" s="79">
        <v>1</v>
      </c>
      <c r="N929" s="102">
        <v>2.5547488259713199E-2</v>
      </c>
      <c r="O929" s="79">
        <v>1.2040434282879601E-2</v>
      </c>
      <c r="P929" s="79">
        <v>3.3950216904172499E-2</v>
      </c>
      <c r="Q929" s="79">
        <v>7.4152938826887504E-2</v>
      </c>
      <c r="R929" s="79">
        <v>1</v>
      </c>
      <c r="S929" s="102">
        <v>1.6501125794338899E-2</v>
      </c>
      <c r="T929" s="79">
        <v>1.21119551091446E-2</v>
      </c>
      <c r="U929" s="79">
        <v>0.17319471144634099</v>
      </c>
      <c r="V929" s="79">
        <v>0.27065668006466898</v>
      </c>
      <c r="W929" s="79">
        <v>1</v>
      </c>
    </row>
    <row r="930" spans="2:23" x14ac:dyDescent="0.2">
      <c r="B930" t="s">
        <v>454</v>
      </c>
      <c r="C930" s="84">
        <v>5018</v>
      </c>
      <c r="D930" s="102">
        <v>9.8716535994864893E-3</v>
      </c>
      <c r="E930" s="79">
        <v>1.21971642596914E-2</v>
      </c>
      <c r="F930" s="79">
        <v>0.418375613284239</v>
      </c>
      <c r="G930" s="79">
        <v>0.89561567502544503</v>
      </c>
      <c r="H930" s="79">
        <v>1</v>
      </c>
      <c r="I930" s="102">
        <v>-6.2376020980534604E-3</v>
      </c>
      <c r="J930" s="79">
        <v>1.23326467307797E-2</v>
      </c>
      <c r="K930" s="79">
        <v>0.61304201129289604</v>
      </c>
      <c r="L930" s="79">
        <v>0.87455910458575803</v>
      </c>
      <c r="M930" s="79">
        <v>1</v>
      </c>
      <c r="N930" s="102">
        <v>3.2612266039432902E-2</v>
      </c>
      <c r="O930" s="79">
        <v>1.2119019219171299E-2</v>
      </c>
      <c r="P930" s="79">
        <v>7.1577644956079397E-3</v>
      </c>
      <c r="Q930" s="79">
        <v>2.1384926023915101E-2</v>
      </c>
      <c r="R930" s="79">
        <v>1</v>
      </c>
      <c r="S930" s="102">
        <v>3.2957743661825703E-2</v>
      </c>
      <c r="T930" s="79">
        <v>1.21855359928408E-2</v>
      </c>
      <c r="U930" s="79">
        <v>6.8695680585729203E-3</v>
      </c>
      <c r="V930" s="79">
        <v>2.07690754554355E-2</v>
      </c>
      <c r="W930" s="79">
        <v>1</v>
      </c>
    </row>
    <row r="931" spans="2:23" x14ac:dyDescent="0.2">
      <c r="B931" t="s">
        <v>455</v>
      </c>
      <c r="C931" s="84">
        <v>5018</v>
      </c>
      <c r="D931" s="102">
        <v>1.0615051346568699E-2</v>
      </c>
      <c r="E931" s="79">
        <v>1.33564681429414E-2</v>
      </c>
      <c r="F931" s="79">
        <v>0.426801763923499</v>
      </c>
      <c r="G931" s="79">
        <v>0.89813936408249395</v>
      </c>
      <c r="H931" s="79">
        <v>1</v>
      </c>
      <c r="I931" s="102">
        <v>-1.8416906455230201E-2</v>
      </c>
      <c r="J931" s="79">
        <v>1.3425884693325001E-2</v>
      </c>
      <c r="K931" s="79">
        <v>0.17021003278993699</v>
      </c>
      <c r="L931" s="79">
        <v>0.61396896490869202</v>
      </c>
      <c r="M931" s="79">
        <v>1</v>
      </c>
      <c r="N931" s="102">
        <v>-2.78280460175407E-2</v>
      </c>
      <c r="O931" s="79">
        <v>1.3242417387084199E-2</v>
      </c>
      <c r="P931" s="79">
        <v>3.56591360912299E-2</v>
      </c>
      <c r="Q931" s="79">
        <v>7.6658092053989199E-2</v>
      </c>
      <c r="R931" s="79">
        <v>1</v>
      </c>
      <c r="S931" s="102">
        <v>-8.1453892642298006E-3</v>
      </c>
      <c r="T931" s="79">
        <v>1.32878416964536E-2</v>
      </c>
      <c r="U931" s="79">
        <v>0.53990995472341796</v>
      </c>
      <c r="V931" s="79">
        <v>0.64093024758337103</v>
      </c>
      <c r="W931" s="79">
        <v>1</v>
      </c>
    </row>
    <row r="932" spans="2:23" x14ac:dyDescent="0.2">
      <c r="B932" t="s">
        <v>456</v>
      </c>
      <c r="C932" s="84">
        <v>5018</v>
      </c>
      <c r="D932" s="102">
        <v>-8.9473700291808195E-4</v>
      </c>
      <c r="E932" s="79">
        <v>1.2551464001985301E-2</v>
      </c>
      <c r="F932" s="79">
        <v>0.94317436597448301</v>
      </c>
      <c r="G932" s="79">
        <v>0.99840985319461195</v>
      </c>
      <c r="H932" s="79">
        <v>1</v>
      </c>
      <c r="I932" s="102">
        <v>-1.1391340011782601E-2</v>
      </c>
      <c r="J932" s="79">
        <v>1.26613609946891E-2</v>
      </c>
      <c r="K932" s="79">
        <v>0.36833865909645902</v>
      </c>
      <c r="L932" s="79">
        <v>0.74754780849462499</v>
      </c>
      <c r="M932" s="79">
        <v>1</v>
      </c>
      <c r="N932" s="102">
        <v>-3.3643776077713502E-3</v>
      </c>
      <c r="O932" s="79">
        <v>1.24583640299915E-2</v>
      </c>
      <c r="P932" s="79">
        <v>0.78713673918669202</v>
      </c>
      <c r="Q932" s="79">
        <v>0.85529803475449395</v>
      </c>
      <c r="R932" s="79">
        <v>1</v>
      </c>
      <c r="S932" s="102">
        <v>3.6719697798547397E-2</v>
      </c>
      <c r="T932" s="79">
        <v>1.25084514802083E-2</v>
      </c>
      <c r="U932" s="79">
        <v>3.34857766223178E-3</v>
      </c>
      <c r="V932" s="79">
        <v>1.17200218178112E-2</v>
      </c>
      <c r="W932" s="79">
        <v>1</v>
      </c>
    </row>
    <row r="933" spans="2:23" x14ac:dyDescent="0.2">
      <c r="B933" t="s">
        <v>457</v>
      </c>
      <c r="C933" s="84">
        <v>5018</v>
      </c>
      <c r="D933" s="102">
        <v>6.4523174247725797E-4</v>
      </c>
      <c r="E933" s="79">
        <v>1.30973334468053E-2</v>
      </c>
      <c r="F933" s="79">
        <v>0.96071099938155102</v>
      </c>
      <c r="G933" s="79">
        <v>0.99840985319461195</v>
      </c>
      <c r="H933" s="79">
        <v>1</v>
      </c>
      <c r="I933" s="102">
        <v>-3.0269902203040199E-4</v>
      </c>
      <c r="J933" s="79">
        <v>1.3188371424784601E-2</v>
      </c>
      <c r="K933" s="79">
        <v>0.981689652601756</v>
      </c>
      <c r="L933" s="79">
        <v>0.99629532610271199</v>
      </c>
      <c r="M933" s="79">
        <v>1</v>
      </c>
      <c r="N933" s="102">
        <v>-1.9190390934681799E-2</v>
      </c>
      <c r="O933" s="79">
        <v>1.2997748895077601E-2</v>
      </c>
      <c r="P933" s="79">
        <v>0.139901111502963</v>
      </c>
      <c r="Q933" s="79">
        <v>0.22700429395212601</v>
      </c>
      <c r="R933" s="79">
        <v>1</v>
      </c>
      <c r="S933" s="102">
        <v>-1.05885671633209E-2</v>
      </c>
      <c r="T933" s="79">
        <v>1.3042098515097701E-2</v>
      </c>
      <c r="U933" s="79">
        <v>0.41690793208280602</v>
      </c>
      <c r="V933" s="79">
        <v>0.53313785504787603</v>
      </c>
      <c r="W933" s="79">
        <v>1</v>
      </c>
    </row>
    <row r="934" spans="2:23" x14ac:dyDescent="0.2">
      <c r="B934" t="s">
        <v>458</v>
      </c>
      <c r="C934" s="84">
        <v>5018</v>
      </c>
      <c r="D934" s="102">
        <v>-2.4208072997005201E-2</v>
      </c>
      <c r="E934" s="79">
        <v>1.3702519284977101E-2</v>
      </c>
      <c r="F934" s="79">
        <v>7.7346584499955698E-2</v>
      </c>
      <c r="G934" s="79">
        <v>0.73538141425839998</v>
      </c>
      <c r="H934" s="79">
        <v>1</v>
      </c>
      <c r="I934" s="102">
        <v>-5.1066372702133402E-3</v>
      </c>
      <c r="J934" s="79">
        <v>1.37581859347632E-2</v>
      </c>
      <c r="K934" s="79">
        <v>0.71052690638834703</v>
      </c>
      <c r="L934" s="79">
        <v>0.91115259608013599</v>
      </c>
      <c r="M934" s="79">
        <v>1</v>
      </c>
      <c r="N934" s="102">
        <v>-3.3173285257078601E-3</v>
      </c>
      <c r="O934" s="79">
        <v>1.35878266783876E-2</v>
      </c>
      <c r="P934" s="79">
        <v>0.80713336507846201</v>
      </c>
      <c r="Q934" s="79">
        <v>0.86609736551425198</v>
      </c>
      <c r="R934" s="79">
        <v>1</v>
      </c>
      <c r="S934" s="102">
        <v>9.0313345084849905E-3</v>
      </c>
      <c r="T934" s="79">
        <v>1.36116438817872E-2</v>
      </c>
      <c r="U934" s="79">
        <v>0.50704243616203903</v>
      </c>
      <c r="V934" s="79">
        <v>0.61348289895793395</v>
      </c>
      <c r="W934" s="79">
        <v>1</v>
      </c>
    </row>
    <row r="935" spans="2:23" x14ac:dyDescent="0.2">
      <c r="B935" t="s">
        <v>459</v>
      </c>
      <c r="C935" s="84">
        <v>5018</v>
      </c>
      <c r="D935" s="102">
        <v>-1.2397434437929801E-2</v>
      </c>
      <c r="E935" s="79">
        <v>1.21381665105189E-2</v>
      </c>
      <c r="F935" s="79">
        <v>0.307162601719634</v>
      </c>
      <c r="G935" s="79">
        <v>0.88192109714078004</v>
      </c>
      <c r="H935" s="79">
        <v>1</v>
      </c>
      <c r="I935" s="102">
        <v>5.5471878855379497E-3</v>
      </c>
      <c r="J935" s="79">
        <v>1.22913301603615E-2</v>
      </c>
      <c r="K935" s="79">
        <v>0.65179612835779199</v>
      </c>
      <c r="L935" s="79">
        <v>0.88374695918109603</v>
      </c>
      <c r="M935" s="79">
        <v>1</v>
      </c>
      <c r="N935" s="102">
        <v>1.09664165344374E-2</v>
      </c>
      <c r="O935" s="79">
        <v>1.20675689732884E-2</v>
      </c>
      <c r="P935" s="79">
        <v>0.36355000572846502</v>
      </c>
      <c r="Q935" s="79">
        <v>0.48049007686307299</v>
      </c>
      <c r="R935" s="79">
        <v>1</v>
      </c>
      <c r="S935" s="102">
        <v>-4.7281656603147502E-3</v>
      </c>
      <c r="T935" s="79">
        <v>1.21413692139628E-2</v>
      </c>
      <c r="U935" s="79">
        <v>0.69698613039860002</v>
      </c>
      <c r="V935" s="79">
        <v>0.76349920607603905</v>
      </c>
      <c r="W935" s="79">
        <v>1</v>
      </c>
    </row>
    <row r="936" spans="2:23" x14ac:dyDescent="0.2">
      <c r="B936" t="s">
        <v>460</v>
      </c>
      <c r="C936" s="84">
        <v>5018</v>
      </c>
      <c r="D936" s="102">
        <v>1.9421629353368899E-2</v>
      </c>
      <c r="E936" s="79">
        <v>1.29405738957092E-2</v>
      </c>
      <c r="F936" s="79">
        <v>0.13348034666616301</v>
      </c>
      <c r="G936" s="79">
        <v>0.80938271582532695</v>
      </c>
      <c r="H936" s="79">
        <v>1</v>
      </c>
      <c r="I936" s="102">
        <v>2.25207993021233E-2</v>
      </c>
      <c r="J936" s="79">
        <v>1.3048117077029299E-2</v>
      </c>
      <c r="K936" s="79">
        <v>8.4426676177982302E-2</v>
      </c>
      <c r="L936" s="79">
        <v>0.48713190240675902</v>
      </c>
      <c r="M936" s="79">
        <v>1</v>
      </c>
      <c r="N936" s="102">
        <v>1.1804993010044401E-2</v>
      </c>
      <c r="O936" s="79">
        <v>1.28538110729837E-2</v>
      </c>
      <c r="P936" s="79">
        <v>0.35846352555469002</v>
      </c>
      <c r="Q936" s="79">
        <v>0.47514648848954999</v>
      </c>
      <c r="R936" s="79">
        <v>1</v>
      </c>
      <c r="S936" s="102">
        <v>5.11271377218546E-2</v>
      </c>
      <c r="T936" s="79">
        <v>1.28794820189496E-2</v>
      </c>
      <c r="U936" s="79">
        <v>7.3229151339474603E-5</v>
      </c>
      <c r="V936" s="79">
        <v>5.6793892347819998E-4</v>
      </c>
      <c r="W936" s="79">
        <v>0.12405018236907001</v>
      </c>
    </row>
    <row r="937" spans="2:23" x14ac:dyDescent="0.2">
      <c r="B937" t="s">
        <v>461</v>
      </c>
      <c r="C937" s="84">
        <v>5018</v>
      </c>
      <c r="D937" s="102">
        <v>-1.2182436038902201E-2</v>
      </c>
      <c r="E937" s="79">
        <v>1.2370517253668899E-2</v>
      </c>
      <c r="F937" s="79">
        <v>0.32479008568981599</v>
      </c>
      <c r="G937" s="79">
        <v>0.88730162874475904</v>
      </c>
      <c r="H937" s="79">
        <v>1</v>
      </c>
      <c r="I937" s="102">
        <v>1.329365795877E-2</v>
      </c>
      <c r="J937" s="79">
        <v>1.24898865930084E-2</v>
      </c>
      <c r="K937" s="79">
        <v>0.28723596171510501</v>
      </c>
      <c r="L937" s="79">
        <v>0.70313889593145995</v>
      </c>
      <c r="M937" s="79">
        <v>1</v>
      </c>
      <c r="N937" s="102">
        <v>4.5027803374685801E-2</v>
      </c>
      <c r="O937" s="79">
        <v>1.2278614583336799E-2</v>
      </c>
      <c r="P937" s="79">
        <v>2.4871726811919099E-4</v>
      </c>
      <c r="Q937" s="79">
        <v>1.4429008636777699E-3</v>
      </c>
      <c r="R937" s="79">
        <v>0.42132705219390998</v>
      </c>
      <c r="S937" s="102">
        <v>3.2957819215447701E-2</v>
      </c>
      <c r="T937" s="79">
        <v>1.2358446155561101E-2</v>
      </c>
      <c r="U937" s="79">
        <v>7.6896602099237E-3</v>
      </c>
      <c r="V937" s="79">
        <v>2.2702759859671701E-2</v>
      </c>
      <c r="W937" s="79">
        <v>1</v>
      </c>
    </row>
    <row r="938" spans="2:23" x14ac:dyDescent="0.2">
      <c r="B938" t="s">
        <v>462</v>
      </c>
      <c r="C938" s="84">
        <v>5018</v>
      </c>
      <c r="D938" s="102">
        <v>-2.71076505724352E-2</v>
      </c>
      <c r="E938" s="79">
        <v>1.28356816712661E-2</v>
      </c>
      <c r="F938" s="79">
        <v>3.4757175962911502E-2</v>
      </c>
      <c r="G938" s="79">
        <v>0.64701819869419896</v>
      </c>
      <c r="H938" s="79">
        <v>1</v>
      </c>
      <c r="I938" s="102">
        <v>1.53528868281661E-2</v>
      </c>
      <c r="J938" s="79">
        <v>1.2940750101863E-2</v>
      </c>
      <c r="K938" s="79">
        <v>0.235532549073805</v>
      </c>
      <c r="L938" s="79">
        <v>0.66141104862732303</v>
      </c>
      <c r="M938" s="79">
        <v>1</v>
      </c>
      <c r="N938" s="102">
        <v>4.9579887700631799E-2</v>
      </c>
      <c r="O938" s="79">
        <v>1.2735890380975201E-2</v>
      </c>
      <c r="P938" s="79">
        <v>1.0063705243107601E-4</v>
      </c>
      <c r="Q938" s="79">
        <v>6.8741599523484997E-4</v>
      </c>
      <c r="R938" s="79">
        <v>0.17047916681824299</v>
      </c>
      <c r="S938" s="102">
        <v>4.3497456881404002E-2</v>
      </c>
      <c r="T938" s="79">
        <v>1.2802612158771799E-2</v>
      </c>
      <c r="U938" s="79">
        <v>6.8631388559558398E-4</v>
      </c>
      <c r="V938" s="79">
        <v>3.3504775855876601E-3</v>
      </c>
      <c r="W938" s="79">
        <v>1</v>
      </c>
    </row>
    <row r="939" spans="2:23" x14ac:dyDescent="0.2">
      <c r="B939" t="s">
        <v>463</v>
      </c>
      <c r="C939" s="84">
        <v>5018</v>
      </c>
      <c r="D939" s="102">
        <v>-5.5702618118951496E-4</v>
      </c>
      <c r="E939" s="79">
        <v>1.30758141262443E-2</v>
      </c>
      <c r="F939" s="79">
        <v>0.96602268659763602</v>
      </c>
      <c r="G939" s="79">
        <v>0.99840985319461195</v>
      </c>
      <c r="H939" s="79">
        <v>1</v>
      </c>
      <c r="I939" s="102">
        <v>6.3426992027315497E-3</v>
      </c>
      <c r="J939" s="79">
        <v>1.3168457384336901E-2</v>
      </c>
      <c r="K939" s="79">
        <v>0.63007327243576605</v>
      </c>
      <c r="L939" s="79">
        <v>0.87748013759880805</v>
      </c>
      <c r="M939" s="79">
        <v>1</v>
      </c>
      <c r="N939" s="102">
        <v>2.60007135522165E-2</v>
      </c>
      <c r="O939" s="79">
        <v>1.29770006548794E-2</v>
      </c>
      <c r="P939" s="79">
        <v>4.5177911969851499E-2</v>
      </c>
      <c r="Q939" s="79">
        <v>9.3393580526592496E-2</v>
      </c>
      <c r="R939" s="79">
        <v>1</v>
      </c>
      <c r="S939" s="102">
        <v>2.2459229631171598E-2</v>
      </c>
      <c r="T939" s="79">
        <v>1.30241291262242E-2</v>
      </c>
      <c r="U939" s="79">
        <v>8.4702660319926598E-2</v>
      </c>
      <c r="V939" s="79">
        <v>0.15428635116339301</v>
      </c>
      <c r="W939" s="79">
        <v>1</v>
      </c>
    </row>
    <row r="940" spans="2:23" x14ac:dyDescent="0.2">
      <c r="B940" t="s">
        <v>549</v>
      </c>
      <c r="C940" s="84">
        <v>5022</v>
      </c>
      <c r="D940" s="102">
        <v>-1.11884581025224E-2</v>
      </c>
      <c r="E940" s="79">
        <v>1.2399756355782001E-2</v>
      </c>
      <c r="F940" s="79">
        <v>0.36695194310097801</v>
      </c>
      <c r="G940" s="79">
        <v>0.89461055933914202</v>
      </c>
      <c r="H940" s="79">
        <v>1</v>
      </c>
      <c r="I940" s="102">
        <v>-8.7977220076689098E-3</v>
      </c>
      <c r="J940" s="79">
        <v>1.25226751305062E-2</v>
      </c>
      <c r="K940" s="79">
        <v>0.48238407011720402</v>
      </c>
      <c r="L940" s="79">
        <v>0.80894043982196895</v>
      </c>
      <c r="M940" s="79">
        <v>1</v>
      </c>
      <c r="N940" s="102">
        <v>2.9782935305195199E-2</v>
      </c>
      <c r="O940" s="79">
        <v>1.23108047172968E-2</v>
      </c>
      <c r="P940" s="79">
        <v>1.56016765682736E-2</v>
      </c>
      <c r="Q940" s="79">
        <v>3.9923323423950899E-2</v>
      </c>
      <c r="R940" s="79">
        <v>1</v>
      </c>
      <c r="S940" s="102">
        <v>4.2849160014338403E-2</v>
      </c>
      <c r="T940" s="79">
        <v>1.23676475532342E-2</v>
      </c>
      <c r="U940" s="79">
        <v>5.3699489244651095E-4</v>
      </c>
      <c r="V940" s="79">
        <v>2.7989826086288901E-3</v>
      </c>
      <c r="W940" s="79">
        <v>0.90966934780439002</v>
      </c>
    </row>
    <row r="941" spans="2:23" x14ac:dyDescent="0.2">
      <c r="B941" t="s">
        <v>550</v>
      </c>
      <c r="C941" s="84">
        <v>5022</v>
      </c>
      <c r="D941" s="102">
        <v>3.4574387501067599E-3</v>
      </c>
      <c r="E941" s="79">
        <v>1.4017495411790299E-2</v>
      </c>
      <c r="F941" s="79">
        <v>0.80518832887582703</v>
      </c>
      <c r="G941" s="79">
        <v>0.99362338620020496</v>
      </c>
      <c r="H941" s="79">
        <v>1</v>
      </c>
      <c r="I941" s="102">
        <v>9.5128824307283404E-3</v>
      </c>
      <c r="J941" s="79">
        <v>1.4049422879883099E-2</v>
      </c>
      <c r="K941" s="79">
        <v>0.49837368833664702</v>
      </c>
      <c r="L941" s="79">
        <v>0.81806688763786795</v>
      </c>
      <c r="M941" s="79">
        <v>1</v>
      </c>
      <c r="N941" s="102">
        <v>5.9748998828319097E-3</v>
      </c>
      <c r="O941" s="79">
        <v>1.38928121858133E-2</v>
      </c>
      <c r="P941" s="79">
        <v>0.66716292108619601</v>
      </c>
      <c r="Q941" s="79">
        <v>0.761572768409714</v>
      </c>
      <c r="R941" s="79">
        <v>1</v>
      </c>
      <c r="S941" s="102">
        <v>4.8400839180296903E-2</v>
      </c>
      <c r="T941" s="79">
        <v>1.38930254740045E-2</v>
      </c>
      <c r="U941" s="79">
        <v>4.9864551844601803E-4</v>
      </c>
      <c r="V941" s="79">
        <v>2.63970471327361E-3</v>
      </c>
      <c r="W941" s="79">
        <v>0.84470550824755497</v>
      </c>
    </row>
    <row r="942" spans="2:23" x14ac:dyDescent="0.2">
      <c r="B942" t="s">
        <v>551</v>
      </c>
      <c r="C942" s="84">
        <v>5022</v>
      </c>
      <c r="D942" s="102">
        <v>-1.28417836629294E-2</v>
      </c>
      <c r="E942" s="79">
        <v>1.28475504706437E-2</v>
      </c>
      <c r="F942" s="79">
        <v>0.31758868728613199</v>
      </c>
      <c r="G942" s="79">
        <v>0.88730162874475904</v>
      </c>
      <c r="H942" s="79">
        <v>1</v>
      </c>
      <c r="I942" s="102">
        <v>-1.4973571685465499E-3</v>
      </c>
      <c r="J942" s="79">
        <v>1.29480211502621E-2</v>
      </c>
      <c r="K942" s="79">
        <v>0.90794051607339199</v>
      </c>
      <c r="L942" s="79">
        <v>0.98168469912841005</v>
      </c>
      <c r="M942" s="79">
        <v>1</v>
      </c>
      <c r="N942" s="102">
        <v>2.8693513363765799E-2</v>
      </c>
      <c r="O942" s="79">
        <v>1.2748681343272301E-2</v>
      </c>
      <c r="P942" s="79">
        <v>2.4458092307198299E-2</v>
      </c>
      <c r="Q942" s="79">
        <v>5.6990382900129199E-2</v>
      </c>
      <c r="R942" s="79">
        <v>1</v>
      </c>
      <c r="S942" s="102">
        <v>3.0407525007937999E-2</v>
      </c>
      <c r="T942" s="79">
        <v>1.2806003109236999E-2</v>
      </c>
      <c r="U942" s="79">
        <v>1.7619418902946701E-2</v>
      </c>
      <c r="V942" s="79">
        <v>4.4481811656619498E-2</v>
      </c>
      <c r="W942" s="79">
        <v>1</v>
      </c>
    </row>
    <row r="943" spans="2:23" x14ac:dyDescent="0.2">
      <c r="B943" t="s">
        <v>552</v>
      </c>
      <c r="C943" s="84">
        <v>5022</v>
      </c>
      <c r="D943" s="102">
        <v>-2.2035688945369399E-2</v>
      </c>
      <c r="E943" s="79">
        <v>1.2840654285198001E-2</v>
      </c>
      <c r="F943" s="79">
        <v>8.6224869461425505E-2</v>
      </c>
      <c r="G943" s="79">
        <v>0.74561034814826599</v>
      </c>
      <c r="H943" s="79">
        <v>1</v>
      </c>
      <c r="I943" s="102">
        <v>-5.8665725830947301E-3</v>
      </c>
      <c r="J943" s="79">
        <v>1.29511807897383E-2</v>
      </c>
      <c r="K943" s="79">
        <v>0.65058998968800397</v>
      </c>
      <c r="L943" s="79">
        <v>0.88374695918109603</v>
      </c>
      <c r="M943" s="79">
        <v>1</v>
      </c>
      <c r="N943" s="102">
        <v>2.6267339907777E-2</v>
      </c>
      <c r="O943" s="79">
        <v>1.2752882628198599E-2</v>
      </c>
      <c r="P943" s="79">
        <v>3.94903463040744E-2</v>
      </c>
      <c r="Q943" s="79">
        <v>8.3101424396400003E-2</v>
      </c>
      <c r="R943" s="79">
        <v>1</v>
      </c>
      <c r="S943" s="102">
        <v>4.4303065741050099E-2</v>
      </c>
      <c r="T943" s="79">
        <v>1.2805389395877401E-2</v>
      </c>
      <c r="U943" s="79">
        <v>5.4624860918597298E-4</v>
      </c>
      <c r="V943" s="79">
        <v>2.8384820366902999E-3</v>
      </c>
      <c r="W943" s="79">
        <v>0.92534514396103795</v>
      </c>
    </row>
    <row r="944" spans="2:23" x14ac:dyDescent="0.2">
      <c r="B944" t="s">
        <v>553</v>
      </c>
      <c r="C944" s="84">
        <v>5022</v>
      </c>
      <c r="D944" s="102">
        <v>-1.7987552424149299E-2</v>
      </c>
      <c r="E944" s="79">
        <v>1.2630715372449801E-2</v>
      </c>
      <c r="F944" s="79">
        <v>0.15449691081037101</v>
      </c>
      <c r="G944" s="79">
        <v>0.80938271582532695</v>
      </c>
      <c r="H944" s="79">
        <v>1</v>
      </c>
      <c r="I944" s="102">
        <v>3.2899914679378E-4</v>
      </c>
      <c r="J944" s="79">
        <v>1.27434082298252E-2</v>
      </c>
      <c r="K944" s="79">
        <v>0.97940444431159801</v>
      </c>
      <c r="L944" s="79">
        <v>0.99629532610271199</v>
      </c>
      <c r="M944" s="79">
        <v>1</v>
      </c>
      <c r="N944" s="102">
        <v>2.1217911122225201E-2</v>
      </c>
      <c r="O944" s="79">
        <v>1.25391903270989E-2</v>
      </c>
      <c r="P944" s="79">
        <v>9.0703298255028306E-2</v>
      </c>
      <c r="Q944" s="79">
        <v>0.161908732606974</v>
      </c>
      <c r="R944" s="79">
        <v>1</v>
      </c>
      <c r="S944" s="102">
        <v>2.2280650245290901E-2</v>
      </c>
      <c r="T944" s="79">
        <v>1.25922255340846E-2</v>
      </c>
      <c r="U944" s="79">
        <v>7.6905412333943199E-2</v>
      </c>
      <c r="V944" s="79">
        <v>0.142380074856502</v>
      </c>
      <c r="W944" s="79">
        <v>1</v>
      </c>
    </row>
    <row r="945" spans="2:23" x14ac:dyDescent="0.2">
      <c r="B945" t="s">
        <v>554</v>
      </c>
      <c r="C945" s="84">
        <v>5022</v>
      </c>
      <c r="D945" s="102">
        <v>-2.10773608272663E-2</v>
      </c>
      <c r="E945" s="79">
        <v>1.2250490102642699E-2</v>
      </c>
      <c r="F945" s="79">
        <v>8.5425629090173302E-2</v>
      </c>
      <c r="G945" s="79">
        <v>0.74561034814826599</v>
      </c>
      <c r="H945" s="79">
        <v>1</v>
      </c>
      <c r="I945" s="102">
        <v>7.0372030202220199E-3</v>
      </c>
      <c r="J945" s="79">
        <v>1.23898626625007E-2</v>
      </c>
      <c r="K945" s="79">
        <v>0.57008305877877796</v>
      </c>
      <c r="L945" s="79">
        <v>0.85878159627519401</v>
      </c>
      <c r="M945" s="79">
        <v>1</v>
      </c>
      <c r="N945" s="102">
        <v>2.0908365227538799E-2</v>
      </c>
      <c r="O945" s="79">
        <v>1.2177882730029401E-2</v>
      </c>
      <c r="P945" s="79">
        <v>8.6083444132805303E-2</v>
      </c>
      <c r="Q945" s="79">
        <v>0.15535614538560599</v>
      </c>
      <c r="R945" s="79">
        <v>1</v>
      </c>
      <c r="S945" s="102">
        <v>2.86592964194444E-2</v>
      </c>
      <c r="T945" s="79">
        <v>1.22444810499545E-2</v>
      </c>
      <c r="U945" s="79">
        <v>1.9307428091272401E-2</v>
      </c>
      <c r="V945" s="79">
        <v>4.74488434926396E-2</v>
      </c>
      <c r="W945" s="79">
        <v>1</v>
      </c>
    </row>
    <row r="946" spans="2:23" x14ac:dyDescent="0.2">
      <c r="B946" t="s">
        <v>555</v>
      </c>
      <c r="C946" s="84">
        <v>5022</v>
      </c>
      <c r="D946" s="102">
        <v>3.4894574709173599E-2</v>
      </c>
      <c r="E946" s="79">
        <v>1.31028071507576E-2</v>
      </c>
      <c r="F946" s="79">
        <v>7.7705741400817298E-3</v>
      </c>
      <c r="G946" s="79">
        <v>0.38801325087508498</v>
      </c>
      <c r="H946" s="79">
        <v>1</v>
      </c>
      <c r="I946" s="102">
        <v>-7.3627750669385096E-3</v>
      </c>
      <c r="J946" s="79">
        <v>1.3196694511653799E-2</v>
      </c>
      <c r="K946" s="79">
        <v>0.57692323516911204</v>
      </c>
      <c r="L946" s="79">
        <v>0.86249050978055197</v>
      </c>
      <c r="M946" s="79">
        <v>1</v>
      </c>
      <c r="N946" s="102">
        <v>-1.80359182752526E-2</v>
      </c>
      <c r="O946" s="79">
        <v>1.3010003172125899E-2</v>
      </c>
      <c r="P946" s="79">
        <v>0.16572319457448201</v>
      </c>
      <c r="Q946" s="79">
        <v>0.25993989963812297</v>
      </c>
      <c r="R946" s="79">
        <v>1</v>
      </c>
      <c r="S946" s="102">
        <v>-1.2608324595494101E-2</v>
      </c>
      <c r="T946" s="79">
        <v>1.3050278689160401E-2</v>
      </c>
      <c r="U946" s="79">
        <v>0.33402984043900902</v>
      </c>
      <c r="V946" s="79">
        <v>0.45051476887235797</v>
      </c>
      <c r="W946" s="79">
        <v>1</v>
      </c>
    </row>
    <row r="947" spans="2:23" x14ac:dyDescent="0.2">
      <c r="B947" t="s">
        <v>556</v>
      </c>
      <c r="C947" s="84">
        <v>5022</v>
      </c>
      <c r="D947" s="102">
        <v>1.6926485461157E-2</v>
      </c>
      <c r="E947" s="79">
        <v>1.3243089599622899E-2</v>
      </c>
      <c r="F947" s="79">
        <v>0.20126858399060699</v>
      </c>
      <c r="G947" s="79">
        <v>0.83003013605610498</v>
      </c>
      <c r="H947" s="79">
        <v>1</v>
      </c>
      <c r="I947" s="102">
        <v>-1.3625298133827299E-2</v>
      </c>
      <c r="J947" s="79">
        <v>1.3316351048135999E-2</v>
      </c>
      <c r="K947" s="79">
        <v>0.30626755686759199</v>
      </c>
      <c r="L947" s="79">
        <v>0.712776365212754</v>
      </c>
      <c r="M947" s="79">
        <v>1</v>
      </c>
      <c r="N947" s="102">
        <v>2.8995980905497699E-2</v>
      </c>
      <c r="O947" s="79">
        <v>1.31366564039482E-2</v>
      </c>
      <c r="P947" s="79">
        <v>2.7347074237947199E-2</v>
      </c>
      <c r="Q947" s="79">
        <v>6.2433886467766299E-2</v>
      </c>
      <c r="R947" s="79">
        <v>1</v>
      </c>
      <c r="S947" s="102">
        <v>3.5982415969077398E-2</v>
      </c>
      <c r="T947" s="79">
        <v>1.31714363513702E-2</v>
      </c>
      <c r="U947" s="79">
        <v>6.32239670671859E-3</v>
      </c>
      <c r="V947" s="79">
        <v>1.9402427574603798E-2</v>
      </c>
      <c r="W947" s="79">
        <v>1</v>
      </c>
    </row>
    <row r="948" spans="2:23" x14ac:dyDescent="0.2">
      <c r="B948" t="s">
        <v>557</v>
      </c>
      <c r="C948" s="84">
        <v>5022</v>
      </c>
      <c r="D948" s="102">
        <v>-7.9304815165453894E-3</v>
      </c>
      <c r="E948" s="79">
        <v>1.2585128412462799E-2</v>
      </c>
      <c r="F948" s="79">
        <v>0.52863648479962999</v>
      </c>
      <c r="G948" s="79">
        <v>0.92176676956083303</v>
      </c>
      <c r="H948" s="79">
        <v>1</v>
      </c>
      <c r="I948" s="102">
        <v>-4.4653200212083999E-4</v>
      </c>
      <c r="J948" s="79">
        <v>1.26989020648564E-2</v>
      </c>
      <c r="K948" s="79">
        <v>0.97195150255242302</v>
      </c>
      <c r="L948" s="79">
        <v>0.99619861768249496</v>
      </c>
      <c r="M948" s="79">
        <v>1</v>
      </c>
      <c r="N948" s="102">
        <v>2.9473063767636701E-2</v>
      </c>
      <c r="O948" s="79">
        <v>1.24945622004506E-2</v>
      </c>
      <c r="P948" s="79">
        <v>1.83805210298493E-2</v>
      </c>
      <c r="Q948" s="79">
        <v>4.5654842558012797E-2</v>
      </c>
      <c r="R948" s="79">
        <v>1</v>
      </c>
      <c r="S948" s="102">
        <v>2.68362769485424E-2</v>
      </c>
      <c r="T948" s="79">
        <v>1.25498001079394E-2</v>
      </c>
      <c r="U948" s="79">
        <v>3.2547092974442901E-2</v>
      </c>
      <c r="V948" s="79">
        <v>7.38082670665412E-2</v>
      </c>
      <c r="W948" s="79">
        <v>1</v>
      </c>
    </row>
    <row r="949" spans="2:23" x14ac:dyDescent="0.2">
      <c r="B949" t="s">
        <v>558</v>
      </c>
      <c r="C949" s="84">
        <v>5022</v>
      </c>
      <c r="D949" s="102">
        <v>-1.5734912928855799E-3</v>
      </c>
      <c r="E949" s="79">
        <v>1.2851769394184099E-2</v>
      </c>
      <c r="F949" s="79">
        <v>0.90256169127666896</v>
      </c>
      <c r="G949" s="79">
        <v>0.99533029194181499</v>
      </c>
      <c r="H949" s="79">
        <v>1</v>
      </c>
      <c r="I949" s="102">
        <v>3.9416255476654501E-3</v>
      </c>
      <c r="J949" s="79">
        <v>1.29566940547606E-2</v>
      </c>
      <c r="K949" s="79">
        <v>0.76097914767185204</v>
      </c>
      <c r="L949" s="79">
        <v>0.92637153989923704</v>
      </c>
      <c r="M949" s="79">
        <v>1</v>
      </c>
      <c r="N949" s="102">
        <v>2.0411192547905902E-3</v>
      </c>
      <c r="O949" s="79">
        <v>1.27581574948404E-2</v>
      </c>
      <c r="P949" s="79">
        <v>0.87290065313117804</v>
      </c>
      <c r="Q949" s="79">
        <v>0.91578511225577597</v>
      </c>
      <c r="R949" s="79">
        <v>1</v>
      </c>
      <c r="S949" s="102">
        <v>-1.17533238342746E-2</v>
      </c>
      <c r="T949" s="79">
        <v>1.28095854996824E-2</v>
      </c>
      <c r="U949" s="79">
        <v>0.35891313200288699</v>
      </c>
      <c r="V949" s="79">
        <v>0.47537048132360499</v>
      </c>
      <c r="W949" s="79">
        <v>1</v>
      </c>
    </row>
    <row r="950" spans="2:23" x14ac:dyDescent="0.2">
      <c r="B950" t="s">
        <v>464</v>
      </c>
      <c r="C950" s="84">
        <v>5018</v>
      </c>
      <c r="D950" s="102">
        <v>-2.7679137550149099E-3</v>
      </c>
      <c r="E950" s="79">
        <v>1.3148088378800301E-2</v>
      </c>
      <c r="F950" s="79">
        <v>0.83327357976451599</v>
      </c>
      <c r="G950" s="79">
        <v>0.99362338620020496</v>
      </c>
      <c r="H950" s="79">
        <v>1</v>
      </c>
      <c r="I950" s="102">
        <v>-1.7929729333051501E-2</v>
      </c>
      <c r="J950" s="79">
        <v>1.3237398937411399E-2</v>
      </c>
      <c r="K950" s="79">
        <v>0.17565627505272999</v>
      </c>
      <c r="L950" s="79">
        <v>0.61396896490869202</v>
      </c>
      <c r="M950" s="79">
        <v>1</v>
      </c>
      <c r="N950" s="102">
        <v>1.8599020717311E-2</v>
      </c>
      <c r="O950" s="79">
        <v>1.3048813442457599E-2</v>
      </c>
      <c r="P950" s="79">
        <v>0.15413345125703301</v>
      </c>
      <c r="Q950" s="79">
        <v>0.24516625955813501</v>
      </c>
      <c r="R950" s="79">
        <v>1</v>
      </c>
      <c r="S950" s="102">
        <v>1.39139152960879E-2</v>
      </c>
      <c r="T950" s="79">
        <v>1.30947067842687E-2</v>
      </c>
      <c r="U950" s="79">
        <v>0.28804174342703198</v>
      </c>
      <c r="V950" s="79">
        <v>0.40192974741795101</v>
      </c>
      <c r="W950" s="79">
        <v>1</v>
      </c>
    </row>
    <row r="951" spans="2:23" x14ac:dyDescent="0.2">
      <c r="B951" t="s">
        <v>559</v>
      </c>
      <c r="C951" s="84">
        <v>5022</v>
      </c>
      <c r="D951" s="102">
        <v>-1.56123868603927E-2</v>
      </c>
      <c r="E951" s="79">
        <v>1.28282101369376E-2</v>
      </c>
      <c r="F951" s="79">
        <v>0.223663358070079</v>
      </c>
      <c r="G951" s="79">
        <v>0.84071215771938901</v>
      </c>
      <c r="H951" s="79">
        <v>1</v>
      </c>
      <c r="I951" s="102">
        <v>3.71618655453861E-2</v>
      </c>
      <c r="J951" s="79">
        <v>1.29179101064701E-2</v>
      </c>
      <c r="K951" s="79">
        <v>4.03827393761953E-3</v>
      </c>
      <c r="L951" s="79">
        <v>0.141434127611064</v>
      </c>
      <c r="M951" s="79">
        <v>1</v>
      </c>
      <c r="N951" s="102">
        <v>9.7536179123380602E-3</v>
      </c>
      <c r="O951" s="79">
        <v>1.2733960804006199E-2</v>
      </c>
      <c r="P951" s="79">
        <v>0.44374936996130199</v>
      </c>
      <c r="Q951" s="79">
        <v>0.561023544280148</v>
      </c>
      <c r="R951" s="79">
        <v>1</v>
      </c>
      <c r="S951" s="102">
        <v>2.7856716814961598E-2</v>
      </c>
      <c r="T951" s="79">
        <v>1.27743975124299E-2</v>
      </c>
      <c r="U951" s="79">
        <v>2.9264826447370801E-2</v>
      </c>
      <c r="V951" s="79">
        <v>6.7632491134851494E-2</v>
      </c>
      <c r="W951" s="79">
        <v>1</v>
      </c>
    </row>
    <row r="952" spans="2:23" x14ac:dyDescent="0.2">
      <c r="B952" t="s">
        <v>560</v>
      </c>
      <c r="C952" s="84">
        <v>5022</v>
      </c>
      <c r="D952" s="102">
        <v>4.2278806687224002E-3</v>
      </c>
      <c r="E952" s="79">
        <v>1.2572467976293E-2</v>
      </c>
      <c r="F952" s="79">
        <v>0.73667828633969301</v>
      </c>
      <c r="G952" s="79">
        <v>0.97725225651372905</v>
      </c>
      <c r="H952" s="79">
        <v>1</v>
      </c>
      <c r="I952" s="102">
        <v>2.4623308528606301E-2</v>
      </c>
      <c r="J952" s="79">
        <v>1.26825252019404E-2</v>
      </c>
      <c r="K952" s="79">
        <v>5.2268667076589399E-2</v>
      </c>
      <c r="L952" s="79">
        <v>0.40992186123954799</v>
      </c>
      <c r="M952" s="79">
        <v>1</v>
      </c>
      <c r="N952" s="102">
        <v>2.50410070400694E-2</v>
      </c>
      <c r="O952" s="79">
        <v>1.24854817620499E-2</v>
      </c>
      <c r="P952" s="79">
        <v>4.4970067520890701E-2</v>
      </c>
      <c r="Q952" s="79">
        <v>9.3161155792800404E-2</v>
      </c>
      <c r="R952" s="79">
        <v>1</v>
      </c>
      <c r="S952" s="102">
        <v>4.1096216274080798E-2</v>
      </c>
      <c r="T952" s="79">
        <v>1.25448503897715E-2</v>
      </c>
      <c r="U952" s="79">
        <v>1.06244637479845E-3</v>
      </c>
      <c r="V952" s="79">
        <v>4.7114768557816097E-3</v>
      </c>
      <c r="W952" s="79">
        <v>1</v>
      </c>
    </row>
    <row r="953" spans="2:23" x14ac:dyDescent="0.2">
      <c r="B953" t="s">
        <v>561</v>
      </c>
      <c r="C953" s="84">
        <v>5022</v>
      </c>
      <c r="D953" s="102">
        <v>1.16023531988488E-2</v>
      </c>
      <c r="E953" s="79">
        <v>1.3256246567379599E-2</v>
      </c>
      <c r="F953" s="79">
        <v>0.38149454921050002</v>
      </c>
      <c r="G953" s="79">
        <v>0.89461055933914202</v>
      </c>
      <c r="H953" s="79">
        <v>1</v>
      </c>
      <c r="I953" s="102">
        <v>1.40510248286848E-2</v>
      </c>
      <c r="J953" s="79">
        <v>1.33398418993039E-2</v>
      </c>
      <c r="K953" s="79">
        <v>0.29225528385920502</v>
      </c>
      <c r="L953" s="79">
        <v>0.70524280748930701</v>
      </c>
      <c r="M953" s="79">
        <v>1</v>
      </c>
      <c r="N953" s="102">
        <v>3.3299754108502798E-2</v>
      </c>
      <c r="O953" s="79">
        <v>1.3145896434503999E-2</v>
      </c>
      <c r="P953" s="79">
        <v>1.1341399494958999E-2</v>
      </c>
      <c r="Q953" s="79">
        <v>3.0739729191136898E-2</v>
      </c>
      <c r="R953" s="79">
        <v>1</v>
      </c>
      <c r="S953" s="102">
        <v>4.8620888730586898E-2</v>
      </c>
      <c r="T953" s="79">
        <v>1.3180943682233401E-2</v>
      </c>
      <c r="U953" s="79">
        <v>2.2810411967997399E-4</v>
      </c>
      <c r="V953" s="79">
        <v>1.40143017698721E-3</v>
      </c>
      <c r="W953" s="79">
        <v>0.38640837873787598</v>
      </c>
    </row>
    <row r="954" spans="2:23" x14ac:dyDescent="0.2">
      <c r="B954" t="s">
        <v>562</v>
      </c>
      <c r="C954" s="84">
        <v>5022</v>
      </c>
      <c r="D954" s="102">
        <v>-1.3218929998077901E-2</v>
      </c>
      <c r="E954" s="79">
        <v>1.21941311849265E-2</v>
      </c>
      <c r="F954" s="79">
        <v>0.27842124751463398</v>
      </c>
      <c r="G954" s="79">
        <v>0.86861170490914397</v>
      </c>
      <c r="H954" s="79">
        <v>1</v>
      </c>
      <c r="I954" s="102">
        <v>-2.9322112778688202E-2</v>
      </c>
      <c r="J954" s="79">
        <v>1.23076407448006E-2</v>
      </c>
      <c r="K954" s="79">
        <v>1.7249012322121001E-2</v>
      </c>
      <c r="L954" s="79">
        <v>0.26425492253953897</v>
      </c>
      <c r="M954" s="79">
        <v>1</v>
      </c>
      <c r="N954" s="102">
        <v>4.0139007242197003E-2</v>
      </c>
      <c r="O954" s="79">
        <v>1.2102415073452499E-2</v>
      </c>
      <c r="P954" s="79">
        <v>9.2028982724802401E-4</v>
      </c>
      <c r="Q954" s="79">
        <v>4.12426181840781E-3</v>
      </c>
      <c r="R954" s="79">
        <v>1</v>
      </c>
      <c r="S954" s="102">
        <v>2.59026358502327E-2</v>
      </c>
      <c r="T954" s="79">
        <v>1.21809740531008E-2</v>
      </c>
      <c r="U954" s="79">
        <v>3.3529453256490399E-2</v>
      </c>
      <c r="V954" s="79">
        <v>7.5130811926580401E-2</v>
      </c>
      <c r="W954" s="79">
        <v>1</v>
      </c>
    </row>
    <row r="955" spans="2:23" x14ac:dyDescent="0.2">
      <c r="B955" t="s">
        <v>563</v>
      </c>
      <c r="C955" s="84">
        <v>5022</v>
      </c>
      <c r="D955" s="102">
        <v>1.0771632723817599E-2</v>
      </c>
      <c r="E955" s="79">
        <v>1.31351131315316E-2</v>
      </c>
      <c r="F955" s="79">
        <v>0.41222594916588801</v>
      </c>
      <c r="G955" s="79">
        <v>0.89561567502544503</v>
      </c>
      <c r="H955" s="79">
        <v>1</v>
      </c>
      <c r="I955" s="102">
        <v>1.56240213941786E-2</v>
      </c>
      <c r="J955" s="79">
        <v>1.3220449129096999E-2</v>
      </c>
      <c r="K955" s="79">
        <v>0.23734624049900699</v>
      </c>
      <c r="L955" s="79">
        <v>0.66456947339721995</v>
      </c>
      <c r="M955" s="79">
        <v>1</v>
      </c>
      <c r="N955" s="102">
        <v>4.3550978886214502E-2</v>
      </c>
      <c r="O955" s="79">
        <v>1.3025929204653E-2</v>
      </c>
      <c r="P955" s="79">
        <v>8.3468276691147996E-4</v>
      </c>
      <c r="Q955" s="79">
        <v>3.7907576599143398E-3</v>
      </c>
      <c r="R955" s="79">
        <v>1</v>
      </c>
      <c r="S955" s="107">
        <v>6.6662427714932707E-2</v>
      </c>
      <c r="T955" s="81">
        <v>1.3046556964508E-2</v>
      </c>
      <c r="U955" s="81">
        <v>3.3666388897385699E-7</v>
      </c>
      <c r="V955" s="81">
        <v>6.8711882882134204E-6</v>
      </c>
      <c r="W955" s="81">
        <v>5.7030862792171403E-4</v>
      </c>
    </row>
    <row r="956" spans="2:23" x14ac:dyDescent="0.2">
      <c r="B956" t="s">
        <v>564</v>
      </c>
      <c r="C956" s="84">
        <v>5022</v>
      </c>
      <c r="D956" s="102">
        <v>1.8971136082013101E-2</v>
      </c>
      <c r="E956" s="79">
        <v>1.2621689737839999E-2</v>
      </c>
      <c r="F956" s="79">
        <v>0.13290803741694501</v>
      </c>
      <c r="G956" s="79">
        <v>0.80938271582532695</v>
      </c>
      <c r="H956" s="79">
        <v>1</v>
      </c>
      <c r="I956" s="102">
        <v>9.2883042899884801E-3</v>
      </c>
      <c r="J956" s="79">
        <v>1.27405454325918E-2</v>
      </c>
      <c r="K956" s="79">
        <v>0.46602342018418302</v>
      </c>
      <c r="L956" s="79">
        <v>0.799032058493933</v>
      </c>
      <c r="M956" s="79">
        <v>1</v>
      </c>
      <c r="N956" s="102">
        <v>1.21988174571553E-2</v>
      </c>
      <c r="O956" s="79">
        <v>1.2540316397373999E-2</v>
      </c>
      <c r="P956" s="79">
        <v>0.33073032354571702</v>
      </c>
      <c r="Q956" s="79">
        <v>0.44748975086776699</v>
      </c>
      <c r="R956" s="79">
        <v>1</v>
      </c>
      <c r="S956" s="107">
        <v>5.36859569495544E-2</v>
      </c>
      <c r="T956" s="81">
        <v>1.2581850294497E-2</v>
      </c>
      <c r="U956" s="81">
        <v>2.02844575356589E-5</v>
      </c>
      <c r="V956" s="81">
        <v>2.13427770592585E-4</v>
      </c>
      <c r="W956" s="81">
        <v>3.4361871065406203E-2</v>
      </c>
    </row>
    <row r="957" spans="2:23" x14ac:dyDescent="0.2">
      <c r="B957" t="s">
        <v>565</v>
      </c>
      <c r="C957" s="84">
        <v>5022</v>
      </c>
      <c r="D957" s="102">
        <v>-3.1044573660865198E-2</v>
      </c>
      <c r="E957" s="79">
        <v>1.2125562929049699E-2</v>
      </c>
      <c r="F957" s="79">
        <v>1.0502775034634799E-2</v>
      </c>
      <c r="G957" s="79">
        <v>0.45619745919670102</v>
      </c>
      <c r="H957" s="79">
        <v>1</v>
      </c>
      <c r="I957" s="102">
        <v>-1.508217601917E-2</v>
      </c>
      <c r="J957" s="79">
        <v>1.22656401434846E-2</v>
      </c>
      <c r="K957" s="79">
        <v>0.21891787137553401</v>
      </c>
      <c r="L957" s="79">
        <v>0.65175197558902398</v>
      </c>
      <c r="M957" s="79">
        <v>1</v>
      </c>
      <c r="N957" s="102">
        <v>2.6060864280536701E-2</v>
      </c>
      <c r="O957" s="79">
        <v>1.2060843580125E-2</v>
      </c>
      <c r="P957" s="79">
        <v>3.0781407430398301E-2</v>
      </c>
      <c r="Q957" s="79">
        <v>6.8610137088282494E-2</v>
      </c>
      <c r="R957" s="79">
        <v>1</v>
      </c>
      <c r="S957" s="102">
        <v>3.3235679870899801E-2</v>
      </c>
      <c r="T957" s="79">
        <v>1.2128199307351799E-2</v>
      </c>
      <c r="U957" s="79">
        <v>6.1680047262399999E-3</v>
      </c>
      <c r="V957" s="79">
        <v>1.9066788332574001E-2</v>
      </c>
      <c r="W957" s="79">
        <v>1</v>
      </c>
    </row>
    <row r="958" spans="2:23" x14ac:dyDescent="0.2">
      <c r="B958" t="s">
        <v>566</v>
      </c>
      <c r="C958" s="84">
        <v>5022</v>
      </c>
      <c r="D958" s="102">
        <v>1.0556071158450401E-2</v>
      </c>
      <c r="E958" s="79">
        <v>1.2884456625567101E-2</v>
      </c>
      <c r="F958" s="79">
        <v>0.41267173087159398</v>
      </c>
      <c r="G958" s="79">
        <v>0.89561567502544503</v>
      </c>
      <c r="H958" s="79">
        <v>1</v>
      </c>
      <c r="I958" s="102">
        <v>-8.8295989833380092E-3</v>
      </c>
      <c r="J958" s="79">
        <v>1.29898056411829E-2</v>
      </c>
      <c r="K958" s="79">
        <v>0.49671140758357402</v>
      </c>
      <c r="L958" s="79">
        <v>0.81806688763786795</v>
      </c>
      <c r="M958" s="79">
        <v>1</v>
      </c>
      <c r="N958" s="102">
        <v>2.2980475902749001E-2</v>
      </c>
      <c r="O958" s="79">
        <v>1.27863534004511E-2</v>
      </c>
      <c r="P958" s="79">
        <v>7.23685113435526E-2</v>
      </c>
      <c r="Q958" s="79">
        <v>0.13712334734914999</v>
      </c>
      <c r="R958" s="79">
        <v>1</v>
      </c>
      <c r="S958" s="102">
        <v>4.62934633983288E-2</v>
      </c>
      <c r="T958" s="79">
        <v>1.2826032448904699E-2</v>
      </c>
      <c r="U958" s="79">
        <v>3.10630217775952E-4</v>
      </c>
      <c r="V958" s="79">
        <v>1.78982173099477E-3</v>
      </c>
      <c r="W958" s="79">
        <v>0.526207588912463</v>
      </c>
    </row>
    <row r="959" spans="2:23" x14ac:dyDescent="0.2">
      <c r="B959" t="s">
        <v>567</v>
      </c>
      <c r="C959" s="84">
        <v>5022</v>
      </c>
      <c r="D959" s="102">
        <v>1.9494654969166201E-3</v>
      </c>
      <c r="E959" s="79">
        <v>1.2420806263709099E-2</v>
      </c>
      <c r="F959" s="79">
        <v>0.87529188548506598</v>
      </c>
      <c r="G959" s="79">
        <v>0.99362338620020496</v>
      </c>
      <c r="H959" s="79">
        <v>1</v>
      </c>
      <c r="I959" s="102">
        <v>3.23659789306169E-2</v>
      </c>
      <c r="J959" s="79">
        <v>1.25231862663614E-2</v>
      </c>
      <c r="K959" s="79">
        <v>9.7901266860265998E-3</v>
      </c>
      <c r="L959" s="79">
        <v>0.193041426963559</v>
      </c>
      <c r="M959" s="79">
        <v>1</v>
      </c>
      <c r="N959" s="102">
        <v>-2.5283144423699998E-3</v>
      </c>
      <c r="O959" s="79">
        <v>1.2334501121880901E-2</v>
      </c>
      <c r="P959" s="79">
        <v>0.83760005167066398</v>
      </c>
      <c r="Q959" s="79">
        <v>0.89014710635514704</v>
      </c>
      <c r="R959" s="79">
        <v>1</v>
      </c>
      <c r="S959" s="102">
        <v>1.6180581172456202E-2</v>
      </c>
      <c r="T959" s="79">
        <v>1.2402583800831399E-2</v>
      </c>
      <c r="U959" s="79">
        <v>0.192105029642582</v>
      </c>
      <c r="V959" s="79">
        <v>0.292271098706822</v>
      </c>
      <c r="W959" s="79">
        <v>1</v>
      </c>
    </row>
    <row r="960" spans="2:23" x14ac:dyDescent="0.2">
      <c r="B960" t="s">
        <v>465</v>
      </c>
      <c r="C960" s="84">
        <v>5018</v>
      </c>
      <c r="D960" s="102">
        <v>-1.12987044411075E-3</v>
      </c>
      <c r="E960" s="79">
        <v>1.22317253013224E-2</v>
      </c>
      <c r="F960" s="79">
        <v>0.92640770843086395</v>
      </c>
      <c r="G960" s="79">
        <v>0.99840985319461195</v>
      </c>
      <c r="H960" s="79">
        <v>1</v>
      </c>
      <c r="I960" s="102">
        <v>9.6266014597984392E-3</v>
      </c>
      <c r="J960" s="79">
        <v>1.23613998066776E-2</v>
      </c>
      <c r="K960" s="79">
        <v>0.43616949816505202</v>
      </c>
      <c r="L960" s="79">
        <v>0.78893272642295398</v>
      </c>
      <c r="M960" s="79">
        <v>1</v>
      </c>
      <c r="N960" s="102">
        <v>3.35230077129169E-2</v>
      </c>
      <c r="O960" s="79">
        <v>1.2150837921972199E-2</v>
      </c>
      <c r="P960" s="79">
        <v>5.8293959532661104E-3</v>
      </c>
      <c r="Q960" s="79">
        <v>1.80860746242359E-2</v>
      </c>
      <c r="R960" s="79">
        <v>1</v>
      </c>
      <c r="S960" s="102">
        <v>2.7923359786990998E-2</v>
      </c>
      <c r="T960" s="79">
        <v>1.2220958018643299E-2</v>
      </c>
      <c r="U960" s="79">
        <v>2.2377377560279899E-2</v>
      </c>
      <c r="V960" s="79">
        <v>5.3845564754423501E-2</v>
      </c>
      <c r="W960" s="79">
        <v>1</v>
      </c>
    </row>
    <row r="961" spans="2:23" x14ac:dyDescent="0.2">
      <c r="B961" t="s">
        <v>568</v>
      </c>
      <c r="C961" s="84">
        <v>5022</v>
      </c>
      <c r="D961" s="102">
        <v>-3.9404770965951297E-4</v>
      </c>
      <c r="E961" s="79">
        <v>1.22098637216416E-2</v>
      </c>
      <c r="F961" s="79">
        <v>0.97425631057109696</v>
      </c>
      <c r="G961" s="79">
        <v>0.99840985319461195</v>
      </c>
      <c r="H961" s="79">
        <v>1</v>
      </c>
      <c r="I961" s="102">
        <v>-1.8701250943971401E-3</v>
      </c>
      <c r="J961" s="79">
        <v>1.23443582091699E-2</v>
      </c>
      <c r="K961" s="79">
        <v>0.879592683248408</v>
      </c>
      <c r="L961" s="79">
        <v>0.97367036309529298</v>
      </c>
      <c r="M961" s="79">
        <v>1</v>
      </c>
      <c r="N961" s="102">
        <v>1.7900346263189301E-2</v>
      </c>
      <c r="O961" s="79">
        <v>1.21319053731948E-2</v>
      </c>
      <c r="P961" s="79">
        <v>0.14017538663750601</v>
      </c>
      <c r="Q961" s="79">
        <v>0.22702613864778101</v>
      </c>
      <c r="R961" s="79">
        <v>1</v>
      </c>
      <c r="S961" s="102">
        <v>3.04613974190307E-2</v>
      </c>
      <c r="T961" s="79">
        <v>1.2190587882031E-2</v>
      </c>
      <c r="U961" s="79">
        <v>1.2507424763011799E-2</v>
      </c>
      <c r="V961" s="79">
        <v>3.3321893414887303E-2</v>
      </c>
      <c r="W961" s="79">
        <v>1</v>
      </c>
    </row>
    <row r="962" spans="2:23" x14ac:dyDescent="0.2">
      <c r="B962" t="s">
        <v>569</v>
      </c>
      <c r="C962" s="84">
        <v>5022</v>
      </c>
      <c r="D962" s="102">
        <v>-8.8919043888529004E-3</v>
      </c>
      <c r="E962" s="79">
        <v>1.21579721518488E-2</v>
      </c>
      <c r="F962" s="79">
        <v>0.46460745657122798</v>
      </c>
      <c r="G962" s="79">
        <v>0.91151047511105199</v>
      </c>
      <c r="H962" s="79">
        <v>1</v>
      </c>
      <c r="I962" s="102">
        <v>4.5782508597711997E-2</v>
      </c>
      <c r="J962" s="79">
        <v>1.22552029681817E-2</v>
      </c>
      <c r="K962" s="79">
        <v>1.90096729749892E-4</v>
      </c>
      <c r="L962" s="79">
        <v>4.9801986036422601E-2</v>
      </c>
      <c r="M962" s="79">
        <v>0.32202386019631701</v>
      </c>
      <c r="N962" s="102">
        <v>1.45772196135702E-3</v>
      </c>
      <c r="O962" s="79">
        <v>1.20781747852427E-2</v>
      </c>
      <c r="P962" s="79">
        <v>0.90394319163772696</v>
      </c>
      <c r="Q962" s="79">
        <v>0.93656254840018904</v>
      </c>
      <c r="R962" s="79">
        <v>1</v>
      </c>
      <c r="S962" s="102">
        <v>4.33255719790153E-2</v>
      </c>
      <c r="T962" s="79">
        <v>1.21270780176586E-2</v>
      </c>
      <c r="U962" s="79">
        <v>3.5813142853254601E-4</v>
      </c>
      <c r="V962" s="79">
        <v>1.9890971801119102E-3</v>
      </c>
      <c r="W962" s="79">
        <v>0.60667463993413295</v>
      </c>
    </row>
    <row r="963" spans="2:23" x14ac:dyDescent="0.2">
      <c r="B963" t="s">
        <v>571</v>
      </c>
      <c r="C963" s="84">
        <v>5022</v>
      </c>
      <c r="D963" s="102">
        <v>5.1071038448471801E-3</v>
      </c>
      <c r="E963" s="79">
        <v>1.29382092997944E-2</v>
      </c>
      <c r="F963" s="79">
        <v>0.69306262691541498</v>
      </c>
      <c r="G963" s="79">
        <v>0.969323693033459</v>
      </c>
      <c r="H963" s="79">
        <v>1</v>
      </c>
      <c r="I963" s="102">
        <v>-5.4756212755255795E-4</v>
      </c>
      <c r="J963" s="79">
        <v>1.30346617118395E-2</v>
      </c>
      <c r="K963" s="79">
        <v>0.96649417378594504</v>
      </c>
      <c r="L963" s="79">
        <v>0.99551534580938295</v>
      </c>
      <c r="M963" s="79">
        <v>1</v>
      </c>
      <c r="N963" s="102">
        <v>-3.2923354342298802E-2</v>
      </c>
      <c r="O963" s="79">
        <v>1.28409279214953E-2</v>
      </c>
      <c r="P963" s="79">
        <v>1.0384355677637999E-2</v>
      </c>
      <c r="Q963" s="79">
        <v>2.8743625029279001E-2</v>
      </c>
      <c r="R963" s="79">
        <v>1</v>
      </c>
      <c r="S963" s="107">
        <v>-6.6218787997296594E-2</v>
      </c>
      <c r="T963" s="81">
        <v>1.2855708283058501E-2</v>
      </c>
      <c r="U963" s="81">
        <v>2.7107981736594898E-7</v>
      </c>
      <c r="V963" s="81">
        <v>5.7401151327239698E-6</v>
      </c>
      <c r="W963" s="81">
        <v>4.5920921061791799E-4</v>
      </c>
    </row>
    <row r="964" spans="2:23" x14ac:dyDescent="0.2">
      <c r="B964" t="s">
        <v>572</v>
      </c>
      <c r="C964" s="84">
        <v>5022</v>
      </c>
      <c r="D964" s="102">
        <v>1.53726067301724E-3</v>
      </c>
      <c r="E964" s="79">
        <v>1.44819906047875E-2</v>
      </c>
      <c r="F964" s="79">
        <v>0.91546788226965403</v>
      </c>
      <c r="G964" s="79">
        <v>0.99533029194181499</v>
      </c>
      <c r="H964" s="79">
        <v>1</v>
      </c>
      <c r="I964" s="102">
        <v>3.9513310505988802E-2</v>
      </c>
      <c r="J964" s="79">
        <v>1.44653456458868E-2</v>
      </c>
      <c r="K964" s="79">
        <v>6.32589106641344E-3</v>
      </c>
      <c r="L964" s="79">
        <v>0.14883415925700499</v>
      </c>
      <c r="M964" s="79">
        <v>1</v>
      </c>
      <c r="N964" s="102">
        <v>5.4831854786054297E-2</v>
      </c>
      <c r="O964" s="79">
        <v>1.43417614603331E-2</v>
      </c>
      <c r="P964" s="79">
        <v>1.33367927064106E-4</v>
      </c>
      <c r="Q964" s="79">
        <v>8.7567933506432403E-4</v>
      </c>
      <c r="R964" s="79">
        <v>0.22592526844659599</v>
      </c>
      <c r="S964" s="102">
        <v>5.2075942755226E-2</v>
      </c>
      <c r="T964" s="79">
        <v>1.43358664949462E-2</v>
      </c>
      <c r="U964" s="79">
        <v>2.8352261394966902E-4</v>
      </c>
      <c r="V964" s="79">
        <v>1.6618937994143199E-3</v>
      </c>
      <c r="W964" s="79">
        <v>0.48028730803073899</v>
      </c>
    </row>
    <row r="965" spans="2:23" x14ac:dyDescent="0.2">
      <c r="B965" t="s">
        <v>573</v>
      </c>
      <c r="C965" s="84">
        <v>5022</v>
      </c>
      <c r="D965" s="102">
        <v>-8.1992835215111796E-3</v>
      </c>
      <c r="E965" s="79">
        <v>1.2644872791889E-2</v>
      </c>
      <c r="F965" s="79">
        <v>0.51675188525054705</v>
      </c>
      <c r="G965" s="79">
        <v>0.91854952110642896</v>
      </c>
      <c r="H965" s="79">
        <v>1</v>
      </c>
      <c r="I965" s="102">
        <v>1.3291957256923E-2</v>
      </c>
      <c r="J965" s="79">
        <v>1.2746671172300401E-2</v>
      </c>
      <c r="K965" s="79">
        <v>0.29712124613309898</v>
      </c>
      <c r="L965" s="79">
        <v>0.70592340946629695</v>
      </c>
      <c r="M965" s="79">
        <v>1</v>
      </c>
      <c r="N965" s="102">
        <v>2.9144229818266601E-2</v>
      </c>
      <c r="O965" s="79">
        <v>1.23437368656473E-2</v>
      </c>
      <c r="P965" s="79">
        <v>1.82802703607476E-2</v>
      </c>
      <c r="Q965" s="79">
        <v>4.5472508063298701E-2</v>
      </c>
      <c r="R965" s="79">
        <v>1</v>
      </c>
      <c r="S965" s="102">
        <v>3.31689098210802E-2</v>
      </c>
      <c r="T965" s="79">
        <v>1.26060549638952E-2</v>
      </c>
      <c r="U965" s="79">
        <v>8.5452767627881097E-3</v>
      </c>
      <c r="V965" s="79">
        <v>2.50012069709207E-2</v>
      </c>
      <c r="W965" s="79">
        <v>1</v>
      </c>
    </row>
    <row r="966" spans="2:23" x14ac:dyDescent="0.2">
      <c r="B966" t="s">
        <v>574</v>
      </c>
      <c r="C966" s="84">
        <v>5022</v>
      </c>
      <c r="D966" s="102">
        <v>7.5233048348829094E-5</v>
      </c>
      <c r="E966" s="79">
        <v>1.3576060267705199E-2</v>
      </c>
      <c r="F966" s="79">
        <v>0.99557874767870302</v>
      </c>
      <c r="G966" s="79">
        <v>0.99962502278478604</v>
      </c>
      <c r="H966" s="79">
        <v>1</v>
      </c>
      <c r="I966" s="102">
        <v>1.29349716497115E-2</v>
      </c>
      <c r="J966" s="79">
        <v>1.37255410509115E-2</v>
      </c>
      <c r="K966" s="79">
        <v>0.34604163997184301</v>
      </c>
      <c r="L966" s="79">
        <v>0.74109458643718196</v>
      </c>
      <c r="M966" s="79">
        <v>1</v>
      </c>
      <c r="N966" s="102">
        <v>1.3483505741739E-2</v>
      </c>
      <c r="O966" s="79">
        <v>1.3487350928176101E-2</v>
      </c>
      <c r="P966" s="79">
        <v>0.31750886733892703</v>
      </c>
      <c r="Q966" s="79">
        <v>0.43236336115124002</v>
      </c>
      <c r="R966" s="79">
        <v>1</v>
      </c>
      <c r="S966" s="102">
        <v>2.10460794919867E-2</v>
      </c>
      <c r="T966" s="79">
        <v>1.36062924247885E-2</v>
      </c>
      <c r="U966" s="79">
        <v>0.121990153898987</v>
      </c>
      <c r="V966" s="79">
        <v>0.2070654516081</v>
      </c>
      <c r="W966" s="79">
        <v>1</v>
      </c>
    </row>
    <row r="967" spans="2:23" x14ac:dyDescent="0.2">
      <c r="B967" t="s">
        <v>466</v>
      </c>
      <c r="C967" s="84">
        <v>5018</v>
      </c>
      <c r="D967" s="102">
        <v>-1.7929028548887501E-2</v>
      </c>
      <c r="E967" s="79">
        <v>1.2930013964988E-2</v>
      </c>
      <c r="F967" s="79">
        <v>0.165633245373315</v>
      </c>
      <c r="G967" s="79">
        <v>0.81796927009920195</v>
      </c>
      <c r="H967" s="79">
        <v>1</v>
      </c>
      <c r="I967" s="102">
        <v>-1.7283896205009101E-3</v>
      </c>
      <c r="J967" s="79">
        <v>1.3027198762252799E-2</v>
      </c>
      <c r="K967" s="79">
        <v>0.89445633438486005</v>
      </c>
      <c r="L967" s="79">
        <v>0.98103349543168095</v>
      </c>
      <c r="M967" s="79">
        <v>1</v>
      </c>
      <c r="N967" s="102">
        <v>3.2016820268738103E-2</v>
      </c>
      <c r="O967" s="79">
        <v>1.28290860943627E-2</v>
      </c>
      <c r="P967" s="79">
        <v>1.2611711761622801E-2</v>
      </c>
      <c r="Q967" s="79">
        <v>3.3644472006596898E-2</v>
      </c>
      <c r="R967" s="79">
        <v>1</v>
      </c>
      <c r="S967" s="102">
        <v>3.4731430208758997E-2</v>
      </c>
      <c r="T967" s="79">
        <v>1.2879317355647299E-2</v>
      </c>
      <c r="U967" s="79">
        <v>7.0311898171352399E-3</v>
      </c>
      <c r="V967" s="79">
        <v>2.1081124867658601E-2</v>
      </c>
      <c r="W967" s="79">
        <v>1</v>
      </c>
    </row>
    <row r="968" spans="2:23" x14ac:dyDescent="0.2">
      <c r="B968" t="s">
        <v>467</v>
      </c>
      <c r="C968" s="84">
        <v>5018</v>
      </c>
      <c r="D968" s="102">
        <v>-7.4570982430324801E-3</v>
      </c>
      <c r="E968" s="79">
        <v>1.2656070636824701E-2</v>
      </c>
      <c r="F968" s="79">
        <v>0.55575521170884301</v>
      </c>
      <c r="G968" s="79">
        <v>0.93167796111031398</v>
      </c>
      <c r="H968" s="79">
        <v>1</v>
      </c>
      <c r="I968" s="102">
        <v>-4.2045042934204099E-3</v>
      </c>
      <c r="J968" s="79">
        <v>1.27728013732665E-2</v>
      </c>
      <c r="K968" s="79">
        <v>0.74203991241943201</v>
      </c>
      <c r="L968" s="79">
        <v>0.91967633960533601</v>
      </c>
      <c r="M968" s="79">
        <v>1</v>
      </c>
      <c r="N968" s="102">
        <v>2.8213097511742599E-2</v>
      </c>
      <c r="O968" s="79">
        <v>1.2560956928509301E-2</v>
      </c>
      <c r="P968" s="79">
        <v>2.47553605312309E-2</v>
      </c>
      <c r="Q968" s="79">
        <v>5.7446001013568698E-2</v>
      </c>
      <c r="R968" s="79">
        <v>1</v>
      </c>
      <c r="S968" s="102">
        <v>2.4810006982174899E-2</v>
      </c>
      <c r="T968" s="79">
        <v>1.2632157661120901E-2</v>
      </c>
      <c r="U968" s="79">
        <v>4.9596756957937999E-2</v>
      </c>
      <c r="V968" s="79">
        <v>0.101347293470141</v>
      </c>
      <c r="W968" s="79">
        <v>1</v>
      </c>
    </row>
    <row r="969" spans="2:23" x14ac:dyDescent="0.2">
      <c r="B969" t="s">
        <v>468</v>
      </c>
      <c r="C969" s="84">
        <v>5018</v>
      </c>
      <c r="D969" s="102">
        <v>-7.7711515200887598E-3</v>
      </c>
      <c r="E969" s="79">
        <v>1.33943182428436E-2</v>
      </c>
      <c r="F969" s="79">
        <v>0.56182082464129501</v>
      </c>
      <c r="G969" s="79">
        <v>0.93167796111031398</v>
      </c>
      <c r="H969" s="79">
        <v>1</v>
      </c>
      <c r="I969" s="102">
        <v>-5.1602619505999201E-3</v>
      </c>
      <c r="J969" s="79">
        <v>1.34617661594847E-2</v>
      </c>
      <c r="K969" s="79">
        <v>0.70149490005203896</v>
      </c>
      <c r="L969" s="79">
        <v>0.90623303456965298</v>
      </c>
      <c r="M969" s="79">
        <v>1</v>
      </c>
      <c r="N969" s="102">
        <v>-1.61808452251202E-2</v>
      </c>
      <c r="O969" s="79">
        <v>1.32805897737132E-2</v>
      </c>
      <c r="P969" s="79">
        <v>0.22314269421344601</v>
      </c>
      <c r="Q969" s="79">
        <v>0.32927153658325597</v>
      </c>
      <c r="R969" s="79">
        <v>1</v>
      </c>
      <c r="S969" s="102">
        <v>-2.33565446712207E-2</v>
      </c>
      <c r="T969" s="79">
        <v>1.3310068993698101E-2</v>
      </c>
      <c r="U969" s="79">
        <v>7.9360322455177407E-2</v>
      </c>
      <c r="V969" s="79">
        <v>0.14628551277374399</v>
      </c>
      <c r="W969" s="79">
        <v>1</v>
      </c>
    </row>
    <row r="970" spans="2:23" x14ac:dyDescent="0.2">
      <c r="B970" t="s">
        <v>469</v>
      </c>
      <c r="C970" s="84">
        <v>5018</v>
      </c>
      <c r="D970" s="102">
        <v>-7.7665393230961204E-3</v>
      </c>
      <c r="E970" s="79">
        <v>1.35637621064461E-2</v>
      </c>
      <c r="F970" s="79">
        <v>0.56694637355529998</v>
      </c>
      <c r="G970" s="79">
        <v>0.93167796111031398</v>
      </c>
      <c r="H970" s="79">
        <v>1</v>
      </c>
      <c r="I970" s="102">
        <v>1.0560967788469501E-2</v>
      </c>
      <c r="J970" s="79">
        <v>1.3608827158893401E-2</v>
      </c>
      <c r="K970" s="79">
        <v>0.437764615989646</v>
      </c>
      <c r="L970" s="79">
        <v>0.78893272642295398</v>
      </c>
      <c r="M970" s="79">
        <v>1</v>
      </c>
      <c r="N970" s="102">
        <v>-1.0134563780402101E-3</v>
      </c>
      <c r="O970" s="79">
        <v>1.34479279150405E-2</v>
      </c>
      <c r="P970" s="79">
        <v>0.93993024269827596</v>
      </c>
      <c r="Q970" s="79">
        <v>0.95729135187049597</v>
      </c>
      <c r="R970" s="79">
        <v>1</v>
      </c>
      <c r="S970" s="102">
        <v>8.9297358105625297E-3</v>
      </c>
      <c r="T970" s="79">
        <v>1.34690121519288E-2</v>
      </c>
      <c r="U970" s="79">
        <v>0.507372810767453</v>
      </c>
      <c r="V970" s="79">
        <v>0.61348289895793395</v>
      </c>
      <c r="W970" s="79">
        <v>1</v>
      </c>
    </row>
    <row r="971" spans="2:23" x14ac:dyDescent="0.2">
      <c r="B971" t="s">
        <v>470</v>
      </c>
      <c r="C971" s="84">
        <v>5018</v>
      </c>
      <c r="D971" s="102">
        <v>4.2152640318638898E-3</v>
      </c>
      <c r="E971" s="79">
        <v>1.30051014551866E-2</v>
      </c>
      <c r="F971" s="79">
        <v>0.74586094910700595</v>
      </c>
      <c r="G971" s="79">
        <v>0.979098679061011</v>
      </c>
      <c r="H971" s="79">
        <v>1</v>
      </c>
      <c r="I971" s="102">
        <v>2.9834241495340499E-2</v>
      </c>
      <c r="J971" s="79">
        <v>1.30893555442328E-2</v>
      </c>
      <c r="K971" s="79">
        <v>2.2700333834538899E-2</v>
      </c>
      <c r="L971" s="79">
        <v>0.30358645544196899</v>
      </c>
      <c r="M971" s="79">
        <v>1</v>
      </c>
      <c r="N971" s="102">
        <v>2.8055775707518601E-2</v>
      </c>
      <c r="O971" s="79">
        <v>1.29013089634454E-2</v>
      </c>
      <c r="P971" s="79">
        <v>2.9713569467861699E-2</v>
      </c>
      <c r="Q971" s="79">
        <v>6.6934556753401195E-2</v>
      </c>
      <c r="R971" s="79">
        <v>1</v>
      </c>
      <c r="S971" s="102">
        <v>1.41009238531532E-2</v>
      </c>
      <c r="T971" s="79">
        <v>1.2954071377183801E-2</v>
      </c>
      <c r="U971" s="79">
        <v>0.27642260968405002</v>
      </c>
      <c r="V971" s="79">
        <v>0.38892018339267498</v>
      </c>
      <c r="W971" s="79">
        <v>1</v>
      </c>
    </row>
    <row r="972" spans="2:23" x14ac:dyDescent="0.2">
      <c r="B972" t="s">
        <v>471</v>
      </c>
      <c r="C972" s="84">
        <v>5018</v>
      </c>
      <c r="D972" s="102">
        <v>2.88309077713358E-2</v>
      </c>
      <c r="E972" s="79">
        <v>1.2737063160756E-2</v>
      </c>
      <c r="F972" s="79">
        <v>2.3660107941913401E-2</v>
      </c>
      <c r="G972" s="79">
        <v>0.58941504196472505</v>
      </c>
      <c r="H972" s="79">
        <v>1</v>
      </c>
      <c r="I972" s="102">
        <v>6.2914927547798099E-3</v>
      </c>
      <c r="J972" s="79">
        <v>1.2862420202938299E-2</v>
      </c>
      <c r="K972" s="79">
        <v>0.62477194297943195</v>
      </c>
      <c r="L972" s="79">
        <v>0.87748013759880805</v>
      </c>
      <c r="M972" s="79">
        <v>1</v>
      </c>
      <c r="N972" s="102">
        <v>1.4604046938803E-2</v>
      </c>
      <c r="O972" s="79">
        <v>1.26487464923994E-2</v>
      </c>
      <c r="P972" s="79">
        <v>0.248334514116269</v>
      </c>
      <c r="Q972" s="79">
        <v>0.35871334401850102</v>
      </c>
      <c r="R972" s="79">
        <v>1</v>
      </c>
      <c r="S972" s="102">
        <v>2.9934197372581201E-2</v>
      </c>
      <c r="T972" s="79">
        <v>1.2710614556448899E-2</v>
      </c>
      <c r="U972" s="79">
        <v>1.8569813298137599E-2</v>
      </c>
      <c r="V972" s="79">
        <v>4.6397144140184497E-2</v>
      </c>
      <c r="W972" s="79">
        <v>1</v>
      </c>
    </row>
    <row r="973" spans="2:23" x14ac:dyDescent="0.2">
      <c r="B973" t="s">
        <v>472</v>
      </c>
      <c r="C973" s="84">
        <v>5018</v>
      </c>
      <c r="D973" s="102">
        <v>-1.8092463675400301E-2</v>
      </c>
      <c r="E973" s="79">
        <v>1.2519802067936601E-2</v>
      </c>
      <c r="F973" s="79">
        <v>0.14851286228183699</v>
      </c>
      <c r="G973" s="79">
        <v>0.80938271582532695</v>
      </c>
      <c r="H973" s="79">
        <v>1</v>
      </c>
      <c r="I973" s="102">
        <v>-2.0340653583052998E-2</v>
      </c>
      <c r="J973" s="79">
        <v>1.26383852768342E-2</v>
      </c>
      <c r="K973" s="79">
        <v>0.10760297089343999</v>
      </c>
      <c r="L973" s="79">
        <v>0.53454379088999204</v>
      </c>
      <c r="M973" s="79">
        <v>1</v>
      </c>
      <c r="N973" s="102">
        <v>1.9328788174191699E-2</v>
      </c>
      <c r="O973" s="79">
        <v>1.2434371002303201E-2</v>
      </c>
      <c r="P973" s="79">
        <v>0.12015859216444801</v>
      </c>
      <c r="Q973" s="79">
        <v>0.20100877569727199</v>
      </c>
      <c r="R973" s="79">
        <v>1</v>
      </c>
      <c r="S973" s="102">
        <v>1.04060280197936E-2</v>
      </c>
      <c r="T973" s="79">
        <v>1.2499298709785899E-2</v>
      </c>
      <c r="U973" s="79">
        <v>0.40516237654903797</v>
      </c>
      <c r="V973" s="79">
        <v>0.52273043859411294</v>
      </c>
      <c r="W973" s="79">
        <v>1</v>
      </c>
    </row>
    <row r="974" spans="2:23" x14ac:dyDescent="0.2">
      <c r="B974" t="s">
        <v>473</v>
      </c>
      <c r="C974" s="84">
        <v>5018</v>
      </c>
      <c r="D974" s="102">
        <v>2.32810141432142E-3</v>
      </c>
      <c r="E974" s="79">
        <v>1.3095937704031901E-2</v>
      </c>
      <c r="F974" s="79">
        <v>0.85891061906923405</v>
      </c>
      <c r="G974" s="79">
        <v>0.99362338620020496</v>
      </c>
      <c r="H974" s="79">
        <v>1</v>
      </c>
      <c r="I974" s="102">
        <v>3.6696500806518699E-2</v>
      </c>
      <c r="J974" s="79">
        <v>1.31929149943907E-2</v>
      </c>
      <c r="K974" s="79">
        <v>5.4350055166027403E-3</v>
      </c>
      <c r="L974" s="79">
        <v>0.143721784187822</v>
      </c>
      <c r="M974" s="79">
        <v>1</v>
      </c>
      <c r="N974" s="102">
        <v>1.1690749619169501E-2</v>
      </c>
      <c r="O974" s="79">
        <v>1.29997727882165E-2</v>
      </c>
      <c r="P974" s="79">
        <v>0.36854531527217299</v>
      </c>
      <c r="Q974" s="79">
        <v>0.48509383377704801</v>
      </c>
      <c r="R974" s="79">
        <v>1</v>
      </c>
      <c r="S974" s="102">
        <v>1.88280378145253E-2</v>
      </c>
      <c r="T974" s="79">
        <v>1.30538742120168E-2</v>
      </c>
      <c r="U974" s="79">
        <v>0.149285263056019</v>
      </c>
      <c r="V974" s="79">
        <v>0.24352634072100099</v>
      </c>
      <c r="W974" s="79">
        <v>1</v>
      </c>
    </row>
    <row r="975" spans="2:23" x14ac:dyDescent="0.2">
      <c r="B975" t="s">
        <v>474</v>
      </c>
      <c r="C975" s="84">
        <v>5018</v>
      </c>
      <c r="D975" s="102">
        <v>-4.8890437927613099E-2</v>
      </c>
      <c r="E975" s="79">
        <v>1.2149237706817501E-2</v>
      </c>
      <c r="F975" s="79">
        <v>5.8391459765011799E-5</v>
      </c>
      <c r="G975" s="79">
        <v>8.3417519310952704E-2</v>
      </c>
      <c r="H975" s="79">
        <v>9.8915132841930001E-2</v>
      </c>
      <c r="I975" s="102">
        <v>-2.9984201181381301E-2</v>
      </c>
      <c r="J975" s="79">
        <v>1.22956653891848E-2</v>
      </c>
      <c r="K975" s="79">
        <v>1.47911140146905E-2</v>
      </c>
      <c r="L975" s="79">
        <v>0.23613138685496901</v>
      </c>
      <c r="M975" s="79">
        <v>1</v>
      </c>
      <c r="N975" s="102">
        <v>3.5353895709564598E-2</v>
      </c>
      <c r="O975" s="79">
        <v>1.20801819793445E-2</v>
      </c>
      <c r="P975" s="79">
        <v>3.4486472559255498E-3</v>
      </c>
      <c r="Q975" s="79">
        <v>1.16840169030758E-2</v>
      </c>
      <c r="R975" s="79">
        <v>1</v>
      </c>
      <c r="S975" s="102">
        <v>2.9483312110864301E-2</v>
      </c>
      <c r="T975" s="79">
        <v>1.21561048156398E-2</v>
      </c>
      <c r="U975" s="79">
        <v>1.5339972891011701E-2</v>
      </c>
      <c r="V975" s="79">
        <v>3.9612673898435702E-2</v>
      </c>
      <c r="W975" s="79">
        <v>1</v>
      </c>
    </row>
    <row r="976" spans="2:23" x14ac:dyDescent="0.2">
      <c r="B976" t="s">
        <v>475</v>
      </c>
      <c r="C976" s="84">
        <v>5018</v>
      </c>
      <c r="D976" s="102">
        <v>-3.1448859145055498E-2</v>
      </c>
      <c r="E976" s="79">
        <v>1.3405442610690099E-2</v>
      </c>
      <c r="F976" s="79">
        <v>1.90195071604774E-2</v>
      </c>
      <c r="G976" s="79">
        <v>0.55550077810083998</v>
      </c>
      <c r="H976" s="79">
        <v>1</v>
      </c>
      <c r="I976" s="102">
        <v>-2.5556055404206399E-2</v>
      </c>
      <c r="J976" s="79">
        <v>1.34652679570509E-2</v>
      </c>
      <c r="K976" s="79">
        <v>5.7767058687033197E-2</v>
      </c>
      <c r="L976" s="79">
        <v>0.42179912679238901</v>
      </c>
      <c r="M976" s="79">
        <v>1</v>
      </c>
      <c r="N976" s="102">
        <v>1.8499259367507299E-2</v>
      </c>
      <c r="O976" s="79">
        <v>1.32987543640956E-2</v>
      </c>
      <c r="P976" s="79">
        <v>0.16427640317259401</v>
      </c>
      <c r="Q976" s="79">
        <v>0.25838832588149901</v>
      </c>
      <c r="R976" s="79">
        <v>1</v>
      </c>
      <c r="S976" s="102">
        <v>1.56214287763509E-2</v>
      </c>
      <c r="T976" s="79">
        <v>1.33273658180672E-2</v>
      </c>
      <c r="U976" s="79">
        <v>0.24120357340075499</v>
      </c>
      <c r="V976" s="79">
        <v>0.35193699684830199</v>
      </c>
      <c r="W976" s="79">
        <v>1</v>
      </c>
    </row>
    <row r="977" spans="2:23" x14ac:dyDescent="0.2">
      <c r="B977" t="s">
        <v>476</v>
      </c>
      <c r="C977" s="84">
        <v>5018</v>
      </c>
      <c r="D977" s="102">
        <v>-1.1814046162055799E-2</v>
      </c>
      <c r="E977" s="79">
        <v>1.3988545878151201E-2</v>
      </c>
      <c r="F977" s="79">
        <v>0.39840208305573899</v>
      </c>
      <c r="G977" s="79">
        <v>0.89461055933914202</v>
      </c>
      <c r="H977" s="79">
        <v>1</v>
      </c>
      <c r="I977" s="102">
        <v>-4.0577797352111403E-3</v>
      </c>
      <c r="J977" s="79">
        <v>1.3994761865937601E-2</v>
      </c>
      <c r="K977" s="79">
        <v>0.77186661673151502</v>
      </c>
      <c r="L977" s="79">
        <v>0.92861868293626904</v>
      </c>
      <c r="M977" s="79">
        <v>1</v>
      </c>
      <c r="N977" s="102">
        <v>3.1698400895079998E-2</v>
      </c>
      <c r="O977" s="79">
        <v>1.38445138576815E-2</v>
      </c>
      <c r="P977" s="79">
        <v>2.2086215471956602E-2</v>
      </c>
      <c r="Q977" s="79">
        <v>5.22566992928351E-2</v>
      </c>
      <c r="R977" s="79">
        <v>1</v>
      </c>
      <c r="S977" s="102">
        <v>2.2384417905435099E-2</v>
      </c>
      <c r="T977" s="79">
        <v>1.3851462126851099E-2</v>
      </c>
      <c r="U977" s="79">
        <v>0.106150489031466</v>
      </c>
      <c r="V977" s="79">
        <v>0.184240705347647</v>
      </c>
      <c r="W977" s="79">
        <v>1</v>
      </c>
    </row>
    <row r="978" spans="2:23" x14ac:dyDescent="0.2">
      <c r="B978" t="s">
        <v>477</v>
      </c>
      <c r="C978" s="84">
        <v>5018</v>
      </c>
      <c r="D978" s="102">
        <v>5.6566255430266299E-3</v>
      </c>
      <c r="E978" s="79">
        <v>1.32813352714676E-2</v>
      </c>
      <c r="F978" s="79">
        <v>0.67019599013207598</v>
      </c>
      <c r="G978" s="79">
        <v>0.96329994356686</v>
      </c>
      <c r="H978" s="79">
        <v>1</v>
      </c>
      <c r="I978" s="102">
        <v>-1.97733412783529E-2</v>
      </c>
      <c r="J978" s="79">
        <v>1.33539604905138E-2</v>
      </c>
      <c r="K978" s="79">
        <v>0.138753740896505</v>
      </c>
      <c r="L978" s="79">
        <v>0.58469859969820803</v>
      </c>
      <c r="M978" s="79">
        <v>1</v>
      </c>
      <c r="N978" s="102">
        <v>-1.9271042706640101E-3</v>
      </c>
      <c r="O978" s="79">
        <v>1.3175754068898E-2</v>
      </c>
      <c r="P978" s="79">
        <v>0.88372173342183102</v>
      </c>
      <c r="Q978" s="79">
        <v>0.92079972047371506</v>
      </c>
      <c r="R978" s="79">
        <v>1</v>
      </c>
      <c r="S978" s="102">
        <v>3.4957773949253403E-2</v>
      </c>
      <c r="T978" s="79">
        <v>1.32013847155685E-2</v>
      </c>
      <c r="U978" s="79">
        <v>8.1244058221824501E-3</v>
      </c>
      <c r="V978" s="79">
        <v>2.3935206022221E-2</v>
      </c>
      <c r="W978" s="79">
        <v>1</v>
      </c>
    </row>
    <row r="979" spans="2:23" x14ac:dyDescent="0.2">
      <c r="B979" t="s">
        <v>478</v>
      </c>
      <c r="C979" s="84">
        <v>5018</v>
      </c>
      <c r="D979" s="102">
        <v>3.24148622042597E-3</v>
      </c>
      <c r="E979" s="79">
        <v>1.2909605703979501E-2</v>
      </c>
      <c r="F979" s="79">
        <v>0.80175680535635996</v>
      </c>
      <c r="G979" s="79">
        <v>0.99362338620020496</v>
      </c>
      <c r="H979" s="79">
        <v>1</v>
      </c>
      <c r="I979" s="102">
        <v>-8.3971996621635199E-4</v>
      </c>
      <c r="J979" s="79">
        <v>1.30104614092972E-2</v>
      </c>
      <c r="K979" s="79">
        <v>0.948541865528711</v>
      </c>
      <c r="L979" s="79">
        <v>0.99158948287371096</v>
      </c>
      <c r="M979" s="79">
        <v>1</v>
      </c>
      <c r="N979" s="102">
        <v>3.4841854800423601E-2</v>
      </c>
      <c r="O979" s="79">
        <v>1.2812342310994099E-2</v>
      </c>
      <c r="P979" s="79">
        <v>6.5682765236576603E-3</v>
      </c>
      <c r="Q979" s="79">
        <v>2.00119791925829E-2</v>
      </c>
      <c r="R979" s="79">
        <v>1</v>
      </c>
      <c r="S979" s="102">
        <v>5.0517009880713802E-2</v>
      </c>
      <c r="T979" s="79">
        <v>1.28478564126335E-2</v>
      </c>
      <c r="U979" s="79">
        <v>8.5652606641408994E-5</v>
      </c>
      <c r="V979" s="79">
        <v>6.39187293614744E-4</v>
      </c>
      <c r="W979" s="79">
        <v>0.14509551565054701</v>
      </c>
    </row>
    <row r="980" spans="2:23" x14ac:dyDescent="0.2">
      <c r="B980" t="s">
        <v>479</v>
      </c>
      <c r="C980" s="84">
        <v>5018</v>
      </c>
      <c r="D980" s="102">
        <v>6.6171153455066804E-3</v>
      </c>
      <c r="E980" s="79">
        <v>1.29887591391798E-2</v>
      </c>
      <c r="F980" s="79">
        <v>0.61046493751862196</v>
      </c>
      <c r="G980" s="79">
        <v>0.94883026155289396</v>
      </c>
      <c r="H980" s="79">
        <v>1</v>
      </c>
      <c r="I980" s="102">
        <v>-1.5316463006916E-2</v>
      </c>
      <c r="J980" s="79">
        <v>1.3085620363317599E-2</v>
      </c>
      <c r="K980" s="79">
        <v>0.241873422796716</v>
      </c>
      <c r="L980" s="79">
        <v>0.67059505436601796</v>
      </c>
      <c r="M980" s="79">
        <v>1</v>
      </c>
      <c r="N980" s="102">
        <v>9.7402921305597308E-3</v>
      </c>
      <c r="O980" s="79">
        <v>1.28923121549407E-2</v>
      </c>
      <c r="P980" s="79">
        <v>0.44998533314560202</v>
      </c>
      <c r="Q980" s="79">
        <v>0.56716901365226902</v>
      </c>
      <c r="R980" s="79">
        <v>1</v>
      </c>
      <c r="S980" s="102">
        <v>1.7053558603728699E-2</v>
      </c>
      <c r="T980" s="79">
        <v>1.29372620342486E-2</v>
      </c>
      <c r="U980" s="79">
        <v>0.187517319841982</v>
      </c>
      <c r="V980" s="79">
        <v>0.28825257696217599</v>
      </c>
      <c r="W980" s="79">
        <v>1</v>
      </c>
    </row>
    <row r="981" spans="2:23" x14ac:dyDescent="0.2">
      <c r="B981" t="s">
        <v>480</v>
      </c>
      <c r="C981" s="84">
        <v>5018</v>
      </c>
      <c r="D981" s="102">
        <v>-1.7843040978124902E-2</v>
      </c>
      <c r="E981" s="79">
        <v>1.2388007717523601E-2</v>
      </c>
      <c r="F981" s="79">
        <v>0.14986119615980001</v>
      </c>
      <c r="G981" s="79">
        <v>0.80938271582532695</v>
      </c>
      <c r="H981" s="79">
        <v>1</v>
      </c>
      <c r="I981" s="102">
        <v>2.3220659920107498E-2</v>
      </c>
      <c r="J981" s="79">
        <v>1.2515242121690201E-2</v>
      </c>
      <c r="K981" s="79">
        <v>6.3622587952059703E-2</v>
      </c>
      <c r="L981" s="79">
        <v>0.43517978594622803</v>
      </c>
      <c r="M981" s="79">
        <v>1</v>
      </c>
      <c r="N981" s="102">
        <v>2.77704899880875E-2</v>
      </c>
      <c r="O981" s="79">
        <v>1.23094214514667E-2</v>
      </c>
      <c r="P981" s="79">
        <v>2.4130779157687101E-2</v>
      </c>
      <c r="Q981" s="79">
        <v>5.6382813645685398E-2</v>
      </c>
      <c r="R981" s="79">
        <v>1</v>
      </c>
      <c r="S981" s="102">
        <v>5.0284543385414097E-2</v>
      </c>
      <c r="T981" s="79">
        <v>1.23585863037765E-2</v>
      </c>
      <c r="U981" s="79">
        <v>4.8283611875191097E-5</v>
      </c>
      <c r="V981" s="79">
        <v>4.1697114805139301E-4</v>
      </c>
      <c r="W981" s="79">
        <v>8.1792438516573696E-2</v>
      </c>
    </row>
    <row r="982" spans="2:23" x14ac:dyDescent="0.2">
      <c r="B982" t="s">
        <v>481</v>
      </c>
      <c r="C982" s="84">
        <v>5018</v>
      </c>
      <c r="D982" s="102">
        <v>5.9525778683760496E-3</v>
      </c>
      <c r="E982" s="79">
        <v>1.3893817764453999E-2</v>
      </c>
      <c r="F982" s="79">
        <v>0.66835440878698704</v>
      </c>
      <c r="G982" s="79">
        <v>0.96329994356686</v>
      </c>
      <c r="H982" s="79">
        <v>1</v>
      </c>
      <c r="I982" s="102">
        <v>6.4477388223562497E-3</v>
      </c>
      <c r="J982" s="79">
        <v>1.39179221266686E-2</v>
      </c>
      <c r="K982" s="79">
        <v>0.64319213326333702</v>
      </c>
      <c r="L982" s="79">
        <v>0.88295581341012397</v>
      </c>
      <c r="M982" s="79">
        <v>1</v>
      </c>
      <c r="N982" s="102">
        <v>-4.8182399896503601E-3</v>
      </c>
      <c r="O982" s="79">
        <v>1.3768001364104301E-2</v>
      </c>
      <c r="P982" s="79">
        <v>0.72638429273012795</v>
      </c>
      <c r="Q982" s="79">
        <v>0.81597811132946796</v>
      </c>
      <c r="R982" s="79">
        <v>1</v>
      </c>
      <c r="S982" s="102">
        <v>2.6135602697002699E-2</v>
      </c>
      <c r="T982" s="79">
        <v>1.3773863353262E-2</v>
      </c>
      <c r="U982" s="79">
        <v>5.7823274806310797E-2</v>
      </c>
      <c r="V982" s="79">
        <v>0.11456447663379001</v>
      </c>
      <c r="W982" s="79">
        <v>1</v>
      </c>
    </row>
    <row r="983" spans="2:23" x14ac:dyDescent="0.2">
      <c r="B983" t="s">
        <v>482</v>
      </c>
      <c r="C983" s="84">
        <v>5018</v>
      </c>
      <c r="D983" s="102">
        <v>1.86997379817537E-2</v>
      </c>
      <c r="E983" s="79">
        <v>1.24351401999672E-2</v>
      </c>
      <c r="F983" s="79">
        <v>0.13272518047328999</v>
      </c>
      <c r="G983" s="79">
        <v>0.80938271582532695</v>
      </c>
      <c r="H983" s="79">
        <v>1</v>
      </c>
      <c r="I983" s="102">
        <v>-3.0795679257835302E-3</v>
      </c>
      <c r="J983" s="79">
        <v>1.25604889164566E-2</v>
      </c>
      <c r="K983" s="79">
        <v>0.80633110044673895</v>
      </c>
      <c r="L983" s="79">
        <v>0.94195446220197998</v>
      </c>
      <c r="M983" s="79">
        <v>1</v>
      </c>
      <c r="N983" s="102">
        <v>2.0076172504851601E-2</v>
      </c>
      <c r="O983" s="79">
        <v>1.23485749149377E-2</v>
      </c>
      <c r="P983" s="79">
        <v>0.104080949564289</v>
      </c>
      <c r="Q983" s="79">
        <v>0.18027927255818599</v>
      </c>
      <c r="R983" s="79">
        <v>1</v>
      </c>
      <c r="S983" s="102">
        <v>1.9014407960203698E-2</v>
      </c>
      <c r="T983" s="79">
        <v>1.24202079869113E-2</v>
      </c>
      <c r="U983" s="79">
        <v>0.125871905596671</v>
      </c>
      <c r="V983" s="79">
        <v>0.212377498088407</v>
      </c>
      <c r="W983" s="79">
        <v>1</v>
      </c>
    </row>
    <row r="984" spans="2:23" x14ac:dyDescent="0.2">
      <c r="B984" t="s">
        <v>483</v>
      </c>
      <c r="C984" s="84">
        <v>5018</v>
      </c>
      <c r="D984" s="102">
        <v>-6.06072927792254E-3</v>
      </c>
      <c r="E984" s="79">
        <v>1.2812318550060001E-2</v>
      </c>
      <c r="F984" s="79">
        <v>0.63621093288564601</v>
      </c>
      <c r="G984" s="79">
        <v>0.95767440062337605</v>
      </c>
      <c r="H984" s="79">
        <v>1</v>
      </c>
      <c r="I984" s="102">
        <v>9.2348054424621004E-3</v>
      </c>
      <c r="J984" s="79">
        <v>1.2910257749471099E-2</v>
      </c>
      <c r="K984" s="79">
        <v>0.47445888987306101</v>
      </c>
      <c r="L984" s="79">
        <v>0.80532061688526901</v>
      </c>
      <c r="M984" s="79">
        <v>1</v>
      </c>
      <c r="N984" s="102">
        <v>1.60102029906358E-2</v>
      </c>
      <c r="O984" s="79">
        <v>1.2720231856782799E-2</v>
      </c>
      <c r="P984" s="79">
        <v>0.20823243987887199</v>
      </c>
      <c r="Q984" s="79">
        <v>0.31241056866574501</v>
      </c>
      <c r="R984" s="79">
        <v>1</v>
      </c>
      <c r="S984" s="102">
        <v>3.0399704093787401E-2</v>
      </c>
      <c r="T984" s="79">
        <v>1.27683052610345E-2</v>
      </c>
      <c r="U984" s="79">
        <v>1.7316384525815499E-2</v>
      </c>
      <c r="V984" s="79">
        <v>4.3978943608292999E-2</v>
      </c>
      <c r="W984" s="79">
        <v>1</v>
      </c>
    </row>
    <row r="985" spans="2:23" x14ac:dyDescent="0.2">
      <c r="B985" t="s">
        <v>484</v>
      </c>
      <c r="C985" s="84">
        <v>5018</v>
      </c>
      <c r="D985" s="102">
        <v>-9.0021452598946904E-3</v>
      </c>
      <c r="E985" s="79">
        <v>1.40549198338302E-2</v>
      </c>
      <c r="F985" s="79">
        <v>0.52187860778976203</v>
      </c>
      <c r="G985" s="79">
        <v>0.91901439037128496</v>
      </c>
      <c r="H985" s="79">
        <v>1</v>
      </c>
      <c r="I985" s="102">
        <v>-2.85298269725476E-3</v>
      </c>
      <c r="J985" s="79">
        <v>1.40621057560081E-2</v>
      </c>
      <c r="K985" s="79">
        <v>0.83923361206199298</v>
      </c>
      <c r="L985" s="79">
        <v>0.95773349535755203</v>
      </c>
      <c r="M985" s="79">
        <v>1</v>
      </c>
      <c r="N985" s="102">
        <v>2.6654760842185501E-2</v>
      </c>
      <c r="O985" s="79">
        <v>1.3917575862391099E-2</v>
      </c>
      <c r="P985" s="79">
        <v>5.5525947560198401E-2</v>
      </c>
      <c r="Q985" s="79">
        <v>0.110400182120864</v>
      </c>
      <c r="R985" s="79">
        <v>1</v>
      </c>
      <c r="S985" s="102">
        <v>3.95497895003575E-2</v>
      </c>
      <c r="T985" s="79">
        <v>1.39137148717569E-2</v>
      </c>
      <c r="U985" s="79">
        <v>4.4942563230879803E-3</v>
      </c>
      <c r="V985" s="79">
        <v>1.4669114087304499E-2</v>
      </c>
      <c r="W985" s="79">
        <v>1</v>
      </c>
    </row>
    <row r="986" spans="2:23" x14ac:dyDescent="0.2">
      <c r="B986" t="s">
        <v>485</v>
      </c>
      <c r="C986" s="84">
        <v>5018</v>
      </c>
      <c r="D986" s="102">
        <v>-2.6780109476702899E-2</v>
      </c>
      <c r="E986" s="79">
        <v>1.3399259852377001E-2</v>
      </c>
      <c r="F986" s="79">
        <v>4.5709290360066497E-2</v>
      </c>
      <c r="G986" s="79">
        <v>0.68219720695512798</v>
      </c>
      <c r="H986" s="79">
        <v>1</v>
      </c>
      <c r="I986" s="102">
        <v>-7.6102977870548703E-3</v>
      </c>
      <c r="J986" s="79">
        <v>1.34755838921312E-2</v>
      </c>
      <c r="K986" s="79">
        <v>0.57227318654288695</v>
      </c>
      <c r="L986" s="79">
        <v>0.86018702573527095</v>
      </c>
      <c r="M986" s="79">
        <v>1</v>
      </c>
      <c r="N986" s="102">
        <v>3.0441297319179401E-2</v>
      </c>
      <c r="O986" s="79">
        <v>1.3298239925414001E-2</v>
      </c>
      <c r="P986" s="79">
        <v>2.2118095273295599E-2</v>
      </c>
      <c r="Q986" s="79">
        <v>5.22566992928351E-2</v>
      </c>
      <c r="R986" s="79">
        <v>1</v>
      </c>
      <c r="S986" s="102">
        <v>5.0524040261463898E-2</v>
      </c>
      <c r="T986" s="79">
        <v>1.3322331026734E-2</v>
      </c>
      <c r="U986" s="79">
        <v>1.51089732016458E-4</v>
      </c>
      <c r="V986" s="79">
        <v>9.7689315280870205E-4</v>
      </c>
      <c r="W986" s="79">
        <v>0.25594600603588002</v>
      </c>
    </row>
    <row r="987" spans="2:23" x14ac:dyDescent="0.2">
      <c r="B987" t="s">
        <v>486</v>
      </c>
      <c r="C987" s="84">
        <v>5018</v>
      </c>
      <c r="D987" s="102">
        <v>-6.3719015711903998E-3</v>
      </c>
      <c r="E987" s="79">
        <v>1.3530591737425201E-2</v>
      </c>
      <c r="F987" s="79">
        <v>0.63771659800289304</v>
      </c>
      <c r="G987" s="79">
        <v>0.95767440062337605</v>
      </c>
      <c r="H987" s="79">
        <v>1</v>
      </c>
      <c r="I987" s="102">
        <v>-1.8178643002886199E-2</v>
      </c>
      <c r="J987" s="79">
        <v>1.35888405139302E-2</v>
      </c>
      <c r="K987" s="79">
        <v>0.18103915360096201</v>
      </c>
      <c r="L987" s="79">
        <v>0.61706303058356105</v>
      </c>
      <c r="M987" s="79">
        <v>1</v>
      </c>
      <c r="N987" s="102">
        <v>2.9108340989105998E-2</v>
      </c>
      <c r="O987" s="79">
        <v>1.3411550913255899E-2</v>
      </c>
      <c r="P987" s="79">
        <v>3.0028470367153701E-2</v>
      </c>
      <c r="Q987" s="79">
        <v>6.7302528697672004E-2</v>
      </c>
      <c r="R987" s="79">
        <v>1</v>
      </c>
      <c r="S987" s="102">
        <v>2.5979958394752398E-2</v>
      </c>
      <c r="T987" s="79">
        <v>1.34411584937883E-2</v>
      </c>
      <c r="U987" s="79">
        <v>5.3313599333231702E-2</v>
      </c>
      <c r="V987" s="79">
        <v>0.10777235951133</v>
      </c>
      <c r="W987" s="79">
        <v>1</v>
      </c>
    </row>
    <row r="988" spans="2:23" x14ac:dyDescent="0.2">
      <c r="B988" t="s">
        <v>487</v>
      </c>
      <c r="C988" s="84">
        <v>5018</v>
      </c>
      <c r="D988" s="102">
        <v>-3.27267155091421E-2</v>
      </c>
      <c r="E988" s="79">
        <v>1.21127940070762E-2</v>
      </c>
      <c r="F988" s="79">
        <v>6.9327072214920597E-3</v>
      </c>
      <c r="G988" s="79">
        <v>0.38801325087508498</v>
      </c>
      <c r="H988" s="79">
        <v>1</v>
      </c>
      <c r="I988" s="102">
        <v>1.1489498123839899E-2</v>
      </c>
      <c r="J988" s="79">
        <v>1.2262178582150601E-2</v>
      </c>
      <c r="K988" s="79">
        <v>0.34883304664557901</v>
      </c>
      <c r="L988" s="79">
        <v>0.74143435510365197</v>
      </c>
      <c r="M988" s="79">
        <v>1</v>
      </c>
      <c r="N988" s="102">
        <v>-1.5526384082874199E-4</v>
      </c>
      <c r="O988" s="79">
        <v>1.20425935236043E-2</v>
      </c>
      <c r="P988" s="79">
        <v>0.98971404919902595</v>
      </c>
      <c r="Q988" s="79">
        <v>0.99191460285125199</v>
      </c>
      <c r="R988" s="79">
        <v>1</v>
      </c>
      <c r="S988" s="102">
        <v>1.2397711082841901E-2</v>
      </c>
      <c r="T988" s="79">
        <v>1.2124713341805E-2</v>
      </c>
      <c r="U988" s="79">
        <v>0.306611412478967</v>
      </c>
      <c r="V988" s="79">
        <v>0.42159069215858003</v>
      </c>
      <c r="W988" s="79">
        <v>1</v>
      </c>
    </row>
    <row r="989" spans="2:23" x14ac:dyDescent="0.2">
      <c r="B989" t="s">
        <v>488</v>
      </c>
      <c r="C989" s="84">
        <v>5018</v>
      </c>
      <c r="D989" s="102">
        <v>-6.0157971884404002E-3</v>
      </c>
      <c r="E989" s="79">
        <v>1.32159771905436E-2</v>
      </c>
      <c r="F989" s="79">
        <v>0.64899405267618304</v>
      </c>
      <c r="G989" s="79">
        <v>0.95767440062337605</v>
      </c>
      <c r="H989" s="79">
        <v>1</v>
      </c>
      <c r="I989" s="102">
        <v>2.1556152254091101E-2</v>
      </c>
      <c r="J989" s="79">
        <v>1.32806461016396E-2</v>
      </c>
      <c r="K989" s="79">
        <v>0.10463191812969901</v>
      </c>
      <c r="L989" s="79">
        <v>0.53293803425049502</v>
      </c>
      <c r="M989" s="79">
        <v>1</v>
      </c>
      <c r="N989" s="102">
        <v>2.3400797799403E-2</v>
      </c>
      <c r="O989" s="79">
        <v>1.31105827309159E-2</v>
      </c>
      <c r="P989" s="79">
        <v>7.4348981787071597E-2</v>
      </c>
      <c r="Q989" s="79">
        <v>0.140252979005901</v>
      </c>
      <c r="R989" s="79">
        <v>1</v>
      </c>
      <c r="S989" s="102">
        <v>3.1412299060028202E-2</v>
      </c>
      <c r="T989" s="79">
        <v>1.3140417354633701E-2</v>
      </c>
      <c r="U989" s="79">
        <v>1.6865545577998999E-2</v>
      </c>
      <c r="V989" s="79">
        <v>4.3027461158328797E-2</v>
      </c>
      <c r="W989" s="79">
        <v>1</v>
      </c>
    </row>
    <row r="990" spans="2:23" x14ac:dyDescent="0.2">
      <c r="B990" t="s">
        <v>489</v>
      </c>
      <c r="C990" s="84">
        <v>5018</v>
      </c>
      <c r="D990" s="102">
        <v>2.02840523760154E-2</v>
      </c>
      <c r="E990" s="79">
        <v>1.29709667163386E-2</v>
      </c>
      <c r="F990" s="79">
        <v>0.117942512679203</v>
      </c>
      <c r="G990" s="79">
        <v>0.80938271582532695</v>
      </c>
      <c r="H990" s="79">
        <v>1</v>
      </c>
      <c r="I990" s="102">
        <v>9.4033315947156994E-3</v>
      </c>
      <c r="J990" s="79">
        <v>1.30721475602409E-2</v>
      </c>
      <c r="K990" s="79">
        <v>0.47197098486327099</v>
      </c>
      <c r="L990" s="79">
        <v>0.80353653101344802</v>
      </c>
      <c r="M990" s="79">
        <v>1</v>
      </c>
      <c r="N990" s="102">
        <v>2.1711719077275E-2</v>
      </c>
      <c r="O990" s="79">
        <v>1.2872121390879499E-2</v>
      </c>
      <c r="P990" s="79">
        <v>9.1733346505761496E-2</v>
      </c>
      <c r="Q990" s="79">
        <v>0.163060114355467</v>
      </c>
      <c r="R990" s="79">
        <v>1</v>
      </c>
      <c r="S990" s="102">
        <v>4.3137732816397198E-2</v>
      </c>
      <c r="T990" s="79">
        <v>1.29107486637575E-2</v>
      </c>
      <c r="U990" s="79">
        <v>8.4146242762244197E-4</v>
      </c>
      <c r="V990" s="79">
        <v>3.9268246622380602E-3</v>
      </c>
      <c r="W990" s="79">
        <v>1</v>
      </c>
    </row>
    <row r="991" spans="2:23" x14ac:dyDescent="0.2">
      <c r="B991" t="s">
        <v>490</v>
      </c>
      <c r="C991" s="84">
        <v>5018</v>
      </c>
      <c r="D991" s="102">
        <v>-2.4285853864483401E-2</v>
      </c>
      <c r="E991" s="79">
        <v>1.3655826942051899E-2</v>
      </c>
      <c r="F991" s="79">
        <v>7.5399816629159497E-2</v>
      </c>
      <c r="G991" s="79">
        <v>0.73538141425839998</v>
      </c>
      <c r="H991" s="79">
        <v>1</v>
      </c>
      <c r="I991" s="102">
        <v>-2.1856287949947599E-3</v>
      </c>
      <c r="J991" s="79">
        <v>1.37132165898457E-2</v>
      </c>
      <c r="K991" s="79">
        <v>0.87337533939077805</v>
      </c>
      <c r="L991" s="79">
        <v>0.97184003146923903</v>
      </c>
      <c r="M991" s="79">
        <v>1</v>
      </c>
      <c r="N991" s="102">
        <v>1.4783229361864001E-2</v>
      </c>
      <c r="O991" s="79">
        <v>1.3544432122578699E-2</v>
      </c>
      <c r="P991" s="79">
        <v>0.27512612168512401</v>
      </c>
      <c r="Q991" s="79">
        <v>0.38814028691803598</v>
      </c>
      <c r="R991" s="79">
        <v>1</v>
      </c>
      <c r="S991" s="102">
        <v>1.52456048343737E-2</v>
      </c>
      <c r="T991" s="79">
        <v>1.3568588955228099E-2</v>
      </c>
      <c r="U991" s="79">
        <v>0.26124177148294397</v>
      </c>
      <c r="V991" s="79">
        <v>0.37135199567801702</v>
      </c>
      <c r="W991" s="79">
        <v>1</v>
      </c>
    </row>
    <row r="992" spans="2:23" x14ac:dyDescent="0.2">
      <c r="B992" t="s">
        <v>491</v>
      </c>
      <c r="C992" s="84">
        <v>5018</v>
      </c>
      <c r="D992" s="102">
        <v>-8.8306160894842892E-3</v>
      </c>
      <c r="E992" s="79">
        <v>1.2605156171059799E-2</v>
      </c>
      <c r="F992" s="79">
        <v>0.48362335950396002</v>
      </c>
      <c r="G992" s="79">
        <v>0.91639594071555697</v>
      </c>
      <c r="H992" s="79">
        <v>1</v>
      </c>
      <c r="I992" s="102">
        <v>1.3191184413400101E-2</v>
      </c>
      <c r="J992" s="79">
        <v>1.27167406694828E-2</v>
      </c>
      <c r="K992" s="79">
        <v>0.29965530471804502</v>
      </c>
      <c r="L992" s="79">
        <v>0.70600202719357597</v>
      </c>
      <c r="M992" s="79">
        <v>1</v>
      </c>
      <c r="N992" s="102">
        <v>2.2073180937656599E-2</v>
      </c>
      <c r="O992" s="79">
        <v>1.25139777773693E-2</v>
      </c>
      <c r="P992" s="79">
        <v>7.7831578755456501E-2</v>
      </c>
      <c r="Q992" s="79">
        <v>0.144252400888122</v>
      </c>
      <c r="R992" s="79">
        <v>1</v>
      </c>
      <c r="S992" s="102">
        <v>4.5886063354614599E-2</v>
      </c>
      <c r="T992" s="79">
        <v>1.25589822691214E-2</v>
      </c>
      <c r="U992" s="79">
        <v>2.6191369116013201E-4</v>
      </c>
      <c r="V992" s="79">
        <v>1.5459295917256599E-3</v>
      </c>
      <c r="W992" s="79">
        <v>0.44368179282526399</v>
      </c>
    </row>
    <row r="993" spans="2:23" x14ac:dyDescent="0.2">
      <c r="B993" t="s">
        <v>492</v>
      </c>
      <c r="C993" s="84">
        <v>5018</v>
      </c>
      <c r="D993" s="102">
        <v>7.4719342240151601E-3</v>
      </c>
      <c r="E993" s="79">
        <v>1.26385773705926E-2</v>
      </c>
      <c r="F993" s="79">
        <v>0.55442170755164699</v>
      </c>
      <c r="G993" s="79">
        <v>0.93167796111031398</v>
      </c>
      <c r="H993" s="79">
        <v>1</v>
      </c>
      <c r="I993" s="102">
        <v>2.9164790253677301E-2</v>
      </c>
      <c r="J993" s="79">
        <v>1.2746614802498999E-2</v>
      </c>
      <c r="K993" s="79">
        <v>2.2187846517776E-2</v>
      </c>
      <c r="L993" s="79">
        <v>0.30311461291219799</v>
      </c>
      <c r="M993" s="79">
        <v>1</v>
      </c>
      <c r="N993" s="102">
        <v>2.56837875347544E-2</v>
      </c>
      <c r="O993" s="79">
        <v>1.25478902576927E-2</v>
      </c>
      <c r="P993" s="79">
        <v>4.07403613478158E-2</v>
      </c>
      <c r="Q993" s="79">
        <v>8.5413579360395994E-2</v>
      </c>
      <c r="R993" s="79">
        <v>1</v>
      </c>
      <c r="S993" s="107">
        <v>5.6309733594052697E-2</v>
      </c>
      <c r="T993" s="81">
        <v>1.2589638132007299E-2</v>
      </c>
      <c r="U993" s="81">
        <v>7.9428251964929494E-6</v>
      </c>
      <c r="V993" s="81">
        <v>1.02711037273733E-4</v>
      </c>
      <c r="W993" s="81">
        <v>1.34551458828591E-2</v>
      </c>
    </row>
    <row r="994" spans="2:23" x14ac:dyDescent="0.2">
      <c r="B994" t="s">
        <v>493</v>
      </c>
      <c r="C994" s="84">
        <v>5018</v>
      </c>
      <c r="D994" s="102">
        <v>-4.71405686424006E-3</v>
      </c>
      <c r="E994" s="79">
        <v>1.36545918145908E-2</v>
      </c>
      <c r="F994" s="79">
        <v>0.72993277706049497</v>
      </c>
      <c r="G994" s="79">
        <v>0.97388004428142605</v>
      </c>
      <c r="H994" s="79">
        <v>1</v>
      </c>
      <c r="I994" s="102">
        <v>1.00693398705058E-4</v>
      </c>
      <c r="J994" s="79">
        <v>1.37103921281804E-2</v>
      </c>
      <c r="K994" s="79">
        <v>0.99414045052352795</v>
      </c>
      <c r="L994" s="79">
        <v>0.99763484948745695</v>
      </c>
      <c r="M994" s="79">
        <v>1</v>
      </c>
      <c r="N994" s="102">
        <v>3.1853189087432399E-2</v>
      </c>
      <c r="O994" s="79">
        <v>1.353654061066E-2</v>
      </c>
      <c r="P994" s="79">
        <v>1.8657912396311802E-2</v>
      </c>
      <c r="Q994" s="79">
        <v>4.6006555457572297E-2</v>
      </c>
      <c r="R994" s="79">
        <v>1</v>
      </c>
      <c r="S994" s="107">
        <v>5.8655013299615102E-2</v>
      </c>
      <c r="T994" s="81">
        <v>1.35426941424671E-2</v>
      </c>
      <c r="U994" s="81">
        <v>1.5145038128426801E-5</v>
      </c>
      <c r="V994" s="81">
        <v>1.67684278363105E-4</v>
      </c>
      <c r="W994" s="81">
        <v>2.5655694589554998E-2</v>
      </c>
    </row>
    <row r="995" spans="2:23" x14ac:dyDescent="0.2">
      <c r="B995" t="s">
        <v>494</v>
      </c>
      <c r="C995" s="84">
        <v>5018</v>
      </c>
      <c r="D995" s="102">
        <v>-1.29734802955059E-2</v>
      </c>
      <c r="E995" s="79">
        <v>1.29133576941257E-2</v>
      </c>
      <c r="F995" s="79">
        <v>0.31512258912951502</v>
      </c>
      <c r="G995" s="79">
        <v>0.88730162874475904</v>
      </c>
      <c r="H995" s="79">
        <v>1</v>
      </c>
      <c r="I995" s="102">
        <v>-1.52042522486028E-2</v>
      </c>
      <c r="J995" s="79">
        <v>1.3013366216199E-2</v>
      </c>
      <c r="K995" s="79">
        <v>0.24272872544954299</v>
      </c>
      <c r="L995" s="79">
        <v>0.67090125731085004</v>
      </c>
      <c r="M995" s="79">
        <v>1</v>
      </c>
      <c r="N995" s="102">
        <v>3.3739024297736897E-2</v>
      </c>
      <c r="O995" s="79">
        <v>1.28154318768193E-2</v>
      </c>
      <c r="P995" s="79">
        <v>8.5029453771422805E-3</v>
      </c>
      <c r="Q995" s="79">
        <v>2.4622204220306001E-2</v>
      </c>
      <c r="R995" s="79">
        <v>1</v>
      </c>
      <c r="S995" s="102">
        <v>3.5861300728277097E-2</v>
      </c>
      <c r="T995" s="79">
        <v>1.2864389672183899E-2</v>
      </c>
      <c r="U995" s="79">
        <v>5.3331590051384501E-3</v>
      </c>
      <c r="V995" s="79">
        <v>1.6855170437881602E-2</v>
      </c>
      <c r="W995" s="79">
        <v>1</v>
      </c>
    </row>
    <row r="996" spans="2:23" x14ac:dyDescent="0.2">
      <c r="B996" t="s">
        <v>495</v>
      </c>
      <c r="C996" s="84">
        <v>5018</v>
      </c>
      <c r="D996" s="102">
        <v>-3.9145643796175003E-3</v>
      </c>
      <c r="E996" s="79">
        <v>1.36276386511619E-2</v>
      </c>
      <c r="F996" s="79">
        <v>0.77393252453504802</v>
      </c>
      <c r="G996" s="79">
        <v>0.98604432830370503</v>
      </c>
      <c r="H996" s="79">
        <v>1</v>
      </c>
      <c r="I996" s="102">
        <v>1.785613160116E-3</v>
      </c>
      <c r="J996" s="79">
        <v>1.36858155974229E-2</v>
      </c>
      <c r="K996" s="79">
        <v>0.89619874750549999</v>
      </c>
      <c r="L996" s="79">
        <v>0.98103349543168095</v>
      </c>
      <c r="M996" s="79">
        <v>1</v>
      </c>
      <c r="N996" s="102">
        <v>2.79857162408086E-2</v>
      </c>
      <c r="O996" s="79">
        <v>1.3511294760391101E-2</v>
      </c>
      <c r="P996" s="79">
        <v>3.8387890951709899E-2</v>
      </c>
      <c r="Q996" s="79">
        <v>8.1286359090245702E-2</v>
      </c>
      <c r="R996" s="79">
        <v>1</v>
      </c>
      <c r="S996" s="102">
        <v>3.4868447383930697E-2</v>
      </c>
      <c r="T996" s="79">
        <v>1.35325333751767E-2</v>
      </c>
      <c r="U996" s="79">
        <v>1.00070565045927E-2</v>
      </c>
      <c r="V996" s="79">
        <v>2.8300423570584401E-2</v>
      </c>
      <c r="W996" s="79">
        <v>1</v>
      </c>
    </row>
    <row r="997" spans="2:23" x14ac:dyDescent="0.2">
      <c r="B997" t="s">
        <v>496</v>
      </c>
      <c r="C997" s="84">
        <v>5018</v>
      </c>
      <c r="D997" s="102">
        <v>4.0673853709652799E-3</v>
      </c>
      <c r="E997" s="79">
        <v>1.26029737454974E-2</v>
      </c>
      <c r="F997" s="79">
        <v>0.74691622815013403</v>
      </c>
      <c r="G997" s="79">
        <v>0.979098679061011</v>
      </c>
      <c r="H997" s="79">
        <v>1</v>
      </c>
      <c r="I997" s="102">
        <v>1.8116351384713399E-2</v>
      </c>
      <c r="J997" s="79">
        <v>1.27151801058983E-2</v>
      </c>
      <c r="K997" s="79">
        <v>0.154300288999448</v>
      </c>
      <c r="L997" s="79">
        <v>0.59601477595142704</v>
      </c>
      <c r="M997" s="79">
        <v>1</v>
      </c>
      <c r="N997" s="102">
        <v>-1.9808041365244E-2</v>
      </c>
      <c r="O997" s="79">
        <v>1.2520453752347799E-2</v>
      </c>
      <c r="P997" s="79">
        <v>0.11372082641655799</v>
      </c>
      <c r="Q997" s="79">
        <v>0.19285849851541001</v>
      </c>
      <c r="R997" s="79">
        <v>1</v>
      </c>
      <c r="S997" s="102">
        <v>-2.7584096020083201E-2</v>
      </c>
      <c r="T997" s="79">
        <v>1.2574047887381E-2</v>
      </c>
      <c r="U997" s="79">
        <v>2.8313716153747798E-2</v>
      </c>
      <c r="V997" s="79">
        <v>6.5703335841710703E-2</v>
      </c>
      <c r="W997" s="79">
        <v>1</v>
      </c>
    </row>
    <row r="998" spans="2:23" x14ac:dyDescent="0.2">
      <c r="B998" t="s">
        <v>497</v>
      </c>
      <c r="C998" s="84">
        <v>5018</v>
      </c>
      <c r="D998" s="102">
        <v>2.3152401944870799E-2</v>
      </c>
      <c r="E998" s="79">
        <v>1.2785904047178401E-2</v>
      </c>
      <c r="F998" s="79">
        <v>7.0252913421834595E-2</v>
      </c>
      <c r="G998" s="79">
        <v>0.73538141425839998</v>
      </c>
      <c r="H998" s="79">
        <v>1</v>
      </c>
      <c r="I998" s="102">
        <v>2.2137747095414301E-2</v>
      </c>
      <c r="J998" s="79">
        <v>1.2890836135842101E-2</v>
      </c>
      <c r="K998" s="79">
        <v>8.5996186613488207E-2</v>
      </c>
      <c r="L998" s="79">
        <v>0.49049676809174703</v>
      </c>
      <c r="M998" s="79">
        <v>1</v>
      </c>
      <c r="N998" s="102">
        <v>2.9399742228845699E-2</v>
      </c>
      <c r="O998" s="79">
        <v>1.2697985911867901E-2</v>
      </c>
      <c r="P998" s="79">
        <v>2.0647258275207501E-2</v>
      </c>
      <c r="Q998" s="79">
        <v>4.9753137294739E-2</v>
      </c>
      <c r="R998" s="79">
        <v>1</v>
      </c>
      <c r="S998" s="107">
        <v>5.3693155634873702E-2</v>
      </c>
      <c r="T998" s="81">
        <v>1.2728888052750201E-2</v>
      </c>
      <c r="U998" s="81">
        <v>2.51658785551516E-5</v>
      </c>
      <c r="V998" s="81">
        <v>2.5225442764749602E-4</v>
      </c>
      <c r="W998" s="81">
        <v>4.26309982724268E-2</v>
      </c>
    </row>
    <row r="999" spans="2:23" x14ac:dyDescent="0.2">
      <c r="B999" t="s">
        <v>498</v>
      </c>
      <c r="C999" s="84">
        <v>5018</v>
      </c>
      <c r="D999" s="102">
        <v>6.1078947920651496E-3</v>
      </c>
      <c r="E999" s="79">
        <v>1.24594398926881E-2</v>
      </c>
      <c r="F999" s="79">
        <v>0.62400732348541699</v>
      </c>
      <c r="G999" s="79">
        <v>0.95468997501837705</v>
      </c>
      <c r="H999" s="79">
        <v>1</v>
      </c>
      <c r="I999" s="102">
        <v>-8.6900384243218907E-3</v>
      </c>
      <c r="J999" s="79">
        <v>1.2586313262892E-2</v>
      </c>
      <c r="K999" s="79">
        <v>0.48996364610348397</v>
      </c>
      <c r="L999" s="79">
        <v>0.81451663972478505</v>
      </c>
      <c r="M999" s="79">
        <v>1</v>
      </c>
      <c r="N999" s="102">
        <v>8.8662481541981995E-3</v>
      </c>
      <c r="O999" s="79">
        <v>1.23729810636217E-2</v>
      </c>
      <c r="P999" s="79">
        <v>0.47367954507864302</v>
      </c>
      <c r="Q999" s="79">
        <v>0.59131403785056802</v>
      </c>
      <c r="R999" s="79">
        <v>1</v>
      </c>
      <c r="S999" s="102">
        <v>3.7362591580781597E-2</v>
      </c>
      <c r="T999" s="79">
        <v>1.2434210551643E-2</v>
      </c>
      <c r="U999" s="79">
        <v>2.67532874144734E-3</v>
      </c>
      <c r="V999" s="79">
        <v>9.6837754017346008E-3</v>
      </c>
      <c r="W999" s="79">
        <v>1</v>
      </c>
    </row>
    <row r="1000" spans="2:23" x14ac:dyDescent="0.2">
      <c r="B1000" t="s">
        <v>499</v>
      </c>
      <c r="C1000" s="84">
        <v>5018</v>
      </c>
      <c r="D1000" s="102">
        <v>2.3883865635917299E-2</v>
      </c>
      <c r="E1000" s="79">
        <v>1.3200302015568899E-2</v>
      </c>
      <c r="F1000" s="79">
        <v>7.0467819222832406E-2</v>
      </c>
      <c r="G1000" s="79">
        <v>0.73538141425839998</v>
      </c>
      <c r="H1000" s="79">
        <v>1</v>
      </c>
      <c r="I1000" s="102">
        <v>2.41014995412825E-2</v>
      </c>
      <c r="J1000" s="79">
        <v>1.32762957759591E-2</v>
      </c>
      <c r="K1000" s="79">
        <v>6.9533279036378806E-2</v>
      </c>
      <c r="L1000" s="79">
        <v>0.44786834481986898</v>
      </c>
      <c r="M1000" s="79">
        <v>1</v>
      </c>
      <c r="N1000" s="102">
        <v>7.81751921974831E-3</v>
      </c>
      <c r="O1000" s="79">
        <v>1.3103381976348799E-2</v>
      </c>
      <c r="P1000" s="79">
        <v>0.55080349441523602</v>
      </c>
      <c r="Q1000" s="79">
        <v>0.66174547485064505</v>
      </c>
      <c r="R1000" s="79">
        <v>1</v>
      </c>
      <c r="S1000" s="102">
        <v>3.91605512292479E-2</v>
      </c>
      <c r="T1000" s="79">
        <v>1.3129442997731999E-2</v>
      </c>
      <c r="U1000" s="79">
        <v>2.87324256975395E-3</v>
      </c>
      <c r="V1000" s="79">
        <v>1.0268508255618499E-2</v>
      </c>
      <c r="W1000" s="79">
        <v>1</v>
      </c>
    </row>
    <row r="1001" spans="2:23" x14ac:dyDescent="0.2">
      <c r="B1001" t="s">
        <v>500</v>
      </c>
      <c r="C1001" s="84">
        <v>5018</v>
      </c>
      <c r="D1001" s="102">
        <v>-1.92755505448871E-2</v>
      </c>
      <c r="E1001" s="79">
        <v>1.30064992472385E-2</v>
      </c>
      <c r="F1001" s="79">
        <v>0.13841860315351801</v>
      </c>
      <c r="G1001" s="79">
        <v>0.80938271582532695</v>
      </c>
      <c r="H1001" s="79">
        <v>1</v>
      </c>
      <c r="I1001" s="102">
        <v>1.76516056641879E-2</v>
      </c>
      <c r="J1001" s="79">
        <v>1.31015241927305E-2</v>
      </c>
      <c r="K1001" s="79">
        <v>0.177956766098092</v>
      </c>
      <c r="L1001" s="79">
        <v>0.61396896490869202</v>
      </c>
      <c r="M1001" s="79">
        <v>1</v>
      </c>
      <c r="N1001" s="102">
        <v>2.5360081334720602E-2</v>
      </c>
      <c r="O1001" s="79">
        <v>1.2911469472206101E-2</v>
      </c>
      <c r="P1001" s="79">
        <v>4.9578940499469301E-2</v>
      </c>
      <c r="Q1001" s="79">
        <v>0.100222822441648</v>
      </c>
      <c r="R1001" s="79">
        <v>1</v>
      </c>
      <c r="S1001" s="102">
        <v>2.8560465765089301E-2</v>
      </c>
      <c r="T1001" s="79">
        <v>1.29552258792471E-2</v>
      </c>
      <c r="U1001" s="79">
        <v>2.7538849909642199E-2</v>
      </c>
      <c r="V1001" s="79">
        <v>6.4345947237150203E-2</v>
      </c>
      <c r="W1001" s="79">
        <v>1</v>
      </c>
    </row>
    <row r="1002" spans="2:23" x14ac:dyDescent="0.2">
      <c r="B1002" t="s">
        <v>501</v>
      </c>
      <c r="C1002" s="84">
        <v>5018</v>
      </c>
      <c r="D1002" s="102">
        <v>2.16489819589502E-3</v>
      </c>
      <c r="E1002" s="79">
        <v>1.30320775647357E-2</v>
      </c>
      <c r="F1002" s="79">
        <v>0.86807011846581295</v>
      </c>
      <c r="G1002" s="79">
        <v>0.99362338620020496</v>
      </c>
      <c r="H1002" s="79">
        <v>1</v>
      </c>
      <c r="I1002" s="102">
        <v>-6.1775299077144097E-4</v>
      </c>
      <c r="J1002" s="79">
        <v>1.31255856340914E-2</v>
      </c>
      <c r="K1002" s="79">
        <v>0.96246378050742498</v>
      </c>
      <c r="L1002" s="79">
        <v>0.99551534580938295</v>
      </c>
      <c r="M1002" s="79">
        <v>1</v>
      </c>
      <c r="N1002" s="102">
        <v>3.8678537097691E-2</v>
      </c>
      <c r="O1002" s="79">
        <v>1.29258484456901E-2</v>
      </c>
      <c r="P1002" s="79">
        <v>2.7847361560518302E-3</v>
      </c>
      <c r="Q1002" s="79">
        <v>9.7064671776785991E-3</v>
      </c>
      <c r="R1002" s="79">
        <v>1</v>
      </c>
      <c r="S1002" s="107">
        <v>5.7879086944652498E-2</v>
      </c>
      <c r="T1002" s="81">
        <v>1.2960863240366801E-2</v>
      </c>
      <c r="U1002" s="81">
        <v>8.1880932233070207E-6</v>
      </c>
      <c r="V1002" s="81">
        <v>1.05080529699107E-4</v>
      </c>
      <c r="W1002" s="81">
        <v>1.3870629920282099E-2</v>
      </c>
    </row>
    <row r="1003" spans="2:23" x14ac:dyDescent="0.2">
      <c r="B1003" t="s">
        <v>502</v>
      </c>
      <c r="C1003" s="84">
        <v>5023</v>
      </c>
      <c r="D1003" s="102">
        <v>2.8856392582099499E-2</v>
      </c>
      <c r="E1003" s="79">
        <v>1.32465587386748E-2</v>
      </c>
      <c r="F1003" s="79">
        <v>2.9430522069747101E-2</v>
      </c>
      <c r="G1003" s="79">
        <v>0.60066631790544101</v>
      </c>
      <c r="H1003" s="79">
        <v>1</v>
      </c>
      <c r="I1003" s="102">
        <v>1.5899114282734099E-2</v>
      </c>
      <c r="J1003" s="79">
        <v>1.3336589137837499E-2</v>
      </c>
      <c r="K1003" s="79">
        <v>0.23326935776664501</v>
      </c>
      <c r="L1003" s="79">
        <v>0.66141104862732303</v>
      </c>
      <c r="M1003" s="79">
        <v>1</v>
      </c>
      <c r="N1003" s="102">
        <v>1.4054439966649001E-2</v>
      </c>
      <c r="O1003" s="79">
        <v>1.3156512874422601E-2</v>
      </c>
      <c r="P1003" s="79">
        <v>0.28546776531283302</v>
      </c>
      <c r="Q1003" s="79">
        <v>0.39801020118513503</v>
      </c>
      <c r="R1003" s="79">
        <v>1</v>
      </c>
      <c r="S1003" s="102">
        <v>3.3892730799646401E-2</v>
      </c>
      <c r="T1003" s="79">
        <v>1.31923723627609E-2</v>
      </c>
      <c r="U1003" s="79">
        <v>1.02284860775309E-2</v>
      </c>
      <c r="V1003" s="79">
        <v>2.87824840786335E-2</v>
      </c>
      <c r="W1003" s="79">
        <v>1</v>
      </c>
    </row>
    <row r="1004" spans="2:23" x14ac:dyDescent="0.2">
      <c r="B1004" t="s">
        <v>503</v>
      </c>
      <c r="C1004" s="84">
        <v>5023</v>
      </c>
      <c r="D1004" s="102">
        <v>-4.48412279922143E-4</v>
      </c>
      <c r="E1004" s="79">
        <v>1.32839077745523E-2</v>
      </c>
      <c r="F1004" s="79">
        <v>0.97307320995531899</v>
      </c>
      <c r="G1004" s="79">
        <v>0.99840985319461195</v>
      </c>
      <c r="H1004" s="79">
        <v>1</v>
      </c>
      <c r="I1004" s="102">
        <v>-4.2893563236028904E-3</v>
      </c>
      <c r="J1004" s="79">
        <v>1.33566668073397E-2</v>
      </c>
      <c r="K1004" s="79">
        <v>0.74811924201661895</v>
      </c>
      <c r="L1004" s="79">
        <v>0.91967633960533601</v>
      </c>
      <c r="M1004" s="79">
        <v>1</v>
      </c>
      <c r="N1004" s="102">
        <v>5.1775780987207198E-2</v>
      </c>
      <c r="O1004" s="79">
        <v>1.3159266799509401E-2</v>
      </c>
      <c r="P1004" s="79">
        <v>8.4623478006636002E-5</v>
      </c>
      <c r="Q1004" s="79">
        <v>5.8992663268823595E-4</v>
      </c>
      <c r="R1004" s="79">
        <v>0.143352171743241</v>
      </c>
      <c r="S1004" s="107">
        <v>5.5746071639691398E-2</v>
      </c>
      <c r="T1004" s="81">
        <v>1.3189236063832E-2</v>
      </c>
      <c r="U1004" s="81">
        <v>2.4188799855370999E-5</v>
      </c>
      <c r="V1004" s="81">
        <v>2.44712113258716E-4</v>
      </c>
      <c r="W1004" s="81">
        <v>4.0975826954998497E-2</v>
      </c>
    </row>
    <row r="1005" spans="2:23" x14ac:dyDescent="0.2">
      <c r="B1005" t="s">
        <v>504</v>
      </c>
      <c r="C1005" s="84">
        <v>5023</v>
      </c>
      <c r="D1005" s="102">
        <v>-2.6777442255395401E-2</v>
      </c>
      <c r="E1005" s="79">
        <v>1.24087704406497E-2</v>
      </c>
      <c r="F1005" s="79">
        <v>3.0999556081488199E-2</v>
      </c>
      <c r="G1005" s="79">
        <v>0.60944645828912802</v>
      </c>
      <c r="H1005" s="79">
        <v>1</v>
      </c>
      <c r="I1005" s="102">
        <v>-3.4951311256898397E-2</v>
      </c>
      <c r="J1005" s="79">
        <v>1.25207353738176E-2</v>
      </c>
      <c r="K1005" s="79">
        <v>5.2737652788662796E-3</v>
      </c>
      <c r="L1005" s="79">
        <v>0.143721784187822</v>
      </c>
      <c r="M1005" s="79">
        <v>1</v>
      </c>
      <c r="N1005" s="102">
        <v>1.3778376696359401E-2</v>
      </c>
      <c r="O1005" s="79">
        <v>1.2322103650525501E-2</v>
      </c>
      <c r="P1005" s="79">
        <v>0.26356391746537999</v>
      </c>
      <c r="Q1005" s="79">
        <v>0.37582262305248598</v>
      </c>
      <c r="R1005" s="79">
        <v>1</v>
      </c>
      <c r="S1005" s="102">
        <v>4.1593454394131597E-2</v>
      </c>
      <c r="T1005" s="79">
        <v>1.2367847135330101E-2</v>
      </c>
      <c r="U1005" s="79">
        <v>7.7883771062480704E-4</v>
      </c>
      <c r="V1005" s="79">
        <v>3.6956612935530098E-3</v>
      </c>
      <c r="W1005" s="79">
        <v>1</v>
      </c>
    </row>
    <row r="1006" spans="2:23" x14ac:dyDescent="0.2">
      <c r="B1006" t="s">
        <v>505</v>
      </c>
      <c r="C1006" s="84">
        <v>5023</v>
      </c>
      <c r="D1006" s="102">
        <v>-2.3697790192332299E-2</v>
      </c>
      <c r="E1006" s="79">
        <v>1.32451776550422E-2</v>
      </c>
      <c r="F1006" s="79">
        <v>7.3658905908385794E-2</v>
      </c>
      <c r="G1006" s="79">
        <v>0.73538141425839998</v>
      </c>
      <c r="H1006" s="79">
        <v>1</v>
      </c>
      <c r="I1006" s="102">
        <v>-8.6663232776764496E-3</v>
      </c>
      <c r="J1006" s="79">
        <v>1.33286195708416E-2</v>
      </c>
      <c r="K1006" s="79">
        <v>0.51559393939215603</v>
      </c>
      <c r="L1006" s="79">
        <v>0.82770446237657402</v>
      </c>
      <c r="M1006" s="79">
        <v>1</v>
      </c>
      <c r="N1006" s="102">
        <v>2.5310777167369299E-3</v>
      </c>
      <c r="O1006" s="79">
        <v>1.31459203393809E-2</v>
      </c>
      <c r="P1006" s="79">
        <v>0.84733050275358801</v>
      </c>
      <c r="Q1006" s="79">
        <v>0.89693606404287296</v>
      </c>
      <c r="R1006" s="79">
        <v>1</v>
      </c>
      <c r="S1006" s="102">
        <v>2.4825181508830799E-2</v>
      </c>
      <c r="T1006" s="79">
        <v>1.3186183223594701E-2</v>
      </c>
      <c r="U1006" s="79">
        <v>5.9811083330180301E-2</v>
      </c>
      <c r="V1006" s="79">
        <v>0.11740437446271799</v>
      </c>
      <c r="W1006" s="79">
        <v>1</v>
      </c>
    </row>
    <row r="1007" spans="2:23" x14ac:dyDescent="0.2">
      <c r="B1007" t="s">
        <v>506</v>
      </c>
      <c r="C1007" s="84">
        <v>5023</v>
      </c>
      <c r="D1007" s="102">
        <v>9.3991742132717698E-3</v>
      </c>
      <c r="E1007" s="79">
        <v>1.3156620368802399E-2</v>
      </c>
      <c r="F1007" s="79">
        <v>0.47501590638806801</v>
      </c>
      <c r="G1007" s="79">
        <v>0.91151047511105199</v>
      </c>
      <c r="H1007" s="79">
        <v>1</v>
      </c>
      <c r="I1007" s="102">
        <v>-9.7083244231356107E-3</v>
      </c>
      <c r="J1007" s="79">
        <v>1.3247865755960601E-2</v>
      </c>
      <c r="K1007" s="79">
        <v>0.46370669422321298</v>
      </c>
      <c r="L1007" s="79">
        <v>0.799032058493933</v>
      </c>
      <c r="M1007" s="79">
        <v>1</v>
      </c>
      <c r="N1007" s="102">
        <v>1.75249823758078E-2</v>
      </c>
      <c r="O1007" s="79">
        <v>1.3060374814541901E-2</v>
      </c>
      <c r="P1007" s="79">
        <v>0.17971881757840699</v>
      </c>
      <c r="Q1007" s="79">
        <v>0.27752386233165099</v>
      </c>
      <c r="R1007" s="79">
        <v>1</v>
      </c>
      <c r="S1007" s="102">
        <v>1.85706180478321E-2</v>
      </c>
      <c r="T1007" s="79">
        <v>1.30967646383935E-2</v>
      </c>
      <c r="U1007" s="79">
        <v>0.15627638864434201</v>
      </c>
      <c r="V1007" s="79">
        <v>0.251169072451153</v>
      </c>
      <c r="W1007" s="79">
        <v>1</v>
      </c>
    </row>
    <row r="1008" spans="2:23" x14ac:dyDescent="0.2">
      <c r="B1008" t="s">
        <v>507</v>
      </c>
      <c r="C1008" s="84">
        <v>5023</v>
      </c>
      <c r="D1008" s="102">
        <v>6.6767664800011697E-3</v>
      </c>
      <c r="E1008" s="79">
        <v>1.23158850008923E-2</v>
      </c>
      <c r="F1008" s="79">
        <v>0.58776582652488396</v>
      </c>
      <c r="G1008" s="79">
        <v>0.93838695059676502</v>
      </c>
      <c r="H1008" s="79">
        <v>1</v>
      </c>
      <c r="I1008" s="102">
        <v>-1.22273890833019E-2</v>
      </c>
      <c r="J1008" s="79">
        <v>1.24435935403762E-2</v>
      </c>
      <c r="K1008" s="79">
        <v>0.325856068342463</v>
      </c>
      <c r="L1008" s="79">
        <v>0.71688335035341899</v>
      </c>
      <c r="M1008" s="79">
        <v>1</v>
      </c>
      <c r="N1008" s="102">
        <v>1.33308096874545E-2</v>
      </c>
      <c r="O1008" s="79">
        <v>1.2232137847803901E-2</v>
      </c>
      <c r="P1008" s="79">
        <v>0.275866889634093</v>
      </c>
      <c r="Q1008" s="79">
        <v>0.38814028691803598</v>
      </c>
      <c r="R1008" s="79">
        <v>1</v>
      </c>
      <c r="S1008" s="102">
        <v>2.2674196245959798E-2</v>
      </c>
      <c r="T1008" s="79">
        <v>1.22958787438152E-2</v>
      </c>
      <c r="U1008" s="79">
        <v>6.5256641066900004E-2</v>
      </c>
      <c r="V1008" s="79">
        <v>0.125476447181985</v>
      </c>
      <c r="W1008" s="79">
        <v>1</v>
      </c>
    </row>
    <row r="1009" spans="2:23" x14ac:dyDescent="0.2">
      <c r="B1009" t="s">
        <v>508</v>
      </c>
      <c r="C1009" s="84">
        <v>5023</v>
      </c>
      <c r="D1009" s="102">
        <v>-2.1973185650360099E-3</v>
      </c>
      <c r="E1009" s="79">
        <v>1.3390557675284199E-2</v>
      </c>
      <c r="F1009" s="79">
        <v>0.86966436330330199</v>
      </c>
      <c r="G1009" s="79">
        <v>0.99362338620020496</v>
      </c>
      <c r="H1009" s="79">
        <v>1</v>
      </c>
      <c r="I1009" s="102">
        <v>6.6664932630505396E-3</v>
      </c>
      <c r="J1009" s="79">
        <v>1.34694954687448E-2</v>
      </c>
      <c r="K1009" s="79">
        <v>0.62067203999781995</v>
      </c>
      <c r="L1009" s="79">
        <v>0.87748013759880805</v>
      </c>
      <c r="M1009" s="79">
        <v>1</v>
      </c>
      <c r="N1009" s="102">
        <v>1.68059535133772E-2</v>
      </c>
      <c r="O1009" s="79">
        <v>1.3286710905179E-2</v>
      </c>
      <c r="P1009" s="79">
        <v>0.20598593839406501</v>
      </c>
      <c r="Q1009" s="79">
        <v>0.309344130886122</v>
      </c>
      <c r="R1009" s="79">
        <v>1</v>
      </c>
      <c r="S1009" s="102">
        <v>3.5970709401585102E-2</v>
      </c>
      <c r="T1009" s="79">
        <v>1.33167305156764E-2</v>
      </c>
      <c r="U1009" s="79">
        <v>6.9359429271917501E-3</v>
      </c>
      <c r="V1009" s="79">
        <v>2.0869426853752801E-2</v>
      </c>
      <c r="W1009" s="79">
        <v>1</v>
      </c>
    </row>
    <row r="1010" spans="2:23" x14ac:dyDescent="0.2">
      <c r="B1010" t="s">
        <v>509</v>
      </c>
      <c r="C1010" s="84">
        <v>5023</v>
      </c>
      <c r="D1010" s="102">
        <v>2.6682966632656799E-3</v>
      </c>
      <c r="E1010" s="79">
        <v>1.37114373199999E-2</v>
      </c>
      <c r="F1010" s="79">
        <v>0.84571173572699598</v>
      </c>
      <c r="G1010" s="79">
        <v>0.99362338620020496</v>
      </c>
      <c r="H1010" s="79">
        <v>1</v>
      </c>
      <c r="I1010" s="102">
        <v>1.5311929169282801E-3</v>
      </c>
      <c r="J1010" s="79">
        <v>1.3764403063283101E-2</v>
      </c>
      <c r="K1010" s="79">
        <v>0.91142839212396598</v>
      </c>
      <c r="L1010" s="79">
        <v>0.98168469912841005</v>
      </c>
      <c r="M1010" s="79">
        <v>1</v>
      </c>
      <c r="N1010" s="102">
        <v>2.1416882296013099E-3</v>
      </c>
      <c r="O1010" s="79">
        <v>1.35959352608834E-2</v>
      </c>
      <c r="P1010" s="79">
        <v>0.87483859195708702</v>
      </c>
      <c r="Q1010" s="79">
        <v>0.91621403291221304</v>
      </c>
      <c r="R1010" s="79">
        <v>1</v>
      </c>
      <c r="S1010" s="102">
        <v>4.19705647927733E-2</v>
      </c>
      <c r="T1010" s="79">
        <v>1.36094441473061E-2</v>
      </c>
      <c r="U1010" s="79">
        <v>2.0546522156037702E-3</v>
      </c>
      <c r="V1010" s="79">
        <v>7.9104110300745201E-3</v>
      </c>
      <c r="W1010" s="79">
        <v>1</v>
      </c>
    </row>
    <row r="1011" spans="2:23" x14ac:dyDescent="0.2">
      <c r="B1011" t="s">
        <v>510</v>
      </c>
      <c r="C1011" s="84">
        <v>5023</v>
      </c>
      <c r="D1011" s="102">
        <v>-8.5192235594411091E-3</v>
      </c>
      <c r="E1011" s="79">
        <v>1.31035901452168E-2</v>
      </c>
      <c r="F1011" s="79">
        <v>0.51563475978495199</v>
      </c>
      <c r="G1011" s="79">
        <v>0.91752655785263504</v>
      </c>
      <c r="H1011" s="79">
        <v>1</v>
      </c>
      <c r="I1011" s="102">
        <v>-3.6690708121847201E-3</v>
      </c>
      <c r="J1011" s="79">
        <v>1.3191497902709201E-2</v>
      </c>
      <c r="K1011" s="79">
        <v>0.78091883749407098</v>
      </c>
      <c r="L1011" s="79">
        <v>0.92863930730510702</v>
      </c>
      <c r="M1011" s="79">
        <v>1</v>
      </c>
      <c r="N1011" s="102">
        <v>2.5458454822837401E-2</v>
      </c>
      <c r="O1011" s="79">
        <v>1.29958442304951E-2</v>
      </c>
      <c r="P1011" s="79">
        <v>5.0182149943594302E-2</v>
      </c>
      <c r="Q1011" s="79">
        <v>0.10096028741621001</v>
      </c>
      <c r="R1011" s="79">
        <v>1</v>
      </c>
      <c r="S1011" s="102">
        <v>3.35606375359081E-2</v>
      </c>
      <c r="T1011" s="79">
        <v>1.3041006579043401E-2</v>
      </c>
      <c r="U1011" s="79">
        <v>1.0101468348341001E-2</v>
      </c>
      <c r="V1011" s="79">
        <v>2.85198123034828E-2</v>
      </c>
      <c r="W1011" s="79">
        <v>1</v>
      </c>
    </row>
    <row r="1012" spans="2:23" x14ac:dyDescent="0.2">
      <c r="B1012" t="s">
        <v>511</v>
      </c>
      <c r="C1012" s="84">
        <v>5023</v>
      </c>
      <c r="D1012" s="102">
        <v>7.2008898397531102E-3</v>
      </c>
      <c r="E1012" s="79">
        <v>1.32628838473084E-2</v>
      </c>
      <c r="F1012" s="79">
        <v>0.587202703737985</v>
      </c>
      <c r="G1012" s="79">
        <v>0.93838695059676502</v>
      </c>
      <c r="H1012" s="79">
        <v>1</v>
      </c>
      <c r="I1012" s="102">
        <v>4.4734145672703203E-3</v>
      </c>
      <c r="J1012" s="79">
        <v>1.33470255148921E-2</v>
      </c>
      <c r="K1012" s="79">
        <v>0.73751886423120006</v>
      </c>
      <c r="L1012" s="79">
        <v>0.91967633960533601</v>
      </c>
      <c r="M1012" s="79">
        <v>1</v>
      </c>
      <c r="N1012" s="102">
        <v>1.9801925976912799E-2</v>
      </c>
      <c r="O1012" s="79">
        <v>1.3161949940390201E-2</v>
      </c>
      <c r="P1012" s="79">
        <v>0.132530485881664</v>
      </c>
      <c r="Q1012" s="79">
        <v>0.21733460124253501</v>
      </c>
      <c r="R1012" s="79">
        <v>1</v>
      </c>
      <c r="S1012" s="102">
        <v>-6.9922638586332204E-3</v>
      </c>
      <c r="T1012" s="79">
        <v>1.3201481075258001E-2</v>
      </c>
      <c r="U1012" s="79">
        <v>0.59637619269109099</v>
      </c>
      <c r="V1012" s="79">
        <v>0.68538756473453799</v>
      </c>
      <c r="W1012" s="79">
        <v>1</v>
      </c>
    </row>
    <row r="1013" spans="2:23" x14ac:dyDescent="0.2">
      <c r="B1013" t="s">
        <v>512</v>
      </c>
      <c r="C1013" s="84">
        <v>5023</v>
      </c>
      <c r="D1013" s="102">
        <v>-1.14520769064161E-2</v>
      </c>
      <c r="E1013" s="79">
        <v>1.28065860980719E-2</v>
      </c>
      <c r="F1013" s="79">
        <v>0.3712536444583</v>
      </c>
      <c r="G1013" s="79">
        <v>0.89461055933914202</v>
      </c>
      <c r="H1013" s="79">
        <v>1</v>
      </c>
      <c r="I1013" s="102">
        <v>-1.1428934487604301E-2</v>
      </c>
      <c r="J1013" s="79">
        <v>1.29158540711276E-2</v>
      </c>
      <c r="K1013" s="79">
        <v>0.376276619833528</v>
      </c>
      <c r="L1013" s="79">
        <v>0.75612407354447997</v>
      </c>
      <c r="M1013" s="79">
        <v>1</v>
      </c>
      <c r="N1013" s="102">
        <v>1.18487826152654E-2</v>
      </c>
      <c r="O1013" s="79">
        <v>1.2710580590005301E-2</v>
      </c>
      <c r="P1013" s="79">
        <v>0.35129253412850497</v>
      </c>
      <c r="Q1013" s="79">
        <v>0.46820578506191002</v>
      </c>
      <c r="R1013" s="79">
        <v>1</v>
      </c>
      <c r="S1013" s="102">
        <v>1.1933943302349899E-2</v>
      </c>
      <c r="T1013" s="79">
        <v>1.27696022635535E-2</v>
      </c>
      <c r="U1013" s="79">
        <v>0.35007278692018601</v>
      </c>
      <c r="V1013" s="79">
        <v>0.46829521712267402</v>
      </c>
      <c r="W1013" s="79">
        <v>1</v>
      </c>
    </row>
    <row r="1014" spans="2:23" x14ac:dyDescent="0.2">
      <c r="B1014" t="s">
        <v>513</v>
      </c>
      <c r="C1014" s="84">
        <v>5023</v>
      </c>
      <c r="D1014" s="102">
        <v>-2.3241786929490801E-2</v>
      </c>
      <c r="E1014" s="79">
        <v>1.18705497228769E-2</v>
      </c>
      <c r="F1014" s="79">
        <v>5.0327531063922397E-2</v>
      </c>
      <c r="G1014" s="79">
        <v>0.70184175957025496</v>
      </c>
      <c r="H1014" s="79">
        <v>1</v>
      </c>
      <c r="I1014" s="102">
        <v>8.2203244232190997E-3</v>
      </c>
      <c r="J1014" s="79">
        <v>1.20316193419729E-2</v>
      </c>
      <c r="K1014" s="79">
        <v>0.49451183347379501</v>
      </c>
      <c r="L1014" s="79">
        <v>0.81647470361073005</v>
      </c>
      <c r="M1014" s="79">
        <v>1</v>
      </c>
      <c r="N1014" s="102">
        <v>8.4969641010665797E-3</v>
      </c>
      <c r="O1014" s="79">
        <v>1.18078014824265E-2</v>
      </c>
      <c r="P1014" s="79">
        <v>0.47182127666504198</v>
      </c>
      <c r="Q1014" s="79">
        <v>0.58962220900136098</v>
      </c>
      <c r="R1014" s="79">
        <v>1</v>
      </c>
      <c r="S1014" s="102">
        <v>1.87324887414776E-2</v>
      </c>
      <c r="T1014" s="79">
        <v>1.1893173538777E-2</v>
      </c>
      <c r="U1014" s="79">
        <v>0.115339437281229</v>
      </c>
      <c r="V1014" s="79">
        <v>0.19755814636440999</v>
      </c>
      <c r="W1014" s="79">
        <v>1</v>
      </c>
    </row>
    <row r="1015" spans="2:23" x14ac:dyDescent="0.2">
      <c r="B1015" t="s">
        <v>514</v>
      </c>
      <c r="C1015" s="84">
        <v>5023</v>
      </c>
      <c r="D1015" s="102">
        <v>-2.2402417617618998E-2</v>
      </c>
      <c r="E1015" s="79">
        <v>1.2188421701571301E-2</v>
      </c>
      <c r="F1015" s="79">
        <v>6.6148246451836298E-2</v>
      </c>
      <c r="G1015" s="79">
        <v>0.73538141425839998</v>
      </c>
      <c r="H1015" s="79">
        <v>1</v>
      </c>
      <c r="I1015" s="102">
        <v>-3.7443626589415101E-3</v>
      </c>
      <c r="J1015" s="79">
        <v>1.23286229655745E-2</v>
      </c>
      <c r="K1015" s="79">
        <v>0.76136411851028596</v>
      </c>
      <c r="L1015" s="79">
        <v>0.92637153989923704</v>
      </c>
      <c r="M1015" s="79">
        <v>1</v>
      </c>
      <c r="N1015" s="102">
        <v>6.79728690319627E-3</v>
      </c>
      <c r="O1015" s="79">
        <v>1.2115599073997899E-2</v>
      </c>
      <c r="P1015" s="79">
        <v>0.57480938455867503</v>
      </c>
      <c r="Q1015" s="79">
        <v>0.68331726136308502</v>
      </c>
      <c r="R1015" s="79">
        <v>1</v>
      </c>
      <c r="S1015" s="102">
        <v>1.7145480753495899E-2</v>
      </c>
      <c r="T1015" s="79">
        <v>1.21851866692481E-2</v>
      </c>
      <c r="U1015" s="79">
        <v>0.15949199175349599</v>
      </c>
      <c r="V1015" s="79">
        <v>0.254886258519266</v>
      </c>
      <c r="W1015" s="79">
        <v>1</v>
      </c>
    </row>
    <row r="1016" spans="2:23" x14ac:dyDescent="0.2">
      <c r="B1016" t="s">
        <v>515</v>
      </c>
      <c r="C1016" s="84">
        <v>5023</v>
      </c>
      <c r="D1016" s="102">
        <v>-1.3053277982807601E-3</v>
      </c>
      <c r="E1016" s="79">
        <v>1.31033012517089E-2</v>
      </c>
      <c r="F1016" s="79">
        <v>0.920652324275541</v>
      </c>
      <c r="G1016" s="79">
        <v>0.99605333311574995</v>
      </c>
      <c r="H1016" s="79">
        <v>1</v>
      </c>
      <c r="I1016" s="102">
        <v>-6.4785721194058404E-3</v>
      </c>
      <c r="J1016" s="79">
        <v>1.31983524159731E-2</v>
      </c>
      <c r="K1016" s="79">
        <v>0.62354929301873296</v>
      </c>
      <c r="L1016" s="79">
        <v>0.87748013759880805</v>
      </c>
      <c r="M1016" s="79">
        <v>1</v>
      </c>
      <c r="N1016" s="102">
        <v>2.33715503150662E-2</v>
      </c>
      <c r="O1016" s="79">
        <v>1.3001716180728901E-2</v>
      </c>
      <c r="P1016" s="79">
        <v>7.2317757053600995E-2</v>
      </c>
      <c r="Q1016" s="79">
        <v>0.13712334734914999</v>
      </c>
      <c r="R1016" s="79">
        <v>1</v>
      </c>
      <c r="S1016" s="102">
        <v>3.72697198975609E-2</v>
      </c>
      <c r="T1016" s="79">
        <v>1.3048749575498401E-2</v>
      </c>
      <c r="U1016" s="79">
        <v>4.3085042771211397E-3</v>
      </c>
      <c r="V1016" s="79">
        <v>1.4310992638123901E-2</v>
      </c>
      <c r="W1016" s="79">
        <v>1</v>
      </c>
    </row>
    <row r="1017" spans="2:23" x14ac:dyDescent="0.2">
      <c r="B1017" t="s">
        <v>516</v>
      </c>
      <c r="C1017" s="84">
        <v>5023</v>
      </c>
      <c r="D1017" s="102">
        <v>-1.77931476134034E-2</v>
      </c>
      <c r="E1017" s="79">
        <v>1.27180310850165E-2</v>
      </c>
      <c r="F1017" s="79">
        <v>0.161880579022882</v>
      </c>
      <c r="G1017" s="79">
        <v>0.81796927009920195</v>
      </c>
      <c r="H1017" s="79">
        <v>1</v>
      </c>
      <c r="I1017" s="102">
        <v>-2.6433527669352901E-2</v>
      </c>
      <c r="J1017" s="79">
        <v>1.28240778281712E-2</v>
      </c>
      <c r="K1017" s="79">
        <v>3.9345149115413897E-2</v>
      </c>
      <c r="L1017" s="79">
        <v>0.3770294728113</v>
      </c>
      <c r="M1017" s="79">
        <v>1</v>
      </c>
      <c r="N1017" s="102">
        <v>4.8655514381055698E-2</v>
      </c>
      <c r="O1017" s="79">
        <v>1.2593740174749599E-2</v>
      </c>
      <c r="P1017" s="79">
        <v>1.13655850862184E-4</v>
      </c>
      <c r="Q1017" s="79">
        <v>7.7013204544215902E-4</v>
      </c>
      <c r="R1017" s="79">
        <v>0.19253301136053999</v>
      </c>
      <c r="S1017" s="102">
        <v>4.2762056321322899E-2</v>
      </c>
      <c r="T1017" s="79">
        <v>1.2664303876986201E-2</v>
      </c>
      <c r="U1017" s="79">
        <v>7.4108378262755501E-4</v>
      </c>
      <c r="V1017" s="79">
        <v>3.5563624016177898E-3</v>
      </c>
      <c r="W1017" s="79">
        <v>1</v>
      </c>
    </row>
    <row r="1018" spans="2:23" x14ac:dyDescent="0.2">
      <c r="B1018" t="s">
        <v>517</v>
      </c>
      <c r="C1018" s="84">
        <v>5023</v>
      </c>
      <c r="D1018" s="102">
        <v>-2.1408199314515999E-2</v>
      </c>
      <c r="E1018" s="79">
        <v>1.25894348870161E-2</v>
      </c>
      <c r="F1018" s="79">
        <v>8.9123286500771504E-2</v>
      </c>
      <c r="G1018" s="79">
        <v>0.74740023431835101</v>
      </c>
      <c r="H1018" s="79">
        <v>1</v>
      </c>
      <c r="I1018" s="102">
        <v>-1.2385413152751001E-2</v>
      </c>
      <c r="J1018" s="79">
        <v>1.2706669516589801E-2</v>
      </c>
      <c r="K1018" s="79">
        <v>0.32976131147010601</v>
      </c>
      <c r="L1018" s="79">
        <v>0.72265932940538102</v>
      </c>
      <c r="M1018" s="79">
        <v>1</v>
      </c>
      <c r="N1018" s="102">
        <v>1.7244728097449698E-2</v>
      </c>
      <c r="O1018" s="79">
        <v>1.2503773006808499E-2</v>
      </c>
      <c r="P1018" s="79">
        <v>0.16792739562089501</v>
      </c>
      <c r="Q1018" s="79">
        <v>0.26277053270621298</v>
      </c>
      <c r="R1018" s="79">
        <v>1</v>
      </c>
      <c r="S1018" s="102">
        <v>1.6515176364525101E-2</v>
      </c>
      <c r="T1018" s="79">
        <v>1.25696852649875E-2</v>
      </c>
      <c r="U1018" s="79">
        <v>0.18896177769559899</v>
      </c>
      <c r="V1018" s="79">
        <v>0.28994678570321097</v>
      </c>
      <c r="W1018" s="79">
        <v>1</v>
      </c>
    </row>
    <row r="1019" spans="2:23" x14ac:dyDescent="0.2">
      <c r="B1019" t="s">
        <v>518</v>
      </c>
      <c r="C1019" s="84">
        <v>5023</v>
      </c>
      <c r="D1019" s="102">
        <v>-5.5624475314078204E-3</v>
      </c>
      <c r="E1019" s="79">
        <v>1.24084606049397E-2</v>
      </c>
      <c r="F1019" s="79">
        <v>0.65397965071085395</v>
      </c>
      <c r="G1019" s="79">
        <v>0.95767440062337605</v>
      </c>
      <c r="H1019" s="79">
        <v>1</v>
      </c>
      <c r="I1019" s="102">
        <v>1.6199318257179001E-2</v>
      </c>
      <c r="J1019" s="79">
        <v>1.2532755310710899E-2</v>
      </c>
      <c r="K1019" s="79">
        <v>0.19624404704720499</v>
      </c>
      <c r="L1019" s="79">
        <v>0.63930272249608699</v>
      </c>
      <c r="M1019" s="79">
        <v>1</v>
      </c>
      <c r="N1019" s="102">
        <v>8.6209866771541493E-3</v>
      </c>
      <c r="O1019" s="79">
        <v>1.23278568820273E-2</v>
      </c>
      <c r="P1019" s="79">
        <v>0.48440409705395099</v>
      </c>
      <c r="Q1019" s="79">
        <v>0.601598636663778</v>
      </c>
      <c r="R1019" s="79">
        <v>1</v>
      </c>
      <c r="S1019" s="102">
        <v>2.32262339340761E-2</v>
      </c>
      <c r="T1019" s="79">
        <v>1.23832688239396E-2</v>
      </c>
      <c r="U1019" s="79">
        <v>6.0787289849378499E-2</v>
      </c>
      <c r="V1019" s="79">
        <v>0.118496742238029</v>
      </c>
      <c r="W1019" s="79">
        <v>1</v>
      </c>
    </row>
    <row r="1020" spans="2:23" x14ac:dyDescent="0.2">
      <c r="B1020" t="s">
        <v>519</v>
      </c>
      <c r="C1020" s="84">
        <v>5023</v>
      </c>
      <c r="D1020" s="102">
        <v>7.4128759258620903E-3</v>
      </c>
      <c r="E1020" s="79">
        <v>1.36093031841177E-2</v>
      </c>
      <c r="F1020" s="79">
        <v>0.58599149941192596</v>
      </c>
      <c r="G1020" s="79">
        <v>0.93838695059676502</v>
      </c>
      <c r="H1020" s="79">
        <v>1</v>
      </c>
      <c r="I1020" s="102">
        <v>-2.7083214810235099E-2</v>
      </c>
      <c r="J1020" s="79">
        <v>1.3652542439405601E-2</v>
      </c>
      <c r="K1020" s="79">
        <v>4.73410122575562E-2</v>
      </c>
      <c r="L1020" s="79">
        <v>0.40114376697029003</v>
      </c>
      <c r="M1020" s="79">
        <v>1</v>
      </c>
      <c r="N1020" s="102">
        <v>1.9889238596561401E-2</v>
      </c>
      <c r="O1020" s="79">
        <v>1.34918829853786E-2</v>
      </c>
      <c r="P1020" s="79">
        <v>0.140504519008254</v>
      </c>
      <c r="Q1020" s="79">
        <v>0.227330138681932</v>
      </c>
      <c r="R1020" s="79">
        <v>1</v>
      </c>
      <c r="S1020" s="102">
        <v>1.0332196290537899E-2</v>
      </c>
      <c r="T1020" s="79">
        <v>1.35160655931113E-2</v>
      </c>
      <c r="U1020" s="79">
        <v>0.44464407561882802</v>
      </c>
      <c r="V1020" s="79">
        <v>0.56085410580662298</v>
      </c>
      <c r="W1020" s="79">
        <v>1</v>
      </c>
    </row>
    <row r="1021" spans="2:23" x14ac:dyDescent="0.2">
      <c r="B1021" t="s">
        <v>520</v>
      </c>
      <c r="C1021" s="84">
        <v>5023</v>
      </c>
      <c r="D1021" s="102">
        <v>2.7363499967632799E-3</v>
      </c>
      <c r="E1021" s="79">
        <v>1.2892256373524201E-2</v>
      </c>
      <c r="F1021" s="79">
        <v>0.831924269286069</v>
      </c>
      <c r="G1021" s="79">
        <v>0.99362338620020496</v>
      </c>
      <c r="H1021" s="79">
        <v>1</v>
      </c>
      <c r="I1021" s="102">
        <v>-1.4929737094916001E-2</v>
      </c>
      <c r="J1021" s="79">
        <v>1.2980900513868699E-2</v>
      </c>
      <c r="K1021" s="79">
        <v>0.250153261151777</v>
      </c>
      <c r="L1021" s="79">
        <v>0.67731304455784702</v>
      </c>
      <c r="M1021" s="79">
        <v>1</v>
      </c>
      <c r="N1021" s="102">
        <v>1.9060848166334399E-2</v>
      </c>
      <c r="O1021" s="79">
        <v>1.27890158369546E-2</v>
      </c>
      <c r="P1021" s="79">
        <v>0.136191916639505</v>
      </c>
      <c r="Q1021" s="79">
        <v>0.22226310865830601</v>
      </c>
      <c r="R1021" s="79">
        <v>1</v>
      </c>
      <c r="S1021" s="102">
        <v>1.5021200439043E-2</v>
      </c>
      <c r="T1021" s="79">
        <v>1.28351008469791E-2</v>
      </c>
      <c r="U1021" s="79">
        <v>0.24193617810405099</v>
      </c>
      <c r="V1021" s="79">
        <v>0.35241938030398301</v>
      </c>
      <c r="W1021" s="79">
        <v>1</v>
      </c>
    </row>
    <row r="1022" spans="2:23" x14ac:dyDescent="0.2">
      <c r="B1022" t="s">
        <v>521</v>
      </c>
      <c r="C1022" s="84">
        <v>5023</v>
      </c>
      <c r="D1022" s="102">
        <v>-3.2857147716417699E-3</v>
      </c>
      <c r="E1022" s="79">
        <v>1.34310093358721E-2</v>
      </c>
      <c r="F1022" s="79">
        <v>0.80674918062561995</v>
      </c>
      <c r="G1022" s="79">
        <v>0.99362338620020496</v>
      </c>
      <c r="H1022" s="79">
        <v>1</v>
      </c>
      <c r="I1022" s="102">
        <v>1.3605968533937101E-2</v>
      </c>
      <c r="J1022" s="79">
        <v>1.34964909312445E-2</v>
      </c>
      <c r="K1022" s="79">
        <v>0.31345395256810898</v>
      </c>
      <c r="L1022" s="79">
        <v>0.71287249273680797</v>
      </c>
      <c r="M1022" s="79">
        <v>1</v>
      </c>
      <c r="N1022" s="102">
        <v>2.95035671958092E-2</v>
      </c>
      <c r="O1022" s="79">
        <v>1.33129476670742E-2</v>
      </c>
      <c r="P1022" s="79">
        <v>2.6730736375934601E-2</v>
      </c>
      <c r="Q1022" s="79">
        <v>6.1191712730855698E-2</v>
      </c>
      <c r="R1022" s="79">
        <v>1</v>
      </c>
      <c r="S1022" s="102">
        <v>4.1852444919664902E-2</v>
      </c>
      <c r="T1022" s="79">
        <v>1.3337878744814799E-2</v>
      </c>
      <c r="U1022" s="79">
        <v>1.7126728542171E-3</v>
      </c>
      <c r="V1022" s="79">
        <v>6.9559738183469898E-3</v>
      </c>
      <c r="W1022" s="79">
        <v>1</v>
      </c>
    </row>
    <row r="1023" spans="2:23" x14ac:dyDescent="0.2">
      <c r="B1023" t="s">
        <v>522</v>
      </c>
      <c r="C1023" s="84">
        <v>5023</v>
      </c>
      <c r="D1023" s="102">
        <v>-2.1748176336381399E-2</v>
      </c>
      <c r="E1023" s="79">
        <v>1.2689483070104E-2</v>
      </c>
      <c r="F1023" s="79">
        <v>8.6629695291426403E-2</v>
      </c>
      <c r="G1023" s="79">
        <v>0.74561034814826599</v>
      </c>
      <c r="H1023" s="79">
        <v>1</v>
      </c>
      <c r="I1023" s="102">
        <v>3.21779486671193E-3</v>
      </c>
      <c r="J1023" s="79">
        <v>1.27907533200485E-2</v>
      </c>
      <c r="K1023" s="79">
        <v>0.80138438123758104</v>
      </c>
      <c r="L1023" s="79">
        <v>0.94077972405853205</v>
      </c>
      <c r="M1023" s="79">
        <v>1</v>
      </c>
      <c r="N1023" s="102">
        <v>2.6982857558344901E-2</v>
      </c>
      <c r="O1023" s="79">
        <v>1.25932933545301E-2</v>
      </c>
      <c r="P1023" s="79">
        <v>3.2202043862796001E-2</v>
      </c>
      <c r="Q1023" s="79">
        <v>7.0936621981243703E-2</v>
      </c>
      <c r="R1023" s="79">
        <v>1</v>
      </c>
      <c r="S1023" s="102">
        <v>2.4623650926538201E-2</v>
      </c>
      <c r="T1023" s="79">
        <v>1.2646514492224901E-2</v>
      </c>
      <c r="U1023" s="79">
        <v>5.1594040035141099E-2</v>
      </c>
      <c r="V1023" s="79">
        <v>0.104671022538358</v>
      </c>
      <c r="W1023" s="79">
        <v>1</v>
      </c>
    </row>
    <row r="1024" spans="2:23" x14ac:dyDescent="0.2">
      <c r="B1024" t="s">
        <v>523</v>
      </c>
      <c r="C1024" s="84">
        <v>5023</v>
      </c>
      <c r="D1024" s="102">
        <v>-3.0792583013693701E-3</v>
      </c>
      <c r="E1024" s="79">
        <v>1.28160803061294E-2</v>
      </c>
      <c r="F1024" s="79">
        <v>0.81013721065796795</v>
      </c>
      <c r="G1024" s="79">
        <v>0.99362338620020496</v>
      </c>
      <c r="H1024" s="79">
        <v>1</v>
      </c>
      <c r="I1024" s="102">
        <v>2.1529320433063499E-2</v>
      </c>
      <c r="J1024" s="79">
        <v>1.29127619103785E-2</v>
      </c>
      <c r="K1024" s="79">
        <v>9.5533101592887804E-2</v>
      </c>
      <c r="L1024" s="79">
        <v>0.51214458025897003</v>
      </c>
      <c r="M1024" s="79">
        <v>1</v>
      </c>
      <c r="N1024" s="102">
        <v>4.7882878924027797E-3</v>
      </c>
      <c r="O1024" s="79">
        <v>1.27224583339485E-2</v>
      </c>
      <c r="P1024" s="79">
        <v>0.70666567451669404</v>
      </c>
      <c r="Q1024" s="79">
        <v>0.79806110175418699</v>
      </c>
      <c r="R1024" s="79">
        <v>1</v>
      </c>
      <c r="S1024" s="102">
        <v>5.1174388373027097E-2</v>
      </c>
      <c r="T1024" s="79">
        <v>1.2747673608944099E-2</v>
      </c>
      <c r="U1024" s="79">
        <v>6.0669532699632802E-5</v>
      </c>
      <c r="V1024" s="79">
        <v>4.9174252819702397E-4</v>
      </c>
      <c r="W1024" s="79">
        <v>0.10277418839317801</v>
      </c>
    </row>
    <row r="1025" spans="2:23" x14ac:dyDescent="0.2">
      <c r="B1025" t="s">
        <v>524</v>
      </c>
      <c r="C1025" s="84">
        <v>5023</v>
      </c>
      <c r="D1025" s="102">
        <v>1.77770937349843E-2</v>
      </c>
      <c r="E1025" s="79">
        <v>1.25734997010156E-2</v>
      </c>
      <c r="F1025" s="79">
        <v>0.15748779581943301</v>
      </c>
      <c r="G1025" s="79">
        <v>0.81336684792109604</v>
      </c>
      <c r="H1025" s="79">
        <v>1</v>
      </c>
      <c r="I1025" s="102">
        <v>1.1517576362907799E-2</v>
      </c>
      <c r="J1025" s="79">
        <v>1.26858752997732E-2</v>
      </c>
      <c r="K1025" s="79">
        <v>0.36398378535308901</v>
      </c>
      <c r="L1025" s="79">
        <v>0.74593451887386297</v>
      </c>
      <c r="M1025" s="79">
        <v>1</v>
      </c>
      <c r="N1025" s="102">
        <v>1.9595584545338801E-2</v>
      </c>
      <c r="O1025" s="79">
        <v>1.2488308180795001E-2</v>
      </c>
      <c r="P1025" s="79">
        <v>0.116704507494742</v>
      </c>
      <c r="Q1025" s="79">
        <v>0.19632317348172099</v>
      </c>
      <c r="R1025" s="79">
        <v>1</v>
      </c>
      <c r="S1025" s="102">
        <v>4.3339408127059401E-2</v>
      </c>
      <c r="T1025" s="79">
        <v>1.2531138180586701E-2</v>
      </c>
      <c r="U1025" s="79">
        <v>5.48923237090585E-4</v>
      </c>
      <c r="V1025" s="79">
        <v>2.84365738113594E-3</v>
      </c>
      <c r="W1025" s="79">
        <v>0.92987596363145097</v>
      </c>
    </row>
    <row r="1026" spans="2:23" x14ac:dyDescent="0.2">
      <c r="B1026" t="s">
        <v>525</v>
      </c>
      <c r="C1026" s="84">
        <v>5023</v>
      </c>
      <c r="D1026" s="102">
        <v>-8.0325379251045704E-3</v>
      </c>
      <c r="E1026" s="79">
        <v>1.2818478385469E-2</v>
      </c>
      <c r="F1026" s="79">
        <v>0.53093250385025403</v>
      </c>
      <c r="G1026" s="79">
        <v>0.92176676956083303</v>
      </c>
      <c r="H1026" s="79">
        <v>1</v>
      </c>
      <c r="I1026" s="102">
        <v>-4.3136713200936198E-3</v>
      </c>
      <c r="J1026" s="79">
        <v>1.29177021550011E-2</v>
      </c>
      <c r="K1026" s="79">
        <v>0.73844537277162203</v>
      </c>
      <c r="L1026" s="79">
        <v>0.91967633960533601</v>
      </c>
      <c r="M1026" s="79">
        <v>1</v>
      </c>
      <c r="N1026" s="102">
        <v>2.62568516132737E-2</v>
      </c>
      <c r="O1026" s="79">
        <v>1.2718777342165999E-2</v>
      </c>
      <c r="P1026" s="79">
        <v>3.9041481102865802E-2</v>
      </c>
      <c r="Q1026" s="79">
        <v>8.2464175795828806E-2</v>
      </c>
      <c r="R1026" s="79">
        <v>1</v>
      </c>
      <c r="S1026" s="102">
        <v>3.00676120938113E-2</v>
      </c>
      <c r="T1026" s="79">
        <v>1.27732981922718E-2</v>
      </c>
      <c r="U1026" s="79">
        <v>1.86215520681043E-2</v>
      </c>
      <c r="V1026" s="79">
        <v>4.6457892788466397E-2</v>
      </c>
      <c r="W1026" s="79">
        <v>1</v>
      </c>
    </row>
    <row r="1027" spans="2:23" x14ac:dyDescent="0.2">
      <c r="B1027" t="s">
        <v>526</v>
      </c>
      <c r="C1027" s="84">
        <v>5022</v>
      </c>
      <c r="D1027" s="102">
        <v>3.5845763326681902E-3</v>
      </c>
      <c r="E1027" s="79">
        <v>1.32495312183237E-2</v>
      </c>
      <c r="F1027" s="79">
        <v>0.78675499446514796</v>
      </c>
      <c r="G1027" s="79">
        <v>0.988344463507694</v>
      </c>
      <c r="H1027" s="79">
        <v>1</v>
      </c>
      <c r="I1027" s="102">
        <v>-2.3310191247995798E-2</v>
      </c>
      <c r="J1027" s="79">
        <v>1.33247413322544E-2</v>
      </c>
      <c r="K1027" s="79">
        <v>8.0291890155434198E-2</v>
      </c>
      <c r="L1027" s="79">
        <v>0.47759760794846201</v>
      </c>
      <c r="M1027" s="79">
        <v>1</v>
      </c>
      <c r="N1027" s="102">
        <v>-2.9842228243585799E-2</v>
      </c>
      <c r="O1027" s="79">
        <v>1.31363527778455E-2</v>
      </c>
      <c r="P1027" s="79">
        <v>2.31513961986251E-2</v>
      </c>
      <c r="Q1027" s="79">
        <v>5.4512589915062498E-2</v>
      </c>
      <c r="R1027" s="79">
        <v>1</v>
      </c>
      <c r="S1027" s="102">
        <v>-3.7602731262519902E-2</v>
      </c>
      <c r="T1027" s="79">
        <v>1.3168834548229799E-2</v>
      </c>
      <c r="U1027" s="79">
        <v>4.3177372895448901E-3</v>
      </c>
      <c r="V1027" s="79">
        <v>1.43135948502721E-2</v>
      </c>
      <c r="W1027" s="79">
        <v>1</v>
      </c>
    </row>
    <row r="1028" spans="2:23" x14ac:dyDescent="0.2">
      <c r="B1028" t="s">
        <v>527</v>
      </c>
      <c r="C1028" s="84">
        <v>5022</v>
      </c>
      <c r="D1028" s="102">
        <v>1.07174024357354E-2</v>
      </c>
      <c r="E1028" s="79">
        <v>1.33429617289427E-2</v>
      </c>
      <c r="F1028" s="79">
        <v>0.42188901223017899</v>
      </c>
      <c r="G1028" s="79">
        <v>0.89561567502544503</v>
      </c>
      <c r="H1028" s="79">
        <v>1</v>
      </c>
      <c r="I1028" s="102">
        <v>-2.3537342891684901E-3</v>
      </c>
      <c r="J1028" s="79">
        <v>1.3424021417675E-2</v>
      </c>
      <c r="K1028" s="79">
        <v>0.860822412404744</v>
      </c>
      <c r="L1028" s="79">
        <v>0.96507820424462998</v>
      </c>
      <c r="M1028" s="79">
        <v>1</v>
      </c>
      <c r="N1028" s="102">
        <v>-3.9640580200685704E-3</v>
      </c>
      <c r="O1028" s="79">
        <v>1.3239672064517901E-2</v>
      </c>
      <c r="P1028" s="79">
        <v>0.76464341152630499</v>
      </c>
      <c r="Q1028" s="79">
        <v>0.84001682174160897</v>
      </c>
      <c r="R1028" s="79">
        <v>1</v>
      </c>
      <c r="S1028" s="102">
        <v>2.8187375153758999E-2</v>
      </c>
      <c r="T1028" s="79">
        <v>1.3272162663138101E-2</v>
      </c>
      <c r="U1028" s="79">
        <v>3.37424183586627E-2</v>
      </c>
      <c r="V1028" s="79">
        <v>7.55081330245371E-2</v>
      </c>
      <c r="W1028" s="79">
        <v>1</v>
      </c>
    </row>
    <row r="1029" spans="2:23" x14ac:dyDescent="0.2">
      <c r="B1029" t="s">
        <v>528</v>
      </c>
      <c r="C1029" s="84">
        <v>5022</v>
      </c>
      <c r="D1029" s="102">
        <v>3.94553184704038E-4</v>
      </c>
      <c r="E1029" s="79">
        <v>1.28792803199369E-2</v>
      </c>
      <c r="F1029" s="79">
        <v>0.97556242857821696</v>
      </c>
      <c r="G1029" s="79">
        <v>0.99840985319461195</v>
      </c>
      <c r="H1029" s="79">
        <v>1</v>
      </c>
      <c r="I1029" s="102">
        <v>7.2588782446978697E-4</v>
      </c>
      <c r="J1029" s="79">
        <v>1.2985778594919501E-2</v>
      </c>
      <c r="K1029" s="79">
        <v>0.95542527724249005</v>
      </c>
      <c r="L1029" s="79">
        <v>0.99421745281696505</v>
      </c>
      <c r="M1029" s="79">
        <v>1</v>
      </c>
      <c r="N1029" s="102">
        <v>3.1915480042558099E-3</v>
      </c>
      <c r="O1029" s="79">
        <v>1.27856636754508E-2</v>
      </c>
      <c r="P1029" s="79">
        <v>0.802894872190826</v>
      </c>
      <c r="Q1029" s="79">
        <v>0.86473973694860795</v>
      </c>
      <c r="R1029" s="79">
        <v>1</v>
      </c>
      <c r="S1029" s="102">
        <v>1.1629600053294701E-2</v>
      </c>
      <c r="T1029" s="79">
        <v>1.28377348769329E-2</v>
      </c>
      <c r="U1029" s="79">
        <v>0.365047275426235</v>
      </c>
      <c r="V1029" s="79">
        <v>0.48311725357190799</v>
      </c>
      <c r="W1029" s="79">
        <v>1</v>
      </c>
    </row>
    <row r="1030" spans="2:23" x14ac:dyDescent="0.2">
      <c r="B1030" t="s">
        <v>529</v>
      </c>
      <c r="C1030" s="84">
        <v>5022</v>
      </c>
      <c r="D1030" s="102">
        <v>-1.2021804750936199E-2</v>
      </c>
      <c r="E1030" s="79">
        <v>1.37676272090271E-2</v>
      </c>
      <c r="F1030" s="79">
        <v>0.38260232216211998</v>
      </c>
      <c r="G1030" s="79">
        <v>0.89461055933914202</v>
      </c>
      <c r="H1030" s="79">
        <v>1</v>
      </c>
      <c r="I1030" s="102">
        <v>4.9854775157327598E-3</v>
      </c>
      <c r="J1030" s="79">
        <v>1.3815763345073701E-2</v>
      </c>
      <c r="K1030" s="79">
        <v>0.71822428862672705</v>
      </c>
      <c r="L1030" s="79">
        <v>0.91424734896672399</v>
      </c>
      <c r="M1030" s="79">
        <v>1</v>
      </c>
      <c r="N1030" s="102">
        <v>1.08443712276356E-2</v>
      </c>
      <c r="O1030" s="79">
        <v>1.36501401335864E-2</v>
      </c>
      <c r="P1030" s="79">
        <v>0.42697275155993097</v>
      </c>
      <c r="Q1030" s="79">
        <v>0.54382845198686003</v>
      </c>
      <c r="R1030" s="79">
        <v>1</v>
      </c>
      <c r="S1030" s="102">
        <v>3.7212123610627097E-2</v>
      </c>
      <c r="T1030" s="79">
        <v>1.3666119759269599E-2</v>
      </c>
      <c r="U1030" s="79">
        <v>6.4937455508457999E-3</v>
      </c>
      <c r="V1030" s="79">
        <v>1.9766192509308299E-2</v>
      </c>
      <c r="W1030" s="79">
        <v>1</v>
      </c>
    </row>
    <row r="1031" spans="2:23" x14ac:dyDescent="0.2">
      <c r="B1031" t="s">
        <v>530</v>
      </c>
      <c r="C1031" s="84">
        <v>5022</v>
      </c>
      <c r="D1031" s="102">
        <v>-1.77162856847184E-3</v>
      </c>
      <c r="E1031" s="79">
        <v>1.23591635065767E-2</v>
      </c>
      <c r="F1031" s="79">
        <v>0.88602571968775501</v>
      </c>
      <c r="G1031" s="79">
        <v>0.99362338620020496</v>
      </c>
      <c r="H1031" s="79">
        <v>1</v>
      </c>
      <c r="I1031" s="102">
        <v>1.40068719737992E-2</v>
      </c>
      <c r="J1031" s="79">
        <v>1.2480193737598899E-2</v>
      </c>
      <c r="K1031" s="79">
        <v>0.261796362448734</v>
      </c>
      <c r="L1031" s="79">
        <v>0.68228159690485501</v>
      </c>
      <c r="M1031" s="79">
        <v>1</v>
      </c>
      <c r="N1031" s="102">
        <v>1.02799792740156E-2</v>
      </c>
      <c r="O1031" s="79">
        <v>1.2276441835142199E-2</v>
      </c>
      <c r="P1031" s="79">
        <v>0.40243862046449902</v>
      </c>
      <c r="Q1031" s="79">
        <v>0.518426633510921</v>
      </c>
      <c r="R1031" s="79">
        <v>1</v>
      </c>
      <c r="S1031" s="102">
        <v>3.08507907978667E-3</v>
      </c>
      <c r="T1031" s="79">
        <v>1.2342037588018599E-2</v>
      </c>
      <c r="U1031" s="79">
        <v>0.80262838276553605</v>
      </c>
      <c r="V1031" s="79">
        <v>0.85191258170727902</v>
      </c>
      <c r="W1031" s="79">
        <v>1</v>
      </c>
    </row>
    <row r="1032" spans="2:23" x14ac:dyDescent="0.2">
      <c r="B1032" t="s">
        <v>531</v>
      </c>
      <c r="C1032" s="84">
        <v>5022</v>
      </c>
      <c r="D1032" s="102">
        <v>-1.7173401094469601E-3</v>
      </c>
      <c r="E1032" s="79">
        <v>1.27305820137901E-2</v>
      </c>
      <c r="F1032" s="79">
        <v>0.89269893019913804</v>
      </c>
      <c r="G1032" s="79">
        <v>0.99362338620020496</v>
      </c>
      <c r="H1032" s="79">
        <v>1</v>
      </c>
      <c r="I1032" s="102">
        <v>6.2419313321638997E-3</v>
      </c>
      <c r="J1032" s="79">
        <v>1.2838381572189099E-2</v>
      </c>
      <c r="K1032" s="79">
        <v>0.62685666503697102</v>
      </c>
      <c r="L1032" s="79">
        <v>0.87748013759880805</v>
      </c>
      <c r="M1032" s="79">
        <v>1</v>
      </c>
      <c r="N1032" s="102">
        <v>1.39741414404116E-2</v>
      </c>
      <c r="O1032" s="79">
        <v>1.26383115338534E-2</v>
      </c>
      <c r="P1032" s="79">
        <v>0.268925809615016</v>
      </c>
      <c r="Q1032" s="79">
        <v>0.381541307778758</v>
      </c>
      <c r="R1032" s="79">
        <v>1</v>
      </c>
      <c r="S1032" s="102">
        <v>-1.2751583614270201E-4</v>
      </c>
      <c r="T1032" s="79">
        <v>1.26942515373498E-2</v>
      </c>
      <c r="U1032" s="79">
        <v>0.99198575351023399</v>
      </c>
      <c r="V1032" s="79">
        <v>0.99433364878481401</v>
      </c>
      <c r="W1032" s="79">
        <v>1</v>
      </c>
    </row>
    <row r="1033" spans="2:23" x14ac:dyDescent="0.2">
      <c r="B1033" t="s">
        <v>532</v>
      </c>
      <c r="C1033" s="84">
        <v>5022</v>
      </c>
      <c r="D1033" s="102">
        <v>9.0326887234734397E-3</v>
      </c>
      <c r="E1033" s="79">
        <v>1.29204508793262E-2</v>
      </c>
      <c r="F1033" s="79">
        <v>0.48452944617761001</v>
      </c>
      <c r="G1033" s="79">
        <v>0.91678121217168596</v>
      </c>
      <c r="H1033" s="79">
        <v>1</v>
      </c>
      <c r="I1033" s="102">
        <v>-2.15470838754361E-2</v>
      </c>
      <c r="J1033" s="79">
        <v>1.30113598915866E-2</v>
      </c>
      <c r="K1033" s="79">
        <v>9.7791548743789605E-2</v>
      </c>
      <c r="L1033" s="79">
        <v>0.51533423575627901</v>
      </c>
      <c r="M1033" s="79">
        <v>1</v>
      </c>
      <c r="N1033" s="102">
        <v>5.2504865479026698E-3</v>
      </c>
      <c r="O1033" s="79">
        <v>1.2819450495204301E-2</v>
      </c>
      <c r="P1033" s="79">
        <v>0.68214134846924501</v>
      </c>
      <c r="Q1033" s="79">
        <v>0.77501505319040997</v>
      </c>
      <c r="R1033" s="79">
        <v>1</v>
      </c>
      <c r="S1033" s="102">
        <v>-3.33446786806669E-2</v>
      </c>
      <c r="T1033" s="79">
        <v>1.2854318003406799E-2</v>
      </c>
      <c r="U1033" s="79">
        <v>9.5183458824963096E-3</v>
      </c>
      <c r="V1033" s="79">
        <v>2.71449123315636E-2</v>
      </c>
      <c r="W1033" s="79">
        <v>1</v>
      </c>
    </row>
    <row r="1034" spans="2:23" x14ac:dyDescent="0.2">
      <c r="B1034" t="s">
        <v>533</v>
      </c>
      <c r="C1034" s="84">
        <v>5022</v>
      </c>
      <c r="D1034" s="102">
        <v>1.6980109403655401E-2</v>
      </c>
      <c r="E1034" s="79">
        <v>1.2903932214352499E-2</v>
      </c>
      <c r="F1034" s="79">
        <v>0.188286756055629</v>
      </c>
      <c r="G1034" s="79">
        <v>0.83003013605610498</v>
      </c>
      <c r="H1034" s="79">
        <v>1</v>
      </c>
      <c r="I1034" s="102">
        <v>1.2434539306641101E-3</v>
      </c>
      <c r="J1034" s="79">
        <v>1.3005647553924599E-2</v>
      </c>
      <c r="K1034" s="79">
        <v>0.92383583752919396</v>
      </c>
      <c r="L1034" s="79">
        <v>0.98193837767293402</v>
      </c>
      <c r="M1034" s="79">
        <v>1</v>
      </c>
      <c r="N1034" s="102">
        <v>7.4057564214852802E-3</v>
      </c>
      <c r="O1034" s="79">
        <v>1.28126227937134E-2</v>
      </c>
      <c r="P1034" s="79">
        <v>0.56329272314631795</v>
      </c>
      <c r="Q1034" s="79">
        <v>0.67435892085502702</v>
      </c>
      <c r="R1034" s="79">
        <v>1</v>
      </c>
      <c r="S1034" s="102">
        <v>6.2050356199368998E-3</v>
      </c>
      <c r="T1034" s="79">
        <v>1.2861909248532E-2</v>
      </c>
      <c r="U1034" s="79">
        <v>0.62952213056439899</v>
      </c>
      <c r="V1034" s="79">
        <v>0.70857839812364898</v>
      </c>
      <c r="W1034" s="79">
        <v>1</v>
      </c>
    </row>
    <row r="1035" spans="2:23" x14ac:dyDescent="0.2">
      <c r="B1035" t="s">
        <v>534</v>
      </c>
      <c r="C1035" s="84">
        <v>5022</v>
      </c>
      <c r="D1035" s="102">
        <v>6.7023991183434804E-3</v>
      </c>
      <c r="E1035" s="79">
        <v>1.30742061789228E-2</v>
      </c>
      <c r="F1035" s="79">
        <v>0.60822840760682795</v>
      </c>
      <c r="G1035" s="79">
        <v>0.94874670578818299</v>
      </c>
      <c r="H1035" s="79">
        <v>1</v>
      </c>
      <c r="I1035" s="102">
        <v>2.9585384169251799E-2</v>
      </c>
      <c r="J1035" s="79">
        <v>1.3156877853822E-2</v>
      </c>
      <c r="K1035" s="79">
        <v>2.45841460384E-2</v>
      </c>
      <c r="L1035" s="79">
        <v>0.30705200698785101</v>
      </c>
      <c r="M1035" s="79">
        <v>1</v>
      </c>
      <c r="N1035" s="102">
        <v>1.7769155827922298E-2</v>
      </c>
      <c r="O1035" s="79">
        <v>1.29773012951667E-2</v>
      </c>
      <c r="P1035" s="79">
        <v>0.17099466834857799</v>
      </c>
      <c r="Q1035" s="79">
        <v>0.26623618399125998</v>
      </c>
      <c r="R1035" s="79">
        <v>1</v>
      </c>
      <c r="S1035" s="102">
        <v>3.97931805643933E-2</v>
      </c>
      <c r="T1035" s="79">
        <v>1.30157823922094E-2</v>
      </c>
      <c r="U1035" s="79">
        <v>2.2471100501693301E-3</v>
      </c>
      <c r="V1035" s="79">
        <v>8.3992044105496398E-3</v>
      </c>
      <c r="W1035" s="79">
        <v>1</v>
      </c>
    </row>
    <row r="1036" spans="2:23" x14ac:dyDescent="0.2">
      <c r="B1036" t="s">
        <v>535</v>
      </c>
      <c r="C1036" s="84">
        <v>5022</v>
      </c>
      <c r="D1036" s="102">
        <v>-9.5562921947821306E-3</v>
      </c>
      <c r="E1036" s="79">
        <v>1.3169153354210201E-2</v>
      </c>
      <c r="F1036" s="79">
        <v>0.468089936771722</v>
      </c>
      <c r="G1036" s="79">
        <v>0.91151047511105199</v>
      </c>
      <c r="H1036" s="79">
        <v>1</v>
      </c>
      <c r="I1036" s="102">
        <v>1.78975440560241E-2</v>
      </c>
      <c r="J1036" s="79">
        <v>1.32602768696235E-2</v>
      </c>
      <c r="K1036" s="79">
        <v>0.177179491972592</v>
      </c>
      <c r="L1036" s="79">
        <v>0.61396896490869202</v>
      </c>
      <c r="M1036" s="79">
        <v>1</v>
      </c>
      <c r="N1036" s="102">
        <v>2.0883071170701398E-3</v>
      </c>
      <c r="O1036" s="79">
        <v>1.30714701251097E-2</v>
      </c>
      <c r="P1036" s="79">
        <v>0.87307730595813404</v>
      </c>
      <c r="Q1036" s="79">
        <v>0.91578511225577597</v>
      </c>
      <c r="R1036" s="79">
        <v>1</v>
      </c>
      <c r="S1036" s="102">
        <v>3.4168049025885203E-2</v>
      </c>
      <c r="T1036" s="79">
        <v>1.3119952861294099E-2</v>
      </c>
      <c r="U1036" s="79">
        <v>9.2384296966364996E-3</v>
      </c>
      <c r="V1036" s="79">
        <v>2.65702884653688E-2</v>
      </c>
      <c r="W1036" s="79">
        <v>1</v>
      </c>
    </row>
    <row r="1037" spans="2:23" x14ac:dyDescent="0.2">
      <c r="B1037" t="s">
        <v>536</v>
      </c>
      <c r="C1037" s="84">
        <v>5022</v>
      </c>
      <c r="D1037" s="102">
        <v>-1.0585531942598201E-3</v>
      </c>
      <c r="E1037" s="79">
        <v>1.2368050526039299E-2</v>
      </c>
      <c r="F1037" s="79">
        <v>0.93179928331101602</v>
      </c>
      <c r="G1037" s="79">
        <v>0.99840985319461195</v>
      </c>
      <c r="H1037" s="79">
        <v>1</v>
      </c>
      <c r="I1037" s="102">
        <v>2.7676608050776701E-2</v>
      </c>
      <c r="J1037" s="79">
        <v>1.24973126166412E-2</v>
      </c>
      <c r="K1037" s="79">
        <v>2.6850651337357902E-2</v>
      </c>
      <c r="L1037" s="79">
        <v>0.31408898726867501</v>
      </c>
      <c r="M1037" s="79">
        <v>1</v>
      </c>
      <c r="N1037" s="102">
        <v>1.42873962686177E-2</v>
      </c>
      <c r="O1037" s="79">
        <v>1.22892576557255E-2</v>
      </c>
      <c r="P1037" s="79">
        <v>0.24507658037365301</v>
      </c>
      <c r="Q1037" s="79">
        <v>0.35574955197340902</v>
      </c>
      <c r="R1037" s="79">
        <v>1</v>
      </c>
      <c r="S1037" s="102">
        <v>3.5228602585745901E-2</v>
      </c>
      <c r="T1037" s="79">
        <v>1.2352901826133999E-2</v>
      </c>
      <c r="U1037" s="79">
        <v>4.3719681539174703E-3</v>
      </c>
      <c r="V1037" s="79">
        <v>1.44368694985111E-2</v>
      </c>
      <c r="W1037" s="79">
        <v>1</v>
      </c>
    </row>
    <row r="1038" spans="2:23" x14ac:dyDescent="0.2">
      <c r="B1038" t="s">
        <v>537</v>
      </c>
      <c r="C1038" s="84">
        <v>5022</v>
      </c>
      <c r="D1038" s="102">
        <v>-1.3233095029740001E-2</v>
      </c>
      <c r="E1038" s="79">
        <v>1.2592486873118799E-2</v>
      </c>
      <c r="F1038" s="79">
        <v>0.29338413208067698</v>
      </c>
      <c r="G1038" s="79">
        <v>0.87498718264906095</v>
      </c>
      <c r="H1038" s="79">
        <v>1</v>
      </c>
      <c r="I1038" s="102">
        <v>-2.2858666246703199E-2</v>
      </c>
      <c r="J1038" s="79">
        <v>1.27006558886973E-2</v>
      </c>
      <c r="K1038" s="79">
        <v>7.1967501569522793E-2</v>
      </c>
      <c r="L1038" s="79">
        <v>0.45523555939255</v>
      </c>
      <c r="M1038" s="79">
        <v>1</v>
      </c>
      <c r="N1038" s="102">
        <v>1.7587451022302102E-2</v>
      </c>
      <c r="O1038" s="79">
        <v>1.2500454807506001E-2</v>
      </c>
      <c r="P1038" s="79">
        <v>0.15952457868578299</v>
      </c>
      <c r="Q1038" s="79">
        <v>0.251849614439624</v>
      </c>
      <c r="R1038" s="79">
        <v>1</v>
      </c>
      <c r="S1038" s="102">
        <v>4.1132034718308501E-2</v>
      </c>
      <c r="T1038" s="79">
        <v>1.25552088125238E-2</v>
      </c>
      <c r="U1038" s="79">
        <v>1.0616004511886099E-3</v>
      </c>
      <c r="V1038" s="79">
        <v>4.7114768557816097E-3</v>
      </c>
      <c r="W1038" s="79">
        <v>1</v>
      </c>
    </row>
    <row r="1039" spans="2:23" x14ac:dyDescent="0.2">
      <c r="B1039" t="s">
        <v>538</v>
      </c>
      <c r="C1039" s="84">
        <v>5022</v>
      </c>
      <c r="D1039" s="102">
        <v>-6.23706030911778E-3</v>
      </c>
      <c r="E1039" s="79">
        <v>1.2923429211676701E-2</v>
      </c>
      <c r="F1039" s="79">
        <v>0.62939355734213798</v>
      </c>
      <c r="G1039" s="79">
        <v>0.95687505350859803</v>
      </c>
      <c r="H1039" s="79">
        <v>1</v>
      </c>
      <c r="I1039" s="102">
        <v>-3.6060897052758302E-3</v>
      </c>
      <c r="J1039" s="79">
        <v>1.3014099690218999E-2</v>
      </c>
      <c r="K1039" s="79">
        <v>0.78172352551185498</v>
      </c>
      <c r="L1039" s="79">
        <v>0.92863930730510702</v>
      </c>
      <c r="M1039" s="79">
        <v>1</v>
      </c>
      <c r="N1039" s="102">
        <v>2.58069645896573E-2</v>
      </c>
      <c r="O1039" s="79">
        <v>1.2822247050745601E-2</v>
      </c>
      <c r="P1039" s="79">
        <v>4.42131038627036E-2</v>
      </c>
      <c r="Q1039" s="79">
        <v>9.1898156985791304E-2</v>
      </c>
      <c r="R1039" s="79">
        <v>1</v>
      </c>
      <c r="S1039" s="102">
        <v>3.2226757109571999E-2</v>
      </c>
      <c r="T1039" s="79">
        <v>1.28632206901665E-2</v>
      </c>
      <c r="U1039" s="79">
        <v>1.2270160266915599E-2</v>
      </c>
      <c r="V1039" s="79">
        <v>3.2940810605634002E-2</v>
      </c>
      <c r="W1039" s="79">
        <v>1</v>
      </c>
    </row>
    <row r="1040" spans="2:23" x14ac:dyDescent="0.2">
      <c r="B1040" t="s">
        <v>539</v>
      </c>
      <c r="C1040" s="84">
        <v>5022</v>
      </c>
      <c r="D1040" s="102">
        <v>7.6675713802881501E-4</v>
      </c>
      <c r="E1040" s="79">
        <v>1.30901118577999E-2</v>
      </c>
      <c r="F1040" s="79">
        <v>0.95329312437958102</v>
      </c>
      <c r="G1040" s="79">
        <v>0.99840985319461195</v>
      </c>
      <c r="H1040" s="79">
        <v>1</v>
      </c>
      <c r="I1040" s="102">
        <v>-2.1328366580069001E-2</v>
      </c>
      <c r="J1040" s="79">
        <v>1.31697272963882E-2</v>
      </c>
      <c r="K1040" s="79">
        <v>0.105410872833767</v>
      </c>
      <c r="L1040" s="79">
        <v>0.53293803425049502</v>
      </c>
      <c r="M1040" s="79">
        <v>1</v>
      </c>
      <c r="N1040" s="102">
        <v>-3.74986250496189E-2</v>
      </c>
      <c r="O1040" s="79">
        <v>1.298662366533E-2</v>
      </c>
      <c r="P1040" s="79">
        <v>3.9026210503646198E-3</v>
      </c>
      <c r="Q1040" s="79">
        <v>1.3018316871795299E-2</v>
      </c>
      <c r="R1040" s="79">
        <v>1</v>
      </c>
      <c r="S1040" s="102">
        <v>-4.3699610765956902E-2</v>
      </c>
      <c r="T1040" s="79">
        <v>1.3014844872208199E-2</v>
      </c>
      <c r="U1040" s="79">
        <v>7.9267449837103297E-4</v>
      </c>
      <c r="V1040" s="79">
        <v>3.7299738895570302E-3</v>
      </c>
      <c r="W1040" s="79">
        <v>1</v>
      </c>
    </row>
    <row r="1041" spans="2:23" x14ac:dyDescent="0.2">
      <c r="B1041" t="s">
        <v>540</v>
      </c>
      <c r="C1041" s="84">
        <v>5022</v>
      </c>
      <c r="D1041" s="102">
        <v>-1.3213512645028E-3</v>
      </c>
      <c r="E1041" s="79">
        <v>1.31670830448904E-2</v>
      </c>
      <c r="F1041" s="79">
        <v>0.92006905056769295</v>
      </c>
      <c r="G1041" s="79">
        <v>0.99605333311574995</v>
      </c>
      <c r="H1041" s="79">
        <v>1</v>
      </c>
      <c r="I1041" s="102">
        <v>-2.4593661413925901E-3</v>
      </c>
      <c r="J1041" s="79">
        <v>1.32459921365988E-2</v>
      </c>
      <c r="K1041" s="79">
        <v>0.85271300537676398</v>
      </c>
      <c r="L1041" s="79">
        <v>0.96184556338691496</v>
      </c>
      <c r="M1041" s="79">
        <v>1</v>
      </c>
      <c r="N1041" s="102">
        <v>3.67762804052559E-2</v>
      </c>
      <c r="O1041" s="79">
        <v>1.3053475965637299E-2</v>
      </c>
      <c r="P1041" s="79">
        <v>4.8639101052044302E-3</v>
      </c>
      <c r="Q1041" s="79">
        <v>1.5675190001556101E-2</v>
      </c>
      <c r="R1041" s="79">
        <v>1</v>
      </c>
      <c r="S1041" s="102">
        <v>1.7543757373597601E-2</v>
      </c>
      <c r="T1041" s="79">
        <v>1.3103774051473499E-2</v>
      </c>
      <c r="U1041" s="79">
        <v>0.18069372255979099</v>
      </c>
      <c r="V1041" s="79">
        <v>0.27982273912807298</v>
      </c>
      <c r="W1041" s="79">
        <v>1</v>
      </c>
    </row>
    <row r="1042" spans="2:23" x14ac:dyDescent="0.2">
      <c r="B1042" t="s">
        <v>541</v>
      </c>
      <c r="C1042" s="84">
        <v>5022</v>
      </c>
      <c r="D1042" s="102">
        <v>6.1037050773628402E-3</v>
      </c>
      <c r="E1042" s="79">
        <v>1.17572846822677E-2</v>
      </c>
      <c r="F1042" s="79">
        <v>0.60369909044964298</v>
      </c>
      <c r="G1042" s="79">
        <v>0.94341905832259698</v>
      </c>
      <c r="H1042" s="79">
        <v>1</v>
      </c>
      <c r="I1042" s="102">
        <v>3.0328020871166098E-2</v>
      </c>
      <c r="J1042" s="79">
        <v>1.19014501713032E-2</v>
      </c>
      <c r="K1042" s="79">
        <v>1.08718843964E-2</v>
      </c>
      <c r="L1042" s="79">
        <v>0.19803195879034</v>
      </c>
      <c r="M1042" s="79">
        <v>1</v>
      </c>
      <c r="N1042" s="102">
        <v>3.1911234434191499E-2</v>
      </c>
      <c r="O1042" s="79">
        <v>1.1669087602254E-2</v>
      </c>
      <c r="P1042" s="79">
        <v>6.2797422864391697E-3</v>
      </c>
      <c r="Q1042" s="79">
        <v>1.9252648216191302E-2</v>
      </c>
      <c r="R1042" s="79">
        <v>1</v>
      </c>
      <c r="S1042" s="102">
        <v>1.44879418209797E-2</v>
      </c>
      <c r="T1042" s="79">
        <v>1.1766505994980201E-2</v>
      </c>
      <c r="U1042" s="79">
        <v>0.21830602375976901</v>
      </c>
      <c r="V1042" s="79">
        <v>0.32326084287504298</v>
      </c>
      <c r="W1042" s="79">
        <v>1</v>
      </c>
    </row>
    <row r="1043" spans="2:23" x14ac:dyDescent="0.2">
      <c r="B1043" t="s">
        <v>542</v>
      </c>
      <c r="C1043" s="84">
        <v>5022</v>
      </c>
      <c r="D1043" s="102">
        <v>-1.3881462926789E-2</v>
      </c>
      <c r="E1043" s="79">
        <v>1.3967686095160799E-2</v>
      </c>
      <c r="F1043" s="79">
        <v>0.32035728439905797</v>
      </c>
      <c r="G1043" s="79">
        <v>0.88730162874475904</v>
      </c>
      <c r="H1043" s="79">
        <v>1</v>
      </c>
      <c r="I1043" s="102">
        <v>-1.1931629939361499E-2</v>
      </c>
      <c r="J1043" s="79">
        <v>1.4002405688609601E-2</v>
      </c>
      <c r="K1043" s="79">
        <v>0.39419328292394801</v>
      </c>
      <c r="L1043" s="79">
        <v>0.76304312491983595</v>
      </c>
      <c r="M1043" s="79">
        <v>1</v>
      </c>
      <c r="N1043" s="102">
        <v>2.2530421502479601E-2</v>
      </c>
      <c r="O1043" s="79">
        <v>1.38407594145399E-2</v>
      </c>
      <c r="P1043" s="79">
        <v>0.103626026073963</v>
      </c>
      <c r="Q1043" s="79">
        <v>0.179675013479318</v>
      </c>
      <c r="R1043" s="79">
        <v>1</v>
      </c>
      <c r="S1043" s="102">
        <v>2.0347812178180099E-2</v>
      </c>
      <c r="T1043" s="79">
        <v>1.38576118969783E-2</v>
      </c>
      <c r="U1043" s="79">
        <v>0.142074098109291</v>
      </c>
      <c r="V1043" s="79">
        <v>0.23389069212549901</v>
      </c>
      <c r="W1043" s="79">
        <v>1</v>
      </c>
    </row>
    <row r="1044" spans="2:23" x14ac:dyDescent="0.2">
      <c r="B1044" t="s">
        <v>543</v>
      </c>
      <c r="C1044" s="84">
        <v>5022</v>
      </c>
      <c r="D1044" s="102">
        <v>-1.24587550352538E-2</v>
      </c>
      <c r="E1044" s="79">
        <v>1.3067104084478001E-2</v>
      </c>
      <c r="F1044" s="79">
        <v>0.34042058974289102</v>
      </c>
      <c r="G1044" s="79">
        <v>0.88889892785277203</v>
      </c>
      <c r="H1044" s="79">
        <v>1</v>
      </c>
      <c r="I1044" s="102">
        <v>3.8121343191822102E-3</v>
      </c>
      <c r="J1044" s="79">
        <v>1.31535938189283E-2</v>
      </c>
      <c r="K1044" s="79">
        <v>0.77197020832230301</v>
      </c>
      <c r="L1044" s="79">
        <v>0.92861868293626904</v>
      </c>
      <c r="M1044" s="79">
        <v>1</v>
      </c>
      <c r="N1044" s="102">
        <v>3.1829300371512999E-2</v>
      </c>
      <c r="O1044" s="79">
        <v>1.29584949429948E-2</v>
      </c>
      <c r="P1044" s="79">
        <v>1.40797947911366E-2</v>
      </c>
      <c r="Q1044" s="79">
        <v>3.6694012144663599E-2</v>
      </c>
      <c r="R1044" s="79">
        <v>1</v>
      </c>
      <c r="S1044" s="102">
        <v>3.5425973370268003E-2</v>
      </c>
      <c r="T1044" s="79">
        <v>1.29969177178119E-2</v>
      </c>
      <c r="U1044" s="79">
        <v>6.4422196694441701E-3</v>
      </c>
      <c r="V1044" s="79">
        <v>1.9663279495564699E-2</v>
      </c>
      <c r="W1044" s="79">
        <v>1</v>
      </c>
    </row>
    <row r="1045" spans="2:23" x14ac:dyDescent="0.2">
      <c r="B1045" t="s">
        <v>544</v>
      </c>
      <c r="C1045" s="84">
        <v>5022</v>
      </c>
      <c r="D1045" s="102">
        <v>-1.02452645094748E-2</v>
      </c>
      <c r="E1045" s="79">
        <v>1.2723530925988999E-2</v>
      </c>
      <c r="F1045" s="79">
        <v>0.42074099668042803</v>
      </c>
      <c r="G1045" s="79">
        <v>0.89561567502544503</v>
      </c>
      <c r="H1045" s="79">
        <v>1</v>
      </c>
      <c r="I1045" s="102">
        <v>-8.9077328943589894E-3</v>
      </c>
      <c r="J1045" s="79">
        <v>1.2830315403163799E-2</v>
      </c>
      <c r="K1045" s="79">
        <v>0.48755109544407799</v>
      </c>
      <c r="L1045" s="79">
        <v>0.81294833849005099</v>
      </c>
      <c r="M1045" s="79">
        <v>1</v>
      </c>
      <c r="N1045" s="102">
        <v>-1.2742043939977001E-2</v>
      </c>
      <c r="O1045" s="79">
        <v>1.2629719096875699E-2</v>
      </c>
      <c r="P1045" s="79">
        <v>0.31308775077334999</v>
      </c>
      <c r="Q1045" s="79">
        <v>0.427718265975851</v>
      </c>
      <c r="R1045" s="79">
        <v>1</v>
      </c>
      <c r="S1045" s="102">
        <v>-5.7438656515612701E-3</v>
      </c>
      <c r="T1045" s="79">
        <v>1.2684128106539501E-2</v>
      </c>
      <c r="U1045" s="79">
        <v>0.650689187929958</v>
      </c>
      <c r="V1045" s="79">
        <v>0.72327262752844401</v>
      </c>
      <c r="W1045" s="79">
        <v>1</v>
      </c>
    </row>
    <row r="1046" spans="2:23" x14ac:dyDescent="0.2">
      <c r="B1046" t="s">
        <v>545</v>
      </c>
      <c r="C1046" s="84">
        <v>5022</v>
      </c>
      <c r="D1046" s="102">
        <v>-1.5199364511806099E-2</v>
      </c>
      <c r="E1046" s="79">
        <v>1.29681358218347E-2</v>
      </c>
      <c r="F1046" s="79">
        <v>0.24124198631211599</v>
      </c>
      <c r="G1046" s="79">
        <v>0.85990749347533801</v>
      </c>
      <c r="H1046" s="79">
        <v>1</v>
      </c>
      <c r="I1046" s="102">
        <v>-1.28481738524113E-2</v>
      </c>
      <c r="J1046" s="79">
        <v>1.30538386200256E-2</v>
      </c>
      <c r="K1046" s="79">
        <v>0.32505001106412301</v>
      </c>
      <c r="L1046" s="79">
        <v>0.71688335035341899</v>
      </c>
      <c r="M1046" s="79">
        <v>1</v>
      </c>
      <c r="N1046" s="102">
        <v>1.7077323575808202E-2</v>
      </c>
      <c r="O1046" s="79">
        <v>1.28657265649459E-2</v>
      </c>
      <c r="P1046" s="79">
        <v>0.184464671035449</v>
      </c>
      <c r="Q1046" s="79">
        <v>0.282279270762467</v>
      </c>
      <c r="R1046" s="79">
        <v>1</v>
      </c>
      <c r="S1046" s="102">
        <v>3.7584233886742299E-2</v>
      </c>
      <c r="T1046" s="79">
        <v>1.29002297645092E-2</v>
      </c>
      <c r="U1046" s="79">
        <v>3.5929082661723798E-3</v>
      </c>
      <c r="V1046" s="79">
        <v>1.23707044774309E-2</v>
      </c>
      <c r="W1046" s="79">
        <v>1</v>
      </c>
    </row>
    <row r="1047" spans="2:23" x14ac:dyDescent="0.2">
      <c r="B1047" t="s">
        <v>546</v>
      </c>
      <c r="C1047" s="84">
        <v>5022</v>
      </c>
      <c r="D1047" s="102">
        <v>1.43394837966814E-3</v>
      </c>
      <c r="E1047" s="79">
        <v>1.35641994506176E-2</v>
      </c>
      <c r="F1047" s="79">
        <v>0.91581272603257202</v>
      </c>
      <c r="G1047" s="79">
        <v>0.99533029194181499</v>
      </c>
      <c r="H1047" s="79">
        <v>1</v>
      </c>
      <c r="I1047" s="102">
        <v>1.4288181044748299E-2</v>
      </c>
      <c r="J1047" s="79">
        <v>1.36315498183683E-2</v>
      </c>
      <c r="K1047" s="79">
        <v>0.29461556144594597</v>
      </c>
      <c r="L1047" s="79">
        <v>0.70592340946629695</v>
      </c>
      <c r="M1047" s="79">
        <v>1</v>
      </c>
      <c r="N1047" s="102">
        <v>2.9863222341244E-2</v>
      </c>
      <c r="O1047" s="79">
        <v>1.34509117926391E-2</v>
      </c>
      <c r="P1047" s="79">
        <v>2.6457484654710098E-2</v>
      </c>
      <c r="Q1047" s="79">
        <v>6.0730323855120498E-2</v>
      </c>
      <c r="R1047" s="79">
        <v>1</v>
      </c>
      <c r="S1047" s="102">
        <v>4.6546121830908602E-2</v>
      </c>
      <c r="T1047" s="79">
        <v>1.34711005080311E-2</v>
      </c>
      <c r="U1047" s="79">
        <v>5.5478423631657699E-4</v>
      </c>
      <c r="V1047" s="79">
        <v>2.8479530367134399E-3</v>
      </c>
      <c r="W1047" s="79">
        <v>0.93980449632028096</v>
      </c>
    </row>
    <row r="1048" spans="2:23" x14ac:dyDescent="0.2">
      <c r="B1048" t="s">
        <v>547</v>
      </c>
      <c r="C1048" s="84">
        <v>5022</v>
      </c>
      <c r="D1048" s="102">
        <v>-1.02405299715619E-2</v>
      </c>
      <c r="E1048" s="79">
        <v>1.3789305906923699E-2</v>
      </c>
      <c r="F1048" s="79">
        <v>0.45773439428360102</v>
      </c>
      <c r="G1048" s="79">
        <v>0.91151047511105199</v>
      </c>
      <c r="H1048" s="79">
        <v>1</v>
      </c>
      <c r="I1048" s="102">
        <v>-6.2931281901901304E-3</v>
      </c>
      <c r="J1048" s="79">
        <v>1.38247444822505E-2</v>
      </c>
      <c r="K1048" s="79">
        <v>0.64898024499052398</v>
      </c>
      <c r="L1048" s="79">
        <v>0.88374695918109603</v>
      </c>
      <c r="M1048" s="79">
        <v>1</v>
      </c>
      <c r="N1048" s="102">
        <v>-1.8759886274172199E-2</v>
      </c>
      <c r="O1048" s="79">
        <v>1.36602799171451E-2</v>
      </c>
      <c r="P1048" s="79">
        <v>0.169718038320782</v>
      </c>
      <c r="Q1048" s="79">
        <v>0.26473513528122</v>
      </c>
      <c r="R1048" s="79">
        <v>1</v>
      </c>
      <c r="S1048" s="102">
        <v>-7.4111112606543E-3</v>
      </c>
      <c r="T1048" s="79">
        <v>1.36796228637513E-2</v>
      </c>
      <c r="U1048" s="79">
        <v>0.58800678086072899</v>
      </c>
      <c r="V1048" s="79">
        <v>0.68038489534021496</v>
      </c>
      <c r="W1048" s="79">
        <v>1</v>
      </c>
    </row>
    <row r="1049" spans="2:23" x14ac:dyDescent="0.2">
      <c r="B1049" t="s">
        <v>548</v>
      </c>
      <c r="C1049" s="84">
        <v>5022</v>
      </c>
      <c r="D1049" s="102">
        <v>-2.02570081794246E-2</v>
      </c>
      <c r="E1049" s="79">
        <v>1.3229469034943001E-2</v>
      </c>
      <c r="F1049" s="79">
        <v>0.125791463391034</v>
      </c>
      <c r="G1049" s="79">
        <v>0.80938271582532695</v>
      </c>
      <c r="H1049" s="79">
        <v>1</v>
      </c>
      <c r="I1049" s="102">
        <v>2.08556974975467E-3</v>
      </c>
      <c r="J1049" s="79">
        <v>1.33061818154902E-2</v>
      </c>
      <c r="K1049" s="79">
        <v>0.87545920190204196</v>
      </c>
      <c r="L1049" s="79">
        <v>0.97184003146923903</v>
      </c>
      <c r="M1049" s="79">
        <v>1</v>
      </c>
      <c r="N1049" s="102">
        <v>1.74016563722105E-2</v>
      </c>
      <c r="O1049" s="79">
        <v>1.31246772930807E-2</v>
      </c>
      <c r="P1049" s="79">
        <v>0.18495035812462601</v>
      </c>
      <c r="Q1049" s="79">
        <v>0.28251208896584001</v>
      </c>
      <c r="R1049" s="79">
        <v>1</v>
      </c>
      <c r="S1049" s="102">
        <v>6.3803220118462704E-3</v>
      </c>
      <c r="T1049" s="79">
        <v>1.31629454053552E-2</v>
      </c>
      <c r="U1049" s="79">
        <v>0.627899731206918</v>
      </c>
      <c r="V1049" s="79">
        <v>0.70769271102097098</v>
      </c>
      <c r="W1049" s="79">
        <v>1</v>
      </c>
    </row>
    <row r="1050" spans="2:23" x14ac:dyDescent="0.2">
      <c r="B1050" t="s">
        <v>591</v>
      </c>
      <c r="C1050" s="84">
        <v>5022</v>
      </c>
      <c r="D1050" s="102">
        <v>-1.8468504074755101E-3</v>
      </c>
      <c r="E1050" s="79">
        <v>1.1361184270510701E-2</v>
      </c>
      <c r="F1050" s="79">
        <v>0.87087815188996798</v>
      </c>
      <c r="G1050" s="79">
        <v>0.99362338620020496</v>
      </c>
      <c r="H1050" s="79">
        <v>1</v>
      </c>
      <c r="I1050" s="102">
        <v>1.4095520981888E-2</v>
      </c>
      <c r="J1050" s="79">
        <v>1.1515294796807501E-2</v>
      </c>
      <c r="K1050" s="79">
        <v>0.22102239657550801</v>
      </c>
      <c r="L1050" s="79">
        <v>0.65304481397729397</v>
      </c>
      <c r="M1050" s="79">
        <v>1</v>
      </c>
      <c r="N1050" s="102">
        <v>3.8965498757056301E-2</v>
      </c>
      <c r="O1050" s="79">
        <v>1.1294668292157301E-2</v>
      </c>
      <c r="P1050" s="79">
        <v>5.6886474612963798E-4</v>
      </c>
      <c r="Q1050" s="79">
        <v>2.8193414815122098E-3</v>
      </c>
      <c r="R1050" s="79">
        <v>0.96365687994360705</v>
      </c>
      <c r="S1050" s="102">
        <v>4.4069205158808897E-2</v>
      </c>
      <c r="T1050" s="79">
        <v>1.1391440133811701E-2</v>
      </c>
      <c r="U1050" s="79">
        <v>1.1178896037534E-4</v>
      </c>
      <c r="V1050" s="79">
        <v>7.69798775917992E-4</v>
      </c>
      <c r="W1050" s="79">
        <v>0.18937049887582599</v>
      </c>
    </row>
    <row r="1051" spans="2:23" x14ac:dyDescent="0.2">
      <c r="B1051" t="s">
        <v>581</v>
      </c>
      <c r="C1051" s="84">
        <v>5022</v>
      </c>
      <c r="D1051" s="102">
        <v>9.6155065629556697E-4</v>
      </c>
      <c r="E1051" s="79">
        <v>1.20785622105279E-2</v>
      </c>
      <c r="F1051" s="79">
        <v>0.93655373350539395</v>
      </c>
      <c r="G1051" s="79">
        <v>0.99840985319461195</v>
      </c>
      <c r="H1051" s="79">
        <v>1</v>
      </c>
      <c r="I1051" s="102">
        <v>-4.2939613850673198E-3</v>
      </c>
      <c r="J1051" s="79">
        <v>1.2214672695803799E-2</v>
      </c>
      <c r="K1051" s="79">
        <v>0.72520312736229098</v>
      </c>
      <c r="L1051" s="79">
        <v>0.91650041093290602</v>
      </c>
      <c r="M1051" s="79">
        <v>1</v>
      </c>
      <c r="N1051" s="102">
        <v>2.0932991784453601E-2</v>
      </c>
      <c r="O1051" s="79">
        <v>1.20036505459899E-2</v>
      </c>
      <c r="P1051" s="79">
        <v>8.1268907612357805E-2</v>
      </c>
      <c r="Q1051" s="79">
        <v>0.148510819304568</v>
      </c>
      <c r="R1051" s="79">
        <v>1</v>
      </c>
      <c r="S1051" s="107">
        <v>5.2144340373492401E-2</v>
      </c>
      <c r="T1051" s="81">
        <v>1.20617967392227E-2</v>
      </c>
      <c r="U1051" s="81">
        <v>1.5808931929246401E-5</v>
      </c>
      <c r="V1051" s="81">
        <v>1.7389825122170999E-4</v>
      </c>
      <c r="W1051" s="81">
        <v>2.6780330688143401E-2</v>
      </c>
    </row>
    <row r="1052" spans="2:23" x14ac:dyDescent="0.2">
      <c r="B1052" t="s">
        <v>592</v>
      </c>
      <c r="C1052" s="84">
        <v>5022</v>
      </c>
      <c r="D1052" s="102">
        <v>-1.7994113532771801E-2</v>
      </c>
      <c r="E1052" s="79">
        <v>1.25290572772555E-2</v>
      </c>
      <c r="F1052" s="79">
        <v>0.15103340835801601</v>
      </c>
      <c r="G1052" s="79">
        <v>0.80938271582532695</v>
      </c>
      <c r="H1052" s="79">
        <v>1</v>
      </c>
      <c r="I1052" s="102">
        <v>-3.2457914646231599E-3</v>
      </c>
      <c r="J1052" s="79">
        <v>1.2649958181606099E-2</v>
      </c>
      <c r="K1052" s="79">
        <v>0.79751272090749104</v>
      </c>
      <c r="L1052" s="79">
        <v>0.93688387601753798</v>
      </c>
      <c r="M1052" s="79">
        <v>1</v>
      </c>
      <c r="N1052" s="102">
        <v>3.2405296822297099E-2</v>
      </c>
      <c r="O1052" s="79">
        <v>1.24511861004259E-2</v>
      </c>
      <c r="P1052" s="79">
        <v>9.2889551430066601E-3</v>
      </c>
      <c r="Q1052" s="79">
        <v>2.6233341170796998E-2</v>
      </c>
      <c r="R1052" s="79">
        <v>1</v>
      </c>
      <c r="S1052" s="107">
        <v>6.2441771673987297E-2</v>
      </c>
      <c r="T1052" s="81">
        <v>1.24897432959989E-2</v>
      </c>
      <c r="U1052" s="81">
        <v>6.0060265819844301E-7</v>
      </c>
      <c r="V1052" s="81">
        <v>1.156160117032E-5</v>
      </c>
      <c r="W1052" s="81">
        <v>1.0174209029881599E-3</v>
      </c>
    </row>
    <row r="1053" spans="2:23" x14ac:dyDescent="0.2">
      <c r="B1053" t="s">
        <v>576</v>
      </c>
      <c r="C1053" s="84">
        <v>5022</v>
      </c>
      <c r="D1053" s="102">
        <v>-1.2492326235423699E-3</v>
      </c>
      <c r="E1053" s="79">
        <v>1.17274546394641E-2</v>
      </c>
      <c r="F1053" s="79">
        <v>0.91517511226774395</v>
      </c>
      <c r="G1053" s="79">
        <v>0.99533029194181499</v>
      </c>
      <c r="H1053" s="79">
        <v>1</v>
      </c>
      <c r="I1053" s="102">
        <v>1.08637488405997E-2</v>
      </c>
      <c r="J1053" s="79">
        <v>1.18753494502027E-2</v>
      </c>
      <c r="K1053" s="79">
        <v>0.36035653024352698</v>
      </c>
      <c r="L1053" s="79">
        <v>0.74593451887386297</v>
      </c>
      <c r="M1053" s="79">
        <v>1</v>
      </c>
      <c r="N1053" s="102">
        <v>3.4756518948072503E-2</v>
      </c>
      <c r="O1053" s="79">
        <v>1.1659801436709701E-2</v>
      </c>
      <c r="P1053" s="79">
        <v>2.8963416649418999E-3</v>
      </c>
      <c r="Q1053" s="79">
        <v>1.00541040582204E-2</v>
      </c>
      <c r="R1053" s="79">
        <v>1</v>
      </c>
      <c r="S1053" s="107">
        <v>5.3426340197225003E-2</v>
      </c>
      <c r="T1053" s="81">
        <v>1.17409214148216E-2</v>
      </c>
      <c r="U1053" s="81">
        <v>5.5496964541420098E-6</v>
      </c>
      <c r="V1053" s="81">
        <v>7.5816014462230398E-5</v>
      </c>
      <c r="W1053" s="81">
        <v>9.4011857933165594E-3</v>
      </c>
    </row>
    <row r="1054" spans="2:23" x14ac:dyDescent="0.2">
      <c r="B1054" t="s">
        <v>588</v>
      </c>
      <c r="C1054" s="84">
        <v>5022</v>
      </c>
      <c r="D1054" s="102">
        <v>5.0313061281545696E-3</v>
      </c>
      <c r="E1054" s="79">
        <v>1.1984753781025001E-2</v>
      </c>
      <c r="F1054" s="79">
        <v>0.67465274319148405</v>
      </c>
      <c r="G1054" s="79">
        <v>0.96670198527320195</v>
      </c>
      <c r="H1054" s="79">
        <v>1</v>
      </c>
      <c r="I1054" s="102">
        <v>1.27306739812244E-2</v>
      </c>
      <c r="J1054" s="79">
        <v>1.21221368641726E-2</v>
      </c>
      <c r="K1054" s="79">
        <v>0.29369962919245701</v>
      </c>
      <c r="L1054" s="79">
        <v>0.70592340946629695</v>
      </c>
      <c r="M1054" s="79">
        <v>1</v>
      </c>
      <c r="N1054" s="102">
        <v>2.9852657948450101E-2</v>
      </c>
      <c r="O1054" s="79">
        <v>1.19099229669917E-2</v>
      </c>
      <c r="P1054" s="79">
        <v>1.2239548064855599E-2</v>
      </c>
      <c r="Q1054" s="79">
        <v>3.2910784796611699E-2</v>
      </c>
      <c r="R1054" s="79">
        <v>1</v>
      </c>
      <c r="S1054" s="102">
        <v>4.5324529681526698E-2</v>
      </c>
      <c r="T1054" s="79">
        <v>1.19843425009977E-2</v>
      </c>
      <c r="U1054" s="79">
        <v>1.5823563392344499E-4</v>
      </c>
      <c r="V1054" s="79">
        <v>1.0146585378781701E-3</v>
      </c>
      <c r="W1054" s="79">
        <v>0.268051163866316</v>
      </c>
    </row>
    <row r="1055" spans="2:23" x14ac:dyDescent="0.2">
      <c r="B1055" t="s">
        <v>580</v>
      </c>
      <c r="C1055" s="84">
        <v>5022</v>
      </c>
      <c r="D1055" s="102">
        <v>-1.3891972224581099E-2</v>
      </c>
      <c r="E1055" s="79">
        <v>1.1077315186079E-2</v>
      </c>
      <c r="F1055" s="79">
        <v>0.209919047563107</v>
      </c>
      <c r="G1055" s="79">
        <v>0.83451685541571996</v>
      </c>
      <c r="H1055" s="79">
        <v>1</v>
      </c>
      <c r="I1055" s="102">
        <v>2.2316817198971901E-2</v>
      </c>
      <c r="J1055" s="79">
        <v>1.1238593682597201E-2</v>
      </c>
      <c r="K1055" s="79">
        <v>4.7160273699140297E-2</v>
      </c>
      <c r="L1055" s="79">
        <v>0.40114376697029003</v>
      </c>
      <c r="M1055" s="79">
        <v>1</v>
      </c>
      <c r="N1055" s="102">
        <v>2.7086519571472598E-2</v>
      </c>
      <c r="O1055" s="79">
        <v>1.1027516860136701E-2</v>
      </c>
      <c r="P1055" s="79">
        <v>1.4101417890304601E-2</v>
      </c>
      <c r="Q1055" s="79">
        <v>3.6694012144663599E-2</v>
      </c>
      <c r="R1055" s="79">
        <v>1</v>
      </c>
      <c r="S1055" s="102">
        <v>3.3802349070381703E-2</v>
      </c>
      <c r="T1055" s="79">
        <v>1.11234512016856E-2</v>
      </c>
      <c r="U1055" s="79">
        <v>2.3968728290716299E-3</v>
      </c>
      <c r="V1055" s="79">
        <v>8.8846883423355401E-3</v>
      </c>
      <c r="W1055" s="79">
        <v>1</v>
      </c>
    </row>
    <row r="1056" spans="2:23" x14ac:dyDescent="0.2">
      <c r="B1056" t="s">
        <v>590</v>
      </c>
      <c r="C1056" s="84">
        <v>5022</v>
      </c>
      <c r="D1056" s="102">
        <v>-3.6210252783568501E-3</v>
      </c>
      <c r="E1056" s="79">
        <v>1.22839391699687E-2</v>
      </c>
      <c r="F1056" s="79">
        <v>0.76818188670847598</v>
      </c>
      <c r="G1056" s="79">
        <v>0.98424328460352195</v>
      </c>
      <c r="H1056" s="79">
        <v>1</v>
      </c>
      <c r="I1056" s="102">
        <v>1.0111588813374E-2</v>
      </c>
      <c r="J1056" s="79">
        <v>1.24145714957235E-2</v>
      </c>
      <c r="K1056" s="79">
        <v>0.41541569861745797</v>
      </c>
      <c r="L1056" s="79">
        <v>0.77457601124515996</v>
      </c>
      <c r="M1056" s="79">
        <v>1</v>
      </c>
      <c r="N1056" s="102">
        <v>2.9546406562514001E-2</v>
      </c>
      <c r="O1056" s="79">
        <v>1.22007657732403E-2</v>
      </c>
      <c r="P1056" s="79">
        <v>1.5499394332317401E-2</v>
      </c>
      <c r="Q1056" s="79">
        <v>3.9772522621044901E-2</v>
      </c>
      <c r="R1056" s="79">
        <v>1</v>
      </c>
      <c r="S1056" s="102">
        <v>4.98401596365423E-2</v>
      </c>
      <c r="T1056" s="79">
        <v>1.22525582234421E-2</v>
      </c>
      <c r="U1056" s="79">
        <v>4.84907415384442E-5</v>
      </c>
      <c r="V1056" s="79">
        <v>4.1697114805139301E-4</v>
      </c>
      <c r="W1056" s="79">
        <v>8.2143316166124497E-2</v>
      </c>
    </row>
    <row r="1057" spans="2:23" x14ac:dyDescent="0.2">
      <c r="B1057" t="s">
        <v>587</v>
      </c>
      <c r="C1057" s="84">
        <v>5022</v>
      </c>
      <c r="D1057" s="102">
        <v>-1.7216898142949799E-2</v>
      </c>
      <c r="E1057" s="79">
        <v>1.15134834960852E-2</v>
      </c>
      <c r="F1057" s="79">
        <v>0.13492487506731901</v>
      </c>
      <c r="G1057" s="79">
        <v>0.80938271582532695</v>
      </c>
      <c r="H1057" s="79">
        <v>1</v>
      </c>
      <c r="I1057" s="102">
        <v>-3.7881849777761599E-3</v>
      </c>
      <c r="J1057" s="79">
        <v>1.16729835254495E-2</v>
      </c>
      <c r="K1057" s="79">
        <v>0.74556153396276803</v>
      </c>
      <c r="L1057" s="79">
        <v>0.91967633960533601</v>
      </c>
      <c r="M1057" s="79">
        <v>1</v>
      </c>
      <c r="N1057" s="102">
        <v>3.6366244229529297E-2</v>
      </c>
      <c r="O1057" s="79">
        <v>1.14495562404371E-2</v>
      </c>
      <c r="P1057" s="79">
        <v>1.50717143150955E-3</v>
      </c>
      <c r="Q1057" s="79">
        <v>6.13737597350283E-3</v>
      </c>
      <c r="R1057" s="79">
        <v>1</v>
      </c>
      <c r="S1057" s="102">
        <v>4.4081562038555698E-2</v>
      </c>
      <c r="T1057" s="79">
        <v>1.1543161934936499E-2</v>
      </c>
      <c r="U1057" s="79">
        <v>1.3667765401459501E-4</v>
      </c>
      <c r="V1057" s="79">
        <v>9.0796841529695697E-4</v>
      </c>
      <c r="W1057" s="79">
        <v>0.23153194590072401</v>
      </c>
    </row>
    <row r="1058" spans="2:23" x14ac:dyDescent="0.2">
      <c r="B1058" t="s">
        <v>585</v>
      </c>
      <c r="C1058" s="84">
        <v>5022</v>
      </c>
      <c r="D1058" s="102">
        <v>-3.9034538318793201E-3</v>
      </c>
      <c r="E1058" s="79">
        <v>1.2057762443786001E-2</v>
      </c>
      <c r="F1058" s="79">
        <v>0.74616328502952101</v>
      </c>
      <c r="G1058" s="79">
        <v>0.979098679061011</v>
      </c>
      <c r="H1058" s="79">
        <v>1</v>
      </c>
      <c r="I1058" s="102">
        <v>3.3463795964937598E-3</v>
      </c>
      <c r="J1058" s="79">
        <v>1.21955033740704E-2</v>
      </c>
      <c r="K1058" s="79">
        <v>0.78379762903046102</v>
      </c>
      <c r="L1058" s="79">
        <v>0.929799148163586</v>
      </c>
      <c r="M1058" s="79">
        <v>1</v>
      </c>
      <c r="N1058" s="102">
        <v>3.3533206556959697E-2</v>
      </c>
      <c r="O1058" s="79">
        <v>1.1982138329031901E-2</v>
      </c>
      <c r="P1058" s="79">
        <v>5.1617034117621002E-3</v>
      </c>
      <c r="Q1058" s="79">
        <v>1.6475779320899799E-2</v>
      </c>
      <c r="R1058" s="79">
        <v>1</v>
      </c>
      <c r="S1058" s="107">
        <v>6.0022602099117299E-2</v>
      </c>
      <c r="T1058" s="81">
        <v>1.20410947858282E-2</v>
      </c>
      <c r="U1058" s="81">
        <v>6.5044255150791402E-7</v>
      </c>
      <c r="V1058" s="81">
        <v>1.23803335084765E-5</v>
      </c>
      <c r="W1058" s="81">
        <v>1.1018496822544101E-3</v>
      </c>
    </row>
    <row r="1059" spans="2:23" x14ac:dyDescent="0.2">
      <c r="B1059" t="s">
        <v>594</v>
      </c>
      <c r="C1059" s="84">
        <v>5022</v>
      </c>
      <c r="D1059" s="102">
        <v>7.5453368198265102E-3</v>
      </c>
      <c r="E1059" s="79">
        <v>1.24951749243245E-2</v>
      </c>
      <c r="F1059" s="79">
        <v>0.54597392708043602</v>
      </c>
      <c r="G1059" s="79">
        <v>0.92766282093706998</v>
      </c>
      <c r="H1059" s="79">
        <v>1</v>
      </c>
      <c r="I1059" s="102">
        <v>5.8116065985341098E-3</v>
      </c>
      <c r="J1059" s="79">
        <v>1.2614658409378299E-2</v>
      </c>
      <c r="K1059" s="79">
        <v>0.64503780609066497</v>
      </c>
      <c r="L1059" s="79">
        <v>0.88334199152593895</v>
      </c>
      <c r="M1059" s="79">
        <v>1</v>
      </c>
      <c r="N1059" s="102">
        <v>4.4395544613389397E-2</v>
      </c>
      <c r="O1059" s="79">
        <v>1.2402291606211299E-2</v>
      </c>
      <c r="P1059" s="79">
        <v>3.4845606476098501E-4</v>
      </c>
      <c r="Q1059" s="79">
        <v>1.92275105441403E-3</v>
      </c>
      <c r="R1059" s="79">
        <v>0.59028457370510901</v>
      </c>
      <c r="S1059" s="107">
        <v>5.3195412833269201E-2</v>
      </c>
      <c r="T1059" s="81">
        <v>1.24612943812698E-2</v>
      </c>
      <c r="U1059" s="81">
        <v>2.01206100969514E-5</v>
      </c>
      <c r="V1059" s="81">
        <v>2.1302695940147301E-4</v>
      </c>
      <c r="W1059" s="81">
        <v>3.40843135042357E-2</v>
      </c>
    </row>
    <row r="1060" spans="2:23" x14ac:dyDescent="0.2">
      <c r="B1060" t="s">
        <v>593</v>
      </c>
      <c r="C1060" s="84">
        <v>5022</v>
      </c>
      <c r="D1060" s="102">
        <v>-1.23168384426895E-2</v>
      </c>
      <c r="E1060" s="79">
        <v>1.1117706401641499E-2</v>
      </c>
      <c r="F1060" s="79">
        <v>0.26802311484945601</v>
      </c>
      <c r="G1060" s="79">
        <v>0.85990749347533801</v>
      </c>
      <c r="H1060" s="79">
        <v>1</v>
      </c>
      <c r="I1060" s="102">
        <v>1.48888239809332E-2</v>
      </c>
      <c r="J1060" s="79">
        <v>1.12835166596693E-2</v>
      </c>
      <c r="K1060" s="79">
        <v>0.18710221907275601</v>
      </c>
      <c r="L1060" s="79">
        <v>0.62762605764207702</v>
      </c>
      <c r="M1060" s="79">
        <v>1</v>
      </c>
      <c r="N1060" s="102">
        <v>2.9491976745254899E-2</v>
      </c>
      <c r="O1060" s="79">
        <v>1.1062797770254601E-2</v>
      </c>
      <c r="P1060" s="79">
        <v>7.7244803030015099E-3</v>
      </c>
      <c r="Q1060" s="79">
        <v>2.28364216985769E-2</v>
      </c>
      <c r="R1060" s="79">
        <v>1</v>
      </c>
      <c r="S1060" s="102">
        <v>3.1532588221728997E-2</v>
      </c>
      <c r="T1060" s="79">
        <v>1.11646109347577E-2</v>
      </c>
      <c r="U1060" s="79">
        <v>4.77125919418055E-3</v>
      </c>
      <c r="V1060" s="79">
        <v>1.54015101037601E-2</v>
      </c>
      <c r="W1060" s="79">
        <v>1</v>
      </c>
    </row>
    <row r="1061" spans="2:23" x14ac:dyDescent="0.2">
      <c r="B1061" t="s">
        <v>584</v>
      </c>
      <c r="C1061" s="84">
        <v>5022</v>
      </c>
      <c r="D1061" s="102">
        <v>-3.71010570084161E-3</v>
      </c>
      <c r="E1061" s="79">
        <v>1.1531856690837301E-2</v>
      </c>
      <c r="F1061" s="79">
        <v>0.74768254210871299</v>
      </c>
      <c r="G1061" s="79">
        <v>0.979098679061011</v>
      </c>
      <c r="H1061" s="79">
        <v>1</v>
      </c>
      <c r="I1061" s="102">
        <v>5.2652838645858603E-3</v>
      </c>
      <c r="J1061" s="79">
        <v>1.16880100250748E-2</v>
      </c>
      <c r="K1061" s="79">
        <v>0.65239125889715799</v>
      </c>
      <c r="L1061" s="79">
        <v>0.88374695918109603</v>
      </c>
      <c r="M1061" s="79">
        <v>1</v>
      </c>
      <c r="N1061" s="102">
        <v>3.8493575093262698E-2</v>
      </c>
      <c r="O1061" s="79">
        <v>1.14640329270486E-2</v>
      </c>
      <c r="P1061" s="79">
        <v>7.9551889740870805E-4</v>
      </c>
      <c r="Q1061" s="79">
        <v>3.6920794855078102E-3</v>
      </c>
      <c r="R1061" s="79">
        <v>1</v>
      </c>
      <c r="S1061" s="107">
        <v>6.38954211938082E-2</v>
      </c>
      <c r="T1061" s="81">
        <v>1.1532693485087101E-2</v>
      </c>
      <c r="U1061" s="81">
        <v>3.2692293175190703E-8</v>
      </c>
      <c r="V1061" s="81">
        <v>1.0650143199764E-6</v>
      </c>
      <c r="W1061" s="81">
        <v>5.5380744638773102E-5</v>
      </c>
    </row>
    <row r="1062" spans="2:23" x14ac:dyDescent="0.2">
      <c r="B1062" t="s">
        <v>583</v>
      </c>
      <c r="C1062" s="84">
        <v>5022</v>
      </c>
      <c r="D1062" s="102">
        <v>2.2995519143664701E-3</v>
      </c>
      <c r="E1062" s="79">
        <v>1.2599533607681001E-2</v>
      </c>
      <c r="F1062" s="79">
        <v>0.85519178394380302</v>
      </c>
      <c r="G1062" s="79">
        <v>0.99362338620020496</v>
      </c>
      <c r="H1062" s="79">
        <v>1</v>
      </c>
      <c r="I1062" s="102">
        <v>5.5301690483445303E-3</v>
      </c>
      <c r="J1062" s="79">
        <v>1.2716566574702E-2</v>
      </c>
      <c r="K1062" s="79">
        <v>0.66367417534363204</v>
      </c>
      <c r="L1062" s="79">
        <v>0.88734337255888895</v>
      </c>
      <c r="M1062" s="79">
        <v>1</v>
      </c>
      <c r="N1062" s="102">
        <v>2.00047444902418E-2</v>
      </c>
      <c r="O1062" s="79">
        <v>1.2509502761261299E-2</v>
      </c>
      <c r="P1062" s="79">
        <v>0.10986800336357901</v>
      </c>
      <c r="Q1062" s="79">
        <v>0.18813157526442101</v>
      </c>
      <c r="R1062" s="79">
        <v>1</v>
      </c>
      <c r="S1062" s="102">
        <v>4.3771344043216698E-2</v>
      </c>
      <c r="T1062" s="79">
        <v>1.25539259328745E-2</v>
      </c>
      <c r="U1062" s="79">
        <v>4.94515296865456E-4</v>
      </c>
      <c r="V1062" s="79">
        <v>2.6260467488717302E-3</v>
      </c>
      <c r="W1062" s="79">
        <v>0.83770891289008198</v>
      </c>
    </row>
    <row r="1063" spans="2:23" x14ac:dyDescent="0.2">
      <c r="B1063" t="s">
        <v>575</v>
      </c>
      <c r="C1063" s="84">
        <v>5022</v>
      </c>
      <c r="D1063" s="102">
        <v>1.0675179089243699E-2</v>
      </c>
      <c r="E1063" s="79">
        <v>1.20980461143724E-2</v>
      </c>
      <c r="F1063" s="79">
        <v>0.37762903597602299</v>
      </c>
      <c r="G1063" s="79">
        <v>0.89461055933914202</v>
      </c>
      <c r="H1063" s="79">
        <v>1</v>
      </c>
      <c r="I1063" s="102">
        <v>-1.39639076447393E-2</v>
      </c>
      <c r="J1063" s="79">
        <v>1.22359922701242E-2</v>
      </c>
      <c r="K1063" s="79">
        <v>0.25385608079162802</v>
      </c>
      <c r="L1063" s="79">
        <v>0.68025543872958705</v>
      </c>
      <c r="M1063" s="79">
        <v>1</v>
      </c>
      <c r="N1063" s="102">
        <v>-3.46710465310811E-2</v>
      </c>
      <c r="O1063" s="79">
        <v>1.20236753632908E-2</v>
      </c>
      <c r="P1063" s="79">
        <v>3.9562745858700002E-3</v>
      </c>
      <c r="Q1063" s="79">
        <v>1.31668549085732E-2</v>
      </c>
      <c r="R1063" s="79">
        <v>1</v>
      </c>
      <c r="S1063" s="107">
        <v>-5.31249279983722E-2</v>
      </c>
      <c r="T1063" s="81">
        <v>1.2062525835070099E-2</v>
      </c>
      <c r="U1063" s="81">
        <v>1.0934306542451E-5</v>
      </c>
      <c r="V1063" s="81">
        <v>1.2862996724244399E-4</v>
      </c>
      <c r="W1063" s="81">
        <v>1.8522715282912001E-2</v>
      </c>
    </row>
    <row r="1064" spans="2:23" x14ac:dyDescent="0.2">
      <c r="B1064" t="s">
        <v>582</v>
      </c>
      <c r="C1064" s="84">
        <v>5022</v>
      </c>
      <c r="D1064" s="102">
        <v>-1.9048231803610999E-2</v>
      </c>
      <c r="E1064" s="79">
        <v>1.13455726572318E-2</v>
      </c>
      <c r="F1064" s="79">
        <v>9.3283458287448898E-2</v>
      </c>
      <c r="G1064" s="79">
        <v>0.76339216588859204</v>
      </c>
      <c r="H1064" s="79">
        <v>1</v>
      </c>
      <c r="I1064" s="102">
        <v>1.2977065478338301E-2</v>
      </c>
      <c r="J1064" s="79">
        <v>1.1515548728718499E-2</v>
      </c>
      <c r="K1064" s="79">
        <v>0.25987086287955402</v>
      </c>
      <c r="L1064" s="79">
        <v>0.68025543872958705</v>
      </c>
      <c r="M1064" s="79">
        <v>1</v>
      </c>
      <c r="N1064" s="102">
        <v>4.0000685242391601E-2</v>
      </c>
      <c r="O1064" s="79">
        <v>1.12927369601942E-2</v>
      </c>
      <c r="P1064" s="79">
        <v>4.0339116236995598E-4</v>
      </c>
      <c r="Q1064" s="79">
        <v>2.1417959168598798E-3</v>
      </c>
      <c r="R1064" s="79">
        <v>0.68334462905470605</v>
      </c>
      <c r="S1064" s="102">
        <v>3.74695756451651E-2</v>
      </c>
      <c r="T1064" s="79">
        <v>1.13906424316819E-2</v>
      </c>
      <c r="U1064" s="79">
        <v>1.01571279534068E-3</v>
      </c>
      <c r="V1064" s="79">
        <v>4.5639720830427397E-3</v>
      </c>
      <c r="W1064" s="79">
        <v>1</v>
      </c>
    </row>
    <row r="1065" spans="2:23" x14ac:dyDescent="0.2">
      <c r="B1065" t="s">
        <v>578</v>
      </c>
      <c r="C1065" s="84">
        <v>5022</v>
      </c>
      <c r="D1065" s="102">
        <v>-3.9700959343786897E-3</v>
      </c>
      <c r="E1065" s="79">
        <v>1.21649755904082E-2</v>
      </c>
      <c r="F1065" s="79">
        <v>0.74417619070832597</v>
      </c>
      <c r="G1065" s="79">
        <v>0.979098679061011</v>
      </c>
      <c r="H1065" s="79">
        <v>1</v>
      </c>
      <c r="I1065" s="102">
        <v>-1.4333729540692799E-2</v>
      </c>
      <c r="J1065" s="79">
        <v>1.22956245996079E-2</v>
      </c>
      <c r="K1065" s="79">
        <v>0.243789561416171</v>
      </c>
      <c r="L1065" s="79">
        <v>0.67140195850760498</v>
      </c>
      <c r="M1065" s="79">
        <v>1</v>
      </c>
      <c r="N1065" s="102">
        <v>3.77144401624658E-2</v>
      </c>
      <c r="O1065" s="79">
        <v>1.2079308067245199E-2</v>
      </c>
      <c r="P1065" s="79">
        <v>1.80969232819162E-3</v>
      </c>
      <c r="Q1065" s="79">
        <v>6.9673154635377403E-3</v>
      </c>
      <c r="R1065" s="79">
        <v>1</v>
      </c>
      <c r="S1065" s="107">
        <v>5.9938689059012298E-2</v>
      </c>
      <c r="T1065" s="81">
        <v>1.21296113653363E-2</v>
      </c>
      <c r="U1065" s="81">
        <v>8.1090240910694203E-7</v>
      </c>
      <c r="V1065" s="81">
        <v>1.5262985344746199E-5</v>
      </c>
      <c r="W1065" s="81">
        <v>1.37366868102716E-3</v>
      </c>
    </row>
    <row r="1066" spans="2:23" x14ac:dyDescent="0.2">
      <c r="B1066" t="s">
        <v>589</v>
      </c>
      <c r="C1066" s="84">
        <v>5022</v>
      </c>
      <c r="D1066" s="102">
        <v>-6.3566817928998598E-3</v>
      </c>
      <c r="E1066" s="79">
        <v>1.24464842609774E-2</v>
      </c>
      <c r="F1066" s="79">
        <v>0.60957728815145995</v>
      </c>
      <c r="G1066" s="79">
        <v>0.94883026155289396</v>
      </c>
      <c r="H1066" s="79">
        <v>1</v>
      </c>
      <c r="I1066" s="102">
        <v>-1.4505552899120601E-2</v>
      </c>
      <c r="J1066" s="79">
        <v>1.25639442150693E-2</v>
      </c>
      <c r="K1066" s="79">
        <v>0.24835146300576799</v>
      </c>
      <c r="L1066" s="79">
        <v>0.67645700560099897</v>
      </c>
      <c r="M1066" s="79">
        <v>1</v>
      </c>
      <c r="N1066" s="102">
        <v>3.2868669209514798E-2</v>
      </c>
      <c r="O1066" s="79">
        <v>1.2355897303456801E-2</v>
      </c>
      <c r="P1066" s="79">
        <v>7.8440203634759492E-3</v>
      </c>
      <c r="Q1066" s="79">
        <v>2.30690459995282E-2</v>
      </c>
      <c r="R1066" s="79">
        <v>1</v>
      </c>
      <c r="S1066" s="102">
        <v>4.9232106883254703E-2</v>
      </c>
      <c r="T1066" s="79">
        <v>1.24033082734911E-2</v>
      </c>
      <c r="U1066" s="79">
        <v>7.3423036742459205E-5</v>
      </c>
      <c r="V1066" s="79">
        <v>5.6793892347819998E-4</v>
      </c>
      <c r="W1066" s="79">
        <v>0.12437862424172599</v>
      </c>
    </row>
    <row r="1067" spans="2:23" x14ac:dyDescent="0.2">
      <c r="B1067" t="s">
        <v>579</v>
      </c>
      <c r="C1067" s="84">
        <v>5022</v>
      </c>
      <c r="D1067" s="102">
        <v>-1.5592173859295601E-2</v>
      </c>
      <c r="E1067" s="79">
        <v>1.21518354852337E-2</v>
      </c>
      <c r="F1067" s="79">
        <v>0.199541038931242</v>
      </c>
      <c r="G1067" s="79">
        <v>0.83003013605610498</v>
      </c>
      <c r="H1067" s="79">
        <v>1</v>
      </c>
      <c r="I1067" s="102">
        <v>1.22053292921569E-2</v>
      </c>
      <c r="J1067" s="79">
        <v>1.2285231965499899E-2</v>
      </c>
      <c r="K1067" s="79">
        <v>0.32053598250700199</v>
      </c>
      <c r="L1067" s="79">
        <v>0.71493966280838095</v>
      </c>
      <c r="M1067" s="79">
        <v>1</v>
      </c>
      <c r="N1067" s="102">
        <v>3.67231959879478E-2</v>
      </c>
      <c r="O1067" s="79">
        <v>1.2077202191459999E-2</v>
      </c>
      <c r="P1067" s="79">
        <v>2.3781339980916698E-3</v>
      </c>
      <c r="Q1067" s="79">
        <v>8.5657487029292493E-3</v>
      </c>
      <c r="R1067" s="79">
        <v>1</v>
      </c>
      <c r="S1067" s="107">
        <v>5.4116885563855702E-2</v>
      </c>
      <c r="T1067" s="81">
        <v>1.2151879187880099E-2</v>
      </c>
      <c r="U1067" s="81">
        <v>8.7134761698830894E-6</v>
      </c>
      <c r="V1067" s="81">
        <v>1.10780962943089E-4</v>
      </c>
      <c r="W1067" s="81">
        <v>1.4760628631782E-2</v>
      </c>
    </row>
    <row r="1068" spans="2:23" x14ac:dyDescent="0.2">
      <c r="B1068" t="s">
        <v>586</v>
      </c>
      <c r="C1068" s="84">
        <v>5022</v>
      </c>
      <c r="D1068" s="102">
        <v>-6.9108850757989204E-3</v>
      </c>
      <c r="E1068" s="79">
        <v>1.1374362611914501E-2</v>
      </c>
      <c r="F1068" s="79">
        <v>0.543511508116027</v>
      </c>
      <c r="G1068" s="79">
        <v>0.92553627343659495</v>
      </c>
      <c r="H1068" s="79">
        <v>1</v>
      </c>
      <c r="I1068" s="102">
        <v>1.0818840269478E-2</v>
      </c>
      <c r="J1068" s="79">
        <v>1.1531946136354099E-2</v>
      </c>
      <c r="K1068" s="79">
        <v>0.348235708857141</v>
      </c>
      <c r="L1068" s="79">
        <v>0.74109458643718196</v>
      </c>
      <c r="M1068" s="79">
        <v>1</v>
      </c>
      <c r="N1068" s="102">
        <v>3.8464569844073301E-2</v>
      </c>
      <c r="O1068" s="79">
        <v>1.1313971592874301E-2</v>
      </c>
      <c r="P1068" s="79">
        <v>6.8359300876287001E-4</v>
      </c>
      <c r="Q1068" s="79">
        <v>3.2392976441692799E-3</v>
      </c>
      <c r="R1068" s="79">
        <v>1</v>
      </c>
      <c r="S1068" s="107">
        <v>6.2458389672669999E-2</v>
      </c>
      <c r="T1068" s="81">
        <v>1.13919241764282E-2</v>
      </c>
      <c r="U1068" s="81">
        <v>4.5342365856869598E-8</v>
      </c>
      <c r="V1068" s="81">
        <v>1.34754329406205E-6</v>
      </c>
      <c r="W1068" s="81">
        <v>7.6809967761537102E-5</v>
      </c>
    </row>
    <row r="1069" spans="2:23" x14ac:dyDescent="0.2">
      <c r="B1069" t="s">
        <v>577</v>
      </c>
      <c r="C1069" s="84">
        <v>5022</v>
      </c>
      <c r="D1069" s="102">
        <v>-1.1250581523441799E-2</v>
      </c>
      <c r="E1069" s="79">
        <v>1.24332221445137E-2</v>
      </c>
      <c r="F1069" s="79">
        <v>0.36558904011976201</v>
      </c>
      <c r="G1069" s="79">
        <v>0.89461055933914202</v>
      </c>
      <c r="H1069" s="79">
        <v>1</v>
      </c>
      <c r="I1069" s="102">
        <v>1.60798400002094E-2</v>
      </c>
      <c r="J1069" s="79">
        <v>1.25551757006542E-2</v>
      </c>
      <c r="K1069" s="79">
        <v>0.20036525987926401</v>
      </c>
      <c r="L1069" s="79">
        <v>0.64163197767429703</v>
      </c>
      <c r="M1069" s="79">
        <v>1</v>
      </c>
      <c r="N1069" s="102">
        <v>2.85297472669E-2</v>
      </c>
      <c r="O1069" s="79">
        <v>1.2346168511516801E-2</v>
      </c>
      <c r="P1069" s="79">
        <v>2.0898218218203601E-2</v>
      </c>
      <c r="Q1069" s="79">
        <v>5.0215009449130397E-2</v>
      </c>
      <c r="R1069" s="79">
        <v>1</v>
      </c>
      <c r="S1069" s="107">
        <v>5.7714584255971202E-2</v>
      </c>
      <c r="T1069" s="81">
        <v>1.23833854484605E-2</v>
      </c>
      <c r="U1069" s="81">
        <v>3.26141452352222E-6</v>
      </c>
      <c r="V1069" s="81">
        <v>4.8892355777403901E-5</v>
      </c>
      <c r="W1069" s="81">
        <v>5.5248362028466396E-3</v>
      </c>
    </row>
    <row r="1070" spans="2:23" x14ac:dyDescent="0.2">
      <c r="B1070" s="51" t="s">
        <v>2454</v>
      </c>
      <c r="C1070" s="84"/>
      <c r="D1070" s="102"/>
      <c r="E1070" s="79"/>
      <c r="F1070" s="79"/>
      <c r="G1070" s="79"/>
      <c r="H1070" s="79"/>
      <c r="I1070" s="102"/>
      <c r="J1070" s="79"/>
      <c r="K1070" s="79"/>
      <c r="L1070" s="79"/>
      <c r="M1070" s="79"/>
      <c r="N1070" s="102" t="e">
        <v>#N/A</v>
      </c>
      <c r="O1070" s="79" t="e">
        <v>#N/A</v>
      </c>
      <c r="P1070" s="79" t="e">
        <v>#N/A</v>
      </c>
      <c r="Q1070" s="79" t="e">
        <v>#N/A</v>
      </c>
      <c r="R1070" s="79" t="e">
        <v>#N/A</v>
      </c>
      <c r="S1070" s="102" t="e">
        <v>#N/A</v>
      </c>
      <c r="T1070" s="79" t="e">
        <v>#N/A</v>
      </c>
      <c r="U1070" s="79" t="e">
        <v>#N/A</v>
      </c>
      <c r="V1070" s="79" t="e">
        <v>#N/A</v>
      </c>
      <c r="W1070" s="79" t="e">
        <v>#N/A</v>
      </c>
    </row>
    <row r="1071" spans="2:23" x14ac:dyDescent="0.2">
      <c r="B1071" t="s">
        <v>283</v>
      </c>
      <c r="C1071" s="84">
        <v>5002</v>
      </c>
      <c r="D1071" s="102">
        <v>-8.4179960570404007E-3</v>
      </c>
      <c r="E1071" s="79">
        <v>1.4531055762168199E-2</v>
      </c>
      <c r="F1071" s="79">
        <v>0.56240695777852201</v>
      </c>
      <c r="G1071" s="79">
        <v>0.93167796111031398</v>
      </c>
      <c r="H1071" s="79">
        <v>1</v>
      </c>
      <c r="I1071" s="102">
        <v>-2.0090621238953998E-2</v>
      </c>
      <c r="J1071" s="79">
        <v>1.44521780226496E-2</v>
      </c>
      <c r="K1071" s="79">
        <v>0.16455117664041399</v>
      </c>
      <c r="L1071" s="79">
        <v>0.60729780659882704</v>
      </c>
      <c r="M1071" s="79">
        <v>1</v>
      </c>
      <c r="N1071" s="102">
        <v>2.6698998994048501E-2</v>
      </c>
      <c r="O1071" s="79">
        <v>1.4322686189642801E-2</v>
      </c>
      <c r="P1071" s="79">
        <v>6.2369095783777202E-2</v>
      </c>
      <c r="Q1071" s="79">
        <v>0.121860724634047</v>
      </c>
      <c r="R1071" s="79">
        <v>1</v>
      </c>
      <c r="S1071" s="102">
        <v>-3.1924936287267198E-3</v>
      </c>
      <c r="T1071" s="79">
        <v>1.4313042254986001E-2</v>
      </c>
      <c r="U1071" s="79">
        <v>0.82350791630422104</v>
      </c>
      <c r="V1071" s="79">
        <v>0.86917284125816197</v>
      </c>
      <c r="W1071" s="79">
        <v>1</v>
      </c>
    </row>
    <row r="1072" spans="2:23" x14ac:dyDescent="0.2">
      <c r="B1072" t="s">
        <v>284</v>
      </c>
      <c r="C1072" s="84">
        <v>2658</v>
      </c>
      <c r="D1072" s="102">
        <v>-6.07492313064788E-3</v>
      </c>
      <c r="E1072" s="79">
        <v>1.4559457320373399E-2</v>
      </c>
      <c r="F1072" s="79">
        <v>0.67651497232996005</v>
      </c>
      <c r="G1072" s="79">
        <v>0.96670198527320195</v>
      </c>
      <c r="H1072" s="79">
        <v>1</v>
      </c>
      <c r="I1072" s="102">
        <v>-1.6367247367849801E-2</v>
      </c>
      <c r="J1072" s="79">
        <v>1.44721764670357E-2</v>
      </c>
      <c r="K1072" s="79">
        <v>0.25813624589339901</v>
      </c>
      <c r="L1072" s="79">
        <v>0.68025543872958705</v>
      </c>
      <c r="M1072" s="79">
        <v>1</v>
      </c>
      <c r="N1072" s="102">
        <v>2.23577221458626E-2</v>
      </c>
      <c r="O1072" s="79">
        <v>1.4348114058293599E-2</v>
      </c>
      <c r="P1072" s="79">
        <v>0.119245249257042</v>
      </c>
      <c r="Q1072" s="79">
        <v>0.200199655343339</v>
      </c>
      <c r="R1072" s="79">
        <v>1</v>
      </c>
      <c r="S1072" s="102">
        <v>2.639229969932E-3</v>
      </c>
      <c r="T1072" s="79">
        <v>1.43343004840841E-2</v>
      </c>
      <c r="U1072" s="79">
        <v>0.85392735015015098</v>
      </c>
      <c r="V1072" s="79">
        <v>0.89514414056581404</v>
      </c>
      <c r="W1072" s="79">
        <v>1</v>
      </c>
    </row>
    <row r="1073" spans="2:23" x14ac:dyDescent="0.2">
      <c r="B1073" t="s">
        <v>282</v>
      </c>
      <c r="C1073" s="84">
        <v>4850</v>
      </c>
      <c r="D1073" s="102">
        <v>-1.0339445593851301E-2</v>
      </c>
      <c r="E1073" s="79">
        <v>1.4610487539196E-2</v>
      </c>
      <c r="F1073" s="79">
        <v>0.47918315848707899</v>
      </c>
      <c r="G1073" s="79">
        <v>0.91339947432389301</v>
      </c>
      <c r="H1073" s="79">
        <v>1</v>
      </c>
      <c r="I1073" s="102">
        <v>-1.7594205267966699E-2</v>
      </c>
      <c r="J1073" s="79">
        <v>1.45263878241983E-2</v>
      </c>
      <c r="K1073" s="79">
        <v>0.22588436152375899</v>
      </c>
      <c r="L1073" s="79">
        <v>0.65860259624999595</v>
      </c>
      <c r="M1073" s="79">
        <v>1</v>
      </c>
      <c r="N1073" s="102">
        <v>-3.9035219049905097E-2</v>
      </c>
      <c r="O1073" s="79">
        <v>1.43919698109674E-2</v>
      </c>
      <c r="P1073" s="79">
        <v>6.7063519601574997E-3</v>
      </c>
      <c r="Q1073" s="79">
        <v>2.0359426918471001E-2</v>
      </c>
      <c r="R1073" s="79">
        <v>1</v>
      </c>
      <c r="S1073" s="102">
        <v>-1.4069639236218101E-2</v>
      </c>
      <c r="T1073" s="79">
        <v>1.43844446226733E-2</v>
      </c>
      <c r="U1073" s="79">
        <v>0.32806788776156998</v>
      </c>
      <c r="V1073" s="79">
        <v>0.44424220772829698</v>
      </c>
      <c r="W1073" s="79">
        <v>1</v>
      </c>
    </row>
    <row r="1074" spans="2:23" x14ac:dyDescent="0.2">
      <c r="B1074" t="s">
        <v>287</v>
      </c>
      <c r="C1074" s="84">
        <v>723</v>
      </c>
      <c r="D1074" s="102">
        <v>-8.4179960570404007E-3</v>
      </c>
      <c r="E1074" s="79">
        <v>1.4531055762168199E-2</v>
      </c>
      <c r="F1074" s="79">
        <v>0.56240695777852201</v>
      </c>
      <c r="G1074" s="79">
        <v>0.93167796111031398</v>
      </c>
      <c r="H1074" s="79">
        <v>1</v>
      </c>
      <c r="I1074" s="102">
        <v>-2.0090621238953998E-2</v>
      </c>
      <c r="J1074" s="79">
        <v>1.44521780226496E-2</v>
      </c>
      <c r="K1074" s="79">
        <v>0.16455117664041399</v>
      </c>
      <c r="L1074" s="79">
        <v>0.60729780659882704</v>
      </c>
      <c r="M1074" s="79">
        <v>1</v>
      </c>
      <c r="N1074" s="102">
        <v>2.6698998994048501E-2</v>
      </c>
      <c r="O1074" s="79">
        <v>1.4322686189642801E-2</v>
      </c>
      <c r="P1074" s="79">
        <v>6.2369095783777202E-2</v>
      </c>
      <c r="Q1074" s="79">
        <v>0.121860724634047</v>
      </c>
      <c r="R1074" s="79">
        <v>1</v>
      </c>
      <c r="S1074" s="102">
        <v>-3.1924936287267198E-3</v>
      </c>
      <c r="T1074" s="79">
        <v>1.4313042254986001E-2</v>
      </c>
      <c r="U1074" s="79">
        <v>0.82350791630422104</v>
      </c>
      <c r="V1074" s="79">
        <v>0.86917284125816197</v>
      </c>
      <c r="W1074" s="79">
        <v>1</v>
      </c>
    </row>
    <row r="1075" spans="2:23" x14ac:dyDescent="0.2">
      <c r="B1075" t="s">
        <v>286</v>
      </c>
      <c r="C1075" s="84">
        <v>2345</v>
      </c>
      <c r="D1075" s="102">
        <v>-9.4143467027969305E-3</v>
      </c>
      <c r="E1075" s="79">
        <v>1.4609281074882701E-2</v>
      </c>
      <c r="F1075" s="79">
        <v>0.51934164838953101</v>
      </c>
      <c r="G1075" s="79">
        <v>0.91901439037128496</v>
      </c>
      <c r="H1075" s="79">
        <v>1</v>
      </c>
      <c r="I1075" s="102">
        <v>-1.5668613320841799E-2</v>
      </c>
      <c r="J1075" s="79">
        <v>1.4525393439466501E-2</v>
      </c>
      <c r="K1075" s="79">
        <v>0.28077525846738399</v>
      </c>
      <c r="L1075" s="79">
        <v>0.69537030386512999</v>
      </c>
      <c r="M1075" s="79">
        <v>1</v>
      </c>
      <c r="N1075" s="102">
        <v>-4.0225655923620103E-2</v>
      </c>
      <c r="O1075" s="79">
        <v>1.4390324380586E-2</v>
      </c>
      <c r="P1075" s="79">
        <v>5.2058339633698396E-3</v>
      </c>
      <c r="Q1075" s="79">
        <v>1.6545370983017799E-2</v>
      </c>
      <c r="R1075" s="79">
        <v>1</v>
      </c>
      <c r="S1075" s="102">
        <v>-1.2981283300259799E-2</v>
      </c>
      <c r="T1075" s="79">
        <v>1.4383557385406399E-2</v>
      </c>
      <c r="U1075" s="79">
        <v>0.366833114875462</v>
      </c>
      <c r="V1075" s="79">
        <v>0.48434551566565298</v>
      </c>
      <c r="W1075" s="79">
        <v>1</v>
      </c>
    </row>
    <row r="1076" spans="2:23" x14ac:dyDescent="0.2">
      <c r="B1076" t="s">
        <v>281</v>
      </c>
      <c r="C1076" s="84">
        <v>4983</v>
      </c>
      <c r="D1076" s="102">
        <v>3.1216865128585999E-2</v>
      </c>
      <c r="E1076" s="79">
        <v>1.4071366211704701E-2</v>
      </c>
      <c r="F1076" s="79">
        <v>2.65708533571202E-2</v>
      </c>
      <c r="G1076" s="79">
        <v>0.59730976775552003</v>
      </c>
      <c r="H1076" s="79">
        <v>1</v>
      </c>
      <c r="I1076" s="102">
        <v>1.44712743724819E-2</v>
      </c>
      <c r="J1076" s="79">
        <v>1.3987158872973001E-2</v>
      </c>
      <c r="K1076" s="79">
        <v>0.30090523236939898</v>
      </c>
      <c r="L1076" s="79">
        <v>0.70600202719357597</v>
      </c>
      <c r="M1076" s="79">
        <v>1</v>
      </c>
      <c r="N1076" s="102">
        <v>-4.4334948498044202E-2</v>
      </c>
      <c r="O1076" s="79">
        <v>1.38615830487553E-2</v>
      </c>
      <c r="P1076" s="79">
        <v>1.39125440465433E-3</v>
      </c>
      <c r="Q1076" s="79">
        <v>5.7082492725832896E-3</v>
      </c>
      <c r="R1076" s="79">
        <v>1</v>
      </c>
      <c r="S1076" s="102">
        <v>4.6876797990635502E-2</v>
      </c>
      <c r="T1076" s="79">
        <v>1.3841355802723899E-2</v>
      </c>
      <c r="U1076" s="79">
        <v>7.1324214103428299E-4</v>
      </c>
      <c r="V1076" s="79">
        <v>3.4477438937352699E-3</v>
      </c>
      <c r="W1076" s="79">
        <v>1</v>
      </c>
    </row>
    <row r="1077" spans="2:23" x14ac:dyDescent="0.2">
      <c r="B1077" t="s">
        <v>285</v>
      </c>
      <c r="C1077" s="84">
        <v>2660</v>
      </c>
      <c r="D1077" s="102">
        <v>3.7140130965698001E-2</v>
      </c>
      <c r="E1077" s="79">
        <v>1.4253940801383799E-2</v>
      </c>
      <c r="F1077" s="79">
        <v>9.2000418616966298E-3</v>
      </c>
      <c r="G1077" s="79">
        <v>0.43291308093650299</v>
      </c>
      <c r="H1077" s="79">
        <v>1</v>
      </c>
      <c r="I1077" s="102">
        <v>2.4166993898926299E-2</v>
      </c>
      <c r="J1077" s="79">
        <v>1.41721972354849E-2</v>
      </c>
      <c r="K1077" s="79">
        <v>8.82169835955771E-2</v>
      </c>
      <c r="L1077" s="79">
        <v>0.49483301394340301</v>
      </c>
      <c r="M1077" s="79">
        <v>1</v>
      </c>
      <c r="N1077" s="102">
        <v>-4.9490910765692599E-2</v>
      </c>
      <c r="O1077" s="79">
        <v>1.4040674673553201E-2</v>
      </c>
      <c r="P1077" s="79">
        <v>4.27838120880605E-4</v>
      </c>
      <c r="Q1077" s="79">
        <v>2.2508005489805701E-3</v>
      </c>
      <c r="R1077" s="79">
        <v>0.72475777677174502</v>
      </c>
      <c r="S1077" s="102">
        <v>4.3182145518503703E-2</v>
      </c>
      <c r="T1077" s="79">
        <v>1.4028594581965001E-2</v>
      </c>
      <c r="U1077" s="79">
        <v>2.0949772252925299E-3</v>
      </c>
      <c r="V1077" s="79">
        <v>7.9750368980798791E-3</v>
      </c>
      <c r="W1077" s="79">
        <v>1</v>
      </c>
    </row>
    <row r="1078" spans="2:23" x14ac:dyDescent="0.2">
      <c r="B1078" t="s">
        <v>288</v>
      </c>
      <c r="C1078" s="84">
        <v>453</v>
      </c>
      <c r="D1078" s="102">
        <v>2.6274439475135799E-2</v>
      </c>
      <c r="E1078" s="79">
        <v>1.43600217083264E-2</v>
      </c>
      <c r="F1078" s="79">
        <v>6.7360237594270997E-2</v>
      </c>
      <c r="G1078" s="79">
        <v>0.73538141425839998</v>
      </c>
      <c r="H1078" s="79">
        <v>1</v>
      </c>
      <c r="I1078" s="102">
        <v>1.13256993664307E-2</v>
      </c>
      <c r="J1078" s="79">
        <v>1.42612819861988E-2</v>
      </c>
      <c r="K1078" s="79">
        <v>0.42714586225169299</v>
      </c>
      <c r="L1078" s="79">
        <v>0.78225415205877602</v>
      </c>
      <c r="M1078" s="79">
        <v>1</v>
      </c>
      <c r="N1078" s="102">
        <v>-3.4125703017959001E-3</v>
      </c>
      <c r="O1078" s="79">
        <v>1.4149355724817901E-2</v>
      </c>
      <c r="P1078" s="79">
        <v>0.80942493755612599</v>
      </c>
      <c r="Q1078" s="79">
        <v>0.86614016446806796</v>
      </c>
      <c r="R1078" s="79">
        <v>1</v>
      </c>
      <c r="S1078" s="102">
        <v>4.7311372160193099E-2</v>
      </c>
      <c r="T1078" s="79">
        <v>1.41161789230289E-2</v>
      </c>
      <c r="U1078" s="79">
        <v>8.1008983197831605E-4</v>
      </c>
      <c r="V1078" s="79">
        <v>3.79086236290405E-3</v>
      </c>
      <c r="W1078" s="79">
        <v>1</v>
      </c>
    </row>
    <row r="1079" spans="2:23" x14ac:dyDescent="0.2">
      <c r="B1079" t="s">
        <v>296</v>
      </c>
      <c r="C1079" s="84">
        <v>366</v>
      </c>
      <c r="D1079" s="102">
        <v>-1.07777953360407E-2</v>
      </c>
      <c r="E1079" s="79">
        <v>1.45497209905147E-2</v>
      </c>
      <c r="F1079" s="79">
        <v>0.45887858798627601</v>
      </c>
      <c r="G1079" s="79">
        <v>0.91151047511105199</v>
      </c>
      <c r="H1079" s="79">
        <v>1</v>
      </c>
      <c r="I1079" s="102">
        <v>-1.9933637698357199E-2</v>
      </c>
      <c r="J1079" s="79">
        <v>1.4449208151115001E-2</v>
      </c>
      <c r="K1079" s="79">
        <v>0.16778803023897901</v>
      </c>
      <c r="L1079" s="79">
        <v>0.61332119194255397</v>
      </c>
      <c r="M1079" s="79">
        <v>1</v>
      </c>
      <c r="N1079" s="102">
        <v>-2.5212037507583E-2</v>
      </c>
      <c r="O1079" s="79">
        <v>1.4328367951151499E-2</v>
      </c>
      <c r="P1079" s="79">
        <v>7.8544147254799093E-2</v>
      </c>
      <c r="Q1079" s="79">
        <v>0.14450136600017399</v>
      </c>
      <c r="R1079" s="79">
        <v>1</v>
      </c>
      <c r="S1079" s="102">
        <v>-1.43839624800862E-2</v>
      </c>
      <c r="T1079" s="79">
        <v>1.4316228510004299E-2</v>
      </c>
      <c r="U1079" s="79">
        <v>0.31507901838241797</v>
      </c>
      <c r="V1079" s="79">
        <v>0.42974545663431302</v>
      </c>
      <c r="W1079" s="79">
        <v>1</v>
      </c>
    </row>
    <row r="1080" spans="2:23" x14ac:dyDescent="0.2">
      <c r="B1080" t="s">
        <v>298</v>
      </c>
      <c r="C1080" s="84">
        <v>372</v>
      </c>
      <c r="D1080" s="102">
        <v>-1.7180993682482E-3</v>
      </c>
      <c r="E1080" s="79">
        <v>1.4580851632038301E-2</v>
      </c>
      <c r="F1080" s="79">
        <v>0.90620534267508301</v>
      </c>
      <c r="G1080" s="79">
        <v>0.99533029194181499</v>
      </c>
      <c r="H1080" s="79">
        <v>1</v>
      </c>
      <c r="I1080" s="102">
        <v>-1.20809527553051E-2</v>
      </c>
      <c r="J1080" s="79">
        <v>1.44859794909717E-2</v>
      </c>
      <c r="K1080" s="79">
        <v>0.404337991744113</v>
      </c>
      <c r="L1080" s="79">
        <v>0.768741367019672</v>
      </c>
      <c r="M1080" s="79">
        <v>1</v>
      </c>
      <c r="N1080" s="102">
        <v>-4.9604748478371298E-2</v>
      </c>
      <c r="O1080" s="79">
        <v>1.4337028914401501E-2</v>
      </c>
      <c r="P1080" s="79">
        <v>5.4523857713035899E-4</v>
      </c>
      <c r="Q1080" s="79">
        <v>2.7515570876157302E-3</v>
      </c>
      <c r="R1080" s="79">
        <v>0.92363414965882795</v>
      </c>
      <c r="S1080" s="102">
        <v>-2.5345940003074101E-2</v>
      </c>
      <c r="T1080" s="79">
        <v>1.43400137750565E-2</v>
      </c>
      <c r="U1080" s="79">
        <v>7.7210434908523098E-2</v>
      </c>
      <c r="V1080" s="79">
        <v>0.142788730060085</v>
      </c>
      <c r="W1080" s="79">
        <v>1</v>
      </c>
    </row>
    <row r="1081" spans="2:23" x14ac:dyDescent="0.2">
      <c r="B1081" t="s">
        <v>299</v>
      </c>
      <c r="C1081" s="84">
        <v>372</v>
      </c>
      <c r="D1081" s="102">
        <v>-2.4178812793265499E-2</v>
      </c>
      <c r="E1081" s="79">
        <v>1.4564734070504799E-2</v>
      </c>
      <c r="F1081" s="79">
        <v>9.6962309027865803E-2</v>
      </c>
      <c r="G1081" s="79">
        <v>0.77114625114180602</v>
      </c>
      <c r="H1081" s="79">
        <v>1</v>
      </c>
      <c r="I1081" s="102">
        <v>-6.8019975462025699E-3</v>
      </c>
      <c r="J1081" s="79">
        <v>1.4476800820855999E-2</v>
      </c>
      <c r="K1081" s="79">
        <v>0.63848082024627995</v>
      </c>
      <c r="L1081" s="79">
        <v>0.88148859779722799</v>
      </c>
      <c r="M1081" s="79">
        <v>1</v>
      </c>
      <c r="N1081" s="102">
        <v>-2.1619997966472501E-2</v>
      </c>
      <c r="O1081" s="79">
        <v>1.4352583642253201E-2</v>
      </c>
      <c r="P1081" s="79">
        <v>0.13204564003021599</v>
      </c>
      <c r="Q1081" s="79">
        <v>0.21701988754969601</v>
      </c>
      <c r="R1081" s="79">
        <v>1</v>
      </c>
      <c r="S1081" s="102">
        <v>2.56665973551783E-3</v>
      </c>
      <c r="T1081" s="79">
        <v>1.43386399922993E-2</v>
      </c>
      <c r="U1081" s="79">
        <v>0.85794312304812603</v>
      </c>
      <c r="V1081" s="79">
        <v>0.89768724548704504</v>
      </c>
      <c r="W1081" s="79">
        <v>1</v>
      </c>
    </row>
    <row r="1082" spans="2:23" x14ac:dyDescent="0.2">
      <c r="B1082" t="s">
        <v>300</v>
      </c>
      <c r="C1082" s="84">
        <v>372</v>
      </c>
      <c r="D1082" s="102">
        <v>-1.3511700058980201E-2</v>
      </c>
      <c r="E1082" s="79">
        <v>1.4449795410027701E-2</v>
      </c>
      <c r="F1082" s="79">
        <v>0.34979614796347402</v>
      </c>
      <c r="G1082" s="79">
        <v>0.89461055933914202</v>
      </c>
      <c r="H1082" s="79">
        <v>1</v>
      </c>
      <c r="I1082" s="102">
        <v>-2.0183775725411902E-2</v>
      </c>
      <c r="J1082" s="79">
        <v>1.43525976867863E-2</v>
      </c>
      <c r="K1082" s="79">
        <v>0.15970942080119299</v>
      </c>
      <c r="L1082" s="79">
        <v>0.60255625576218497</v>
      </c>
      <c r="M1082" s="79">
        <v>1</v>
      </c>
      <c r="N1082" s="102">
        <v>4.6839285650090703E-3</v>
      </c>
      <c r="O1082" s="79">
        <v>1.42370603617632E-2</v>
      </c>
      <c r="P1082" s="79">
        <v>0.74217415786461904</v>
      </c>
      <c r="Q1082" s="79">
        <v>0.82652747760068701</v>
      </c>
      <c r="R1082" s="79">
        <v>1</v>
      </c>
      <c r="S1082" s="102">
        <v>-8.2863992669968897E-3</v>
      </c>
      <c r="T1082" s="79">
        <v>1.42225960120728E-2</v>
      </c>
      <c r="U1082" s="79">
        <v>0.56017628880527504</v>
      </c>
      <c r="V1082" s="79">
        <v>0.65761513044777298</v>
      </c>
      <c r="W1082" s="79">
        <v>1</v>
      </c>
    </row>
    <row r="1083" spans="2:23" x14ac:dyDescent="0.2">
      <c r="B1083" t="s">
        <v>301</v>
      </c>
      <c r="C1083" s="84">
        <v>372</v>
      </c>
      <c r="D1083" s="102">
        <v>-5.6430854919015403E-3</v>
      </c>
      <c r="E1083" s="79">
        <v>1.45257508517267E-2</v>
      </c>
      <c r="F1083" s="79">
        <v>0.69767214885063999</v>
      </c>
      <c r="G1083" s="79">
        <v>0.969323693033459</v>
      </c>
      <c r="H1083" s="79">
        <v>1</v>
      </c>
      <c r="I1083" s="102">
        <v>-2.0786522518297101E-2</v>
      </c>
      <c r="J1083" s="79">
        <v>1.4437895785321E-2</v>
      </c>
      <c r="K1083" s="79">
        <v>0.150014401313042</v>
      </c>
      <c r="L1083" s="79">
        <v>0.592867466146905</v>
      </c>
      <c r="M1083" s="79">
        <v>1</v>
      </c>
      <c r="N1083" s="102">
        <v>2.8961879603174E-2</v>
      </c>
      <c r="O1083" s="79">
        <v>1.43098670958627E-2</v>
      </c>
      <c r="P1083" s="79">
        <v>4.3036361528605502E-2</v>
      </c>
      <c r="Q1083" s="79">
        <v>8.9749431240463501E-2</v>
      </c>
      <c r="R1083" s="79">
        <v>1</v>
      </c>
      <c r="S1083" s="102">
        <v>-8.2649550848024197E-4</v>
      </c>
      <c r="T1083" s="79">
        <v>1.4301966926308401E-2</v>
      </c>
      <c r="U1083" s="79">
        <v>0.95391921838205995</v>
      </c>
      <c r="V1083" s="79">
        <v>0.96704916573262101</v>
      </c>
      <c r="W1083" s="79">
        <v>1</v>
      </c>
    </row>
    <row r="1084" spans="2:23" x14ac:dyDescent="0.2">
      <c r="B1084" t="s">
        <v>302</v>
      </c>
      <c r="C1084" s="84">
        <v>526</v>
      </c>
      <c r="D1084" s="102">
        <v>-1.21524806562372E-2</v>
      </c>
      <c r="E1084" s="79">
        <v>1.4546028502101301E-2</v>
      </c>
      <c r="F1084" s="79">
        <v>0.40350663794025499</v>
      </c>
      <c r="G1084" s="79">
        <v>0.89461055933914202</v>
      </c>
      <c r="H1084" s="79">
        <v>1</v>
      </c>
      <c r="I1084" s="102">
        <v>-1.43021383717144E-2</v>
      </c>
      <c r="J1084" s="79">
        <v>1.44585933618735E-2</v>
      </c>
      <c r="K1084" s="79">
        <v>0.32262731173137399</v>
      </c>
      <c r="L1084" s="79">
        <v>0.71535427496459103</v>
      </c>
      <c r="M1084" s="79">
        <v>1</v>
      </c>
      <c r="N1084" s="102">
        <v>3.90585520315955E-2</v>
      </c>
      <c r="O1084" s="79">
        <v>1.43196809992443E-2</v>
      </c>
      <c r="P1084" s="79">
        <v>6.4034423072460303E-3</v>
      </c>
      <c r="Q1084" s="79">
        <v>1.95802008456223E-2</v>
      </c>
      <c r="R1084" s="79">
        <v>1</v>
      </c>
      <c r="S1084" s="102">
        <v>1.0084328680751899E-3</v>
      </c>
      <c r="T1084" s="79">
        <v>1.4318653421258201E-2</v>
      </c>
      <c r="U1084" s="79">
        <v>0.94385609654501201</v>
      </c>
      <c r="V1084" s="79">
        <v>0.96119575133978097</v>
      </c>
      <c r="W1084" s="79">
        <v>1</v>
      </c>
    </row>
    <row r="1085" spans="2:23" x14ac:dyDescent="0.2">
      <c r="B1085" t="s">
        <v>303</v>
      </c>
      <c r="C1085" s="84">
        <v>505</v>
      </c>
      <c r="D1085" s="102">
        <v>5.6055048913412099E-3</v>
      </c>
      <c r="E1085" s="79">
        <v>1.45556272725778E-2</v>
      </c>
      <c r="F1085" s="79">
        <v>0.70017417852707697</v>
      </c>
      <c r="G1085" s="79">
        <v>0.969323693033459</v>
      </c>
      <c r="H1085" s="79">
        <v>1</v>
      </c>
      <c r="I1085" s="102">
        <v>-6.7544661423208996E-3</v>
      </c>
      <c r="J1085" s="79">
        <v>1.4468439832203001E-2</v>
      </c>
      <c r="K1085" s="79">
        <v>0.64063582697673804</v>
      </c>
      <c r="L1085" s="79">
        <v>0.88295581341012397</v>
      </c>
      <c r="M1085" s="79">
        <v>1</v>
      </c>
      <c r="N1085" s="102">
        <v>1.46052112209789E-2</v>
      </c>
      <c r="O1085" s="79">
        <v>1.43461425991232E-2</v>
      </c>
      <c r="P1085" s="79">
        <v>0.308703971677384</v>
      </c>
      <c r="Q1085" s="79">
        <v>0.42319280572022999</v>
      </c>
      <c r="R1085" s="79">
        <v>1</v>
      </c>
      <c r="S1085" s="102">
        <v>2.2125120526323501E-3</v>
      </c>
      <c r="T1085" s="79">
        <v>1.43320715926618E-2</v>
      </c>
      <c r="U1085" s="79">
        <v>0.87732093263553301</v>
      </c>
      <c r="V1085" s="79">
        <v>0.912327599683605</v>
      </c>
      <c r="W1085" s="79">
        <v>1</v>
      </c>
    </row>
    <row r="1086" spans="2:23" x14ac:dyDescent="0.2">
      <c r="B1086" t="s">
        <v>304</v>
      </c>
      <c r="C1086" s="84">
        <v>366</v>
      </c>
      <c r="D1086" s="102">
        <v>-5.5804455656931502E-3</v>
      </c>
      <c r="E1086" s="79">
        <v>1.4495912078062801E-2</v>
      </c>
      <c r="F1086" s="79">
        <v>0.70027962385896103</v>
      </c>
      <c r="G1086" s="79">
        <v>0.969323693033459</v>
      </c>
      <c r="H1086" s="79">
        <v>1</v>
      </c>
      <c r="I1086" s="102">
        <v>-8.4026949666541305E-3</v>
      </c>
      <c r="J1086" s="79">
        <v>1.4395160353892799E-2</v>
      </c>
      <c r="K1086" s="79">
        <v>0.55944005650994</v>
      </c>
      <c r="L1086" s="79">
        <v>0.85878159627519401</v>
      </c>
      <c r="M1086" s="79">
        <v>1</v>
      </c>
      <c r="N1086" s="102">
        <v>2.9869143514456301E-2</v>
      </c>
      <c r="O1086" s="79">
        <v>1.4272928069072899E-2</v>
      </c>
      <c r="P1086" s="79">
        <v>3.6429862495410997E-2</v>
      </c>
      <c r="Q1086" s="79">
        <v>7.7625392537391494E-2</v>
      </c>
      <c r="R1086" s="79">
        <v>1</v>
      </c>
      <c r="S1086" s="102">
        <v>8.3594031975742604E-3</v>
      </c>
      <c r="T1086" s="79">
        <v>1.42634035068621E-2</v>
      </c>
      <c r="U1086" s="79">
        <v>0.55785496287284397</v>
      </c>
      <c r="V1086" s="79">
        <v>0.65579896398792403</v>
      </c>
      <c r="W1086" s="79">
        <v>1</v>
      </c>
    </row>
    <row r="1087" spans="2:23" x14ac:dyDescent="0.2">
      <c r="B1087" t="s">
        <v>305</v>
      </c>
      <c r="C1087" s="84">
        <v>366</v>
      </c>
      <c r="D1087" s="102">
        <v>1.7001703318947101E-2</v>
      </c>
      <c r="E1087" s="79">
        <v>1.45452710778001E-2</v>
      </c>
      <c r="F1087" s="79">
        <v>0.24251044570677799</v>
      </c>
      <c r="G1087" s="79">
        <v>0.85990749347533801</v>
      </c>
      <c r="H1087" s="79">
        <v>1</v>
      </c>
      <c r="I1087" s="102">
        <v>-1.9221838187168001E-2</v>
      </c>
      <c r="J1087" s="79">
        <v>1.44549109586492E-2</v>
      </c>
      <c r="K1087" s="79">
        <v>0.18365692675124601</v>
      </c>
      <c r="L1087" s="79">
        <v>0.62098769244832497</v>
      </c>
      <c r="M1087" s="79">
        <v>1</v>
      </c>
      <c r="N1087" s="102">
        <v>8.6521715677594195E-3</v>
      </c>
      <c r="O1087" s="79">
        <v>1.433575013453E-2</v>
      </c>
      <c r="P1087" s="79">
        <v>0.54618024203057502</v>
      </c>
      <c r="Q1087" s="79">
        <v>0.658852345323924</v>
      </c>
      <c r="R1087" s="79">
        <v>1</v>
      </c>
      <c r="S1087" s="102">
        <v>-4.1984645583332102E-3</v>
      </c>
      <c r="T1087" s="79">
        <v>1.4321015182568101E-2</v>
      </c>
      <c r="U1087" s="79">
        <v>0.769406742485782</v>
      </c>
      <c r="V1087" s="79">
        <v>0.82387801629008495</v>
      </c>
      <c r="W1087" s="79">
        <v>1</v>
      </c>
    </row>
    <row r="1088" spans="2:23" x14ac:dyDescent="0.2">
      <c r="B1088" t="s">
        <v>306</v>
      </c>
      <c r="C1088" s="84">
        <v>366</v>
      </c>
      <c r="D1088" s="102">
        <v>-1.6487508241968901E-2</v>
      </c>
      <c r="E1088" s="79">
        <v>1.45262833309286E-2</v>
      </c>
      <c r="F1088" s="79">
        <v>0.256428277373908</v>
      </c>
      <c r="G1088" s="79">
        <v>0.85990749347533801</v>
      </c>
      <c r="H1088" s="79">
        <v>1</v>
      </c>
      <c r="I1088" s="102">
        <v>-1.52950263558821E-2</v>
      </c>
      <c r="J1088" s="79">
        <v>1.4428857302195701E-2</v>
      </c>
      <c r="K1088" s="79">
        <v>0.28918664991591497</v>
      </c>
      <c r="L1088" s="79">
        <v>0.70313889593145995</v>
      </c>
      <c r="M1088" s="79">
        <v>1</v>
      </c>
      <c r="N1088" s="102">
        <v>-1.7572215502251302E-2</v>
      </c>
      <c r="O1088" s="79">
        <v>1.4303513024573999E-2</v>
      </c>
      <c r="P1088" s="79">
        <v>0.21931307939095601</v>
      </c>
      <c r="Q1088" s="79">
        <v>0.324882946361642</v>
      </c>
      <c r="R1088" s="79">
        <v>1</v>
      </c>
      <c r="S1088" s="102">
        <v>-2.3484053166059199E-3</v>
      </c>
      <c r="T1088" s="79">
        <v>1.42931533525176E-2</v>
      </c>
      <c r="U1088" s="79">
        <v>0.86949994489775495</v>
      </c>
      <c r="V1088" s="79">
        <v>0.90642025025033701</v>
      </c>
      <c r="W1088" s="79">
        <v>1</v>
      </c>
    </row>
    <row r="1089" spans="2:23" x14ac:dyDescent="0.2">
      <c r="B1089" t="s">
        <v>289</v>
      </c>
      <c r="C1089" s="84">
        <v>638</v>
      </c>
      <c r="D1089" s="102">
        <v>5.2610437924953896E-3</v>
      </c>
      <c r="E1089" s="79">
        <v>1.43599577779851E-2</v>
      </c>
      <c r="F1089" s="79">
        <v>0.71410639095204798</v>
      </c>
      <c r="G1089" s="79">
        <v>0.97160036230239</v>
      </c>
      <c r="H1089" s="79">
        <v>1</v>
      </c>
      <c r="I1089" s="102">
        <v>2.8132799226234E-2</v>
      </c>
      <c r="J1089" s="79">
        <v>1.4258157763318799E-2</v>
      </c>
      <c r="K1089" s="79">
        <v>4.8544552673500302E-2</v>
      </c>
      <c r="L1089" s="79">
        <v>0.40114376697029003</v>
      </c>
      <c r="M1089" s="79">
        <v>1</v>
      </c>
      <c r="N1089" s="102">
        <v>-1.7418042275472102E-2</v>
      </c>
      <c r="O1089" s="79">
        <v>1.4146403732524E-2</v>
      </c>
      <c r="P1089" s="79">
        <v>0.218285127333049</v>
      </c>
      <c r="Q1089" s="79">
        <v>0.32407975959876001</v>
      </c>
      <c r="R1089" s="79">
        <v>1</v>
      </c>
      <c r="S1089" s="102">
        <v>5.1612796877892601E-2</v>
      </c>
      <c r="T1089" s="79">
        <v>1.41131845748573E-2</v>
      </c>
      <c r="U1089" s="79">
        <v>2.5797778574531999E-4</v>
      </c>
      <c r="V1089" s="79">
        <v>1.5333837510616601E-3</v>
      </c>
      <c r="W1089" s="79">
        <v>0.43701436905257202</v>
      </c>
    </row>
    <row r="1090" spans="2:23" x14ac:dyDescent="0.2">
      <c r="B1090" t="s">
        <v>307</v>
      </c>
      <c r="C1090" s="84">
        <v>366</v>
      </c>
      <c r="D1090" s="102">
        <v>-1.28098563619151E-2</v>
      </c>
      <c r="E1090" s="79">
        <v>1.4518716266643099E-2</v>
      </c>
      <c r="F1090" s="79">
        <v>0.37766037214484399</v>
      </c>
      <c r="G1090" s="79">
        <v>0.89461055933914202</v>
      </c>
      <c r="H1090" s="79">
        <v>1</v>
      </c>
      <c r="I1090" s="102">
        <v>-5.5994522325032003E-3</v>
      </c>
      <c r="J1090" s="79">
        <v>1.44218260205399E-2</v>
      </c>
      <c r="K1090" s="79">
        <v>0.69784005722834697</v>
      </c>
      <c r="L1090" s="79">
        <v>0.90446905657599097</v>
      </c>
      <c r="M1090" s="79">
        <v>1</v>
      </c>
      <c r="N1090" s="102">
        <v>4.6966766613498398E-2</v>
      </c>
      <c r="O1090" s="79">
        <v>1.42904544388019E-2</v>
      </c>
      <c r="P1090" s="79">
        <v>1.02173146925603E-3</v>
      </c>
      <c r="Q1090" s="79">
        <v>4.5190942791637498E-3</v>
      </c>
      <c r="R1090" s="79">
        <v>1</v>
      </c>
      <c r="S1090" s="102">
        <v>8.9331794430135697E-3</v>
      </c>
      <c r="T1090" s="79">
        <v>1.4285920056493E-2</v>
      </c>
      <c r="U1090" s="79">
        <v>0.53179628106386101</v>
      </c>
      <c r="V1090" s="79">
        <v>0.63352317518663503</v>
      </c>
      <c r="W1090" s="79">
        <v>1</v>
      </c>
    </row>
    <row r="1091" spans="2:23" x14ac:dyDescent="0.2">
      <c r="B1091" t="s">
        <v>290</v>
      </c>
      <c r="C1091" s="84">
        <v>658</v>
      </c>
      <c r="D1091" s="102">
        <v>3.4490622296542497E-2</v>
      </c>
      <c r="E1091" s="79">
        <v>1.43722646662694E-2</v>
      </c>
      <c r="F1091" s="79">
        <v>1.6442415615217601E-2</v>
      </c>
      <c r="G1091" s="79">
        <v>0.55281858177092402</v>
      </c>
      <c r="H1091" s="79">
        <v>1</v>
      </c>
      <c r="I1091" s="102">
        <v>9.5960425093448692E-3</v>
      </c>
      <c r="J1091" s="79">
        <v>1.4290619919042701E-2</v>
      </c>
      <c r="K1091" s="79">
        <v>0.50194053158245999</v>
      </c>
      <c r="L1091" s="79">
        <v>0.82153358502481899</v>
      </c>
      <c r="M1091" s="79">
        <v>1</v>
      </c>
      <c r="N1091" s="102">
        <v>-3.66566465443574E-2</v>
      </c>
      <c r="O1091" s="79">
        <v>1.4162698536223E-2</v>
      </c>
      <c r="P1091" s="79">
        <v>9.6764122546696106E-3</v>
      </c>
      <c r="Q1091" s="79">
        <v>2.7138811853328299E-2</v>
      </c>
      <c r="R1091" s="79">
        <v>1</v>
      </c>
      <c r="S1091" s="102">
        <v>2.6012136350271099E-2</v>
      </c>
      <c r="T1091" s="79">
        <v>1.4152752540648799E-2</v>
      </c>
      <c r="U1091" s="79">
        <v>6.6132443047702202E-2</v>
      </c>
      <c r="V1091" s="79">
        <v>0.12658571584497999</v>
      </c>
      <c r="W1091" s="79">
        <v>1</v>
      </c>
    </row>
    <row r="1092" spans="2:23" x14ac:dyDescent="0.2">
      <c r="B1092" t="s">
        <v>291</v>
      </c>
      <c r="C1092" s="84">
        <v>2244</v>
      </c>
      <c r="D1092" s="102">
        <v>4.3570623206299001E-2</v>
      </c>
      <c r="E1092" s="79">
        <v>1.4274681291524901E-2</v>
      </c>
      <c r="F1092" s="79">
        <v>2.2837149863332898E-3</v>
      </c>
      <c r="G1092" s="79">
        <v>0.22515221791711101</v>
      </c>
      <c r="H1092" s="79">
        <v>1</v>
      </c>
      <c r="I1092" s="102">
        <v>9.2642987984803294E-3</v>
      </c>
      <c r="J1092" s="79">
        <v>1.4190039568496999E-2</v>
      </c>
      <c r="K1092" s="79">
        <v>0.51387084513942805</v>
      </c>
      <c r="L1092" s="79">
        <v>0.82746883238231095</v>
      </c>
      <c r="M1092" s="79">
        <v>1</v>
      </c>
      <c r="N1092" s="102">
        <v>-4.5705238715250097E-2</v>
      </c>
      <c r="O1092" s="79">
        <v>1.40600743359902E-2</v>
      </c>
      <c r="P1092" s="79">
        <v>1.1594608499350301E-3</v>
      </c>
      <c r="Q1092" s="79">
        <v>4.94742236722907E-3</v>
      </c>
      <c r="R1092" s="79">
        <v>1</v>
      </c>
      <c r="S1092" s="102">
        <v>2.5703405928079501E-2</v>
      </c>
      <c r="T1092" s="79">
        <v>1.4056286191574299E-2</v>
      </c>
      <c r="U1092" s="79">
        <v>6.7523155171843305E-2</v>
      </c>
      <c r="V1092" s="79">
        <v>0.12852160096753101</v>
      </c>
      <c r="W1092" s="79">
        <v>1</v>
      </c>
    </row>
    <row r="1093" spans="2:23" x14ac:dyDescent="0.2">
      <c r="B1093" t="s">
        <v>292</v>
      </c>
      <c r="C1093" s="84">
        <v>372</v>
      </c>
      <c r="D1093" s="102">
        <v>-3.56505830386923E-3</v>
      </c>
      <c r="E1093" s="79">
        <v>1.2424190933640999E-2</v>
      </c>
      <c r="F1093" s="79">
        <v>0.77416703461861103</v>
      </c>
      <c r="G1093" s="79">
        <v>0.98604432830370503</v>
      </c>
      <c r="H1093" s="79">
        <v>1</v>
      </c>
      <c r="I1093" s="102">
        <v>-5.91169294374593E-3</v>
      </c>
      <c r="J1093" s="79">
        <v>1.2354696062559499E-2</v>
      </c>
      <c r="K1093" s="79">
        <v>0.63231854904071005</v>
      </c>
      <c r="L1093" s="79">
        <v>0.87748013759880805</v>
      </c>
      <c r="M1093" s="79">
        <v>1</v>
      </c>
      <c r="N1093" s="102">
        <v>-4.0114816564088898E-2</v>
      </c>
      <c r="O1093" s="79">
        <v>1.2238948215396899E-2</v>
      </c>
      <c r="P1093" s="79">
        <v>1.05441688361219E-3</v>
      </c>
      <c r="Q1093" s="79">
        <v>4.6154578833050401E-3</v>
      </c>
      <c r="R1093" s="79">
        <v>1</v>
      </c>
      <c r="S1093" s="102">
        <v>-1.02805031100691E-2</v>
      </c>
      <c r="T1093" s="79">
        <v>1.22350606681074E-2</v>
      </c>
      <c r="U1093" s="79">
        <v>0.40081130143812199</v>
      </c>
      <c r="V1093" s="79">
        <v>0.51850521417931295</v>
      </c>
      <c r="W1093" s="79">
        <v>1</v>
      </c>
    </row>
    <row r="1094" spans="2:23" x14ac:dyDescent="0.2">
      <c r="B1094" t="s">
        <v>293</v>
      </c>
      <c r="C1094" s="84">
        <v>2567</v>
      </c>
      <c r="D1094" s="102">
        <v>3.1342635166885902E-2</v>
      </c>
      <c r="E1094" s="79">
        <v>1.4354423344997499E-2</v>
      </c>
      <c r="F1094" s="79">
        <v>2.9049715011991301E-2</v>
      </c>
      <c r="G1094" s="79">
        <v>0.60066631790544101</v>
      </c>
      <c r="H1094" s="79">
        <v>1</v>
      </c>
      <c r="I1094" s="102">
        <v>2.8626323238725399E-2</v>
      </c>
      <c r="J1094" s="79">
        <v>1.42636756077009E-2</v>
      </c>
      <c r="K1094" s="79">
        <v>4.4814828940234898E-2</v>
      </c>
      <c r="L1094" s="79">
        <v>0.39746764515580102</v>
      </c>
      <c r="M1094" s="79">
        <v>1</v>
      </c>
      <c r="N1094" s="102">
        <v>-5.4093458833645199E-2</v>
      </c>
      <c r="O1094" s="79">
        <v>1.41307871862558E-2</v>
      </c>
      <c r="P1094" s="79">
        <v>1.3086773722344199E-4</v>
      </c>
      <c r="Q1094" s="79">
        <v>8.6260679710704598E-4</v>
      </c>
      <c r="R1094" s="79">
        <v>0.221689946856511</v>
      </c>
      <c r="S1094" s="102">
        <v>3.3022057451902703E-2</v>
      </c>
      <c r="T1094" s="79">
        <v>1.4125772726867899E-2</v>
      </c>
      <c r="U1094" s="79">
        <v>1.9444288063552001E-2</v>
      </c>
      <c r="V1094" s="79">
        <v>4.7668052068968299E-2</v>
      </c>
      <c r="W1094" s="79">
        <v>1</v>
      </c>
    </row>
    <row r="1095" spans="2:23" x14ac:dyDescent="0.2">
      <c r="B1095" t="s">
        <v>294</v>
      </c>
      <c r="C1095" s="84">
        <v>366</v>
      </c>
      <c r="D1095" s="102">
        <v>2.1709347860235702E-5</v>
      </c>
      <c r="E1095" s="79">
        <v>1.45072744888105E-2</v>
      </c>
      <c r="F1095" s="79">
        <v>0.99880607450547798</v>
      </c>
      <c r="G1095" s="79">
        <v>0.99983508610455496</v>
      </c>
      <c r="H1095" s="79">
        <v>1</v>
      </c>
      <c r="I1095" s="102">
        <v>-1.84633570605921E-2</v>
      </c>
      <c r="J1095" s="79">
        <v>1.44037960596093E-2</v>
      </c>
      <c r="K1095" s="79">
        <v>0.19996538122772201</v>
      </c>
      <c r="L1095" s="79">
        <v>0.64163197767429703</v>
      </c>
      <c r="M1095" s="79">
        <v>1</v>
      </c>
      <c r="N1095" s="102">
        <v>9.3007422570407106E-3</v>
      </c>
      <c r="O1095" s="79">
        <v>1.42872285513775E-2</v>
      </c>
      <c r="P1095" s="79">
        <v>0.51509066594823805</v>
      </c>
      <c r="Q1095" s="79">
        <v>0.62955525838117998</v>
      </c>
      <c r="R1095" s="79">
        <v>1</v>
      </c>
      <c r="S1095" s="102">
        <v>4.3772848926041802E-2</v>
      </c>
      <c r="T1095" s="79">
        <v>1.4257425918653E-2</v>
      </c>
      <c r="U1095" s="79">
        <v>2.15196793193276E-3</v>
      </c>
      <c r="V1095" s="79">
        <v>8.13712874262075E-3</v>
      </c>
      <c r="W1095" s="79">
        <v>1</v>
      </c>
    </row>
    <row r="1096" spans="2:23" x14ac:dyDescent="0.2">
      <c r="B1096" t="s">
        <v>295</v>
      </c>
      <c r="C1096" s="84">
        <v>366</v>
      </c>
      <c r="D1096" s="102">
        <v>4.3678441073854704E-3</v>
      </c>
      <c r="E1096" s="79">
        <v>1.4512429463393201E-2</v>
      </c>
      <c r="F1096" s="79">
        <v>0.76344885861257905</v>
      </c>
      <c r="G1096" s="79">
        <v>0.98333051768739199</v>
      </c>
      <c r="H1096" s="79">
        <v>1</v>
      </c>
      <c r="I1096" s="102">
        <v>-2.0704564160249898E-2</v>
      </c>
      <c r="J1096" s="79">
        <v>1.4409376051185601E-2</v>
      </c>
      <c r="K1096" s="79">
        <v>0.15082088246176201</v>
      </c>
      <c r="L1096" s="79">
        <v>0.59416412765168602</v>
      </c>
      <c r="M1096" s="79">
        <v>1</v>
      </c>
      <c r="N1096" s="102">
        <v>6.9151726074727598E-4</v>
      </c>
      <c r="O1096" s="79">
        <v>1.42937923766979E-2</v>
      </c>
      <c r="P1096" s="79">
        <v>0.96141643281672495</v>
      </c>
      <c r="Q1096" s="79">
        <v>0.97162446917484802</v>
      </c>
      <c r="R1096" s="79">
        <v>1</v>
      </c>
      <c r="S1096" s="102">
        <v>4.4349998359811604E-3</v>
      </c>
      <c r="T1096" s="79">
        <v>1.4279535215918101E-2</v>
      </c>
      <c r="U1096" s="79">
        <v>0.75613077221880098</v>
      </c>
      <c r="V1096" s="79">
        <v>0.81274462445345796</v>
      </c>
      <c r="W1096" s="79">
        <v>1</v>
      </c>
    </row>
    <row r="1097" spans="2:23" x14ac:dyDescent="0.2">
      <c r="B1097" t="s">
        <v>297</v>
      </c>
      <c r="C1097" s="84">
        <v>366</v>
      </c>
      <c r="D1097" s="102">
        <v>-7.4429099757551097E-3</v>
      </c>
      <c r="E1097" s="79">
        <v>1.45902775103988E-2</v>
      </c>
      <c r="F1097" s="79">
        <v>0.60998552321898702</v>
      </c>
      <c r="G1097" s="79">
        <v>0.94883026155289396</v>
      </c>
      <c r="H1097" s="79">
        <v>1</v>
      </c>
      <c r="I1097" s="102">
        <v>-7.19764965588276E-3</v>
      </c>
      <c r="J1097" s="79">
        <v>1.45054575061789E-2</v>
      </c>
      <c r="K1097" s="79">
        <v>0.61977479715785599</v>
      </c>
      <c r="L1097" s="79">
        <v>0.87748013759880805</v>
      </c>
      <c r="M1097" s="79">
        <v>1</v>
      </c>
      <c r="N1097" s="102">
        <v>-5.70403292877701E-2</v>
      </c>
      <c r="O1097" s="79">
        <v>1.43579347384647E-2</v>
      </c>
      <c r="P1097" s="79">
        <v>7.2120421208616496E-5</v>
      </c>
      <c r="Q1097" s="79">
        <v>5.2784270703972597E-4</v>
      </c>
      <c r="R1097" s="79">
        <v>0.12217199352739599</v>
      </c>
      <c r="S1097" s="102">
        <v>-2.32543589380503E-2</v>
      </c>
      <c r="T1097" s="79">
        <v>1.43629075727729E-2</v>
      </c>
      <c r="U1097" s="79">
        <v>0.105502406657924</v>
      </c>
      <c r="V1097" s="79">
        <v>0.18368044900156599</v>
      </c>
      <c r="W1097" s="79">
        <v>1</v>
      </c>
    </row>
    <row r="1098" spans="2:23" x14ac:dyDescent="0.2">
      <c r="B1098" t="s">
        <v>931</v>
      </c>
      <c r="C1098" s="84">
        <v>525</v>
      </c>
      <c r="D1098" s="102">
        <v>-9.2389135324128201E-3</v>
      </c>
      <c r="E1098" s="79">
        <v>1.49150397013449E-2</v>
      </c>
      <c r="F1098" s="79">
        <v>0.53566009394035596</v>
      </c>
      <c r="G1098" s="79">
        <v>0.92176676956083303</v>
      </c>
      <c r="H1098" s="79">
        <v>1</v>
      </c>
      <c r="I1098" s="102">
        <v>1.6747970704135699E-2</v>
      </c>
      <c r="J1098" s="79">
        <v>1.4720103186168501E-2</v>
      </c>
      <c r="K1098" s="79">
        <v>0.25528073097062298</v>
      </c>
      <c r="L1098" s="79">
        <v>0.68025543872958705</v>
      </c>
      <c r="M1098" s="79">
        <v>1</v>
      </c>
      <c r="N1098" s="107">
        <v>7.2616799745778907E-2</v>
      </c>
      <c r="O1098" s="81">
        <v>1.4535098453193399E-2</v>
      </c>
      <c r="P1098" s="81">
        <v>6.0765200237991702E-7</v>
      </c>
      <c r="Q1098" s="81">
        <v>8.1662365454801802E-6</v>
      </c>
      <c r="R1098" s="81">
        <v>1.02936249203158E-3</v>
      </c>
      <c r="S1098" s="102">
        <v>4.4499379690408798E-2</v>
      </c>
      <c r="T1098" s="79">
        <v>1.4557975326955399E-2</v>
      </c>
      <c r="U1098" s="79">
        <v>2.2510264476915801E-3</v>
      </c>
      <c r="V1098" s="79">
        <v>8.3992044105496398E-3</v>
      </c>
      <c r="W1098" s="79">
        <v>1</v>
      </c>
    </row>
    <row r="1099" spans="2:23" x14ac:dyDescent="0.2">
      <c r="B1099" t="s">
        <v>940</v>
      </c>
      <c r="C1099" s="84">
        <v>3428</v>
      </c>
      <c r="D1099" s="102">
        <v>-7.26288550727636E-3</v>
      </c>
      <c r="E1099" s="79">
        <v>1.4613110330738499E-2</v>
      </c>
      <c r="F1099" s="79">
        <v>0.61920411370997497</v>
      </c>
      <c r="G1099" s="79">
        <v>0.95363864416447597</v>
      </c>
      <c r="H1099" s="79">
        <v>1</v>
      </c>
      <c r="I1099" s="102">
        <v>1.06556856856694E-2</v>
      </c>
      <c r="J1099" s="79">
        <v>1.44990362759487E-2</v>
      </c>
      <c r="K1099" s="79">
        <v>0.46242342201022801</v>
      </c>
      <c r="L1099" s="79">
        <v>0.799032058493933</v>
      </c>
      <c r="M1099" s="79">
        <v>1</v>
      </c>
      <c r="N1099" s="107">
        <v>9.6937253442159296E-2</v>
      </c>
      <c r="O1099" s="81">
        <v>1.42932510949417E-2</v>
      </c>
      <c r="P1099" s="81">
        <v>1.3333235897006699E-11</v>
      </c>
      <c r="Q1099" s="81">
        <v>6.2740282248692603E-10</v>
      </c>
      <c r="R1099" s="81">
        <v>2.2586501609529401E-8</v>
      </c>
      <c r="S1099" s="102">
        <v>3.6531093383101898E-2</v>
      </c>
      <c r="T1099" s="79">
        <v>1.43672528816565E-2</v>
      </c>
      <c r="U1099" s="79">
        <v>1.1033238116717E-2</v>
      </c>
      <c r="V1099" s="79">
        <v>3.0589697822779999E-2</v>
      </c>
      <c r="W1099" s="79">
        <v>1</v>
      </c>
    </row>
    <row r="1100" spans="2:23" x14ac:dyDescent="0.2">
      <c r="B1100" t="s">
        <v>941</v>
      </c>
      <c r="C1100" s="84">
        <v>3422</v>
      </c>
      <c r="D1100" s="102">
        <v>2.8830716157523799E-2</v>
      </c>
      <c r="E1100" s="79">
        <v>1.44053471270192E-2</v>
      </c>
      <c r="F1100" s="79">
        <v>4.54046790576485E-2</v>
      </c>
      <c r="G1100" s="79">
        <v>0.68219720695512798</v>
      </c>
      <c r="H1100" s="79">
        <v>1</v>
      </c>
      <c r="I1100" s="102">
        <v>2.5961992238669299E-2</v>
      </c>
      <c r="J1100" s="79">
        <v>1.4270865680049099E-2</v>
      </c>
      <c r="K1100" s="79">
        <v>6.8936450596157703E-2</v>
      </c>
      <c r="L1100" s="79">
        <v>0.44742661804556</v>
      </c>
      <c r="M1100" s="79">
        <v>1</v>
      </c>
      <c r="N1100" s="102">
        <v>4.8899905421716398E-2</v>
      </c>
      <c r="O1100" s="79">
        <v>1.4149326077812E-2</v>
      </c>
      <c r="P1100" s="79">
        <v>5.5287005254449904E-4</v>
      </c>
      <c r="Q1100" s="79">
        <v>2.76850887917551E-3</v>
      </c>
      <c r="R1100" s="79">
        <v>0.93656186901038097</v>
      </c>
      <c r="S1100" s="107">
        <v>6.5350119072984297E-2</v>
      </c>
      <c r="T1100" s="81">
        <v>1.41187187203426E-2</v>
      </c>
      <c r="U1100" s="81">
        <v>3.7749116562570101E-6</v>
      </c>
      <c r="V1100" s="81">
        <v>5.4192375811011697E-5</v>
      </c>
      <c r="W1100" s="81">
        <v>6.3947003456993699E-3</v>
      </c>
    </row>
    <row r="1101" spans="2:23" x14ac:dyDescent="0.2">
      <c r="B1101" t="s">
        <v>942</v>
      </c>
      <c r="C1101" s="84">
        <v>186</v>
      </c>
      <c r="D1101" s="102">
        <v>-3.8315224236516402E-3</v>
      </c>
      <c r="E1101" s="79">
        <v>1.45825310030993E-2</v>
      </c>
      <c r="F1101" s="79">
        <v>0.79275707433831799</v>
      </c>
      <c r="G1101" s="79">
        <v>0.99158613425276598</v>
      </c>
      <c r="H1101" s="79">
        <v>1</v>
      </c>
      <c r="I1101" s="102">
        <v>3.2525228424235102E-2</v>
      </c>
      <c r="J1101" s="79">
        <v>1.4436332055896801E-2</v>
      </c>
      <c r="K1101" s="79">
        <v>2.4306776714659601E-2</v>
      </c>
      <c r="L1101" s="79">
        <v>0.30705200698785101</v>
      </c>
      <c r="M1101" s="79">
        <v>1</v>
      </c>
      <c r="N1101" s="102">
        <v>4.1255494704341797E-2</v>
      </c>
      <c r="O1101" s="79">
        <v>1.43182241987192E-2</v>
      </c>
      <c r="P1101" s="79">
        <v>3.9788393864298504E-3</v>
      </c>
      <c r="Q1101" s="79">
        <v>1.32159880796317E-2</v>
      </c>
      <c r="R1101" s="79">
        <v>1</v>
      </c>
      <c r="S1101" s="102">
        <v>5.2539846831041799E-2</v>
      </c>
      <c r="T1101" s="79">
        <v>1.43177155478952E-2</v>
      </c>
      <c r="U1101" s="79">
        <v>2.4576002481016697E-4</v>
      </c>
      <c r="V1101" s="79">
        <v>1.47630312776037E-3</v>
      </c>
      <c r="W1101" s="79">
        <v>0.416317482028423</v>
      </c>
    </row>
    <row r="1102" spans="2:23" x14ac:dyDescent="0.2">
      <c r="B1102" t="s">
        <v>943</v>
      </c>
      <c r="C1102" s="84">
        <v>2111</v>
      </c>
      <c r="D1102" s="102">
        <v>1.15400032694143E-2</v>
      </c>
      <c r="E1102" s="79">
        <v>1.43384030246689E-2</v>
      </c>
      <c r="F1102" s="79">
        <v>0.42095729100998402</v>
      </c>
      <c r="G1102" s="79">
        <v>0.89561567502544503</v>
      </c>
      <c r="H1102" s="79">
        <v>1</v>
      </c>
      <c r="I1102" s="102">
        <v>4.8961120315134804E-3</v>
      </c>
      <c r="J1102" s="79">
        <v>1.42206561827846E-2</v>
      </c>
      <c r="K1102" s="79">
        <v>0.73063948068214701</v>
      </c>
      <c r="L1102" s="79">
        <v>0.91860526947379795</v>
      </c>
      <c r="M1102" s="79">
        <v>1</v>
      </c>
      <c r="N1102" s="102">
        <v>4.3494908648139201E-2</v>
      </c>
      <c r="O1102" s="79">
        <v>1.4072448079229799E-2</v>
      </c>
      <c r="P1102" s="79">
        <v>2.0080494807354298E-3</v>
      </c>
      <c r="Q1102" s="79">
        <v>7.4761226821226804E-3</v>
      </c>
      <c r="R1102" s="79">
        <v>1</v>
      </c>
      <c r="S1102" s="102">
        <v>5.8406987107726301E-2</v>
      </c>
      <c r="T1102" s="79">
        <v>1.40643396318209E-2</v>
      </c>
      <c r="U1102" s="79">
        <v>3.34221489636054E-5</v>
      </c>
      <c r="V1102" s="79">
        <v>3.18345172961092E-4</v>
      </c>
      <c r="W1102" s="79">
        <v>5.6617120344347599E-2</v>
      </c>
    </row>
    <row r="1103" spans="2:23" x14ac:dyDescent="0.2">
      <c r="B1103" t="s">
        <v>944</v>
      </c>
      <c r="C1103" s="84">
        <v>2111</v>
      </c>
      <c r="D1103" s="102">
        <v>-1.6133935164876701E-2</v>
      </c>
      <c r="E1103" s="79">
        <v>1.45490346102349E-2</v>
      </c>
      <c r="F1103" s="79">
        <v>0.26751552618542401</v>
      </c>
      <c r="G1103" s="79">
        <v>0.85990749347533801</v>
      </c>
      <c r="H1103" s="79">
        <v>1</v>
      </c>
      <c r="I1103" s="102">
        <v>1.70454446919989E-3</v>
      </c>
      <c r="J1103" s="79">
        <v>1.44362143713216E-2</v>
      </c>
      <c r="K1103" s="79">
        <v>0.90601408515975701</v>
      </c>
      <c r="L1103" s="79">
        <v>0.98168469912841005</v>
      </c>
      <c r="M1103" s="79">
        <v>1</v>
      </c>
      <c r="N1103" s="107">
        <v>8.7350029422804495E-2</v>
      </c>
      <c r="O1103" s="81">
        <v>1.42695884234304E-2</v>
      </c>
      <c r="P1103" s="81">
        <v>1.0047882639039601E-9</v>
      </c>
      <c r="Q1103" s="81">
        <v>2.6186327985435499E-8</v>
      </c>
      <c r="R1103" s="81">
        <v>1.70211131905331E-6</v>
      </c>
      <c r="S1103" s="107">
        <v>7.6704361695080894E-2</v>
      </c>
      <c r="T1103" s="81">
        <v>1.42674846505093E-2</v>
      </c>
      <c r="U1103" s="81">
        <v>7.98656469136463E-8</v>
      </c>
      <c r="V1103" s="81">
        <v>2.0498849374502598E-6</v>
      </c>
      <c r="W1103" s="81">
        <v>1.35292405871717E-4</v>
      </c>
    </row>
    <row r="1104" spans="2:23" x14ac:dyDescent="0.2">
      <c r="B1104" t="s">
        <v>945</v>
      </c>
      <c r="C1104" s="84">
        <v>2146</v>
      </c>
      <c r="D1104" s="102">
        <v>-1.1627015427281701E-2</v>
      </c>
      <c r="E1104" s="79">
        <v>1.4629307465649799E-2</v>
      </c>
      <c r="F1104" s="79">
        <v>0.426784331210878</v>
      </c>
      <c r="G1104" s="79">
        <v>0.89813936408249395</v>
      </c>
      <c r="H1104" s="79">
        <v>1</v>
      </c>
      <c r="I1104" s="102">
        <v>-1.8878667653998199E-3</v>
      </c>
      <c r="J1104" s="79">
        <v>1.45091466351889E-2</v>
      </c>
      <c r="K1104" s="79">
        <v>0.89648064383155401</v>
      </c>
      <c r="L1104" s="79">
        <v>0.98103349543168095</v>
      </c>
      <c r="M1104" s="79">
        <v>1</v>
      </c>
      <c r="N1104" s="107">
        <v>6.5316135589474106E-2</v>
      </c>
      <c r="O1104" s="81">
        <v>1.43686636400557E-2</v>
      </c>
      <c r="P1104" s="81">
        <v>5.6144679066281703E-6</v>
      </c>
      <c r="Q1104" s="81">
        <v>5.9073966669739903E-5</v>
      </c>
      <c r="R1104" s="81">
        <v>9.5109086338281204E-3</v>
      </c>
      <c r="S1104" s="107">
        <v>7.3174219154066897E-2</v>
      </c>
      <c r="T1104" s="81">
        <v>1.4312948160292599E-2</v>
      </c>
      <c r="U1104" s="81">
        <v>3.3081746487247698E-7</v>
      </c>
      <c r="V1104" s="81">
        <v>6.8342047011460502E-6</v>
      </c>
      <c r="W1104" s="81">
        <v>5.6040478549397599E-4</v>
      </c>
    </row>
    <row r="1105" spans="2:23" x14ac:dyDescent="0.2">
      <c r="B1105" t="s">
        <v>946</v>
      </c>
      <c r="C1105" s="84">
        <v>5037</v>
      </c>
      <c r="D1105" s="102">
        <v>-9.0462968004220799E-3</v>
      </c>
      <c r="E1105" s="79">
        <v>1.4540011864760401E-2</v>
      </c>
      <c r="F1105" s="79">
        <v>0.53386350533846505</v>
      </c>
      <c r="G1105" s="79">
        <v>0.92176676956083303</v>
      </c>
      <c r="H1105" s="79">
        <v>1</v>
      </c>
      <c r="I1105" s="102">
        <v>-2.23943955766647E-2</v>
      </c>
      <c r="J1105" s="79">
        <v>1.4420538002005901E-2</v>
      </c>
      <c r="K1105" s="79">
        <v>0.12050469873119</v>
      </c>
      <c r="L1105" s="79">
        <v>0.55552266356551805</v>
      </c>
      <c r="M1105" s="79">
        <v>1</v>
      </c>
      <c r="N1105" s="107">
        <v>7.4827380677760402E-2</v>
      </c>
      <c r="O1105" s="81">
        <v>1.42727687349175E-2</v>
      </c>
      <c r="P1105" s="81">
        <v>1.65395328099023E-7</v>
      </c>
      <c r="Q1105" s="81">
        <v>2.5470880527249501E-6</v>
      </c>
      <c r="R1105" s="81">
        <v>2.8017968579974498E-4</v>
      </c>
      <c r="S1105" s="102">
        <v>5.9374410684277103E-2</v>
      </c>
      <c r="T1105" s="79">
        <v>1.42668147380042E-2</v>
      </c>
      <c r="U1105" s="79">
        <v>3.2164970573821399E-5</v>
      </c>
      <c r="V1105" s="79">
        <v>3.09587841773031E-4</v>
      </c>
      <c r="W1105" s="79">
        <v>5.4487460152053399E-2</v>
      </c>
    </row>
    <row r="1106" spans="2:23" x14ac:dyDescent="0.2">
      <c r="B1106" t="s">
        <v>947</v>
      </c>
      <c r="C1106" s="84">
        <v>5037</v>
      </c>
      <c r="D1106" s="102">
        <v>1.9012149696441601E-2</v>
      </c>
      <c r="E1106" s="79">
        <v>1.45940802661401E-2</v>
      </c>
      <c r="F1106" s="79">
        <v>0.19272914084072901</v>
      </c>
      <c r="G1106" s="79">
        <v>0.83003013605610498</v>
      </c>
      <c r="H1106" s="79">
        <v>1</v>
      </c>
      <c r="I1106" s="102">
        <v>-6.5396845073638398E-3</v>
      </c>
      <c r="J1106" s="79">
        <v>1.44962136204421E-2</v>
      </c>
      <c r="K1106" s="79">
        <v>0.65191609875482803</v>
      </c>
      <c r="L1106" s="79">
        <v>0.88374695918109603</v>
      </c>
      <c r="M1106" s="79">
        <v>1</v>
      </c>
      <c r="N1106" s="102">
        <v>4.4453387866288101E-2</v>
      </c>
      <c r="O1106" s="79">
        <v>1.43566222657792E-2</v>
      </c>
      <c r="P1106" s="79">
        <v>1.9704402348633999E-3</v>
      </c>
      <c r="Q1106" s="79">
        <v>7.4011657602186202E-3</v>
      </c>
      <c r="R1106" s="79">
        <v>1</v>
      </c>
      <c r="S1106" s="102">
        <v>4.90149601903185E-2</v>
      </c>
      <c r="T1106" s="79">
        <v>1.4347792877976299E-2</v>
      </c>
      <c r="U1106" s="79">
        <v>6.4031089585956204E-4</v>
      </c>
      <c r="V1106" s="79">
        <v>3.1623517713880401E-3</v>
      </c>
      <c r="W1106" s="79">
        <v>1</v>
      </c>
    </row>
    <row r="1107" spans="2:23" x14ac:dyDescent="0.2">
      <c r="B1107" t="s">
        <v>948</v>
      </c>
      <c r="C1107" s="84">
        <v>5037</v>
      </c>
      <c r="D1107" s="102">
        <v>1.7205961308338701E-2</v>
      </c>
      <c r="E1107" s="79">
        <v>1.4513349550975999E-2</v>
      </c>
      <c r="F1107" s="79">
        <v>0.2358708140195</v>
      </c>
      <c r="G1107" s="79">
        <v>0.85383558790471104</v>
      </c>
      <c r="H1107" s="79">
        <v>1</v>
      </c>
      <c r="I1107" s="102">
        <v>3.30419933860839E-2</v>
      </c>
      <c r="J1107" s="79">
        <v>1.43889254237923E-2</v>
      </c>
      <c r="K1107" s="79">
        <v>2.1702232156041501E-2</v>
      </c>
      <c r="L1107" s="79">
        <v>0.29889090465312401</v>
      </c>
      <c r="M1107" s="79">
        <v>1</v>
      </c>
      <c r="N1107" s="107">
        <v>8.3686046644000797E-2</v>
      </c>
      <c r="O1107" s="81">
        <v>1.42228361600339E-2</v>
      </c>
      <c r="P1107" s="81">
        <v>4.2985301792491099E-9</v>
      </c>
      <c r="Q1107" s="81">
        <v>9.7089468315306605E-8</v>
      </c>
      <c r="R1107" s="81">
        <v>7.28171012364799E-6</v>
      </c>
      <c r="S1107" s="107">
        <v>8.1983655593788798E-2</v>
      </c>
      <c r="T1107" s="81">
        <v>1.4219612941069401E-2</v>
      </c>
      <c r="U1107" s="81">
        <v>8.6844090721276099E-9</v>
      </c>
      <c r="V1107" s="81">
        <v>3.8714181495221498E-7</v>
      </c>
      <c r="W1107" s="81">
        <v>1.47113889681842E-5</v>
      </c>
    </row>
    <row r="1108" spans="2:23" x14ac:dyDescent="0.2">
      <c r="B1108" t="s">
        <v>949</v>
      </c>
      <c r="C1108" s="84">
        <v>5037</v>
      </c>
      <c r="D1108" s="102">
        <v>3.1870481538231001E-2</v>
      </c>
      <c r="E1108" s="79">
        <v>1.43042982193602E-2</v>
      </c>
      <c r="F1108" s="79">
        <v>2.5926533257593899E-2</v>
      </c>
      <c r="G1108" s="79">
        <v>0.59730976775552003</v>
      </c>
      <c r="H1108" s="79">
        <v>1</v>
      </c>
      <c r="I1108" s="102">
        <v>5.07341969666983E-2</v>
      </c>
      <c r="J1108" s="79">
        <v>1.4167714762212799E-2</v>
      </c>
      <c r="K1108" s="79">
        <v>3.4597672871827502E-4</v>
      </c>
      <c r="L1108" s="79">
        <v>5.7030619025494098E-2</v>
      </c>
      <c r="M1108" s="79">
        <v>0.58608457844875805</v>
      </c>
      <c r="N1108" s="102">
        <v>3.9758146738055201E-2</v>
      </c>
      <c r="O1108" s="79">
        <v>1.40658116365859E-2</v>
      </c>
      <c r="P1108" s="79">
        <v>4.7255277574418898E-3</v>
      </c>
      <c r="Q1108" s="79">
        <v>1.5276801566997299E-2</v>
      </c>
      <c r="R1108" s="79">
        <v>1</v>
      </c>
      <c r="S1108" s="107">
        <v>8.1622713986451004E-2</v>
      </c>
      <c r="T1108" s="81">
        <v>1.4033685284837401E-2</v>
      </c>
      <c r="U1108" s="81">
        <v>6.4344267304895898E-9</v>
      </c>
      <c r="V1108" s="81">
        <v>3.4062246504529301E-7</v>
      </c>
      <c r="W1108" s="81">
        <v>1.08999188814494E-5</v>
      </c>
    </row>
    <row r="1109" spans="2:23" x14ac:dyDescent="0.2">
      <c r="B1109" t="s">
        <v>932</v>
      </c>
      <c r="C1109" s="84">
        <v>372</v>
      </c>
      <c r="D1109" s="102">
        <v>-1.01961351048387E-2</v>
      </c>
      <c r="E1109" s="79">
        <v>1.46932295720509E-2</v>
      </c>
      <c r="F1109" s="79">
        <v>0.487757825993063</v>
      </c>
      <c r="G1109" s="79">
        <v>0.91678121217168596</v>
      </c>
      <c r="H1109" s="79">
        <v>1</v>
      </c>
      <c r="I1109" s="102">
        <v>2.73788682664758E-2</v>
      </c>
      <c r="J1109" s="79">
        <v>1.4544580209357999E-2</v>
      </c>
      <c r="K1109" s="79">
        <v>5.9843068131534699E-2</v>
      </c>
      <c r="L1109" s="79">
        <v>0.42415965445531301</v>
      </c>
      <c r="M1109" s="79">
        <v>1</v>
      </c>
      <c r="N1109" s="107">
        <v>8.9176419621570094E-2</v>
      </c>
      <c r="O1109" s="81">
        <v>1.43674344029768E-2</v>
      </c>
      <c r="P1109" s="81">
        <v>5.8772001846698896E-10</v>
      </c>
      <c r="Q1109" s="81">
        <v>1.72884951029232E-8</v>
      </c>
      <c r="R1109" s="81">
        <v>9.9559771128307894E-7</v>
      </c>
      <c r="S1109" s="107">
        <v>6.1980442883315903E-2</v>
      </c>
      <c r="T1109" s="81">
        <v>1.4364502488123701E-2</v>
      </c>
      <c r="U1109" s="81">
        <v>1.6303538298032599E-5</v>
      </c>
      <c r="V1109" s="81">
        <v>1.7591206290998201E-4</v>
      </c>
      <c r="W1109" s="81">
        <v>2.76181938768672E-2</v>
      </c>
    </row>
    <row r="1110" spans="2:23" x14ac:dyDescent="0.2">
      <c r="B1110" t="s">
        <v>933</v>
      </c>
      <c r="C1110" s="84">
        <v>372</v>
      </c>
      <c r="D1110" s="102">
        <v>-1.5783575168057201E-2</v>
      </c>
      <c r="E1110" s="79">
        <v>1.4569266260796399E-2</v>
      </c>
      <c r="F1110" s="79">
        <v>0.27871184443735703</v>
      </c>
      <c r="G1110" s="79">
        <v>0.86861170490914397</v>
      </c>
      <c r="H1110" s="79">
        <v>1</v>
      </c>
      <c r="I1110" s="102">
        <v>2.3073346143189399E-2</v>
      </c>
      <c r="J1110" s="79">
        <v>1.44629004235569E-2</v>
      </c>
      <c r="K1110" s="79">
        <v>0.110706258110702</v>
      </c>
      <c r="L1110" s="79">
        <v>0.53622641688935602</v>
      </c>
      <c r="M1110" s="79">
        <v>1</v>
      </c>
      <c r="N1110" s="107">
        <v>7.5380994833787199E-2</v>
      </c>
      <c r="O1110" s="81">
        <v>1.4288832111417101E-2</v>
      </c>
      <c r="P1110" s="81">
        <v>1.3871596582899201E-7</v>
      </c>
      <c r="Q1110" s="81">
        <v>2.1757856121695598E-6</v>
      </c>
      <c r="R1110" s="81">
        <v>2.3498484611431201E-4</v>
      </c>
      <c r="S1110" s="107">
        <v>6.0615300189823799E-2</v>
      </c>
      <c r="T1110" s="81">
        <v>1.42890256604496E-2</v>
      </c>
      <c r="U1110" s="81">
        <v>2.25946491299503E-5</v>
      </c>
      <c r="V1110" s="81">
        <v>2.33386192842292E-4</v>
      </c>
      <c r="W1110" s="81">
        <v>3.8275335626135797E-2</v>
      </c>
    </row>
    <row r="1111" spans="2:23" x14ac:dyDescent="0.2">
      <c r="B1111" t="s">
        <v>934</v>
      </c>
      <c r="C1111" s="84">
        <v>5004</v>
      </c>
      <c r="D1111" s="102">
        <v>-2.4914068121576799E-3</v>
      </c>
      <c r="E1111" s="79">
        <v>1.45424703502642E-2</v>
      </c>
      <c r="F1111" s="79">
        <v>0.86398005902139696</v>
      </c>
      <c r="G1111" s="79">
        <v>0.99362338620020496</v>
      </c>
      <c r="H1111" s="79">
        <v>1</v>
      </c>
      <c r="I1111" s="102">
        <v>1.33448573571022E-2</v>
      </c>
      <c r="J1111" s="79">
        <v>1.44297560643148E-2</v>
      </c>
      <c r="K1111" s="79">
        <v>0.35511082833097601</v>
      </c>
      <c r="L1111" s="79">
        <v>0.74482453015727901</v>
      </c>
      <c r="M1111" s="79">
        <v>1</v>
      </c>
      <c r="N1111" s="107">
        <v>0.113128089286894</v>
      </c>
      <c r="O1111" s="81">
        <v>1.4216422477124801E-2</v>
      </c>
      <c r="P1111" s="81">
        <v>2.1899337190995198E-15</v>
      </c>
      <c r="Q1111" s="81">
        <v>2.8536520924266098E-13</v>
      </c>
      <c r="R1111" s="81">
        <v>3.70974772015459E-12</v>
      </c>
      <c r="S1111" s="107">
        <v>9.2987129126632803E-2</v>
      </c>
      <c r="T1111" s="81">
        <v>1.4231781786554499E-2</v>
      </c>
      <c r="U1111" s="81">
        <v>7.1054720111717605E-11</v>
      </c>
      <c r="V1111" s="81">
        <v>8.5976211335178302E-9</v>
      </c>
      <c r="W1111" s="81">
        <v>1.2036669586925E-7</v>
      </c>
    </row>
    <row r="1112" spans="2:23" x14ac:dyDescent="0.2">
      <c r="B1112" t="s">
        <v>935</v>
      </c>
      <c r="C1112" s="84">
        <v>3428</v>
      </c>
      <c r="D1112" s="102">
        <v>-1.4686522098136701E-2</v>
      </c>
      <c r="E1112" s="79">
        <v>1.4564060887510199E-2</v>
      </c>
      <c r="F1112" s="79">
        <v>0.31331091223604302</v>
      </c>
      <c r="G1112" s="79">
        <v>0.88730162874475904</v>
      </c>
      <c r="H1112" s="79">
        <v>1</v>
      </c>
      <c r="I1112" s="102">
        <v>-1.9069696900435799E-2</v>
      </c>
      <c r="J1112" s="79">
        <v>1.4441166512824699E-2</v>
      </c>
      <c r="K1112" s="79">
        <v>0.18673157669909199</v>
      </c>
      <c r="L1112" s="79">
        <v>0.62762605764207702</v>
      </c>
      <c r="M1112" s="79">
        <v>1</v>
      </c>
      <c r="N1112" s="107">
        <v>8.2225285498269601E-2</v>
      </c>
      <c r="O1112" s="81">
        <v>1.4286587099912E-2</v>
      </c>
      <c r="P1112" s="81">
        <v>9.2050347393584396E-9</v>
      </c>
      <c r="Q1112" s="81">
        <v>1.901625469326E-7</v>
      </c>
      <c r="R1112" s="81">
        <v>1.55933288484732E-5</v>
      </c>
      <c r="S1112" s="107">
        <v>7.6205788216208104E-2</v>
      </c>
      <c r="T1112" s="81">
        <v>1.42904018333362E-2</v>
      </c>
      <c r="U1112" s="81">
        <v>1.01433441844311E-7</v>
      </c>
      <c r="V1112" s="81">
        <v>2.4902644997719199E-6</v>
      </c>
      <c r="W1112" s="81">
        <v>1.7182825048426301E-4</v>
      </c>
    </row>
    <row r="1113" spans="2:23" x14ac:dyDescent="0.2">
      <c r="B1113" t="s">
        <v>936</v>
      </c>
      <c r="C1113" s="84">
        <v>3428</v>
      </c>
      <c r="D1113" s="102">
        <v>9.5777701121749804E-3</v>
      </c>
      <c r="E1113" s="79">
        <v>1.45167505362179E-2</v>
      </c>
      <c r="F1113" s="79">
        <v>0.50943096878453498</v>
      </c>
      <c r="G1113" s="79">
        <v>0.91752655785263504</v>
      </c>
      <c r="H1113" s="79">
        <v>1</v>
      </c>
      <c r="I1113" s="102">
        <v>1.89010210120658E-2</v>
      </c>
      <c r="J1113" s="79">
        <v>1.44109811477896E-2</v>
      </c>
      <c r="K1113" s="79">
        <v>0.189729285451536</v>
      </c>
      <c r="L1113" s="79">
        <v>0.63191814618936804</v>
      </c>
      <c r="M1113" s="79">
        <v>1</v>
      </c>
      <c r="N1113" s="102">
        <v>3.6780121711129002E-2</v>
      </c>
      <c r="O1113" s="79">
        <v>1.42522753749842E-2</v>
      </c>
      <c r="P1113" s="79">
        <v>9.89149703149865E-3</v>
      </c>
      <c r="Q1113" s="79">
        <v>2.7571235275277599E-2</v>
      </c>
      <c r="R1113" s="79">
        <v>1</v>
      </c>
      <c r="S1113" s="102">
        <v>1.8603057921004799E-2</v>
      </c>
      <c r="T1113" s="79">
        <v>1.4260768474619399E-2</v>
      </c>
      <c r="U1113" s="79">
        <v>0.19212947945653899</v>
      </c>
      <c r="V1113" s="79">
        <v>0.292271098706822</v>
      </c>
      <c r="W1113" s="79">
        <v>1</v>
      </c>
    </row>
    <row r="1114" spans="2:23" x14ac:dyDescent="0.2">
      <c r="B1114" t="s">
        <v>937</v>
      </c>
      <c r="C1114" s="84">
        <v>3427</v>
      </c>
      <c r="D1114" s="102">
        <v>-2.4982238972586098E-3</v>
      </c>
      <c r="E1114" s="79">
        <v>1.46560998981496E-2</v>
      </c>
      <c r="F1114" s="79">
        <v>0.86465863445374602</v>
      </c>
      <c r="G1114" s="79">
        <v>0.99362338620020496</v>
      </c>
      <c r="H1114" s="79">
        <v>1</v>
      </c>
      <c r="I1114" s="102">
        <v>3.0724961134520799E-2</v>
      </c>
      <c r="J1114" s="79">
        <v>1.45560903216318E-2</v>
      </c>
      <c r="K1114" s="79">
        <v>3.4843094248586302E-2</v>
      </c>
      <c r="L1114" s="79">
        <v>0.358117134745709</v>
      </c>
      <c r="M1114" s="79">
        <v>1</v>
      </c>
      <c r="N1114" s="107">
        <v>6.7289314806775302E-2</v>
      </c>
      <c r="O1114" s="81">
        <v>1.4395408369610599E-2</v>
      </c>
      <c r="P1114" s="81">
        <v>3.032367423415E-6</v>
      </c>
      <c r="Q1114" s="81">
        <v>3.4018744471953701E-5</v>
      </c>
      <c r="R1114" s="81">
        <v>5.1368304152650101E-3</v>
      </c>
      <c r="S1114" s="102">
        <v>4.7959546357228697E-2</v>
      </c>
      <c r="T1114" s="79">
        <v>1.4441356500359199E-2</v>
      </c>
      <c r="U1114" s="79">
        <v>9.0389268198857401E-4</v>
      </c>
      <c r="V1114" s="79">
        <v>4.1472856872291197E-3</v>
      </c>
      <c r="W1114" s="79">
        <v>1</v>
      </c>
    </row>
    <row r="1115" spans="2:23" x14ac:dyDescent="0.2">
      <c r="B1115" t="s">
        <v>938</v>
      </c>
      <c r="C1115" s="84">
        <v>3426</v>
      </c>
      <c r="D1115" s="102">
        <v>-6.5794398822132004E-3</v>
      </c>
      <c r="E1115" s="79">
        <v>1.44982391618113E-2</v>
      </c>
      <c r="F1115" s="79">
        <v>0.64998694375831401</v>
      </c>
      <c r="G1115" s="79">
        <v>0.95767440062337605</v>
      </c>
      <c r="H1115" s="79">
        <v>1</v>
      </c>
      <c r="I1115" s="102">
        <v>1.6541366904732398E-2</v>
      </c>
      <c r="J1115" s="79">
        <v>1.43865318711849E-2</v>
      </c>
      <c r="K1115" s="79">
        <v>0.25029395861464698</v>
      </c>
      <c r="L1115" s="79">
        <v>0.67731304455784702</v>
      </c>
      <c r="M1115" s="79">
        <v>1</v>
      </c>
      <c r="N1115" s="107">
        <v>7.6381002938716303E-2</v>
      </c>
      <c r="O1115" s="81">
        <v>1.4229551135064E-2</v>
      </c>
      <c r="P1115" s="81">
        <v>8.3631429405561305E-8</v>
      </c>
      <c r="Q1115" s="81">
        <v>1.4310266809396E-6</v>
      </c>
      <c r="R1115" s="81">
        <v>1.4167164141302101E-4</v>
      </c>
      <c r="S1115" s="102">
        <v>3.2691243815806598E-2</v>
      </c>
      <c r="T1115" s="79">
        <v>1.42673277130821E-2</v>
      </c>
      <c r="U1115" s="79">
        <v>2.1988797192660999E-2</v>
      </c>
      <c r="V1115" s="79">
        <v>5.2985807175487502E-2</v>
      </c>
      <c r="W1115" s="79">
        <v>1</v>
      </c>
    </row>
    <row r="1116" spans="2:23" x14ac:dyDescent="0.2">
      <c r="B1116" t="s">
        <v>939</v>
      </c>
      <c r="C1116" s="84">
        <v>3426</v>
      </c>
      <c r="D1116" s="102">
        <v>1.5870732358899398E-2</v>
      </c>
      <c r="E1116" s="79">
        <v>1.457774965482E-2</v>
      </c>
      <c r="F1116" s="79">
        <v>0.27634569701176598</v>
      </c>
      <c r="G1116" s="79">
        <v>0.86861170490914397</v>
      </c>
      <c r="H1116" s="79">
        <v>1</v>
      </c>
      <c r="I1116" s="102">
        <v>4.2672566982605402E-2</v>
      </c>
      <c r="J1116" s="79">
        <v>1.4460059153157701E-2</v>
      </c>
      <c r="K1116" s="79">
        <v>3.1833734732960202E-3</v>
      </c>
      <c r="L1116" s="79">
        <v>0.140536071937475</v>
      </c>
      <c r="M1116" s="79">
        <v>1</v>
      </c>
      <c r="N1116" s="107">
        <v>6.1746326771993598E-2</v>
      </c>
      <c r="O1116" s="81">
        <v>1.4321710088593601E-2</v>
      </c>
      <c r="P1116" s="81">
        <v>1.65766540328674E-5</v>
      </c>
      <c r="Q1116" s="81">
        <v>1.4857593614644101E-4</v>
      </c>
      <c r="R1116" s="81">
        <v>2.8080851931677399E-2</v>
      </c>
      <c r="S1116" s="102">
        <v>5.6776689493479998E-2</v>
      </c>
      <c r="T1116" s="79">
        <v>1.43251948298881E-2</v>
      </c>
      <c r="U1116" s="79">
        <v>7.50357806296689E-5</v>
      </c>
      <c r="V1116" s="79">
        <v>5.7777551084845099E-4</v>
      </c>
      <c r="W1116" s="79">
        <v>0.12711061238665899</v>
      </c>
    </row>
    <row r="1117" spans="2:23" x14ac:dyDescent="0.2">
      <c r="B1117" t="s">
        <v>1126</v>
      </c>
      <c r="C1117" s="84">
        <v>5022</v>
      </c>
      <c r="D1117" s="102">
        <v>-5.4790214511272299E-2</v>
      </c>
      <c r="E1117" s="79">
        <v>2.0576539287328902E-2</v>
      </c>
      <c r="F1117" s="79">
        <v>7.8042561618241304E-3</v>
      </c>
      <c r="G1117" s="79">
        <v>0.38801325087508498</v>
      </c>
      <c r="H1117" s="79">
        <v>1</v>
      </c>
      <c r="I1117" s="102">
        <v>2.4492768949983101E-2</v>
      </c>
      <c r="J1117" s="79">
        <v>2.0316416971414099E-2</v>
      </c>
      <c r="K1117" s="79">
        <v>0.22810820038417801</v>
      </c>
      <c r="L1117" s="79">
        <v>0.66141104862732303</v>
      </c>
      <c r="M1117" s="79">
        <v>1</v>
      </c>
      <c r="N1117" s="107">
        <v>0.13314853537976301</v>
      </c>
      <c r="O1117" s="81">
        <v>2.0207623253012601E-2</v>
      </c>
      <c r="P1117" s="81">
        <v>5.4662439602771102E-11</v>
      </c>
      <c r="Q1117" s="81">
        <v>2.0130037540672702E-9</v>
      </c>
      <c r="R1117" s="81">
        <v>9.2598172687094196E-8</v>
      </c>
      <c r="S1117" s="102">
        <v>4.1149039653716697E-2</v>
      </c>
      <c r="T1117" s="79">
        <v>2.0413031279290401E-2</v>
      </c>
      <c r="U1117" s="79">
        <v>4.3934523620072101E-2</v>
      </c>
      <c r="V1117" s="79">
        <v>9.2224390349940705E-2</v>
      </c>
      <c r="W1117" s="79">
        <v>1</v>
      </c>
    </row>
    <row r="1118" spans="2:23" x14ac:dyDescent="0.2">
      <c r="B1118" t="s">
        <v>1128</v>
      </c>
      <c r="C1118" s="84">
        <v>5022</v>
      </c>
      <c r="D1118" s="102">
        <v>-4.1613551703352297E-3</v>
      </c>
      <c r="E1118" s="79">
        <v>2.1078344786256101E-2</v>
      </c>
      <c r="F1118" s="79">
        <v>0.84351396454154903</v>
      </c>
      <c r="G1118" s="79">
        <v>0.99362338620020496</v>
      </c>
      <c r="H1118" s="79">
        <v>1</v>
      </c>
      <c r="I1118" s="102">
        <v>1.9198994861175201E-2</v>
      </c>
      <c r="J1118" s="79">
        <v>2.07763632885502E-2</v>
      </c>
      <c r="K1118" s="79">
        <v>0.35554313292381901</v>
      </c>
      <c r="L1118" s="79">
        <v>0.74482453015727901</v>
      </c>
      <c r="M1118" s="79">
        <v>1</v>
      </c>
      <c r="N1118" s="107">
        <v>9.6001011619342505E-2</v>
      </c>
      <c r="O1118" s="81">
        <v>2.08349615123396E-2</v>
      </c>
      <c r="P1118" s="81">
        <v>4.2964026116952001E-6</v>
      </c>
      <c r="Q1118" s="81">
        <v>4.6654525796228697E-5</v>
      </c>
      <c r="R1118" s="81">
        <v>7.2781060242116703E-3</v>
      </c>
      <c r="S1118" s="102">
        <v>1.9525945202480601E-2</v>
      </c>
      <c r="T1118" s="79">
        <v>2.0909754445814499E-2</v>
      </c>
      <c r="U1118" s="79">
        <v>0.35049585256003002</v>
      </c>
      <c r="V1118" s="79">
        <v>0.46829521712267402</v>
      </c>
      <c r="W1118" s="79">
        <v>1</v>
      </c>
    </row>
    <row r="1119" spans="2:23" x14ac:dyDescent="0.2">
      <c r="B1119" t="s">
        <v>1127</v>
      </c>
      <c r="C1119" s="84">
        <v>5022</v>
      </c>
      <c r="D1119" s="102">
        <v>-3.6121361012280399E-4</v>
      </c>
      <c r="E1119" s="79">
        <v>2.14725607974081E-2</v>
      </c>
      <c r="F1119" s="79">
        <v>0.98658004564508694</v>
      </c>
      <c r="G1119" s="79">
        <v>0.99907221241919597</v>
      </c>
      <c r="H1119" s="79">
        <v>1</v>
      </c>
      <c r="I1119" s="102">
        <v>1.5644971536561799E-2</v>
      </c>
      <c r="J1119" s="79">
        <v>2.1221021033615201E-2</v>
      </c>
      <c r="K1119" s="79">
        <v>0.46105447396961702</v>
      </c>
      <c r="L1119" s="79">
        <v>0.799032058493933</v>
      </c>
      <c r="M1119" s="79">
        <v>1</v>
      </c>
      <c r="N1119" s="102">
        <v>7.2056386330833402E-2</v>
      </c>
      <c r="O1119" s="79">
        <v>2.1158315687556099E-2</v>
      </c>
      <c r="P1119" s="79">
        <v>6.7204050604960798E-4</v>
      </c>
      <c r="Q1119" s="79">
        <v>3.2250329100510901E-3</v>
      </c>
      <c r="R1119" s="79">
        <v>1</v>
      </c>
      <c r="S1119" s="102">
        <v>5.9711124941511401E-2</v>
      </c>
      <c r="T1119" s="79">
        <v>2.1200168966122701E-2</v>
      </c>
      <c r="U1119" s="79">
        <v>4.8973082881642802E-3</v>
      </c>
      <c r="V1119" s="79">
        <v>1.5723425274568999E-2</v>
      </c>
      <c r="W1119" s="79">
        <v>1</v>
      </c>
    </row>
    <row r="1120" spans="2:23" x14ac:dyDescent="0.2">
      <c r="B1120" t="s">
        <v>1129</v>
      </c>
      <c r="C1120" s="84">
        <v>5022</v>
      </c>
      <c r="D1120" s="102">
        <v>-2.6729564826701E-2</v>
      </c>
      <c r="E1120" s="79">
        <v>2.1299031429641801E-2</v>
      </c>
      <c r="F1120" s="79">
        <v>0.209623264202806</v>
      </c>
      <c r="G1120" s="79">
        <v>0.83451685541571996</v>
      </c>
      <c r="H1120" s="79">
        <v>1</v>
      </c>
      <c r="I1120" s="102">
        <v>3.3677356415085402E-2</v>
      </c>
      <c r="J1120" s="79">
        <v>2.1084104573358901E-2</v>
      </c>
      <c r="K1120" s="79">
        <v>0.11034451841224199</v>
      </c>
      <c r="L1120" s="79">
        <v>0.53622641688935602</v>
      </c>
      <c r="M1120" s="79">
        <v>1</v>
      </c>
      <c r="N1120" s="107">
        <v>0.139293159013646</v>
      </c>
      <c r="O1120" s="81">
        <v>2.0948204550736399E-2</v>
      </c>
      <c r="P1120" s="81">
        <v>3.6961562503671998E-11</v>
      </c>
      <c r="Q1120" s="81">
        <v>1.49078302098144E-9</v>
      </c>
      <c r="R1120" s="81">
        <v>6.2612886881220404E-8</v>
      </c>
      <c r="S1120" s="102">
        <v>5.0028062238333199E-2</v>
      </c>
      <c r="T1120" s="79">
        <v>2.1053206314630198E-2</v>
      </c>
      <c r="U1120" s="79">
        <v>1.75733473318961E-2</v>
      </c>
      <c r="V1120" s="79">
        <v>4.4431716985420901E-2</v>
      </c>
      <c r="W1120" s="79">
        <v>1</v>
      </c>
    </row>
    <row r="1121" spans="2:23" x14ac:dyDescent="0.2">
      <c r="B1121" t="s">
        <v>927</v>
      </c>
      <c r="C1121" s="84">
        <v>366</v>
      </c>
      <c r="D1121" s="102">
        <v>-1.6711560388744499E-2</v>
      </c>
      <c r="E1121" s="79">
        <v>1.5084966971861799E-2</v>
      </c>
      <c r="F1121" s="79">
        <v>0.26799567010646702</v>
      </c>
      <c r="G1121" s="79">
        <v>0.85990749347533801</v>
      </c>
      <c r="H1121" s="79">
        <v>1</v>
      </c>
      <c r="I1121" s="102">
        <v>4.8644851702392298E-3</v>
      </c>
      <c r="J1121" s="79">
        <v>1.4883630518061301E-2</v>
      </c>
      <c r="K1121" s="79">
        <v>0.74380864869240504</v>
      </c>
      <c r="L1121" s="79">
        <v>0.91967633960533601</v>
      </c>
      <c r="M1121" s="79">
        <v>1</v>
      </c>
      <c r="N1121" s="107">
        <v>0.12615116639877599</v>
      </c>
      <c r="O1121" s="81">
        <v>1.4626253257362E-2</v>
      </c>
      <c r="P1121" s="81">
        <v>8.8291887285963899E-18</v>
      </c>
      <c r="Q1121" s="81">
        <v>2.3538570443272098E-15</v>
      </c>
      <c r="R1121" s="81">
        <v>1.4956645706242299E-14</v>
      </c>
      <c r="S1121" s="107">
        <v>9.17981131878262E-2</v>
      </c>
      <c r="T1121" s="81">
        <v>1.4662387180512401E-2</v>
      </c>
      <c r="U1121" s="81">
        <v>4.1983952126280898E-10</v>
      </c>
      <c r="V1121" s="81">
        <v>3.5560407450959901E-8</v>
      </c>
      <c r="W1121" s="81">
        <v>7.1120814901919798E-7</v>
      </c>
    </row>
    <row r="1122" spans="2:23" x14ac:dyDescent="0.2">
      <c r="B1122" t="s">
        <v>929</v>
      </c>
      <c r="C1122" s="84">
        <v>372</v>
      </c>
      <c r="D1122" s="102">
        <v>-7.1352488212189404E-3</v>
      </c>
      <c r="E1122" s="79">
        <v>1.4923854079717899E-2</v>
      </c>
      <c r="F1122" s="79">
        <v>0.63259457845215505</v>
      </c>
      <c r="G1122" s="79">
        <v>0.957654348434272</v>
      </c>
      <c r="H1122" s="79">
        <v>1</v>
      </c>
      <c r="I1122" s="102">
        <v>1.0900882363856701E-2</v>
      </c>
      <c r="J1122" s="79">
        <v>1.47889694586312E-2</v>
      </c>
      <c r="K1122" s="79">
        <v>0.46110284829609999</v>
      </c>
      <c r="L1122" s="79">
        <v>0.799032058493933</v>
      </c>
      <c r="M1122" s="79">
        <v>1</v>
      </c>
      <c r="N1122" s="107">
        <v>0.10935942735413499</v>
      </c>
      <c r="O1122" s="81">
        <v>1.45803340490569E-2</v>
      </c>
      <c r="P1122" s="81">
        <v>7.6122322952676196E-14</v>
      </c>
      <c r="Q1122" s="81">
        <v>7.58536559304903E-12</v>
      </c>
      <c r="R1122" s="81">
        <v>1.28951215081834E-10</v>
      </c>
      <c r="S1122" s="107">
        <v>8.3808720885911098E-2</v>
      </c>
      <c r="T1122" s="81">
        <v>1.45519024346296E-2</v>
      </c>
      <c r="U1122" s="81">
        <v>9.0067081057351596E-9</v>
      </c>
      <c r="V1122" s="81">
        <v>3.9121444951577902E-7</v>
      </c>
      <c r="W1122" s="81">
        <v>1.52573635311154E-5</v>
      </c>
    </row>
    <row r="1123" spans="2:23" x14ac:dyDescent="0.2">
      <c r="B1123" t="s">
        <v>928</v>
      </c>
      <c r="C1123" s="84">
        <v>366</v>
      </c>
      <c r="D1123" s="102">
        <v>2.8350442613927201E-2</v>
      </c>
      <c r="E1123" s="79">
        <v>1.4552293360902101E-2</v>
      </c>
      <c r="F1123" s="79">
        <v>5.1455430077902799E-2</v>
      </c>
      <c r="G1123" s="79">
        <v>0.70184175957025496</v>
      </c>
      <c r="H1123" s="79">
        <v>1</v>
      </c>
      <c r="I1123" s="102">
        <v>3.6249239398000899E-2</v>
      </c>
      <c r="J1123" s="79">
        <v>1.4442301036915401E-2</v>
      </c>
      <c r="K1123" s="79">
        <v>1.2110747455292101E-2</v>
      </c>
      <c r="L1123" s="79">
        <v>0.211501094734689</v>
      </c>
      <c r="M1123" s="79">
        <v>1</v>
      </c>
      <c r="N1123" s="107">
        <v>6.8910191231135801E-2</v>
      </c>
      <c r="O1123" s="81">
        <v>1.42910152029074E-2</v>
      </c>
      <c r="P1123" s="81">
        <v>1.4689981022707701E-6</v>
      </c>
      <c r="Q1123" s="81">
        <v>1.7401977519207599E-5</v>
      </c>
      <c r="R1123" s="81">
        <v>2.4884827852466799E-3</v>
      </c>
      <c r="S1123" s="107">
        <v>9.0451454433935596E-2</v>
      </c>
      <c r="T1123" s="81">
        <v>1.4261902872703401E-2</v>
      </c>
      <c r="U1123" s="81">
        <v>2.4891708767746902E-10</v>
      </c>
      <c r="V1123" s="81">
        <v>2.4803855677978401E-8</v>
      </c>
      <c r="W1123" s="81">
        <v>4.2166554652563199E-7</v>
      </c>
    </row>
    <row r="1124" spans="2:23" x14ac:dyDescent="0.2">
      <c r="B1124" t="s">
        <v>930</v>
      </c>
      <c r="C1124" s="84">
        <v>525</v>
      </c>
      <c r="D1124" s="102">
        <v>1.6868368202252299E-3</v>
      </c>
      <c r="E1124" s="79">
        <v>1.53595188985067E-2</v>
      </c>
      <c r="F1124" s="79">
        <v>0.912554406060756</v>
      </c>
      <c r="G1124" s="79">
        <v>0.99533029194181499</v>
      </c>
      <c r="H1124" s="79">
        <v>1</v>
      </c>
      <c r="I1124" s="102">
        <v>2.56149137782158E-2</v>
      </c>
      <c r="J1124" s="79">
        <v>1.51324031501512E-2</v>
      </c>
      <c r="K1124" s="79">
        <v>9.0581780696165404E-2</v>
      </c>
      <c r="L1124" s="79">
        <v>0.50420052348821998</v>
      </c>
      <c r="M1124" s="79">
        <v>1</v>
      </c>
      <c r="N1124" s="107">
        <v>0.124058607953489</v>
      </c>
      <c r="O1124" s="81">
        <v>1.4912566501300101E-2</v>
      </c>
      <c r="P1124" s="81">
        <v>1.17795140350452E-16</v>
      </c>
      <c r="Q1124" s="81">
        <v>1.9954496775366601E-14</v>
      </c>
      <c r="R1124" s="81">
        <v>1.9954496775366599E-13</v>
      </c>
      <c r="S1124" s="107">
        <v>0.112428996133104</v>
      </c>
      <c r="T1124" s="81">
        <v>1.48654940205329E-2</v>
      </c>
      <c r="U1124" s="81">
        <v>4.7888054490741498E-14</v>
      </c>
      <c r="V1124" s="81">
        <v>6.5320445977037504E-11</v>
      </c>
      <c r="W1124" s="81">
        <v>8.11223643073161E-11</v>
      </c>
    </row>
    <row r="1125" spans="2:23" x14ac:dyDescent="0.2">
      <c r="B1125" t="s">
        <v>595</v>
      </c>
      <c r="C1125" s="84">
        <v>5022</v>
      </c>
      <c r="D1125" s="102">
        <v>-3.18029820480955E-2</v>
      </c>
      <c r="E1125" s="79">
        <v>2.0737015441747698E-2</v>
      </c>
      <c r="F1125" s="79">
        <v>0.125259874716456</v>
      </c>
      <c r="G1125" s="79">
        <v>0.80938271582532695</v>
      </c>
      <c r="H1125" s="79">
        <v>1</v>
      </c>
      <c r="I1125" s="102">
        <v>-1.1811480525265599E-2</v>
      </c>
      <c r="J1125" s="79">
        <v>2.0437234299147799E-2</v>
      </c>
      <c r="K1125" s="79">
        <v>0.56336252072111803</v>
      </c>
      <c r="L1125" s="79">
        <v>0.85878159627519401</v>
      </c>
      <c r="M1125" s="79">
        <v>1</v>
      </c>
      <c r="N1125" s="102">
        <v>6.6295165785573595E-2</v>
      </c>
      <c r="O1125" s="79">
        <v>2.0340760122018901E-2</v>
      </c>
      <c r="P1125" s="79">
        <v>1.1339137106504899E-3</v>
      </c>
      <c r="Q1125" s="79">
        <v>4.8629109514985603E-3</v>
      </c>
      <c r="R1125" s="79">
        <v>1</v>
      </c>
      <c r="S1125" s="102">
        <v>-2.5550208573609299E-3</v>
      </c>
      <c r="T1125" s="79">
        <v>2.0467802872877999E-2</v>
      </c>
      <c r="U1125" s="79">
        <v>0.90066835357485597</v>
      </c>
      <c r="V1125" s="79">
        <v>0.92919134650170898</v>
      </c>
      <c r="W1125" s="79">
        <v>1</v>
      </c>
    </row>
    <row r="1126" spans="2:23" x14ac:dyDescent="0.2">
      <c r="B1126" t="s">
        <v>603</v>
      </c>
      <c r="C1126" s="84">
        <v>5022</v>
      </c>
      <c r="D1126" s="102">
        <v>-5.92829813746524E-3</v>
      </c>
      <c r="E1126" s="79">
        <v>2.1007995500271801E-2</v>
      </c>
      <c r="F1126" s="79">
        <v>0.77782195793352105</v>
      </c>
      <c r="G1126" s="79">
        <v>0.98707149633086799</v>
      </c>
      <c r="H1126" s="79">
        <v>1</v>
      </c>
      <c r="I1126" s="102">
        <v>5.8051234811202198E-3</v>
      </c>
      <c r="J1126" s="79">
        <v>2.06942116424471E-2</v>
      </c>
      <c r="K1126" s="79">
        <v>0.77910506416284897</v>
      </c>
      <c r="L1126" s="79">
        <v>0.92863930730510702</v>
      </c>
      <c r="M1126" s="79">
        <v>1</v>
      </c>
      <c r="N1126" s="102">
        <v>5.0132860053353399E-2</v>
      </c>
      <c r="O1126" s="79">
        <v>2.0597796894247698E-2</v>
      </c>
      <c r="P1126" s="79">
        <v>1.50163859333336E-2</v>
      </c>
      <c r="Q1126" s="79">
        <v>3.8777069772968201E-2</v>
      </c>
      <c r="R1126" s="79">
        <v>1</v>
      </c>
      <c r="S1126" s="102">
        <v>3.4826420106767703E-2</v>
      </c>
      <c r="T1126" s="79">
        <v>2.06862012103298E-2</v>
      </c>
      <c r="U1126" s="79">
        <v>9.2407375594762697E-2</v>
      </c>
      <c r="V1126" s="79">
        <v>0.16532630719830399</v>
      </c>
      <c r="W1126" s="79">
        <v>1</v>
      </c>
    </row>
    <row r="1127" spans="2:23" x14ac:dyDescent="0.2">
      <c r="B1127" t="s">
        <v>604</v>
      </c>
      <c r="C1127" s="84">
        <v>5022</v>
      </c>
      <c r="D1127" s="102">
        <v>-2.4272705992071202E-2</v>
      </c>
      <c r="E1127" s="79">
        <v>2.1102650382038401E-2</v>
      </c>
      <c r="F1127" s="79">
        <v>0.25018054828929498</v>
      </c>
      <c r="G1127" s="79">
        <v>0.85990749347533801</v>
      </c>
      <c r="H1127" s="79">
        <v>1</v>
      </c>
      <c r="I1127" s="102">
        <v>-1.49121817290396E-2</v>
      </c>
      <c r="J1127" s="79">
        <v>2.0760389184585101E-2</v>
      </c>
      <c r="K1127" s="79">
        <v>0.47264991333297801</v>
      </c>
      <c r="L1127" s="79">
        <v>0.80388449115066696</v>
      </c>
      <c r="M1127" s="79">
        <v>1</v>
      </c>
      <c r="N1127" s="102">
        <v>3.85602662050624E-2</v>
      </c>
      <c r="O1127" s="79">
        <v>2.0740410136103501E-2</v>
      </c>
      <c r="P1127" s="79">
        <v>6.3139336538544505E-2</v>
      </c>
      <c r="Q1127" s="79">
        <v>0.122767485789887</v>
      </c>
      <c r="R1127" s="79">
        <v>1</v>
      </c>
      <c r="S1127" s="102">
        <v>1.7570226318533701E-2</v>
      </c>
      <c r="T1127" s="79">
        <v>2.0833333622610001E-2</v>
      </c>
      <c r="U1127" s="79">
        <v>0.399114681934988</v>
      </c>
      <c r="V1127" s="79">
        <v>0.51768780336743503</v>
      </c>
      <c r="W1127" s="79">
        <v>1</v>
      </c>
    </row>
    <row r="1128" spans="2:23" x14ac:dyDescent="0.2">
      <c r="B1128" t="s">
        <v>605</v>
      </c>
      <c r="C1128" s="84">
        <v>5022</v>
      </c>
      <c r="D1128" s="102">
        <v>7.6128882224650403E-3</v>
      </c>
      <c r="E1128" s="79">
        <v>2.09532030642374E-2</v>
      </c>
      <c r="F1128" s="79">
        <v>0.71639324746538502</v>
      </c>
      <c r="G1128" s="79">
        <v>0.97160036230239</v>
      </c>
      <c r="H1128" s="79">
        <v>1</v>
      </c>
      <c r="I1128" s="102">
        <v>-3.4435059936968699E-3</v>
      </c>
      <c r="J1128" s="79">
        <v>2.06640398555843E-2</v>
      </c>
      <c r="K1128" s="79">
        <v>0.86766607701920095</v>
      </c>
      <c r="L1128" s="79">
        <v>0.968265042470703</v>
      </c>
      <c r="M1128" s="79">
        <v>1</v>
      </c>
      <c r="N1128" s="102">
        <v>3.27618184236712E-2</v>
      </c>
      <c r="O1128" s="79">
        <v>2.0616440758265998E-2</v>
      </c>
      <c r="P1128" s="79">
        <v>0.112174414669601</v>
      </c>
      <c r="Q1128" s="79">
        <v>0.19097835020131099</v>
      </c>
      <c r="R1128" s="79">
        <v>1</v>
      </c>
      <c r="S1128" s="102">
        <v>4.7493561897681898E-2</v>
      </c>
      <c r="T1128" s="79">
        <v>2.0689264554054499E-2</v>
      </c>
      <c r="U1128" s="79">
        <v>2.1790995033129801E-2</v>
      </c>
      <c r="V1128" s="79">
        <v>5.2583968071398701E-2</v>
      </c>
      <c r="W1128" s="79">
        <v>1</v>
      </c>
    </row>
    <row r="1129" spans="2:23" x14ac:dyDescent="0.2">
      <c r="B1129" t="s">
        <v>606</v>
      </c>
      <c r="C1129" s="84">
        <v>5022</v>
      </c>
      <c r="D1129" s="102">
        <v>-3.7005657461947603E-2</v>
      </c>
      <c r="E1129" s="79">
        <v>2.0386586859278199E-2</v>
      </c>
      <c r="F1129" s="79">
        <v>6.9621138312579198E-2</v>
      </c>
      <c r="G1129" s="79">
        <v>0.73538141425839998</v>
      </c>
      <c r="H1129" s="79">
        <v>1</v>
      </c>
      <c r="I1129" s="102">
        <v>2.9797013931391399E-2</v>
      </c>
      <c r="J1129" s="79">
        <v>2.0059843430223101E-2</v>
      </c>
      <c r="K1129" s="79">
        <v>0.13756996581370401</v>
      </c>
      <c r="L1129" s="79">
        <v>0.583070994269827</v>
      </c>
      <c r="M1129" s="79">
        <v>1</v>
      </c>
      <c r="N1129" s="107">
        <v>0.13553765795898601</v>
      </c>
      <c r="O1129" s="81">
        <v>1.98839438382684E-2</v>
      </c>
      <c r="P1129" s="81">
        <v>1.18204705574974E-11</v>
      </c>
      <c r="Q1129" s="81">
        <v>5.7211077498287399E-10</v>
      </c>
      <c r="R1129" s="81">
        <v>2.0023877124400601E-8</v>
      </c>
      <c r="S1129" s="102">
        <v>2.3707365781521599E-2</v>
      </c>
      <c r="T1129" s="79">
        <v>2.0134311872766601E-2</v>
      </c>
      <c r="U1129" s="79">
        <v>0.23913113362964999</v>
      </c>
      <c r="V1129" s="79">
        <v>0.34921391411088498</v>
      </c>
      <c r="W1129" s="79">
        <v>1</v>
      </c>
    </row>
    <row r="1130" spans="2:23" x14ac:dyDescent="0.2">
      <c r="B1130" t="s">
        <v>607</v>
      </c>
      <c r="C1130" s="84">
        <v>5022</v>
      </c>
      <c r="D1130" s="102">
        <v>8.7458656253725908E-3</v>
      </c>
      <c r="E1130" s="79">
        <v>2.0886561077920501E-2</v>
      </c>
      <c r="F1130" s="79">
        <v>0.67545096840028096</v>
      </c>
      <c r="G1130" s="79">
        <v>0.96670198527320195</v>
      </c>
      <c r="H1130" s="79">
        <v>1</v>
      </c>
      <c r="I1130" s="102">
        <v>2.15106685953451E-2</v>
      </c>
      <c r="J1130" s="79">
        <v>2.0566846240516901E-2</v>
      </c>
      <c r="K1130" s="79">
        <v>0.29572032247657198</v>
      </c>
      <c r="L1130" s="79">
        <v>0.70592340946629695</v>
      </c>
      <c r="M1130" s="79">
        <v>1</v>
      </c>
      <c r="N1130" s="102">
        <v>7.1209617790165894E-2</v>
      </c>
      <c r="O1130" s="79">
        <v>2.0506612394195999E-2</v>
      </c>
      <c r="P1130" s="79">
        <v>5.2507249329659001E-4</v>
      </c>
      <c r="Q1130" s="79">
        <v>2.6710895004336999E-3</v>
      </c>
      <c r="R1130" s="79">
        <v>0.88947280364442405</v>
      </c>
      <c r="S1130" s="102">
        <v>2.14468613295993E-2</v>
      </c>
      <c r="T1130" s="79">
        <v>2.06564857926936E-2</v>
      </c>
      <c r="U1130" s="79">
        <v>0.29925633713459998</v>
      </c>
      <c r="V1130" s="79">
        <v>0.41322246621907299</v>
      </c>
      <c r="W1130" s="79">
        <v>1</v>
      </c>
    </row>
    <row r="1131" spans="2:23" x14ac:dyDescent="0.2">
      <c r="B1131" t="s">
        <v>608</v>
      </c>
      <c r="C1131" s="84">
        <v>5022</v>
      </c>
      <c r="D1131" s="102">
        <v>-2.2232728822793998E-3</v>
      </c>
      <c r="E1131" s="79">
        <v>2.0909031782710301E-2</v>
      </c>
      <c r="F1131" s="79">
        <v>0.91532922633492997</v>
      </c>
      <c r="G1131" s="79">
        <v>0.99533029194181499</v>
      </c>
      <c r="H1131" s="79">
        <v>1</v>
      </c>
      <c r="I1131" s="102">
        <v>-1.5370024592798801E-2</v>
      </c>
      <c r="J1131" s="79">
        <v>2.0601413287396501E-2</v>
      </c>
      <c r="K1131" s="79">
        <v>0.45570366669981699</v>
      </c>
      <c r="L1131" s="79">
        <v>0.79746066051088205</v>
      </c>
      <c r="M1131" s="79">
        <v>1</v>
      </c>
      <c r="N1131" s="102">
        <v>5.3741081653991399E-2</v>
      </c>
      <c r="O1131" s="79">
        <v>2.0564603640393801E-2</v>
      </c>
      <c r="P1131" s="79">
        <v>9.0263463700918003E-3</v>
      </c>
      <c r="Q1131" s="79">
        <v>2.57418026110025E-2</v>
      </c>
      <c r="R1131" s="79">
        <v>1</v>
      </c>
      <c r="S1131" s="102">
        <v>8.4735715882620802E-4</v>
      </c>
      <c r="T1131" s="79">
        <v>2.06251348658948E-2</v>
      </c>
      <c r="U1131" s="79">
        <v>0.96723273483335204</v>
      </c>
      <c r="V1131" s="79">
        <v>0.97762067589958102</v>
      </c>
      <c r="W1131" s="79">
        <v>1</v>
      </c>
    </row>
    <row r="1132" spans="2:23" x14ac:dyDescent="0.2">
      <c r="B1132" t="s">
        <v>609</v>
      </c>
      <c r="C1132" s="84">
        <v>5022</v>
      </c>
      <c r="D1132" s="102">
        <v>-1.06300243314038E-2</v>
      </c>
      <c r="E1132" s="79">
        <v>2.0957497030696E-2</v>
      </c>
      <c r="F1132" s="79">
        <v>0.61204967081047301</v>
      </c>
      <c r="G1132" s="79">
        <v>0.95033193616218303</v>
      </c>
      <c r="H1132" s="79">
        <v>1</v>
      </c>
      <c r="I1132" s="102">
        <v>1.4811060708579901E-2</v>
      </c>
      <c r="J1132" s="79">
        <v>2.0647860367521802E-2</v>
      </c>
      <c r="K1132" s="79">
        <v>0.47325023086021001</v>
      </c>
      <c r="L1132" s="79">
        <v>0.80409818563409796</v>
      </c>
      <c r="M1132" s="79">
        <v>1</v>
      </c>
      <c r="N1132" s="102">
        <v>6.94033465099166E-2</v>
      </c>
      <c r="O1132" s="79">
        <v>2.0556475050088702E-2</v>
      </c>
      <c r="P1132" s="79">
        <v>7.4695680825078597E-4</v>
      </c>
      <c r="Q1132" s="79">
        <v>3.51484675882453E-3</v>
      </c>
      <c r="R1132" s="79">
        <v>1</v>
      </c>
      <c r="S1132" s="102">
        <v>2.9666926959474801E-2</v>
      </c>
      <c r="T1132" s="79">
        <v>2.0659172452347399E-2</v>
      </c>
      <c r="U1132" s="79">
        <v>0.15113189923182799</v>
      </c>
      <c r="V1132" s="79">
        <v>0.245698116409517</v>
      </c>
      <c r="W1132" s="79">
        <v>1</v>
      </c>
    </row>
    <row r="1133" spans="2:23" x14ac:dyDescent="0.2">
      <c r="B1133" t="s">
        <v>610</v>
      </c>
      <c r="C1133" s="84">
        <v>5022</v>
      </c>
      <c r="D1133" s="102">
        <v>2.14777326494591E-2</v>
      </c>
      <c r="E1133" s="79">
        <v>2.1010678281058098E-2</v>
      </c>
      <c r="F1133" s="79">
        <v>0.30677868430688199</v>
      </c>
      <c r="G1133" s="79">
        <v>0.88192109714078004</v>
      </c>
      <c r="H1133" s="79">
        <v>1</v>
      </c>
      <c r="I1133" s="102">
        <v>3.8214943293035798E-2</v>
      </c>
      <c r="J1133" s="79">
        <v>2.06725625567264E-2</v>
      </c>
      <c r="K1133" s="79">
        <v>6.4644543134516105E-2</v>
      </c>
      <c r="L1133" s="79">
        <v>0.43517978594622803</v>
      </c>
      <c r="M1133" s="79">
        <v>1</v>
      </c>
      <c r="N1133" s="102">
        <v>7.6020305136037997E-2</v>
      </c>
      <c r="O1133" s="79">
        <v>2.0580122532552501E-2</v>
      </c>
      <c r="P1133" s="79">
        <v>2.2597751052273699E-4</v>
      </c>
      <c r="Q1133" s="79">
        <v>1.32458789905023E-3</v>
      </c>
      <c r="R1133" s="79">
        <v>0.38280590282551702</v>
      </c>
      <c r="S1133" s="102">
        <v>7.6378902465931098E-2</v>
      </c>
      <c r="T1133" s="79">
        <v>2.07066288902601E-2</v>
      </c>
      <c r="U1133" s="79">
        <v>2.3065554974135001E-4</v>
      </c>
      <c r="V1133" s="79">
        <v>1.40684879366263E-3</v>
      </c>
      <c r="W1133" s="79">
        <v>0.390730501261847</v>
      </c>
    </row>
    <row r="1134" spans="2:23" x14ac:dyDescent="0.2">
      <c r="B1134" t="s">
        <v>611</v>
      </c>
      <c r="C1134" s="84">
        <v>5022</v>
      </c>
      <c r="D1134" s="102">
        <v>4.8996154682828504E-3</v>
      </c>
      <c r="E1134" s="79">
        <v>2.1032752182541199E-2</v>
      </c>
      <c r="F1134" s="79">
        <v>0.81581977709848996</v>
      </c>
      <c r="G1134" s="79">
        <v>0.99362338620020496</v>
      </c>
      <c r="H1134" s="79">
        <v>1</v>
      </c>
      <c r="I1134" s="102">
        <v>4.5646264204619201E-3</v>
      </c>
      <c r="J1134" s="79">
        <v>2.0726718692534101E-2</v>
      </c>
      <c r="K1134" s="79">
        <v>0.82571235865075299</v>
      </c>
      <c r="L1134" s="79">
        <v>0.95225177964957897</v>
      </c>
      <c r="M1134" s="79">
        <v>1</v>
      </c>
      <c r="N1134" s="102">
        <v>4.1077139777642699E-2</v>
      </c>
      <c r="O1134" s="79">
        <v>2.0664897101810999E-2</v>
      </c>
      <c r="P1134" s="79">
        <v>4.6956634979018398E-2</v>
      </c>
      <c r="Q1134" s="79">
        <v>9.63008954654445E-2</v>
      </c>
      <c r="R1134" s="79">
        <v>1</v>
      </c>
      <c r="S1134" s="102">
        <v>3.4059036687087201E-2</v>
      </c>
      <c r="T1134" s="79">
        <v>2.07485790634384E-2</v>
      </c>
      <c r="U1134" s="79">
        <v>0.10082950533379</v>
      </c>
      <c r="V1134" s="79">
        <v>0.17681695862881999</v>
      </c>
      <c r="W1134" s="79">
        <v>1</v>
      </c>
    </row>
    <row r="1135" spans="2:23" x14ac:dyDescent="0.2">
      <c r="B1135" t="s">
        <v>596</v>
      </c>
      <c r="C1135" s="84">
        <v>5022</v>
      </c>
      <c r="D1135" s="102">
        <v>-7.4422930709817803E-3</v>
      </c>
      <c r="E1135" s="79">
        <v>2.0833769519266399E-2</v>
      </c>
      <c r="F1135" s="79">
        <v>0.72095729363288297</v>
      </c>
      <c r="G1135" s="79">
        <v>0.97160036230239</v>
      </c>
      <c r="H1135" s="79">
        <v>1</v>
      </c>
      <c r="I1135" s="102">
        <v>1.08047706903134E-2</v>
      </c>
      <c r="J1135" s="79">
        <v>2.0509523730834801E-2</v>
      </c>
      <c r="K1135" s="79">
        <v>0.59837014925066601</v>
      </c>
      <c r="L1135" s="79">
        <v>0.86877257647115202</v>
      </c>
      <c r="M1135" s="79">
        <v>1</v>
      </c>
      <c r="N1135" s="107">
        <v>9.8850890154174698E-2</v>
      </c>
      <c r="O1135" s="81">
        <v>2.0403900051663301E-2</v>
      </c>
      <c r="P1135" s="81">
        <v>1.3507454016075701E-6</v>
      </c>
      <c r="Q1135" s="81">
        <v>1.6344019359451601E-5</v>
      </c>
      <c r="R1135" s="81">
        <v>2.2881627103232202E-3</v>
      </c>
      <c r="S1135" s="102">
        <v>2.1733439858226299E-2</v>
      </c>
      <c r="T1135" s="79">
        <v>2.0543929652015298E-2</v>
      </c>
      <c r="U1135" s="79">
        <v>0.29020989860110702</v>
      </c>
      <c r="V1135" s="79">
        <v>0.403956917198254</v>
      </c>
      <c r="W1135" s="79">
        <v>1</v>
      </c>
    </row>
    <row r="1136" spans="2:23" x14ac:dyDescent="0.2">
      <c r="B1136" t="s">
        <v>597</v>
      </c>
      <c r="C1136" s="84">
        <v>5022</v>
      </c>
      <c r="D1136" s="102">
        <v>-3.9184610950901901E-2</v>
      </c>
      <c r="E1136" s="79">
        <v>2.0707789516821298E-2</v>
      </c>
      <c r="F1136" s="79">
        <v>5.85808819934895E-2</v>
      </c>
      <c r="G1136" s="79">
        <v>0.71323882218720602</v>
      </c>
      <c r="H1136" s="79">
        <v>1</v>
      </c>
      <c r="I1136" s="102">
        <v>2.8887667897357298E-2</v>
      </c>
      <c r="J1136" s="79">
        <v>2.0378717264853699E-2</v>
      </c>
      <c r="K1136" s="79">
        <v>0.156459453824626</v>
      </c>
      <c r="L1136" s="79">
        <v>0.59601477595142704</v>
      </c>
      <c r="M1136" s="79">
        <v>1</v>
      </c>
      <c r="N1136" s="107">
        <v>0.118971555227839</v>
      </c>
      <c r="O1136" s="81">
        <v>2.0227688543350501E-2</v>
      </c>
      <c r="P1136" s="81">
        <v>4.6566511325827597E-9</v>
      </c>
      <c r="Q1136" s="81">
        <v>1.0113291049480999E-7</v>
      </c>
      <c r="R1136" s="81">
        <v>7.8883670185951907E-6</v>
      </c>
      <c r="S1136" s="102">
        <v>6.6336210721192501E-2</v>
      </c>
      <c r="T1136" s="79">
        <v>2.0387385546976E-2</v>
      </c>
      <c r="U1136" s="79">
        <v>1.1552696971264299E-3</v>
      </c>
      <c r="V1136" s="79">
        <v>5.0438836776602403E-3</v>
      </c>
      <c r="W1136" s="79">
        <v>1</v>
      </c>
    </row>
    <row r="1137" spans="2:23" x14ac:dyDescent="0.2">
      <c r="B1137" t="s">
        <v>598</v>
      </c>
      <c r="C1137" s="84">
        <v>5022</v>
      </c>
      <c r="D1137" s="102">
        <v>-3.0263788544806099E-2</v>
      </c>
      <c r="E1137" s="79">
        <v>2.0572551304648599E-2</v>
      </c>
      <c r="F1137" s="79">
        <v>0.141405787830511</v>
      </c>
      <c r="G1137" s="79">
        <v>0.80938271582532695</v>
      </c>
      <c r="H1137" s="79">
        <v>1</v>
      </c>
      <c r="I1137" s="102">
        <v>2.0200698641845601E-2</v>
      </c>
      <c r="J1137" s="79">
        <v>2.0281181284638902E-2</v>
      </c>
      <c r="K1137" s="79">
        <v>0.31933797974488098</v>
      </c>
      <c r="L1137" s="79">
        <v>0.71493966280838095</v>
      </c>
      <c r="M1137" s="79">
        <v>1</v>
      </c>
      <c r="N1137" s="107">
        <v>0.12872073733139699</v>
      </c>
      <c r="O1137" s="81">
        <v>2.0106092925962799E-2</v>
      </c>
      <c r="P1137" s="81">
        <v>1.84825942854102E-10</v>
      </c>
      <c r="Q1137" s="81">
        <v>5.9074556074499799E-9</v>
      </c>
      <c r="R1137" s="81">
        <v>3.1309514719484901E-7</v>
      </c>
      <c r="S1137" s="102">
        <v>5.27535832688487E-2</v>
      </c>
      <c r="T1137" s="79">
        <v>2.0310024385407601E-2</v>
      </c>
      <c r="U1137" s="79">
        <v>9.4521744657691392E-3</v>
      </c>
      <c r="V1137" s="79">
        <v>2.7001658591927401E-2</v>
      </c>
      <c r="W1137" s="79">
        <v>1</v>
      </c>
    </row>
    <row r="1138" spans="2:23" x14ac:dyDescent="0.2">
      <c r="B1138" t="s">
        <v>599</v>
      </c>
      <c r="C1138" s="84">
        <v>5022</v>
      </c>
      <c r="D1138" s="102">
        <v>-6.7177651628727394E-2</v>
      </c>
      <c r="E1138" s="79">
        <v>2.05038000720601E-2</v>
      </c>
      <c r="F1138" s="79">
        <v>1.0671083333574599E-3</v>
      </c>
      <c r="G1138" s="79">
        <v>0.180768151670754</v>
      </c>
      <c r="H1138" s="79">
        <v>1</v>
      </c>
      <c r="I1138" s="102">
        <v>-1.84085705320431E-2</v>
      </c>
      <c r="J1138" s="79">
        <v>2.0250183494979201E-2</v>
      </c>
      <c r="K1138" s="79">
        <v>0.36341458650160902</v>
      </c>
      <c r="L1138" s="79">
        <v>0.74593451887386297</v>
      </c>
      <c r="M1138" s="79">
        <v>1</v>
      </c>
      <c r="N1138" s="107">
        <v>8.7156910575244606E-2</v>
      </c>
      <c r="O1138" s="81">
        <v>2.0130716044756199E-2</v>
      </c>
      <c r="P1138" s="81">
        <v>1.55793547901682E-5</v>
      </c>
      <c r="Q1138" s="81">
        <v>1.4265636224078301E-4</v>
      </c>
      <c r="R1138" s="81">
        <v>2.6391427014544899E-2</v>
      </c>
      <c r="S1138" s="102">
        <v>4.6740502794389398E-3</v>
      </c>
      <c r="T1138" s="79">
        <v>2.0280477860891301E-2</v>
      </c>
      <c r="U1138" s="79">
        <v>0.81774671451895697</v>
      </c>
      <c r="V1138" s="79">
        <v>0.86546543937065401</v>
      </c>
      <c r="W1138" s="79">
        <v>1</v>
      </c>
    </row>
    <row r="1139" spans="2:23" x14ac:dyDescent="0.2">
      <c r="B1139" t="s">
        <v>3382</v>
      </c>
      <c r="C1139" s="84">
        <v>5022</v>
      </c>
      <c r="D1139" s="102">
        <v>-7.5225223616036396E-3</v>
      </c>
      <c r="E1139" s="79">
        <v>2.0835880379644199E-2</v>
      </c>
      <c r="F1139" s="79">
        <v>0.71810484996840995</v>
      </c>
      <c r="G1139" s="79">
        <v>0.97160036230239</v>
      </c>
      <c r="H1139" s="79">
        <v>1</v>
      </c>
      <c r="I1139" s="102">
        <v>8.4082015102135508E-3</v>
      </c>
      <c r="J1139" s="79">
        <v>2.05266994410047E-2</v>
      </c>
      <c r="K1139" s="79">
        <v>0.68212066893197199</v>
      </c>
      <c r="L1139" s="79">
        <v>0.8940422852919</v>
      </c>
      <c r="M1139" s="79">
        <v>1</v>
      </c>
      <c r="N1139" s="102">
        <v>-1.24190623970725E-2</v>
      </c>
      <c r="O1139" s="79">
        <v>2.04882219304394E-2</v>
      </c>
      <c r="P1139" s="79">
        <v>0.544470993400753</v>
      </c>
      <c r="Q1139" s="79">
        <v>0.65740118518950497</v>
      </c>
      <c r="R1139" s="79">
        <v>1</v>
      </c>
      <c r="S1139" s="102">
        <v>-1.36431553314882E-2</v>
      </c>
      <c r="T1139" s="79">
        <v>2.05722308921071E-2</v>
      </c>
      <c r="U1139" s="79">
        <v>0.50727971780224901</v>
      </c>
      <c r="V1139" s="79">
        <v>0.61348289895793395</v>
      </c>
      <c r="W1139" s="79">
        <v>1</v>
      </c>
    </row>
    <row r="1140" spans="2:23" x14ac:dyDescent="0.2">
      <c r="B1140" t="s">
        <v>600</v>
      </c>
      <c r="C1140" s="84">
        <v>5022</v>
      </c>
      <c r="D1140" s="102">
        <v>-8.2230010274647602E-3</v>
      </c>
      <c r="E1140" s="79">
        <v>2.0689978276279799E-2</v>
      </c>
      <c r="F1140" s="79">
        <v>0.69108137653961299</v>
      </c>
      <c r="G1140" s="79">
        <v>0.96831418681398196</v>
      </c>
      <c r="H1140" s="79">
        <v>1</v>
      </c>
      <c r="I1140" s="102">
        <v>2.8532879455701599E-2</v>
      </c>
      <c r="J1140" s="79">
        <v>2.0366011790810198E-2</v>
      </c>
      <c r="K1140" s="79">
        <v>0.161349686290685</v>
      </c>
      <c r="L1140" s="79">
        <v>0.60317525388412896</v>
      </c>
      <c r="M1140" s="79">
        <v>1</v>
      </c>
      <c r="N1140" s="107">
        <v>9.9428125762467498E-2</v>
      </c>
      <c r="O1140" s="81">
        <v>2.02558048821978E-2</v>
      </c>
      <c r="P1140" s="81">
        <v>9.8330224606608092E-7</v>
      </c>
      <c r="Q1140" s="81">
        <v>1.22478970943819E-5</v>
      </c>
      <c r="R1140" s="81">
        <v>1.66571400483594E-3</v>
      </c>
      <c r="S1140" s="102">
        <v>1.23928120743289E-2</v>
      </c>
      <c r="T1140" s="79">
        <v>2.0402449844776301E-2</v>
      </c>
      <c r="U1140" s="79">
        <v>0.54363504190878498</v>
      </c>
      <c r="V1140" s="79">
        <v>0.64399843426117598</v>
      </c>
      <c r="W1140" s="79">
        <v>1</v>
      </c>
    </row>
    <row r="1141" spans="2:23" x14ac:dyDescent="0.2">
      <c r="B1141" t="s">
        <v>601</v>
      </c>
      <c r="C1141" s="84">
        <v>5022</v>
      </c>
      <c r="D1141" s="102">
        <v>9.0050910534508997E-3</v>
      </c>
      <c r="E1141" s="79">
        <v>2.1158865392959601E-2</v>
      </c>
      <c r="F1141" s="79">
        <v>0.67044311302557702</v>
      </c>
      <c r="G1141" s="79">
        <v>0.96329994356686</v>
      </c>
      <c r="H1141" s="79">
        <v>1</v>
      </c>
      <c r="I1141" s="102">
        <v>6.8195613687560101E-3</v>
      </c>
      <c r="J1141" s="79">
        <v>2.0875423513557399E-2</v>
      </c>
      <c r="K1141" s="79">
        <v>0.74394024326819197</v>
      </c>
      <c r="L1141" s="79">
        <v>0.91967633960533601</v>
      </c>
      <c r="M1141" s="79">
        <v>1</v>
      </c>
      <c r="N1141" s="102">
        <v>7.0469076957764595E-2</v>
      </c>
      <c r="O1141" s="79">
        <v>2.06826535919294E-2</v>
      </c>
      <c r="P1141" s="79">
        <v>6.6768141721008803E-4</v>
      </c>
      <c r="Q1141" s="79">
        <v>3.21321682032355E-3</v>
      </c>
      <c r="R1141" s="79">
        <v>1</v>
      </c>
      <c r="S1141" s="102">
        <v>4.1396919494347199E-2</v>
      </c>
      <c r="T1141" s="79">
        <v>2.0808080514113099E-2</v>
      </c>
      <c r="U1141" s="79">
        <v>4.6768070418075597E-2</v>
      </c>
      <c r="V1141" s="79">
        <v>9.6852214288777605E-2</v>
      </c>
      <c r="W1141" s="79">
        <v>1</v>
      </c>
    </row>
    <row r="1142" spans="2:23" x14ac:dyDescent="0.2">
      <c r="B1142" t="s">
        <v>602</v>
      </c>
      <c r="C1142" s="84">
        <v>5022</v>
      </c>
      <c r="D1142" s="102">
        <v>-5.0091823089715097E-2</v>
      </c>
      <c r="E1142" s="79">
        <v>2.0412224275047401E-2</v>
      </c>
      <c r="F1142" s="79">
        <v>1.41997958537864E-2</v>
      </c>
      <c r="G1142" s="79">
        <v>0.51179689736838596</v>
      </c>
      <c r="H1142" s="79">
        <v>1</v>
      </c>
      <c r="I1142" s="102">
        <v>2.93672856634523E-2</v>
      </c>
      <c r="J1142" s="79">
        <v>2.0136296976069001E-2</v>
      </c>
      <c r="K1142" s="79">
        <v>0.144857040514904</v>
      </c>
      <c r="L1142" s="79">
        <v>0.59040772609061598</v>
      </c>
      <c r="M1142" s="79">
        <v>1</v>
      </c>
      <c r="N1142" s="107">
        <v>9.9432635507142306E-2</v>
      </c>
      <c r="O1142" s="81">
        <v>2.0007929591429201E-2</v>
      </c>
      <c r="P1142" s="81">
        <v>7.19162933041275E-7</v>
      </c>
      <c r="Q1142" s="81">
        <v>9.3712462197839995E-6</v>
      </c>
      <c r="R1142" s="81">
        <v>1.21826200857192E-3</v>
      </c>
      <c r="S1142" s="102">
        <v>1.11638544495782E-2</v>
      </c>
      <c r="T1142" s="79">
        <v>2.02069161145884E-2</v>
      </c>
      <c r="U1142" s="79">
        <v>0.58067465508613003</v>
      </c>
      <c r="V1142" s="79">
        <v>0.67374168884650998</v>
      </c>
      <c r="W1142" s="79">
        <v>1</v>
      </c>
    </row>
    <row r="1143" spans="2:23" x14ac:dyDescent="0.2">
      <c r="B1143" t="s">
        <v>354</v>
      </c>
      <c r="C1143" s="84">
        <v>4825</v>
      </c>
      <c r="D1143" s="102">
        <v>-3.2117036106459301E-2</v>
      </c>
      <c r="E1143" s="79">
        <v>1.4513242600898601E-2</v>
      </c>
      <c r="F1143" s="79">
        <v>2.6948996718976301E-2</v>
      </c>
      <c r="G1143" s="79">
        <v>0.59730976775552003</v>
      </c>
      <c r="H1143" s="79">
        <v>1</v>
      </c>
      <c r="I1143" s="102">
        <v>-3.1850323344654603E-2</v>
      </c>
      <c r="J1143" s="79">
        <v>1.4414676957537899E-2</v>
      </c>
      <c r="K1143" s="79">
        <v>2.71835007595633E-2</v>
      </c>
      <c r="L1143" s="79">
        <v>0.31408898726867501</v>
      </c>
      <c r="M1143" s="79">
        <v>1</v>
      </c>
      <c r="N1143" s="102">
        <v>5.4563556301581599E-2</v>
      </c>
      <c r="O1143" s="79">
        <v>1.43131798810844E-2</v>
      </c>
      <c r="P1143" s="79">
        <v>1.39560994476667E-4</v>
      </c>
      <c r="Q1143" s="79">
        <v>8.98921386477087E-4</v>
      </c>
      <c r="R1143" s="79">
        <v>0.23641632464347401</v>
      </c>
      <c r="S1143" s="102">
        <v>4.9033039912480501E-2</v>
      </c>
      <c r="T1143" s="79">
        <v>1.43027925817957E-2</v>
      </c>
      <c r="U1143" s="79">
        <v>6.1282329873542005E-4</v>
      </c>
      <c r="V1143" s="79">
        <v>3.0713688404077001E-3</v>
      </c>
      <c r="W1143" s="79">
        <v>1</v>
      </c>
    </row>
    <row r="1144" spans="2:23" x14ac:dyDescent="0.2">
      <c r="B1144" t="s">
        <v>355</v>
      </c>
      <c r="C1144" s="84">
        <v>396</v>
      </c>
      <c r="D1144" s="102">
        <v>6.9814926594104904E-4</v>
      </c>
      <c r="E1144" s="79">
        <v>1.4601936528161901E-2</v>
      </c>
      <c r="F1144" s="79">
        <v>0.96186800300562203</v>
      </c>
      <c r="G1144" s="79">
        <v>0.99840985319461195</v>
      </c>
      <c r="H1144" s="79">
        <v>1</v>
      </c>
      <c r="I1144" s="102">
        <v>2.2857008699238599E-2</v>
      </c>
      <c r="J1144" s="79">
        <v>1.4503401748162E-2</v>
      </c>
      <c r="K1144" s="79">
        <v>0.115099324249538</v>
      </c>
      <c r="L1144" s="79">
        <v>0.54991179036125304</v>
      </c>
      <c r="M1144" s="79">
        <v>1</v>
      </c>
      <c r="N1144" s="107">
        <v>9.4761024151482007E-2</v>
      </c>
      <c r="O1144" s="81">
        <v>1.43490628495241E-2</v>
      </c>
      <c r="P1144" s="81">
        <v>4.4471430264744901E-11</v>
      </c>
      <c r="Q1144" s="81">
        <v>1.71215006519268E-9</v>
      </c>
      <c r="R1144" s="81">
        <v>7.5334602868477894E-8</v>
      </c>
      <c r="S1144" s="107">
        <v>8.5171566417426903E-2</v>
      </c>
      <c r="T1144" s="81">
        <v>1.4350487052616301E-2</v>
      </c>
      <c r="U1144" s="81">
        <v>3.14755180435732E-9</v>
      </c>
      <c r="V1144" s="81">
        <v>1.9747973172523299E-7</v>
      </c>
      <c r="W1144" s="81">
        <v>5.3319527565813002E-6</v>
      </c>
    </row>
    <row r="1145" spans="2:23" x14ac:dyDescent="0.2">
      <c r="B1145" t="s">
        <v>356</v>
      </c>
      <c r="C1145" s="84">
        <v>4767</v>
      </c>
      <c r="D1145" s="102">
        <v>-1.9868823168974498E-2</v>
      </c>
      <c r="E1145" s="79">
        <v>1.44970624348925E-2</v>
      </c>
      <c r="F1145" s="79">
        <v>0.17058404135664501</v>
      </c>
      <c r="G1145" s="79">
        <v>0.81796927009920195</v>
      </c>
      <c r="H1145" s="79">
        <v>1</v>
      </c>
      <c r="I1145" s="102">
        <v>-1.2220604070796001E-2</v>
      </c>
      <c r="J1145" s="79">
        <v>1.43944074240568E-2</v>
      </c>
      <c r="K1145" s="79">
        <v>0.39593560023880497</v>
      </c>
      <c r="L1145" s="79">
        <v>0.76304312491983595</v>
      </c>
      <c r="M1145" s="79">
        <v>1</v>
      </c>
      <c r="N1145" s="107">
        <v>9.7350802187010005E-2</v>
      </c>
      <c r="O1145" s="81">
        <v>1.4240873734767999E-2</v>
      </c>
      <c r="P1145" s="81">
        <v>9.21219994290675E-12</v>
      </c>
      <c r="Q1145" s="81">
        <v>4.58984314802472E-10</v>
      </c>
      <c r="R1145" s="81">
        <v>1.5605466703284001E-8</v>
      </c>
      <c r="S1145" s="107">
        <v>8.33826113176592E-2</v>
      </c>
      <c r="T1145" s="81">
        <v>1.42413924425017E-2</v>
      </c>
      <c r="U1145" s="81">
        <v>5.1038942118996697E-9</v>
      </c>
      <c r="V1145" s="81">
        <v>2.8819989316526802E-7</v>
      </c>
      <c r="W1145" s="81">
        <v>8.6459967949580399E-6</v>
      </c>
    </row>
    <row r="1146" spans="2:23" x14ac:dyDescent="0.2">
      <c r="B1146" t="s">
        <v>357</v>
      </c>
      <c r="C1146" s="84">
        <v>5022</v>
      </c>
      <c r="D1146" s="102">
        <v>-4.6052850405609398E-3</v>
      </c>
      <c r="E1146" s="79">
        <v>1.4597744672838101E-2</v>
      </c>
      <c r="F1146" s="79">
        <v>0.75241170641141897</v>
      </c>
      <c r="G1146" s="79">
        <v>0.98006352001698205</v>
      </c>
      <c r="H1146" s="79">
        <v>1</v>
      </c>
      <c r="I1146" s="102">
        <v>-1.1809910798869099E-2</v>
      </c>
      <c r="J1146" s="79">
        <v>1.4502915501136599E-2</v>
      </c>
      <c r="K1146" s="79">
        <v>0.415507441623714</v>
      </c>
      <c r="L1146" s="79">
        <v>0.77457601124515996</v>
      </c>
      <c r="M1146" s="79">
        <v>1</v>
      </c>
      <c r="N1146" s="102">
        <v>5.03463350628644E-2</v>
      </c>
      <c r="O1146" s="79">
        <v>1.4386875053517E-2</v>
      </c>
      <c r="P1146" s="79">
        <v>4.7054917287052601E-4</v>
      </c>
      <c r="Q1146" s="79">
        <v>2.43021432573985E-3</v>
      </c>
      <c r="R1146" s="79">
        <v>0.79711029884267104</v>
      </c>
      <c r="S1146" s="102">
        <v>5.7692377101877503E-2</v>
      </c>
      <c r="T1146" s="79">
        <v>1.4370717389133E-2</v>
      </c>
      <c r="U1146" s="79">
        <v>6.0482450815441301E-5</v>
      </c>
      <c r="V1146" s="79">
        <v>4.9174252819702397E-4</v>
      </c>
      <c r="W1146" s="79">
        <v>0.102457271681358</v>
      </c>
    </row>
    <row r="1147" spans="2:23" x14ac:dyDescent="0.2">
      <c r="B1147" t="s">
        <v>358</v>
      </c>
      <c r="C1147" s="84">
        <v>4858</v>
      </c>
      <c r="D1147" s="102">
        <v>-1.87981415647492E-2</v>
      </c>
      <c r="E1147" s="79">
        <v>1.44391525073967E-2</v>
      </c>
      <c r="F1147" s="79">
        <v>0.19301938281242001</v>
      </c>
      <c r="G1147" s="79">
        <v>0.83003013605610498</v>
      </c>
      <c r="H1147" s="79">
        <v>1</v>
      </c>
      <c r="I1147" s="102">
        <v>9.3144545423131594E-3</v>
      </c>
      <c r="J1147" s="79">
        <v>1.4338350950638399E-2</v>
      </c>
      <c r="K1147" s="79">
        <v>0.51597161291007199</v>
      </c>
      <c r="L1147" s="79">
        <v>0.82770446237657402</v>
      </c>
      <c r="M1147" s="79">
        <v>1</v>
      </c>
      <c r="N1147" s="107">
        <v>6.0307200335866597E-2</v>
      </c>
      <c r="O1147" s="81">
        <v>1.42225255674333E-2</v>
      </c>
      <c r="P1147" s="81">
        <v>2.27658301020763E-5</v>
      </c>
      <c r="Q1147" s="81">
        <v>1.9326365262553E-4</v>
      </c>
      <c r="R1147" s="81">
        <v>3.8565316192917302E-2</v>
      </c>
      <c r="S1147" s="102">
        <v>3.04399239047012E-2</v>
      </c>
      <c r="T1147" s="79">
        <v>1.42299056863507E-2</v>
      </c>
      <c r="U1147" s="79">
        <v>3.2475838432701798E-2</v>
      </c>
      <c r="V1147" s="79">
        <v>7.37454025536151E-2</v>
      </c>
      <c r="W1147" s="79">
        <v>1</v>
      </c>
    </row>
    <row r="1148" spans="2:23" x14ac:dyDescent="0.2">
      <c r="B1148" t="s">
        <v>359</v>
      </c>
      <c r="C1148" s="84">
        <v>4828</v>
      </c>
      <c r="D1148" s="102">
        <v>-1.83607594348578E-2</v>
      </c>
      <c r="E1148" s="79">
        <v>1.4427248079587901E-2</v>
      </c>
      <c r="F1148" s="79">
        <v>0.20320710878828199</v>
      </c>
      <c r="G1148" s="79">
        <v>0.83003013605610498</v>
      </c>
      <c r="H1148" s="79">
        <v>1</v>
      </c>
      <c r="I1148" s="102">
        <v>-1.46085817797235E-2</v>
      </c>
      <c r="J1148" s="79">
        <v>1.43268740079522E-2</v>
      </c>
      <c r="K1148" s="79">
        <v>0.30794198167457099</v>
      </c>
      <c r="L1148" s="79">
        <v>0.712776365212754</v>
      </c>
      <c r="M1148" s="79">
        <v>1</v>
      </c>
      <c r="N1148" s="107">
        <v>0.121685642100683</v>
      </c>
      <c r="O1148" s="81">
        <v>1.41301708301542E-2</v>
      </c>
      <c r="P1148" s="81">
        <v>9.7266820013520894E-18</v>
      </c>
      <c r="Q1148" s="81">
        <v>2.3538570443272098E-15</v>
      </c>
      <c r="R1148" s="81">
        <v>1.64769993102904E-14</v>
      </c>
      <c r="S1148" s="102">
        <v>5.6477362353217403E-2</v>
      </c>
      <c r="T1148" s="79">
        <v>1.4198237340245E-2</v>
      </c>
      <c r="U1148" s="79">
        <v>7.0623019633513393E-5</v>
      </c>
      <c r="V1148" s="79">
        <v>5.5386757064431304E-4</v>
      </c>
      <c r="W1148" s="79">
        <v>0.11963539525917199</v>
      </c>
    </row>
    <row r="1149" spans="2:23" x14ac:dyDescent="0.2">
      <c r="B1149" t="s">
        <v>360</v>
      </c>
      <c r="C1149" s="84">
        <v>3609</v>
      </c>
      <c r="D1149" s="102">
        <v>1.8266950784752399E-2</v>
      </c>
      <c r="E1149" s="79">
        <v>1.4483274540381501E-2</v>
      </c>
      <c r="F1149" s="79">
        <v>0.20728256650669399</v>
      </c>
      <c r="G1149" s="79">
        <v>0.83405384242836</v>
      </c>
      <c r="H1149" s="79">
        <v>1</v>
      </c>
      <c r="I1149" s="102">
        <v>2.6526241306203201E-2</v>
      </c>
      <c r="J1149" s="79">
        <v>1.4388797844738999E-2</v>
      </c>
      <c r="K1149" s="79">
        <v>6.5314399281429902E-2</v>
      </c>
      <c r="L1149" s="79">
        <v>0.43517978594622803</v>
      </c>
      <c r="M1149" s="79">
        <v>1</v>
      </c>
      <c r="N1149" s="107">
        <v>6.1105518267395999E-2</v>
      </c>
      <c r="O1149" s="81">
        <v>1.4279081858008901E-2</v>
      </c>
      <c r="P1149" s="81">
        <v>1.9114313889497399E-5</v>
      </c>
      <c r="Q1149" s="81">
        <v>1.67770195486055E-4</v>
      </c>
      <c r="R1149" s="81">
        <v>3.2379647728808601E-2</v>
      </c>
      <c r="S1149" s="107">
        <v>7.1618432681887501E-2</v>
      </c>
      <c r="T1149" s="81">
        <v>1.4249477758193701E-2</v>
      </c>
      <c r="U1149" s="81">
        <v>5.1929022030878103E-7</v>
      </c>
      <c r="V1149" s="81">
        <v>1.02288096884078E-5</v>
      </c>
      <c r="W1149" s="81">
        <v>8.7967763320307498E-4</v>
      </c>
    </row>
    <row r="1150" spans="2:23" x14ac:dyDescent="0.2">
      <c r="B1150" t="s">
        <v>361</v>
      </c>
      <c r="C1150" s="84">
        <v>4443</v>
      </c>
      <c r="D1150" s="102">
        <v>-1.23531211336267E-2</v>
      </c>
      <c r="E1150" s="79">
        <v>1.43864047257852E-2</v>
      </c>
      <c r="F1150" s="79">
        <v>0.39056835062564599</v>
      </c>
      <c r="G1150" s="79">
        <v>0.89461055933914202</v>
      </c>
      <c r="H1150" s="79">
        <v>1</v>
      </c>
      <c r="I1150" s="102">
        <v>-1.7909925791379198E-2</v>
      </c>
      <c r="J1150" s="79">
        <v>1.42825880707109E-2</v>
      </c>
      <c r="K1150" s="79">
        <v>0.20991677739658099</v>
      </c>
      <c r="L1150" s="79">
        <v>0.64803390121802296</v>
      </c>
      <c r="M1150" s="79">
        <v>1</v>
      </c>
      <c r="N1150" s="107">
        <v>8.7080694591452901E-2</v>
      </c>
      <c r="O1150" s="81">
        <v>1.41491240528168E-2</v>
      </c>
      <c r="P1150" s="81">
        <v>8.1653524158146495E-10</v>
      </c>
      <c r="Q1150" s="81">
        <v>2.2309849987725799E-8</v>
      </c>
      <c r="R1150" s="81">
        <v>1.383210699239E-6</v>
      </c>
      <c r="S1150" s="102">
        <v>3.8760621515676601E-2</v>
      </c>
      <c r="T1150" s="79">
        <v>1.4172333191314E-2</v>
      </c>
      <c r="U1150" s="79">
        <v>6.2626003086936003E-3</v>
      </c>
      <c r="V1150" s="79">
        <v>1.9287610865919701E-2</v>
      </c>
      <c r="W1150" s="79">
        <v>1</v>
      </c>
    </row>
    <row r="1151" spans="2:23" x14ac:dyDescent="0.2">
      <c r="B1151" t="s">
        <v>446</v>
      </c>
      <c r="C1151" s="84">
        <v>1302</v>
      </c>
      <c r="D1151" s="102">
        <v>8.2990887113123697E-3</v>
      </c>
      <c r="E1151" s="79">
        <v>1.46028004928413E-2</v>
      </c>
      <c r="F1151" s="79">
        <v>0.56984402392180999</v>
      </c>
      <c r="G1151" s="79">
        <v>0.93177198506133796</v>
      </c>
      <c r="H1151" s="79">
        <v>1</v>
      </c>
      <c r="I1151" s="102">
        <v>-3.1775823110572299E-3</v>
      </c>
      <c r="J1151" s="79">
        <v>1.44997979131907E-2</v>
      </c>
      <c r="K1151" s="79">
        <v>0.82654568624193903</v>
      </c>
      <c r="L1151" s="79">
        <v>0.95225177964957897</v>
      </c>
      <c r="M1151" s="79">
        <v>1</v>
      </c>
      <c r="N1151" s="102">
        <v>3.3308201665826397E-2</v>
      </c>
      <c r="O1151" s="79">
        <v>1.44061920990409E-2</v>
      </c>
      <c r="P1151" s="79">
        <v>2.0817833016017199E-2</v>
      </c>
      <c r="Q1151" s="79">
        <v>5.0092910694791402E-2</v>
      </c>
      <c r="R1151" s="79">
        <v>1</v>
      </c>
      <c r="S1151" s="107">
        <v>6.24938053892969E-2</v>
      </c>
      <c r="T1151" s="81">
        <v>1.4375655906198499E-2</v>
      </c>
      <c r="U1151" s="81">
        <v>1.4087483755429701E-5</v>
      </c>
      <c r="V1151" s="81">
        <v>1.60162399206026E-4</v>
      </c>
      <c r="W1151" s="81">
        <v>2.3864197481697901E-2</v>
      </c>
    </row>
    <row r="1152" spans="2:23" x14ac:dyDescent="0.2">
      <c r="B1152" t="s">
        <v>447</v>
      </c>
      <c r="C1152" s="84">
        <v>5009</v>
      </c>
      <c r="D1152" s="102">
        <v>-2.2399085637678801E-3</v>
      </c>
      <c r="E1152" s="79">
        <v>1.4509668773309699E-2</v>
      </c>
      <c r="F1152" s="79">
        <v>0.87732224340262299</v>
      </c>
      <c r="G1152" s="79">
        <v>0.99362338620020496</v>
      </c>
      <c r="H1152" s="79">
        <v>1</v>
      </c>
      <c r="I1152" s="102">
        <v>5.8889797223585496E-3</v>
      </c>
      <c r="J1152" s="79">
        <v>1.43911211128094E-2</v>
      </c>
      <c r="K1152" s="79">
        <v>0.68240653771099602</v>
      </c>
      <c r="L1152" s="79">
        <v>0.8940422852919</v>
      </c>
      <c r="M1152" s="79">
        <v>1</v>
      </c>
      <c r="N1152" s="107">
        <v>6.0336499880796202E-2</v>
      </c>
      <c r="O1152" s="81">
        <v>1.42777461530276E-2</v>
      </c>
      <c r="P1152" s="81">
        <v>2.4287926998353001E-5</v>
      </c>
      <c r="Q1152" s="81">
        <v>2.0368192245153499E-4</v>
      </c>
      <c r="R1152" s="81">
        <v>4.1143748335209999E-2</v>
      </c>
      <c r="S1152" s="102">
        <v>4.7358501089264003E-2</v>
      </c>
      <c r="T1152" s="79">
        <v>1.42822760919425E-2</v>
      </c>
      <c r="U1152" s="79">
        <v>9.2096156995076397E-4</v>
      </c>
      <c r="V1152" s="79">
        <v>4.2051452816619797E-3</v>
      </c>
      <c r="W1152" s="79">
        <v>1</v>
      </c>
    </row>
    <row r="1153" spans="2:23" x14ac:dyDescent="0.2">
      <c r="B1153" t="s">
        <v>448</v>
      </c>
      <c r="C1153" s="84">
        <v>5009</v>
      </c>
      <c r="D1153" s="102">
        <v>1.77917908387453E-3</v>
      </c>
      <c r="E1153" s="79">
        <v>1.46195312284112E-2</v>
      </c>
      <c r="F1153" s="79">
        <v>0.90314271150109304</v>
      </c>
      <c r="G1153" s="79">
        <v>0.99533029194181499</v>
      </c>
      <c r="H1153" s="79">
        <v>1</v>
      </c>
      <c r="I1153" s="102">
        <v>1.82599778116527E-2</v>
      </c>
      <c r="J1153" s="79">
        <v>1.4526943382822699E-2</v>
      </c>
      <c r="K1153" s="79">
        <v>0.20882613515086501</v>
      </c>
      <c r="L1153" s="79">
        <v>0.64803390121802296</v>
      </c>
      <c r="M1153" s="79">
        <v>1</v>
      </c>
      <c r="N1153" s="102">
        <v>3.5693605868659897E-2</v>
      </c>
      <c r="O1153" s="79">
        <v>1.4425350838459401E-2</v>
      </c>
      <c r="P1153" s="79">
        <v>1.3382276838328501E-2</v>
      </c>
      <c r="Q1153" s="79">
        <v>3.5201206466037999E-2</v>
      </c>
      <c r="R1153" s="79">
        <v>1</v>
      </c>
      <c r="S1153" s="107">
        <v>6.7775778304353801E-2</v>
      </c>
      <c r="T1153" s="81">
        <v>1.43864153837653E-2</v>
      </c>
      <c r="U1153" s="81">
        <v>2.53477557094426E-6</v>
      </c>
      <c r="V1153" s="81">
        <v>3.9393668047519098E-5</v>
      </c>
      <c r="W1153" s="81">
        <v>4.2939098171795803E-3</v>
      </c>
    </row>
    <row r="1154" spans="2:23" x14ac:dyDescent="0.2">
      <c r="B1154" t="s">
        <v>449</v>
      </c>
      <c r="C1154" s="84">
        <v>5009</v>
      </c>
      <c r="D1154" s="102">
        <v>-7.79383796001374E-3</v>
      </c>
      <c r="E1154" s="79">
        <v>1.4585105005658201E-2</v>
      </c>
      <c r="F1154" s="79">
        <v>0.59311040189337405</v>
      </c>
      <c r="G1154" s="79">
        <v>0.94227602598436699</v>
      </c>
      <c r="H1154" s="79">
        <v>1</v>
      </c>
      <c r="I1154" s="102">
        <v>4.1414146056879299E-3</v>
      </c>
      <c r="J1154" s="79">
        <v>1.45024578997519E-2</v>
      </c>
      <c r="K1154" s="79">
        <v>0.77522268650385795</v>
      </c>
      <c r="L1154" s="79">
        <v>0.92861868293626904</v>
      </c>
      <c r="M1154" s="79">
        <v>1</v>
      </c>
      <c r="N1154" s="102">
        <v>5.8356122895473601E-2</v>
      </c>
      <c r="O1154" s="79">
        <v>1.43871492773104E-2</v>
      </c>
      <c r="P1154" s="79">
        <v>5.0686789579023002E-5</v>
      </c>
      <c r="Q1154" s="79">
        <v>3.8503776478414798E-4</v>
      </c>
      <c r="R1154" s="79">
        <v>8.5863421546864993E-2</v>
      </c>
      <c r="S1154" s="102">
        <v>5.56843944751238E-2</v>
      </c>
      <c r="T1154" s="79">
        <v>1.43693701844424E-2</v>
      </c>
      <c r="U1154" s="79">
        <v>1.07956924691472E-4</v>
      </c>
      <c r="V1154" s="79">
        <v>7.4950422306292502E-4</v>
      </c>
      <c r="W1154" s="79">
        <v>0.18287903042735401</v>
      </c>
    </row>
    <row r="1155" spans="2:23" x14ac:dyDescent="0.2">
      <c r="B1155" t="s">
        <v>450</v>
      </c>
      <c r="C1155" s="84">
        <v>5009</v>
      </c>
      <c r="D1155" s="102">
        <v>5.4152277088959002E-3</v>
      </c>
      <c r="E1155" s="79">
        <v>1.4539507689856301E-2</v>
      </c>
      <c r="F1155" s="79">
        <v>0.70957560271419995</v>
      </c>
      <c r="G1155" s="79">
        <v>0.97160036230239</v>
      </c>
      <c r="H1155" s="79">
        <v>1</v>
      </c>
      <c r="I1155" s="102">
        <v>2.7919059111544699E-3</v>
      </c>
      <c r="J1155" s="79">
        <v>1.44322586891499E-2</v>
      </c>
      <c r="K1155" s="79">
        <v>0.84661612033181399</v>
      </c>
      <c r="L1155" s="79">
        <v>0.95866825390514199</v>
      </c>
      <c r="M1155" s="79">
        <v>1</v>
      </c>
      <c r="N1155" s="102">
        <v>3.0527429198674499E-2</v>
      </c>
      <c r="O1155" s="79">
        <v>1.4335001115657499E-2</v>
      </c>
      <c r="P1155" s="79">
        <v>3.32609798845473E-2</v>
      </c>
      <c r="Q1155" s="79">
        <v>7.2984585394330503E-2</v>
      </c>
      <c r="R1155" s="79">
        <v>1</v>
      </c>
      <c r="S1155" s="102">
        <v>5.8476079009875601E-3</v>
      </c>
      <c r="T1155" s="79">
        <v>1.43283061360622E-2</v>
      </c>
      <c r="U1155" s="79">
        <v>0.68320794843785304</v>
      </c>
      <c r="V1155" s="79">
        <v>0.75104105428534895</v>
      </c>
      <c r="W1155" s="79">
        <v>1</v>
      </c>
    </row>
    <row r="1156" spans="2:23" x14ac:dyDescent="0.2">
      <c r="B1156" t="s">
        <v>451</v>
      </c>
      <c r="C1156" s="84">
        <v>5009</v>
      </c>
      <c r="D1156" s="102">
        <v>-3.6309546275731801E-3</v>
      </c>
      <c r="E1156" s="79">
        <v>1.4630446539242999E-2</v>
      </c>
      <c r="F1156" s="79">
        <v>0.80400710744103399</v>
      </c>
      <c r="G1156" s="79">
        <v>0.99362338620020496</v>
      </c>
      <c r="H1156" s="79">
        <v>1</v>
      </c>
      <c r="I1156" s="102">
        <v>1.09623371882682E-3</v>
      </c>
      <c r="J1156" s="79">
        <v>1.45646868085741E-2</v>
      </c>
      <c r="K1156" s="79">
        <v>0.94000574794515701</v>
      </c>
      <c r="L1156" s="79">
        <v>0.98659835007379004</v>
      </c>
      <c r="M1156" s="79">
        <v>1</v>
      </c>
      <c r="N1156" s="102">
        <v>3.6116051004591199E-2</v>
      </c>
      <c r="O1156" s="79">
        <v>1.44536193441838E-2</v>
      </c>
      <c r="P1156" s="79">
        <v>1.24957653205225E-2</v>
      </c>
      <c r="Q1156" s="79">
        <v>3.3440484127906997E-2</v>
      </c>
      <c r="R1156" s="79">
        <v>1</v>
      </c>
      <c r="S1156" s="102">
        <v>5.8743550603416801E-2</v>
      </c>
      <c r="T1156" s="79">
        <v>1.4422581716052299E-2</v>
      </c>
      <c r="U1156" s="79">
        <v>4.7145462295107201E-5</v>
      </c>
      <c r="V1156" s="79">
        <v>4.1167223261810102E-4</v>
      </c>
      <c r="W1156" s="79">
        <v>7.9864413127911593E-2</v>
      </c>
    </row>
    <row r="1157" spans="2:23" x14ac:dyDescent="0.2">
      <c r="B1157" t="s">
        <v>362</v>
      </c>
      <c r="C1157" s="84">
        <v>4432</v>
      </c>
      <c r="D1157" s="102">
        <v>2.2188853290920199E-2</v>
      </c>
      <c r="E1157" s="79">
        <v>1.4570287464339301E-2</v>
      </c>
      <c r="F1157" s="79">
        <v>0.12785667988844099</v>
      </c>
      <c r="G1157" s="79">
        <v>0.80938271582532695</v>
      </c>
      <c r="H1157" s="79">
        <v>1</v>
      </c>
      <c r="I1157" s="102">
        <v>-1.26732610836819E-2</v>
      </c>
      <c r="J1157" s="79">
        <v>1.4455552375798E-2</v>
      </c>
      <c r="K1157" s="79">
        <v>0.38069381676335501</v>
      </c>
      <c r="L1157" s="79">
        <v>0.75782823609722505</v>
      </c>
      <c r="M1157" s="79">
        <v>1</v>
      </c>
      <c r="N1157" s="102">
        <v>2.5911754490354901E-2</v>
      </c>
      <c r="O1157" s="79">
        <v>1.43680496792516E-2</v>
      </c>
      <c r="P1157" s="79">
        <v>7.13877418262647E-2</v>
      </c>
      <c r="Q1157" s="79">
        <v>0.13587734230751999</v>
      </c>
      <c r="R1157" s="79">
        <v>1</v>
      </c>
      <c r="S1157" s="102">
        <v>4.6937252439308699E-2</v>
      </c>
      <c r="T1157" s="79">
        <v>1.43423289244372E-2</v>
      </c>
      <c r="U1157" s="79">
        <v>1.0734769405893901E-3</v>
      </c>
      <c r="V1157" s="79">
        <v>4.7479632829201699E-3</v>
      </c>
      <c r="W1157" s="79">
        <v>1</v>
      </c>
    </row>
    <row r="1158" spans="2:23" x14ac:dyDescent="0.2">
      <c r="B1158" t="s">
        <v>452</v>
      </c>
      <c r="C1158" s="84">
        <v>5007</v>
      </c>
      <c r="D1158" s="102">
        <v>-7.16575218028813E-3</v>
      </c>
      <c r="E1158" s="79">
        <v>1.45815788987973E-2</v>
      </c>
      <c r="F1158" s="79">
        <v>0.62314945259975296</v>
      </c>
      <c r="G1158" s="79">
        <v>0.95468997501837705</v>
      </c>
      <c r="H1158" s="79">
        <v>1</v>
      </c>
      <c r="I1158" s="102">
        <v>1.2618244001451499E-2</v>
      </c>
      <c r="J1158" s="79">
        <v>1.44736022578861E-2</v>
      </c>
      <c r="K1158" s="79">
        <v>0.383358537785292</v>
      </c>
      <c r="L1158" s="79">
        <v>0.75782823609722505</v>
      </c>
      <c r="M1158" s="79">
        <v>1</v>
      </c>
      <c r="N1158" s="102">
        <v>9.7461629563292702E-3</v>
      </c>
      <c r="O1158" s="79">
        <v>1.43762508336811E-2</v>
      </c>
      <c r="P1158" s="79">
        <v>0.49784800346010599</v>
      </c>
      <c r="Q1158" s="79">
        <v>0.61379513672592401</v>
      </c>
      <c r="R1158" s="79">
        <v>1</v>
      </c>
      <c r="S1158" s="102">
        <v>5.3097473489270297E-2</v>
      </c>
      <c r="T1158" s="79">
        <v>1.43481174397061E-2</v>
      </c>
      <c r="U1158" s="79">
        <v>2.17603492921302E-4</v>
      </c>
      <c r="V1158" s="79">
        <v>1.3552217537083999E-3</v>
      </c>
      <c r="W1158" s="79">
        <v>0.36862031700868603</v>
      </c>
    </row>
    <row r="1159" spans="2:23" x14ac:dyDescent="0.2">
      <c r="B1159" t="s">
        <v>453</v>
      </c>
      <c r="C1159" s="84">
        <v>5007</v>
      </c>
      <c r="D1159" s="102">
        <v>5.2399194175692401E-2</v>
      </c>
      <c r="E1159" s="79">
        <v>1.46009455763682E-2</v>
      </c>
      <c r="F1159" s="79">
        <v>3.35609891235149E-4</v>
      </c>
      <c r="G1159" s="79">
        <v>0.113704631150469</v>
      </c>
      <c r="H1159" s="79">
        <v>0.56852315575234202</v>
      </c>
      <c r="I1159" s="102">
        <v>1.94741587670577E-2</v>
      </c>
      <c r="J1159" s="79">
        <v>1.4516337477833499E-2</v>
      </c>
      <c r="K1159" s="79">
        <v>0.17981248181423401</v>
      </c>
      <c r="L1159" s="79">
        <v>0.61549445076584797</v>
      </c>
      <c r="M1159" s="79">
        <v>1</v>
      </c>
      <c r="N1159" s="102">
        <v>1.22090395217055E-2</v>
      </c>
      <c r="O1159" s="79">
        <v>1.44258732276039E-2</v>
      </c>
      <c r="P1159" s="79">
        <v>0.39741229170437198</v>
      </c>
      <c r="Q1159" s="79">
        <v>0.51429825985271704</v>
      </c>
      <c r="R1159" s="79">
        <v>1</v>
      </c>
      <c r="S1159" s="107">
        <v>6.7585091567891706E-2</v>
      </c>
      <c r="T1159" s="81">
        <v>1.4373790664245E-2</v>
      </c>
      <c r="U1159" s="81">
        <v>2.6505330132842999E-6</v>
      </c>
      <c r="V1159" s="81">
        <v>4.0818208404578203E-5</v>
      </c>
      <c r="W1159" s="81">
        <v>4.4900029245036003E-3</v>
      </c>
    </row>
    <row r="1160" spans="2:23" x14ac:dyDescent="0.2">
      <c r="B1160" t="s">
        <v>363</v>
      </c>
      <c r="C1160" s="84">
        <v>4985</v>
      </c>
      <c r="D1160" s="102">
        <v>-6.7718236999471503E-3</v>
      </c>
      <c r="E1160" s="79">
        <v>1.46221909754748E-2</v>
      </c>
      <c r="F1160" s="79">
        <v>0.64329960000822894</v>
      </c>
      <c r="G1160" s="79">
        <v>0.95767440062337605</v>
      </c>
      <c r="H1160" s="79">
        <v>1</v>
      </c>
      <c r="I1160" s="102">
        <v>4.6142435091384602E-3</v>
      </c>
      <c r="J1160" s="79">
        <v>1.45387983335525E-2</v>
      </c>
      <c r="K1160" s="79">
        <v>0.750973510823704</v>
      </c>
      <c r="L1160" s="79">
        <v>0.92119491170115397</v>
      </c>
      <c r="M1160" s="79">
        <v>1</v>
      </c>
      <c r="N1160" s="102">
        <v>4.1398537148828102E-2</v>
      </c>
      <c r="O1160" s="79">
        <v>1.4427908070877999E-2</v>
      </c>
      <c r="P1160" s="79">
        <v>4.1314803151364403E-3</v>
      </c>
      <c r="Q1160" s="79">
        <v>1.36427439646026E-2</v>
      </c>
      <c r="R1160" s="79">
        <v>1</v>
      </c>
      <c r="S1160" s="102">
        <v>3.7700482915173798E-2</v>
      </c>
      <c r="T1160" s="79">
        <v>1.44185999563367E-2</v>
      </c>
      <c r="U1160" s="79">
        <v>8.9584585402696492E-3</v>
      </c>
      <c r="V1160" s="79">
        <v>2.6074963517554599E-2</v>
      </c>
      <c r="W1160" s="79">
        <v>1</v>
      </c>
    </row>
    <row r="1161" spans="2:23" x14ac:dyDescent="0.2">
      <c r="B1161" t="s">
        <v>364</v>
      </c>
      <c r="C1161" s="84">
        <v>750</v>
      </c>
      <c r="D1161" s="102">
        <v>-4.99705517070528E-3</v>
      </c>
      <c r="E1161" s="79">
        <v>1.44849039337673E-2</v>
      </c>
      <c r="F1161" s="79">
        <v>0.73012258337509495</v>
      </c>
      <c r="G1161" s="79">
        <v>0.97388004428142605</v>
      </c>
      <c r="H1161" s="79">
        <v>1</v>
      </c>
      <c r="I1161" s="102">
        <v>1.31101257168226E-2</v>
      </c>
      <c r="J1161" s="79">
        <v>1.43655908591575E-2</v>
      </c>
      <c r="K1161" s="79">
        <v>0.36149938308330098</v>
      </c>
      <c r="L1161" s="79">
        <v>0.74593451887386297</v>
      </c>
      <c r="M1161" s="79">
        <v>1</v>
      </c>
      <c r="N1161" s="102">
        <v>2.6432398910381801E-2</v>
      </c>
      <c r="O1161" s="79">
        <v>1.4266123073833599E-2</v>
      </c>
      <c r="P1161" s="79">
        <v>6.3976334768795495E-2</v>
      </c>
      <c r="Q1161" s="79">
        <v>0.123858184112388</v>
      </c>
      <c r="R1161" s="79">
        <v>1</v>
      </c>
      <c r="S1161" s="102">
        <v>3.5666630402671297E-2</v>
      </c>
      <c r="T1161" s="79">
        <v>1.42533356654854E-2</v>
      </c>
      <c r="U1161" s="79">
        <v>1.23730430939454E-2</v>
      </c>
      <c r="V1161" s="79">
        <v>3.3164454115733398E-2</v>
      </c>
      <c r="W1161" s="79">
        <v>1</v>
      </c>
    </row>
    <row r="1162" spans="2:23" x14ac:dyDescent="0.2">
      <c r="B1162" t="s">
        <v>365</v>
      </c>
      <c r="C1162" s="84">
        <v>5006</v>
      </c>
      <c r="D1162" s="102">
        <v>5.0870294687903796E-3</v>
      </c>
      <c r="E1162" s="79">
        <v>1.45732965241747E-2</v>
      </c>
      <c r="F1162" s="79">
        <v>0.72705594885311198</v>
      </c>
      <c r="G1162" s="79">
        <v>0.97286923276174297</v>
      </c>
      <c r="H1162" s="79">
        <v>1</v>
      </c>
      <c r="I1162" s="102">
        <v>4.1204589801716804E-3</v>
      </c>
      <c r="J1162" s="79">
        <v>1.44590315128399E-2</v>
      </c>
      <c r="K1162" s="79">
        <v>0.77567617258253896</v>
      </c>
      <c r="L1162" s="79">
        <v>0.92861868293626904</v>
      </c>
      <c r="M1162" s="79">
        <v>1</v>
      </c>
      <c r="N1162" s="102">
        <v>4.5083432497759902E-2</v>
      </c>
      <c r="O1162" s="79">
        <v>1.43540805393121E-2</v>
      </c>
      <c r="P1162" s="79">
        <v>1.69534538957753E-3</v>
      </c>
      <c r="Q1162" s="79">
        <v>6.6944407691010201E-3</v>
      </c>
      <c r="R1162" s="79">
        <v>1</v>
      </c>
      <c r="S1162" s="102">
        <v>4.7514248133347502E-2</v>
      </c>
      <c r="T1162" s="79">
        <v>1.43433802847414E-2</v>
      </c>
      <c r="U1162" s="79">
        <v>9.3124819623422296E-4</v>
      </c>
      <c r="V1162" s="79">
        <v>4.2406839903784202E-3</v>
      </c>
      <c r="W1162" s="79">
        <v>1</v>
      </c>
    </row>
    <row r="1163" spans="2:23" x14ac:dyDescent="0.2">
      <c r="B1163" t="s">
        <v>366</v>
      </c>
      <c r="C1163" s="84">
        <v>125</v>
      </c>
      <c r="D1163" s="102">
        <v>-2.0361334137928102E-3</v>
      </c>
      <c r="E1163" s="79">
        <v>1.4577029723987001E-2</v>
      </c>
      <c r="F1163" s="79">
        <v>0.88891799226051804</v>
      </c>
      <c r="G1163" s="79">
        <v>0.99362338620020496</v>
      </c>
      <c r="H1163" s="79">
        <v>1</v>
      </c>
      <c r="I1163" s="102">
        <v>2.06940253001279E-2</v>
      </c>
      <c r="J1163" s="79">
        <v>1.446467452579E-2</v>
      </c>
      <c r="K1163" s="79">
        <v>0.152594623157147</v>
      </c>
      <c r="L1163" s="79">
        <v>0.59601477595142704</v>
      </c>
      <c r="M1163" s="79">
        <v>1</v>
      </c>
      <c r="N1163" s="107">
        <v>8.0026123558190707E-2</v>
      </c>
      <c r="O1163" s="81">
        <v>1.43242651768792E-2</v>
      </c>
      <c r="P1163" s="81">
        <v>2.44463983313063E-8</v>
      </c>
      <c r="Q1163" s="81">
        <v>4.7059316787764602E-7</v>
      </c>
      <c r="R1163" s="81">
        <v>4.1412198773232902E-5</v>
      </c>
      <c r="S1163" s="102">
        <v>4.5481527220691799E-2</v>
      </c>
      <c r="T1163" s="79">
        <v>1.4347307745507101E-2</v>
      </c>
      <c r="U1163" s="79">
        <v>1.53396305671338E-3</v>
      </c>
      <c r="V1163" s="79">
        <v>6.35338244027498E-3</v>
      </c>
      <c r="W1163" s="79">
        <v>1</v>
      </c>
    </row>
    <row r="1164" spans="2:23" x14ac:dyDescent="0.2">
      <c r="B1164" t="s">
        <v>367</v>
      </c>
      <c r="C1164" s="84">
        <v>5017</v>
      </c>
      <c r="D1164" s="102">
        <v>2.2817903686668899E-4</v>
      </c>
      <c r="E1164" s="79">
        <v>1.45814484211092E-2</v>
      </c>
      <c r="F1164" s="79">
        <v>0.98751542420088101</v>
      </c>
      <c r="G1164" s="79">
        <v>0.999313696891453</v>
      </c>
      <c r="H1164" s="79">
        <v>1</v>
      </c>
      <c r="I1164" s="102">
        <v>3.1742336356738003E-2</v>
      </c>
      <c r="J1164" s="79">
        <v>1.4462946354771499E-2</v>
      </c>
      <c r="K1164" s="79">
        <v>2.8233757216152101E-2</v>
      </c>
      <c r="L1164" s="79">
        <v>0.32316205894703798</v>
      </c>
      <c r="M1164" s="79">
        <v>1</v>
      </c>
      <c r="N1164" s="102">
        <v>4.5383141306036302E-2</v>
      </c>
      <c r="O1164" s="79">
        <v>1.4366947143300401E-2</v>
      </c>
      <c r="P1164" s="79">
        <v>1.59436244976414E-3</v>
      </c>
      <c r="Q1164" s="79">
        <v>6.4153206410937098E-3</v>
      </c>
      <c r="R1164" s="79">
        <v>1</v>
      </c>
      <c r="S1164" s="102">
        <v>4.3462972954109398E-2</v>
      </c>
      <c r="T1164" s="79">
        <v>1.4356062827063001E-2</v>
      </c>
      <c r="U1164" s="79">
        <v>2.4797230224179899E-3</v>
      </c>
      <c r="V1164" s="79">
        <v>9.1717266375023494E-3</v>
      </c>
      <c r="W1164" s="79">
        <v>1</v>
      </c>
    </row>
    <row r="1165" spans="2:23" x14ac:dyDescent="0.2">
      <c r="B1165" t="s">
        <v>368</v>
      </c>
      <c r="C1165" s="84">
        <v>733</v>
      </c>
      <c r="D1165" s="102">
        <v>-9.846028373655519E-4</v>
      </c>
      <c r="E1165" s="79">
        <v>1.45742469969555E-2</v>
      </c>
      <c r="F1165" s="79">
        <v>0.94614058244955801</v>
      </c>
      <c r="G1165" s="79">
        <v>0.99840985319461195</v>
      </c>
      <c r="H1165" s="79">
        <v>1</v>
      </c>
      <c r="I1165" s="102">
        <v>1.71595594860415E-2</v>
      </c>
      <c r="J1165" s="79">
        <v>1.44636690870953E-2</v>
      </c>
      <c r="K1165" s="79">
        <v>0.23552912740697701</v>
      </c>
      <c r="L1165" s="79">
        <v>0.66141104862732303</v>
      </c>
      <c r="M1165" s="79">
        <v>1</v>
      </c>
      <c r="N1165" s="107">
        <v>6.5634546438312097E-2</v>
      </c>
      <c r="O1165" s="81">
        <v>1.43467077554077E-2</v>
      </c>
      <c r="P1165" s="81">
        <v>4.8889198464124603E-6</v>
      </c>
      <c r="Q1165" s="81">
        <v>5.2750510954284798E-5</v>
      </c>
      <c r="R1165" s="81">
        <v>8.2818302198227108E-3</v>
      </c>
      <c r="S1165" s="102">
        <v>5.3653410631176499E-2</v>
      </c>
      <c r="T1165" s="79">
        <v>1.4345126988605499E-2</v>
      </c>
      <c r="U1165" s="79">
        <v>1.8609302801863499E-4</v>
      </c>
      <c r="V1165" s="79">
        <v>1.1762745875506301E-3</v>
      </c>
      <c r="W1165" s="79">
        <v>0.31524158946356801</v>
      </c>
    </row>
    <row r="1166" spans="2:23" x14ac:dyDescent="0.2">
      <c r="B1166" t="s">
        <v>369</v>
      </c>
      <c r="C1166" s="84">
        <v>5022</v>
      </c>
      <c r="D1166" s="102">
        <v>6.50173155998225E-3</v>
      </c>
      <c r="E1166" s="79">
        <v>1.45993581814341E-2</v>
      </c>
      <c r="F1166" s="79">
        <v>0.65609163323807995</v>
      </c>
      <c r="G1166" s="79">
        <v>0.95805425431636804</v>
      </c>
      <c r="H1166" s="79">
        <v>1</v>
      </c>
      <c r="I1166" s="102">
        <v>3.6396292899788303E-2</v>
      </c>
      <c r="J1166" s="79">
        <v>1.4492694235216199E-2</v>
      </c>
      <c r="K1166" s="79">
        <v>1.20602630652371E-2</v>
      </c>
      <c r="L1166" s="79">
        <v>0.211501094734689</v>
      </c>
      <c r="M1166" s="79">
        <v>1</v>
      </c>
      <c r="N1166" s="107">
        <v>6.6916853670991705E-2</v>
      </c>
      <c r="O1166" s="81">
        <v>1.4374795514679E-2</v>
      </c>
      <c r="P1166" s="81">
        <v>3.32638758156781E-6</v>
      </c>
      <c r="Q1166" s="81">
        <v>3.6829415445593897E-5</v>
      </c>
      <c r="R1166" s="81">
        <v>5.6349005631758696E-3</v>
      </c>
      <c r="S1166" s="102">
        <v>3.5259887471926397E-2</v>
      </c>
      <c r="T1166" s="79">
        <v>1.43843613787223E-2</v>
      </c>
      <c r="U1166" s="79">
        <v>1.42714989678231E-2</v>
      </c>
      <c r="V1166" s="79">
        <v>3.7136588711969801E-2</v>
      </c>
      <c r="W1166" s="79">
        <v>1</v>
      </c>
    </row>
    <row r="1167" spans="2:23" x14ac:dyDescent="0.2">
      <c r="B1167" t="s">
        <v>370</v>
      </c>
      <c r="C1167" s="84">
        <v>5023</v>
      </c>
      <c r="D1167" s="102">
        <v>-1.1621021437371801E-2</v>
      </c>
      <c r="E1167" s="79">
        <v>1.45774969675806E-2</v>
      </c>
      <c r="F1167" s="79">
        <v>0.425380182105426</v>
      </c>
      <c r="G1167" s="79">
        <v>0.89813936408249395</v>
      </c>
      <c r="H1167" s="79">
        <v>1</v>
      </c>
      <c r="I1167" s="102">
        <v>2.0322141751155799E-2</v>
      </c>
      <c r="J1167" s="79">
        <v>1.44867827965492E-2</v>
      </c>
      <c r="K1167" s="79">
        <v>0.16073946826206301</v>
      </c>
      <c r="L1167" s="79">
        <v>0.60317525388412896</v>
      </c>
      <c r="M1167" s="79">
        <v>1</v>
      </c>
      <c r="N1167" s="107">
        <v>6.4319924270658801E-2</v>
      </c>
      <c r="O1167" s="81">
        <v>1.43662710731641E-2</v>
      </c>
      <c r="P1167" s="81">
        <v>7.7392588250533408E-6</v>
      </c>
      <c r="Q1167" s="81">
        <v>7.8504817063714707E-5</v>
      </c>
      <c r="R1167" s="81">
        <v>1.3110304449640399E-2</v>
      </c>
      <c r="S1167" s="102">
        <v>3.0014102279197399E-2</v>
      </c>
      <c r="T1167" s="79">
        <v>1.4371856103650001E-2</v>
      </c>
      <c r="U1167" s="79">
        <v>3.68146132534279E-2</v>
      </c>
      <c r="V1167" s="79">
        <v>8.1415084662280507E-2</v>
      </c>
      <c r="W1167" s="79">
        <v>1</v>
      </c>
    </row>
    <row r="1168" spans="2:23" x14ac:dyDescent="0.2">
      <c r="B1168" t="s">
        <v>371</v>
      </c>
      <c r="C1168" s="84">
        <v>5023</v>
      </c>
      <c r="D1168" s="102">
        <v>-2.0349169937357799E-2</v>
      </c>
      <c r="E1168" s="79">
        <v>1.4513205581593599E-2</v>
      </c>
      <c r="F1168" s="79">
        <v>0.16094385898602501</v>
      </c>
      <c r="G1168" s="79">
        <v>0.81672751857704495</v>
      </c>
      <c r="H1168" s="79">
        <v>1</v>
      </c>
      <c r="I1168" s="102">
        <v>2.0980614968171201E-2</v>
      </c>
      <c r="J1168" s="79">
        <v>1.4455367724987799E-2</v>
      </c>
      <c r="K1168" s="79">
        <v>0.14673060961283901</v>
      </c>
      <c r="L1168" s="79">
        <v>0.59040772609061598</v>
      </c>
      <c r="M1168" s="79">
        <v>1</v>
      </c>
      <c r="N1168" s="107">
        <v>7.6612734127784202E-2</v>
      </c>
      <c r="O1168" s="81">
        <v>1.4302475380045599E-2</v>
      </c>
      <c r="P1168" s="81">
        <v>8.8654240521872594E-8</v>
      </c>
      <c r="Q1168" s="81">
        <v>1.47235572003973E-6</v>
      </c>
      <c r="R1168" s="81">
        <v>1.50180283444052E-4</v>
      </c>
      <c r="S1168" s="102">
        <v>5.4354067406199302E-2</v>
      </c>
      <c r="T1168" s="79">
        <v>1.4312246604219101E-2</v>
      </c>
      <c r="U1168" s="79">
        <v>1.47786255386505E-4</v>
      </c>
      <c r="V1168" s="79">
        <v>9.6288429471053701E-4</v>
      </c>
      <c r="W1168" s="79">
        <v>0.25034991662473999</v>
      </c>
    </row>
    <row r="1169" spans="2:23" x14ac:dyDescent="0.2">
      <c r="B1169" t="s">
        <v>372</v>
      </c>
      <c r="C1169" s="84">
        <v>5023</v>
      </c>
      <c r="D1169" s="102">
        <v>-2.5458420400601401E-3</v>
      </c>
      <c r="E1169" s="79">
        <v>1.4513116380462401E-2</v>
      </c>
      <c r="F1169" s="79">
        <v>0.86075961819263502</v>
      </c>
      <c r="G1169" s="79">
        <v>0.99362338620020496</v>
      </c>
      <c r="H1169" s="79">
        <v>1</v>
      </c>
      <c r="I1169" s="102">
        <v>3.7357503281036097E-2</v>
      </c>
      <c r="J1169" s="79">
        <v>1.4424480104649501E-2</v>
      </c>
      <c r="K1169" s="79">
        <v>9.6305249423909202E-3</v>
      </c>
      <c r="L1169" s="79">
        <v>0.193041426963559</v>
      </c>
      <c r="M1169" s="79">
        <v>1</v>
      </c>
      <c r="N1169" s="107">
        <v>8.4581946222542101E-2</v>
      </c>
      <c r="O1169" s="81">
        <v>1.4285033129166499E-2</v>
      </c>
      <c r="P1169" s="81">
        <v>3.4226509754248601E-9</v>
      </c>
      <c r="Q1169" s="81">
        <v>8.0527371560690494E-8</v>
      </c>
      <c r="R1169" s="81">
        <v>5.7979707523697104E-6</v>
      </c>
      <c r="S1169" s="102">
        <v>5.7161329417974797E-2</v>
      </c>
      <c r="T1169" s="79">
        <v>1.4297059711389899E-2</v>
      </c>
      <c r="U1169" s="79">
        <v>6.4809329399437504E-5</v>
      </c>
      <c r="V1169" s="79">
        <v>5.1543194367440002E-4</v>
      </c>
      <c r="W1169" s="79">
        <v>0.109787004002647</v>
      </c>
    </row>
    <row r="1170" spans="2:23" x14ac:dyDescent="0.2">
      <c r="B1170" t="s">
        <v>373</v>
      </c>
      <c r="C1170" s="84">
        <v>5023</v>
      </c>
      <c r="D1170" s="102">
        <v>-1.0069435503487899E-3</v>
      </c>
      <c r="E1170" s="79">
        <v>1.46290807788318E-2</v>
      </c>
      <c r="F1170" s="79">
        <v>0.94512652234961403</v>
      </c>
      <c r="G1170" s="79">
        <v>0.99840985319461195</v>
      </c>
      <c r="H1170" s="79">
        <v>1</v>
      </c>
      <c r="I1170" s="102">
        <v>-9.0428578189525807E-3</v>
      </c>
      <c r="J1170" s="79">
        <v>1.4538056552189101E-2</v>
      </c>
      <c r="K1170" s="79">
        <v>0.53396372178699503</v>
      </c>
      <c r="L1170" s="79">
        <v>0.84299584781656101</v>
      </c>
      <c r="M1170" s="79">
        <v>1</v>
      </c>
      <c r="N1170" s="102">
        <v>3.0762797069592701E-2</v>
      </c>
      <c r="O1170" s="79">
        <v>1.4436186461036799E-2</v>
      </c>
      <c r="P1170" s="79">
        <v>3.3144851254887697E-2</v>
      </c>
      <c r="Q1170" s="79">
        <v>7.2824096012684497E-2</v>
      </c>
      <c r="R1170" s="79">
        <v>1</v>
      </c>
      <c r="S1170" s="102">
        <v>4.5945323058182601E-2</v>
      </c>
      <c r="T1170" s="79">
        <v>1.44180356737037E-2</v>
      </c>
      <c r="U1170" s="79">
        <v>1.4486585020913E-3</v>
      </c>
      <c r="V1170" s="79">
        <v>6.0678614476573503E-3</v>
      </c>
      <c r="W1170" s="79">
        <v>1</v>
      </c>
    </row>
    <row r="1171" spans="2:23" x14ac:dyDescent="0.2">
      <c r="B1171" t="s">
        <v>374</v>
      </c>
      <c r="C1171" s="84">
        <v>5023</v>
      </c>
      <c r="D1171" s="102">
        <v>3.5513242078920201E-4</v>
      </c>
      <c r="E1171" s="79">
        <v>1.4596891489087801E-2</v>
      </c>
      <c r="F1171" s="79">
        <v>0.98059094527285495</v>
      </c>
      <c r="G1171" s="79">
        <v>0.99840985319461195</v>
      </c>
      <c r="H1171" s="79">
        <v>1</v>
      </c>
      <c r="I1171" s="102">
        <v>1.26227423941834E-2</v>
      </c>
      <c r="J1171" s="79">
        <v>1.4490948079259399E-2</v>
      </c>
      <c r="K1171" s="79">
        <v>0.38375626710801702</v>
      </c>
      <c r="L1171" s="79">
        <v>0.75782823609722505</v>
      </c>
      <c r="M1171" s="79">
        <v>1</v>
      </c>
      <c r="N1171" s="107">
        <v>7.01053723178892E-2</v>
      </c>
      <c r="O1171" s="81">
        <v>1.4355500950699899E-2</v>
      </c>
      <c r="P1171" s="81">
        <v>1.0767533315724101E-6</v>
      </c>
      <c r="Q1171" s="81">
        <v>1.3314015647326E-5</v>
      </c>
      <c r="R1171" s="81">
        <v>1.82402014368366E-3</v>
      </c>
      <c r="S1171" s="107">
        <v>7.9867757862853994E-2</v>
      </c>
      <c r="T1171" s="81">
        <v>1.43376692364821E-2</v>
      </c>
      <c r="U1171" s="81">
        <v>2.6812578258126201E-8</v>
      </c>
      <c r="V1171" s="81">
        <v>9.4626057435970405E-7</v>
      </c>
      <c r="W1171" s="81">
        <v>4.5420507569265801E-5</v>
      </c>
    </row>
    <row r="1172" spans="2:23" x14ac:dyDescent="0.2">
      <c r="B1172" t="s">
        <v>375</v>
      </c>
      <c r="C1172" s="84">
        <v>5022</v>
      </c>
      <c r="D1172" s="102">
        <v>-4.1107961533974002E-2</v>
      </c>
      <c r="E1172" s="79">
        <v>1.4591597527671E-2</v>
      </c>
      <c r="F1172" s="79">
        <v>4.8637594528772102E-3</v>
      </c>
      <c r="G1172" s="79">
        <v>0.358226457094522</v>
      </c>
      <c r="H1172" s="79">
        <v>1</v>
      </c>
      <c r="I1172" s="102">
        <v>2.09173153021503E-2</v>
      </c>
      <c r="J1172" s="79">
        <v>1.4503311425393199E-2</v>
      </c>
      <c r="K1172" s="79">
        <v>0.14930009853322401</v>
      </c>
      <c r="L1172" s="79">
        <v>0.592867466146905</v>
      </c>
      <c r="M1172" s="79">
        <v>1</v>
      </c>
      <c r="N1172" s="107">
        <v>6.0375178800955602E-2</v>
      </c>
      <c r="O1172" s="81">
        <v>1.4387141305491799E-2</v>
      </c>
      <c r="P1172" s="81">
        <v>2.7607871393396E-5</v>
      </c>
      <c r="Q1172" s="81">
        <v>2.2190541459157399E-4</v>
      </c>
      <c r="R1172" s="81">
        <v>4.6767734140412798E-2</v>
      </c>
      <c r="S1172" s="102">
        <v>5.1380528143881998E-2</v>
      </c>
      <c r="T1172" s="79">
        <v>1.4380723064755499E-2</v>
      </c>
      <c r="U1172" s="79">
        <v>3.5659287517394902E-4</v>
      </c>
      <c r="V1172" s="79">
        <v>1.9870668767916801E-3</v>
      </c>
      <c r="W1172" s="79">
        <v>0.60406833054467002</v>
      </c>
    </row>
    <row r="1173" spans="2:23" x14ac:dyDescent="0.2">
      <c r="B1173" t="s">
        <v>376</v>
      </c>
      <c r="C1173" s="84">
        <v>5022</v>
      </c>
      <c r="D1173" s="102">
        <v>8.3547037984100497E-3</v>
      </c>
      <c r="E1173" s="79">
        <v>1.46216157815676E-2</v>
      </c>
      <c r="F1173" s="79">
        <v>0.56775929070977504</v>
      </c>
      <c r="G1173" s="79">
        <v>0.93167796111031398</v>
      </c>
      <c r="H1173" s="79">
        <v>1</v>
      </c>
      <c r="I1173" s="102">
        <v>2.4099119463473099E-2</v>
      </c>
      <c r="J1173" s="79">
        <v>1.4522616883152E-2</v>
      </c>
      <c r="K1173" s="79">
        <v>9.7097400864099903E-2</v>
      </c>
      <c r="L1173" s="79">
        <v>0.51533423575627901</v>
      </c>
      <c r="M1173" s="79">
        <v>1</v>
      </c>
      <c r="N1173" s="107">
        <v>6.2589976308409803E-2</v>
      </c>
      <c r="O1173" s="81">
        <v>1.4400794920659101E-2</v>
      </c>
      <c r="P1173" s="81">
        <v>1.41351354906185E-5</v>
      </c>
      <c r="Q1173" s="81">
        <v>1.32292373044794E-4</v>
      </c>
      <c r="R1173" s="81">
        <v>2.3944919521107701E-2</v>
      </c>
      <c r="S1173" s="102">
        <v>4.6617501990236197E-2</v>
      </c>
      <c r="T1173" s="79">
        <v>1.44019587881221E-2</v>
      </c>
      <c r="U1173" s="79">
        <v>1.2166848990190901E-3</v>
      </c>
      <c r="V1173" s="79">
        <v>5.2311274592343601E-3</v>
      </c>
      <c r="W1173" s="79">
        <v>1</v>
      </c>
    </row>
    <row r="1174" spans="2:23" x14ac:dyDescent="0.2">
      <c r="B1174" t="s">
        <v>377</v>
      </c>
      <c r="C1174" s="84">
        <v>5022</v>
      </c>
      <c r="D1174" s="102">
        <v>-1.0489179011183699E-2</v>
      </c>
      <c r="E1174" s="79">
        <v>1.45498328026867E-2</v>
      </c>
      <c r="F1174" s="79">
        <v>0.47099689942912099</v>
      </c>
      <c r="G1174" s="79">
        <v>0.91151047511105199</v>
      </c>
      <c r="H1174" s="79">
        <v>1</v>
      </c>
      <c r="I1174" s="102">
        <v>1.7463834564248E-2</v>
      </c>
      <c r="J1174" s="79">
        <v>1.4476642084555199E-2</v>
      </c>
      <c r="K1174" s="79">
        <v>0.22774340724077799</v>
      </c>
      <c r="L1174" s="79">
        <v>0.66141104862732303</v>
      </c>
      <c r="M1174" s="79">
        <v>1</v>
      </c>
      <c r="N1174" s="107">
        <v>7.8809928215921199E-2</v>
      </c>
      <c r="O1174" s="81">
        <v>1.43365292738898E-2</v>
      </c>
      <c r="P1174" s="81">
        <v>4.0574219669959701E-8</v>
      </c>
      <c r="Q1174" s="81">
        <v>7.5530470462540403E-7</v>
      </c>
      <c r="R1174" s="81">
        <v>6.87327281209117E-5</v>
      </c>
      <c r="S1174" s="102">
        <v>5.8148716052757302E-2</v>
      </c>
      <c r="T1174" s="79">
        <v>1.43408514216831E-2</v>
      </c>
      <c r="U1174" s="79">
        <v>5.0972966330189701E-5</v>
      </c>
      <c r="V1174" s="79">
        <v>4.2959305951911103E-4</v>
      </c>
      <c r="W1174" s="79">
        <v>8.6348204963341293E-2</v>
      </c>
    </row>
    <row r="1175" spans="2:23" x14ac:dyDescent="0.2">
      <c r="B1175" t="s">
        <v>378</v>
      </c>
      <c r="C1175" s="84">
        <v>5023</v>
      </c>
      <c r="D1175" s="102">
        <v>1.35596645546932E-2</v>
      </c>
      <c r="E1175" s="79">
        <v>1.46910667712878E-2</v>
      </c>
      <c r="F1175" s="79">
        <v>0.35606119430796401</v>
      </c>
      <c r="G1175" s="79">
        <v>0.89461055933914202</v>
      </c>
      <c r="H1175" s="79">
        <v>1</v>
      </c>
      <c r="I1175" s="102">
        <v>-1.9794754390358701E-2</v>
      </c>
      <c r="J1175" s="79">
        <v>1.459988093986E-2</v>
      </c>
      <c r="K1175" s="79">
        <v>0.17522414548111701</v>
      </c>
      <c r="L1175" s="79">
        <v>0.61396896490869202</v>
      </c>
      <c r="M1175" s="79">
        <v>1</v>
      </c>
      <c r="N1175" s="102">
        <v>4.0432993491102201E-3</v>
      </c>
      <c r="O1175" s="79">
        <v>1.45086738642755E-2</v>
      </c>
      <c r="P1175" s="79">
        <v>0.78050165678174999</v>
      </c>
      <c r="Q1175" s="79">
        <v>0.85136497526611998</v>
      </c>
      <c r="R1175" s="79">
        <v>1</v>
      </c>
      <c r="S1175" s="102">
        <v>4.0469345040487499E-2</v>
      </c>
      <c r="T1175" s="79">
        <v>1.44773875007726E-2</v>
      </c>
      <c r="U1175" s="79">
        <v>5.2056834697152997E-3</v>
      </c>
      <c r="V1175" s="79">
        <v>1.6575992100935601E-2</v>
      </c>
      <c r="W1175" s="79">
        <v>1</v>
      </c>
    </row>
    <row r="1176" spans="2:23" x14ac:dyDescent="0.2">
      <c r="B1176" t="s">
        <v>379</v>
      </c>
      <c r="C1176" s="84">
        <v>201</v>
      </c>
      <c r="D1176" s="102">
        <v>1.9538741680004901E-2</v>
      </c>
      <c r="E1176" s="79">
        <v>1.4668397838909299E-2</v>
      </c>
      <c r="F1176" s="79">
        <v>0.18291437483049</v>
      </c>
      <c r="G1176" s="79">
        <v>0.83003013605610498</v>
      </c>
      <c r="H1176" s="79">
        <v>1</v>
      </c>
      <c r="I1176" s="102">
        <v>-1.10080141637733E-2</v>
      </c>
      <c r="J1176" s="79">
        <v>1.4579555643897299E-2</v>
      </c>
      <c r="K1176" s="79">
        <v>0.45026870202979802</v>
      </c>
      <c r="L1176" s="79">
        <v>0.79746066051088205</v>
      </c>
      <c r="M1176" s="79">
        <v>1</v>
      </c>
      <c r="N1176" s="102">
        <v>3.6736239667589002E-2</v>
      </c>
      <c r="O1176" s="79">
        <v>1.44744729993668E-2</v>
      </c>
      <c r="P1176" s="79">
        <v>1.1180917134599601E-2</v>
      </c>
      <c r="Q1176" s="79">
        <v>3.0402044343517998E-2</v>
      </c>
      <c r="R1176" s="79">
        <v>1</v>
      </c>
      <c r="S1176" s="102">
        <v>2.8584993708062199E-2</v>
      </c>
      <c r="T1176" s="79">
        <v>1.4461337572360899E-2</v>
      </c>
      <c r="U1176" s="79">
        <v>4.8139849847132397E-2</v>
      </c>
      <c r="V1176" s="79">
        <v>9.9087370159225099E-2</v>
      </c>
      <c r="W1176" s="79">
        <v>1</v>
      </c>
    </row>
    <row r="1177" spans="2:23" x14ac:dyDescent="0.2">
      <c r="B1177" t="s">
        <v>380</v>
      </c>
      <c r="C1177" s="84">
        <v>201</v>
      </c>
      <c r="D1177" s="102">
        <v>8.0473463185658806E-3</v>
      </c>
      <c r="E1177" s="79">
        <v>1.46130702814464E-2</v>
      </c>
      <c r="F1177" s="79">
        <v>0.58186867454747004</v>
      </c>
      <c r="G1177" s="79">
        <v>0.93785493309554202</v>
      </c>
      <c r="H1177" s="79">
        <v>1</v>
      </c>
      <c r="I1177" s="102">
        <v>8.9960443129410601E-3</v>
      </c>
      <c r="J1177" s="79">
        <v>1.4514141417026101E-2</v>
      </c>
      <c r="K1177" s="79">
        <v>0.53541172813808302</v>
      </c>
      <c r="L1177" s="79">
        <v>0.84449484866472302</v>
      </c>
      <c r="M1177" s="79">
        <v>1</v>
      </c>
      <c r="N1177" s="102">
        <v>-3.5582977954132498E-3</v>
      </c>
      <c r="O1177" s="79">
        <v>1.44264402025857E-2</v>
      </c>
      <c r="P1177" s="79">
        <v>0.80518905791848905</v>
      </c>
      <c r="Q1177" s="79">
        <v>0.864927244206671</v>
      </c>
      <c r="R1177" s="79">
        <v>1</v>
      </c>
      <c r="S1177" s="102">
        <v>2.04307204226046E-2</v>
      </c>
      <c r="T1177" s="79">
        <v>1.44073855812924E-2</v>
      </c>
      <c r="U1177" s="79">
        <v>0.156236029478976</v>
      </c>
      <c r="V1177" s="79">
        <v>0.251169072451153</v>
      </c>
      <c r="W1177" s="79">
        <v>1</v>
      </c>
    </row>
    <row r="1178" spans="2:23" x14ac:dyDescent="0.2">
      <c r="B1178" t="s">
        <v>381</v>
      </c>
      <c r="C1178" s="84">
        <v>1209</v>
      </c>
      <c r="D1178" s="102">
        <v>3.76679010826022E-2</v>
      </c>
      <c r="E1178" s="79">
        <v>1.4563478588133E-2</v>
      </c>
      <c r="F1178" s="79">
        <v>9.7257061050538204E-3</v>
      </c>
      <c r="G1178" s="79">
        <v>0.43356174057792601</v>
      </c>
      <c r="H1178" s="79">
        <v>1</v>
      </c>
      <c r="I1178" s="102">
        <v>2.34906445778632E-2</v>
      </c>
      <c r="J1178" s="79">
        <v>1.4480444189935901E-2</v>
      </c>
      <c r="K1178" s="79">
        <v>0.10482005299187699</v>
      </c>
      <c r="L1178" s="79">
        <v>0.53293803425049502</v>
      </c>
      <c r="M1178" s="79">
        <v>1</v>
      </c>
      <c r="N1178" s="102">
        <v>-2.122539391492E-2</v>
      </c>
      <c r="O1178" s="79">
        <v>1.4386615631179701E-2</v>
      </c>
      <c r="P1178" s="79">
        <v>0.14018260981439101</v>
      </c>
      <c r="Q1178" s="79">
        <v>0.22702613864778101</v>
      </c>
      <c r="R1178" s="79">
        <v>1</v>
      </c>
      <c r="S1178" s="102">
        <v>1.9701278322024E-2</v>
      </c>
      <c r="T1178" s="79">
        <v>1.4371034048095499E-2</v>
      </c>
      <c r="U1178" s="79">
        <v>0.17046998560877399</v>
      </c>
      <c r="V1178" s="79">
        <v>0.26763313773981801</v>
      </c>
      <c r="W1178" s="79">
        <v>1</v>
      </c>
    </row>
    <row r="1179" spans="2:23" x14ac:dyDescent="0.2">
      <c r="B1179" t="s">
        <v>382</v>
      </c>
      <c r="C1179" s="84">
        <v>106</v>
      </c>
      <c r="D1179" s="102">
        <v>-9.6953771542668005E-3</v>
      </c>
      <c r="E1179" s="79">
        <v>1.4593768860973501E-2</v>
      </c>
      <c r="F1179" s="79">
        <v>0.50649781347146305</v>
      </c>
      <c r="G1179" s="79">
        <v>0.91752655785263504</v>
      </c>
      <c r="H1179" s="79">
        <v>1</v>
      </c>
      <c r="I1179" s="102">
        <v>1.6326041635350001E-2</v>
      </c>
      <c r="J1179" s="79">
        <v>1.44950098312267E-2</v>
      </c>
      <c r="K1179" s="79">
        <v>0.26008630552505002</v>
      </c>
      <c r="L1179" s="79">
        <v>0.68025543872958705</v>
      </c>
      <c r="M1179" s="79">
        <v>1</v>
      </c>
      <c r="N1179" s="102">
        <v>1.91794791503344E-2</v>
      </c>
      <c r="O1179" s="79">
        <v>1.44039662426964E-2</v>
      </c>
      <c r="P1179" s="79">
        <v>0.18307446248044401</v>
      </c>
      <c r="Q1179" s="79">
        <v>0.28142299404888599</v>
      </c>
      <c r="R1179" s="79">
        <v>1</v>
      </c>
      <c r="S1179" s="102">
        <v>4.4270265952458601E-2</v>
      </c>
      <c r="T1179" s="79">
        <v>1.4376986421961301E-2</v>
      </c>
      <c r="U1179" s="79">
        <v>2.0870314955415202E-3</v>
      </c>
      <c r="V1179" s="79">
        <v>7.9626832284849895E-3</v>
      </c>
      <c r="W1179" s="79">
        <v>1</v>
      </c>
    </row>
    <row r="1180" spans="2:23" x14ac:dyDescent="0.2">
      <c r="B1180" t="s">
        <v>383</v>
      </c>
      <c r="C1180" s="84">
        <v>1220</v>
      </c>
      <c r="D1180" s="102">
        <v>-2.7627409626601301E-3</v>
      </c>
      <c r="E1180" s="79">
        <v>1.4554148871383E-2</v>
      </c>
      <c r="F1180" s="79">
        <v>0.849454223415258</v>
      </c>
      <c r="G1180" s="79">
        <v>0.99362338620020496</v>
      </c>
      <c r="H1180" s="79">
        <v>1</v>
      </c>
      <c r="I1180" s="102">
        <v>7.6152766957733103E-3</v>
      </c>
      <c r="J1180" s="79">
        <v>1.44472252858747E-2</v>
      </c>
      <c r="K1180" s="79">
        <v>0.59814155374562605</v>
      </c>
      <c r="L1180" s="79">
        <v>0.86877257647115202</v>
      </c>
      <c r="M1180" s="79">
        <v>1</v>
      </c>
      <c r="N1180" s="102">
        <v>3.46440784752984E-2</v>
      </c>
      <c r="O1180" s="79">
        <v>1.4344194079817201E-2</v>
      </c>
      <c r="P1180" s="79">
        <v>1.5763648989463998E-2</v>
      </c>
      <c r="Q1180" s="79">
        <v>4.0276955336579198E-2</v>
      </c>
      <c r="R1180" s="79">
        <v>1</v>
      </c>
      <c r="S1180" s="102">
        <v>4.2736259012125702E-2</v>
      </c>
      <c r="T1180" s="79">
        <v>1.4327353950942199E-2</v>
      </c>
      <c r="U1180" s="79">
        <v>2.8701245005313498E-3</v>
      </c>
      <c r="V1180" s="79">
        <v>1.0268508255618499E-2</v>
      </c>
      <c r="W1180" s="79">
        <v>1</v>
      </c>
    </row>
    <row r="1181" spans="2:23" x14ac:dyDescent="0.2">
      <c r="B1181" t="s">
        <v>384</v>
      </c>
      <c r="C1181" s="84">
        <v>106</v>
      </c>
      <c r="D1181" s="102">
        <v>1.8481922711778599E-2</v>
      </c>
      <c r="E1181" s="79">
        <v>1.4612097020184201E-2</v>
      </c>
      <c r="F1181" s="79">
        <v>0.205991583561596</v>
      </c>
      <c r="G1181" s="79">
        <v>0.83262187193959702</v>
      </c>
      <c r="H1181" s="79">
        <v>1</v>
      </c>
      <c r="I1181" s="102">
        <v>3.4299806249768403E-2</v>
      </c>
      <c r="J1181" s="79">
        <v>1.4504723612113E-2</v>
      </c>
      <c r="K1181" s="79">
        <v>1.8083582732660398E-2</v>
      </c>
      <c r="L1181" s="79">
        <v>0.26871569429058501</v>
      </c>
      <c r="M1181" s="79">
        <v>1</v>
      </c>
      <c r="N1181" s="102">
        <v>4.7305266173594603E-2</v>
      </c>
      <c r="O1181" s="79">
        <v>1.44024219690517E-2</v>
      </c>
      <c r="P1181" s="79">
        <v>1.02899097321987E-3</v>
      </c>
      <c r="Q1181" s="79">
        <v>4.5393508037355696E-3</v>
      </c>
      <c r="R1181" s="79">
        <v>1</v>
      </c>
      <c r="S1181" s="102">
        <v>5.7272235025510702E-2</v>
      </c>
      <c r="T1181" s="79">
        <v>1.43825672700822E-2</v>
      </c>
      <c r="U1181" s="79">
        <v>6.93491015321611E-5</v>
      </c>
      <c r="V1181" s="79">
        <v>5.4640640928130702E-4</v>
      </c>
      <c r="W1181" s="79">
        <v>0.117477377995481</v>
      </c>
    </row>
    <row r="1182" spans="2:23" x14ac:dyDescent="0.2">
      <c r="B1182" t="s">
        <v>385</v>
      </c>
      <c r="C1182" s="84">
        <v>1220</v>
      </c>
      <c r="D1182" s="102">
        <v>-2.0397781209393801E-2</v>
      </c>
      <c r="E1182" s="79">
        <v>1.4550794680159599E-2</v>
      </c>
      <c r="F1182" s="79">
        <v>0.161031281702912</v>
      </c>
      <c r="G1182" s="79">
        <v>0.81672751857704495</v>
      </c>
      <c r="H1182" s="79">
        <v>1</v>
      </c>
      <c r="I1182" s="102">
        <v>-9.5897500550538705E-3</v>
      </c>
      <c r="J1182" s="79">
        <v>1.44436999890386E-2</v>
      </c>
      <c r="K1182" s="79">
        <v>0.50676199375371</v>
      </c>
      <c r="L1182" s="79">
        <v>0.82306310394897897</v>
      </c>
      <c r="M1182" s="79">
        <v>1</v>
      </c>
      <c r="N1182" s="102">
        <v>3.3976521492655003E-2</v>
      </c>
      <c r="O1182" s="79">
        <v>1.43497686056472E-2</v>
      </c>
      <c r="P1182" s="79">
        <v>1.7938009115555899E-2</v>
      </c>
      <c r="Q1182" s="79">
        <v>4.4686746237870098E-2</v>
      </c>
      <c r="R1182" s="79">
        <v>1</v>
      </c>
      <c r="S1182" s="102">
        <v>3.5487549079737703E-2</v>
      </c>
      <c r="T1182" s="79">
        <v>1.43375584017738E-2</v>
      </c>
      <c r="U1182" s="79">
        <v>1.3353560575633E-2</v>
      </c>
      <c r="V1182" s="79">
        <v>3.52350959737108E-2</v>
      </c>
      <c r="W1182" s="79">
        <v>1</v>
      </c>
    </row>
    <row r="1183" spans="2:23" x14ac:dyDescent="0.2">
      <c r="B1183" t="s">
        <v>386</v>
      </c>
      <c r="C1183" s="84">
        <v>346</v>
      </c>
      <c r="D1183" s="102">
        <v>-3.4386137836630103E-2</v>
      </c>
      <c r="E1183" s="79">
        <v>1.45140858734701E-2</v>
      </c>
      <c r="F1183" s="79">
        <v>1.7867358264701899E-2</v>
      </c>
      <c r="G1183" s="79">
        <v>0.55550077810083998</v>
      </c>
      <c r="H1183" s="79">
        <v>1</v>
      </c>
      <c r="I1183" s="102">
        <v>2.04758880784289E-2</v>
      </c>
      <c r="J1183" s="79">
        <v>1.44201530125508E-2</v>
      </c>
      <c r="K1183" s="79">
        <v>0.15568670356314901</v>
      </c>
      <c r="L1183" s="79">
        <v>0.59601477595142704</v>
      </c>
      <c r="M1183" s="79">
        <v>1</v>
      </c>
      <c r="N1183" s="102">
        <v>4.4608223522899101E-2</v>
      </c>
      <c r="O1183" s="79">
        <v>1.4318626297209799E-2</v>
      </c>
      <c r="P1183" s="79">
        <v>1.84770456497408E-3</v>
      </c>
      <c r="Q1183" s="79">
        <v>7.06548878795957E-3</v>
      </c>
      <c r="R1183" s="79">
        <v>1</v>
      </c>
      <c r="S1183" s="102">
        <v>3.59280378642204E-2</v>
      </c>
      <c r="T1183" s="79">
        <v>1.43082033875639E-2</v>
      </c>
      <c r="U1183" s="79">
        <v>1.2070857614437099E-2</v>
      </c>
      <c r="V1183" s="79">
        <v>3.2560561781618598E-2</v>
      </c>
      <c r="W1183" s="79">
        <v>1</v>
      </c>
    </row>
    <row r="1184" spans="2:23" x14ac:dyDescent="0.2">
      <c r="B1184" t="s">
        <v>387</v>
      </c>
      <c r="C1184" s="84">
        <v>327</v>
      </c>
      <c r="D1184" s="102">
        <v>-2.42641589712436E-2</v>
      </c>
      <c r="E1184" s="79">
        <v>1.45250038902358E-2</v>
      </c>
      <c r="F1184" s="79">
        <v>9.4883758005652394E-2</v>
      </c>
      <c r="G1184" s="79">
        <v>0.765395647912263</v>
      </c>
      <c r="H1184" s="79">
        <v>1</v>
      </c>
      <c r="I1184" s="102">
        <v>-2.1999158735702799E-2</v>
      </c>
      <c r="J1184" s="79">
        <v>1.4429939110874699E-2</v>
      </c>
      <c r="K1184" s="79">
        <v>0.12743832620125001</v>
      </c>
      <c r="L1184" s="79">
        <v>0.55552266356551805</v>
      </c>
      <c r="M1184" s="79">
        <v>1</v>
      </c>
      <c r="N1184" s="107">
        <v>7.5505207267394001E-2</v>
      </c>
      <c r="O1184" s="81">
        <v>1.4304685122893001E-2</v>
      </c>
      <c r="P1184" s="81">
        <v>1.36148165479761E-7</v>
      </c>
      <c r="Q1184" s="81">
        <v>2.1554672179693E-6</v>
      </c>
      <c r="R1184" s="81">
        <v>2.3063499232271501E-4</v>
      </c>
      <c r="S1184" s="102">
        <v>5.1784468385577098E-2</v>
      </c>
      <c r="T1184" s="79">
        <v>1.43092293273868E-2</v>
      </c>
      <c r="U1184" s="79">
        <v>2.9886541851201399E-4</v>
      </c>
      <c r="V1184" s="79">
        <v>1.73978700673317E-3</v>
      </c>
      <c r="W1184" s="79">
        <v>0.50627801895935198</v>
      </c>
    </row>
    <row r="1185" spans="2:23" x14ac:dyDescent="0.2">
      <c r="B1185" t="s">
        <v>388</v>
      </c>
      <c r="C1185" s="84">
        <v>552</v>
      </c>
      <c r="D1185" s="102">
        <v>-1.05282927811291E-2</v>
      </c>
      <c r="E1185" s="79">
        <v>1.4527391022612499E-2</v>
      </c>
      <c r="F1185" s="79">
        <v>0.46865972365735098</v>
      </c>
      <c r="G1185" s="79">
        <v>0.91151047511105199</v>
      </c>
      <c r="H1185" s="79">
        <v>1</v>
      </c>
      <c r="I1185" s="102">
        <v>1.39541644101073E-2</v>
      </c>
      <c r="J1185" s="79">
        <v>1.4421063799317299E-2</v>
      </c>
      <c r="K1185" s="79">
        <v>0.333282916518504</v>
      </c>
      <c r="L1185" s="79">
        <v>0.726616808986288</v>
      </c>
      <c r="M1185" s="79">
        <v>1</v>
      </c>
      <c r="N1185" s="107">
        <v>6.0854359363103398E-2</v>
      </c>
      <c r="O1185" s="81">
        <v>1.43028251973227E-2</v>
      </c>
      <c r="P1185" s="81">
        <v>2.13455398493438E-5</v>
      </c>
      <c r="Q1185" s="81">
        <v>1.8448645155504301E-4</v>
      </c>
      <c r="R1185" s="81">
        <v>3.6159344504788402E-2</v>
      </c>
      <c r="S1185" s="102">
        <v>3.2207458082133301E-2</v>
      </c>
      <c r="T1185" s="79">
        <v>1.43097545978241E-2</v>
      </c>
      <c r="U1185" s="79">
        <v>2.44488058179224E-2</v>
      </c>
      <c r="V1185" s="79">
        <v>5.8168928448821003E-2</v>
      </c>
      <c r="W1185" s="79">
        <v>1</v>
      </c>
    </row>
    <row r="1186" spans="2:23" x14ac:dyDescent="0.2">
      <c r="B1186" t="s">
        <v>389</v>
      </c>
      <c r="C1186" s="84">
        <v>1215</v>
      </c>
      <c r="D1186" s="102">
        <v>-2.5494507496791202E-2</v>
      </c>
      <c r="E1186" s="79">
        <v>1.4521256739477901E-2</v>
      </c>
      <c r="F1186" s="79">
        <v>7.9209028092868602E-2</v>
      </c>
      <c r="G1186" s="79">
        <v>0.73538141425839998</v>
      </c>
      <c r="H1186" s="79">
        <v>1</v>
      </c>
      <c r="I1186" s="102">
        <v>7.1230733733798901E-3</v>
      </c>
      <c r="J1186" s="79">
        <v>1.44409895208325E-2</v>
      </c>
      <c r="K1186" s="79">
        <v>0.62185629238663498</v>
      </c>
      <c r="L1186" s="79">
        <v>0.87748013759880805</v>
      </c>
      <c r="M1186" s="79">
        <v>1</v>
      </c>
      <c r="N1186" s="107">
        <v>9.3621166955354496E-2</v>
      </c>
      <c r="O1186" s="81">
        <v>1.42869975834255E-2</v>
      </c>
      <c r="P1186" s="81">
        <v>6.24473218865199E-11</v>
      </c>
      <c r="Q1186" s="81">
        <v>2.2507609207609501E-9</v>
      </c>
      <c r="R1186" s="81">
        <v>1.05785763275765E-7</v>
      </c>
      <c r="S1186" s="102">
        <v>5.3233181691960799E-2</v>
      </c>
      <c r="T1186" s="79">
        <v>1.4310380359510599E-2</v>
      </c>
      <c r="U1186" s="79">
        <v>2.0161120223649801E-4</v>
      </c>
      <c r="V1186" s="79">
        <v>1.26492361699492E-3</v>
      </c>
      <c r="W1186" s="79">
        <v>0.34152937658862798</v>
      </c>
    </row>
    <row r="1187" spans="2:23" x14ac:dyDescent="0.2">
      <c r="B1187" t="s">
        <v>390</v>
      </c>
      <c r="C1187" s="84">
        <v>1218</v>
      </c>
      <c r="D1187" s="102">
        <v>1.77803348515327E-2</v>
      </c>
      <c r="E1187" s="79">
        <v>1.4507800060466199E-2</v>
      </c>
      <c r="F1187" s="79">
        <v>0.220423819513695</v>
      </c>
      <c r="G1187" s="79">
        <v>0.84071215771938901</v>
      </c>
      <c r="H1187" s="79">
        <v>1</v>
      </c>
      <c r="I1187" s="102">
        <v>1.5265247285862199E-2</v>
      </c>
      <c r="J1187" s="79">
        <v>1.43881087412567E-2</v>
      </c>
      <c r="K1187" s="79">
        <v>0.288764836888666</v>
      </c>
      <c r="L1187" s="79">
        <v>0.70313889593145995</v>
      </c>
      <c r="M1187" s="79">
        <v>1</v>
      </c>
      <c r="N1187" s="102">
        <v>4.3425126402312803E-2</v>
      </c>
      <c r="O1187" s="79">
        <v>1.42780458890639E-2</v>
      </c>
      <c r="P1187" s="79">
        <v>2.3686652236226502E-3</v>
      </c>
      <c r="Q1187" s="79">
        <v>8.5657487029292493E-3</v>
      </c>
      <c r="R1187" s="79">
        <v>1</v>
      </c>
      <c r="S1187" s="102">
        <v>4.4668554801263E-2</v>
      </c>
      <c r="T1187" s="79">
        <v>1.42765854437176E-2</v>
      </c>
      <c r="U1187" s="79">
        <v>1.76648757136287E-3</v>
      </c>
      <c r="V1187" s="79">
        <v>7.0576177969073201E-3</v>
      </c>
      <c r="W1187" s="79">
        <v>1</v>
      </c>
    </row>
    <row r="1188" spans="2:23" x14ac:dyDescent="0.2">
      <c r="B1188" t="s">
        <v>391</v>
      </c>
      <c r="C1188" s="84">
        <v>396</v>
      </c>
      <c r="D1188" s="102">
        <v>-3.6120240782842497E-2</v>
      </c>
      <c r="E1188" s="79">
        <v>1.4609951440681E-2</v>
      </c>
      <c r="F1188" s="79">
        <v>1.34590202676368E-2</v>
      </c>
      <c r="G1188" s="79">
        <v>0.51179689736838596</v>
      </c>
      <c r="H1188" s="79">
        <v>1</v>
      </c>
      <c r="I1188" s="102">
        <v>1.2450722181708901E-2</v>
      </c>
      <c r="J1188" s="79">
        <v>1.45276393393198E-2</v>
      </c>
      <c r="K1188" s="79">
        <v>0.39146814082234299</v>
      </c>
      <c r="L1188" s="79">
        <v>0.76088358311707605</v>
      </c>
      <c r="M1188" s="79">
        <v>1</v>
      </c>
      <c r="N1188" s="107">
        <v>7.29472509660367E-2</v>
      </c>
      <c r="O1188" s="81">
        <v>1.44064725798399E-2</v>
      </c>
      <c r="P1188" s="81">
        <v>4.2720326438783801E-7</v>
      </c>
      <c r="Q1188" s="81">
        <v>5.9808457014297304E-6</v>
      </c>
      <c r="R1188" s="81">
        <v>7.2368232987299796E-4</v>
      </c>
      <c r="S1188" s="107">
        <v>6.9323779608310404E-2</v>
      </c>
      <c r="T1188" s="81">
        <v>1.4390165946762699E-2</v>
      </c>
      <c r="U1188" s="81">
        <v>1.4994003072569499E-6</v>
      </c>
      <c r="V1188" s="81">
        <v>2.5399841204932699E-5</v>
      </c>
      <c r="W1188" s="81">
        <v>2.5399841204932702E-3</v>
      </c>
    </row>
    <row r="1189" spans="2:23" x14ac:dyDescent="0.2">
      <c r="B1189" t="s">
        <v>392</v>
      </c>
      <c r="C1189" s="84">
        <v>1209</v>
      </c>
      <c r="D1189" s="102">
        <v>-2.1378897502584E-2</v>
      </c>
      <c r="E1189" s="79">
        <v>1.46146834053831E-2</v>
      </c>
      <c r="F1189" s="79">
        <v>0.14357853118774699</v>
      </c>
      <c r="G1189" s="79">
        <v>0.80938271582532695</v>
      </c>
      <c r="H1189" s="79">
        <v>1</v>
      </c>
      <c r="I1189" s="102">
        <v>1.01372039678245E-2</v>
      </c>
      <c r="J1189" s="79">
        <v>1.45218597622541E-2</v>
      </c>
      <c r="K1189" s="79">
        <v>0.48517152412521403</v>
      </c>
      <c r="L1189" s="79">
        <v>0.81053309848926303</v>
      </c>
      <c r="M1189" s="79">
        <v>1</v>
      </c>
      <c r="N1189" s="102">
        <v>4.2241355964140699E-2</v>
      </c>
      <c r="O1189" s="79">
        <v>1.4421045575263001E-2</v>
      </c>
      <c r="P1189" s="79">
        <v>3.41541173854569E-3</v>
      </c>
      <c r="Q1189" s="79">
        <v>1.15946041785499E-2</v>
      </c>
      <c r="R1189" s="79">
        <v>1</v>
      </c>
      <c r="S1189" s="102">
        <v>2.74437901830141E-2</v>
      </c>
      <c r="T1189" s="79">
        <v>1.44134058719132E-2</v>
      </c>
      <c r="U1189" s="79">
        <v>5.6965520235253302E-2</v>
      </c>
      <c r="V1189" s="79">
        <v>0.113395524416591</v>
      </c>
      <c r="W1189" s="79">
        <v>1</v>
      </c>
    </row>
    <row r="1190" spans="2:23" x14ac:dyDescent="0.2">
      <c r="B1190" t="s">
        <v>393</v>
      </c>
      <c r="C1190" s="84">
        <v>1209</v>
      </c>
      <c r="D1190" s="102">
        <v>2.80773389304756E-2</v>
      </c>
      <c r="E1190" s="79">
        <v>1.4668577268759499E-2</v>
      </c>
      <c r="F1190" s="79">
        <v>5.5664899102591897E-2</v>
      </c>
      <c r="G1190" s="79">
        <v>0.71261997111332298</v>
      </c>
      <c r="H1190" s="79">
        <v>1</v>
      </c>
      <c r="I1190" s="102">
        <v>1.3227319260248499E-2</v>
      </c>
      <c r="J1190" s="79">
        <v>1.4588085810422599E-2</v>
      </c>
      <c r="K1190" s="79">
        <v>0.36460081560068403</v>
      </c>
      <c r="L1190" s="79">
        <v>0.74593451887386297</v>
      </c>
      <c r="M1190" s="79">
        <v>1</v>
      </c>
      <c r="N1190" s="102">
        <v>3.2576190650664097E-2</v>
      </c>
      <c r="O1190" s="79">
        <v>1.4483988242573201E-2</v>
      </c>
      <c r="P1190" s="79">
        <v>2.4550772608617599E-2</v>
      </c>
      <c r="Q1190" s="79">
        <v>5.7127759339283303E-2</v>
      </c>
      <c r="R1190" s="79">
        <v>1</v>
      </c>
      <c r="S1190" s="107">
        <v>7.8862153400645105E-2</v>
      </c>
      <c r="T1190" s="81">
        <v>1.44287240301656E-2</v>
      </c>
      <c r="U1190" s="81">
        <v>4.8488790754163902E-8</v>
      </c>
      <c r="V1190" s="81">
        <v>1.41620709547506E-6</v>
      </c>
      <c r="W1190" s="81">
        <v>8.2140011537553705E-5</v>
      </c>
    </row>
    <row r="1191" spans="2:23" x14ac:dyDescent="0.2">
      <c r="B1191" t="s">
        <v>394</v>
      </c>
      <c r="C1191" s="84">
        <v>1220</v>
      </c>
      <c r="D1191" s="102">
        <v>-1.6899648268834999E-2</v>
      </c>
      <c r="E1191" s="79">
        <v>1.4547411441379899E-2</v>
      </c>
      <c r="F1191" s="79">
        <v>0.24542039252807901</v>
      </c>
      <c r="G1191" s="79">
        <v>0.85990749347533801</v>
      </c>
      <c r="H1191" s="79">
        <v>1</v>
      </c>
      <c r="I1191" s="102">
        <v>-2.6533983273950301E-2</v>
      </c>
      <c r="J1191" s="79">
        <v>1.44353720809488E-2</v>
      </c>
      <c r="K1191" s="79">
        <v>6.6111360255640295E-2</v>
      </c>
      <c r="L1191" s="79">
        <v>0.43517978594622803</v>
      </c>
      <c r="M1191" s="79">
        <v>1</v>
      </c>
      <c r="N1191" s="102">
        <v>4.5414965307105502E-2</v>
      </c>
      <c r="O1191" s="79">
        <v>1.43362967933214E-2</v>
      </c>
      <c r="P1191" s="79">
        <v>1.5462055213288899E-3</v>
      </c>
      <c r="Q1191" s="79">
        <v>6.2812281849667596E-3</v>
      </c>
      <c r="R1191" s="79">
        <v>1</v>
      </c>
      <c r="S1191" s="107">
        <v>6.11717594907117E-2</v>
      </c>
      <c r="T1191" s="81">
        <v>1.4309766273366199E-2</v>
      </c>
      <c r="U1191" s="81">
        <v>1.95270470172466E-5</v>
      </c>
      <c r="V1191" s="81">
        <v>2.08042878284376E-4</v>
      </c>
      <c r="W1191" s="81">
        <v>3.3078817647215701E-2</v>
      </c>
    </row>
    <row r="1192" spans="2:23" x14ac:dyDescent="0.2">
      <c r="B1192" t="s">
        <v>395</v>
      </c>
      <c r="C1192" s="84">
        <v>154</v>
      </c>
      <c r="D1192" s="102">
        <v>-1.33431474977335E-2</v>
      </c>
      <c r="E1192" s="79">
        <v>1.4663706975676099E-2</v>
      </c>
      <c r="F1192" s="79">
        <v>0.36289869409695003</v>
      </c>
      <c r="G1192" s="79">
        <v>0.89461055933914202</v>
      </c>
      <c r="H1192" s="79">
        <v>1</v>
      </c>
      <c r="I1192" s="102">
        <v>1.5260260630457099E-2</v>
      </c>
      <c r="J1192" s="79">
        <v>1.4574615871784199E-2</v>
      </c>
      <c r="K1192" s="79">
        <v>0.29513426578074498</v>
      </c>
      <c r="L1192" s="79">
        <v>0.70592340946629695</v>
      </c>
      <c r="M1192" s="79">
        <v>1</v>
      </c>
      <c r="N1192" s="102">
        <v>3.7431916164198997E-2</v>
      </c>
      <c r="O1192" s="79">
        <v>1.44739307944265E-2</v>
      </c>
      <c r="P1192" s="79">
        <v>9.7352652681358797E-3</v>
      </c>
      <c r="Q1192" s="79">
        <v>2.7258742750780499E-2</v>
      </c>
      <c r="R1192" s="79">
        <v>1</v>
      </c>
      <c r="S1192" s="102">
        <v>5.5686187061767103E-2</v>
      </c>
      <c r="T1192" s="79">
        <v>1.4441058880079301E-2</v>
      </c>
      <c r="U1192" s="79">
        <v>1.16766547490688E-4</v>
      </c>
      <c r="V1192" s="79">
        <v>7.9438767650291404E-4</v>
      </c>
      <c r="W1192" s="79">
        <v>0.19780253144922599</v>
      </c>
    </row>
    <row r="1193" spans="2:23" x14ac:dyDescent="0.2">
      <c r="B1193" t="s">
        <v>396</v>
      </c>
      <c r="C1193" s="84">
        <v>154</v>
      </c>
      <c r="D1193" s="102">
        <v>-2.3866711976879101E-2</v>
      </c>
      <c r="E1193" s="79">
        <v>1.45532467833201E-2</v>
      </c>
      <c r="F1193" s="79">
        <v>0.101080258523432</v>
      </c>
      <c r="G1193" s="79">
        <v>0.79641840901718097</v>
      </c>
      <c r="H1193" s="79">
        <v>1</v>
      </c>
      <c r="I1193" s="102">
        <v>-1.51255386075761E-2</v>
      </c>
      <c r="J1193" s="79">
        <v>1.4446547100603301E-2</v>
      </c>
      <c r="K1193" s="79">
        <v>0.29515376222277201</v>
      </c>
      <c r="L1193" s="79">
        <v>0.70592340946629695</v>
      </c>
      <c r="M1193" s="79">
        <v>1</v>
      </c>
      <c r="N1193" s="102">
        <v>5.82090498398386E-2</v>
      </c>
      <c r="O1193" s="79">
        <v>1.4326722790630001E-2</v>
      </c>
      <c r="P1193" s="79">
        <v>4.9246638939459801E-5</v>
      </c>
      <c r="Q1193" s="79">
        <v>3.7748328671241999E-4</v>
      </c>
      <c r="R1193" s="79">
        <v>8.3423806363444902E-2</v>
      </c>
      <c r="S1193" s="107">
        <v>6.1234758538922601E-2</v>
      </c>
      <c r="T1193" s="81">
        <v>1.43170280223741E-2</v>
      </c>
      <c r="U1193" s="81">
        <v>1.9313993467546699E-5</v>
      </c>
      <c r="V1193" s="81">
        <v>2.07075347683697E-4</v>
      </c>
      <c r="W1193" s="81">
        <v>3.27179049340241E-2</v>
      </c>
    </row>
    <row r="1194" spans="2:23" x14ac:dyDescent="0.2">
      <c r="B1194" t="s">
        <v>397</v>
      </c>
      <c r="C1194" s="84">
        <v>1209</v>
      </c>
      <c r="D1194" s="102">
        <v>-7.1711016069496104E-3</v>
      </c>
      <c r="E1194" s="79">
        <v>1.46031188070775E-2</v>
      </c>
      <c r="F1194" s="79">
        <v>0.62340374145769895</v>
      </c>
      <c r="G1194" s="79">
        <v>0.95468997501837705</v>
      </c>
      <c r="H1194" s="79">
        <v>1</v>
      </c>
      <c r="I1194" s="102">
        <v>7.6655280462042898E-4</v>
      </c>
      <c r="J1194" s="79">
        <v>1.44958539651662E-2</v>
      </c>
      <c r="K1194" s="79">
        <v>0.95782932880595395</v>
      </c>
      <c r="L1194" s="79">
        <v>0.99421745281696505</v>
      </c>
      <c r="M1194" s="79">
        <v>1</v>
      </c>
      <c r="N1194" s="102">
        <v>2.13617706655937E-2</v>
      </c>
      <c r="O1194" s="79">
        <v>1.44054267055668E-2</v>
      </c>
      <c r="P1194" s="79">
        <v>0.13817462346486301</v>
      </c>
      <c r="Q1194" s="79">
        <v>0.22441784482212701</v>
      </c>
      <c r="R1194" s="79">
        <v>1</v>
      </c>
      <c r="S1194" s="102">
        <v>5.2564629635298801E-2</v>
      </c>
      <c r="T1194" s="79">
        <v>1.4384440685054701E-2</v>
      </c>
      <c r="U1194" s="79">
        <v>2.6093791826443897E-4</v>
      </c>
      <c r="V1194" s="79">
        <v>1.5455553620278299E-3</v>
      </c>
      <c r="W1194" s="79">
        <v>0.44202883353995998</v>
      </c>
    </row>
    <row r="1195" spans="2:23" x14ac:dyDescent="0.2">
      <c r="B1195" t="s">
        <v>398</v>
      </c>
      <c r="C1195" s="84">
        <v>115</v>
      </c>
      <c r="D1195" s="102">
        <v>4.3139395794593999E-2</v>
      </c>
      <c r="E1195" s="79">
        <v>1.45914860714507E-2</v>
      </c>
      <c r="F1195" s="79">
        <v>3.12727681505058E-3</v>
      </c>
      <c r="G1195" s="79">
        <v>0.260700983878355</v>
      </c>
      <c r="H1195" s="79">
        <v>1</v>
      </c>
      <c r="I1195" s="102">
        <v>8.2524954391750005E-3</v>
      </c>
      <c r="J1195" s="79">
        <v>1.44973396535302E-2</v>
      </c>
      <c r="K1195" s="79">
        <v>0.56921981364729102</v>
      </c>
      <c r="L1195" s="79">
        <v>0.85878159627519401</v>
      </c>
      <c r="M1195" s="79">
        <v>1</v>
      </c>
      <c r="N1195" s="102">
        <v>1.9449678602827699E-2</v>
      </c>
      <c r="O1195" s="79">
        <v>1.4408742688922199E-2</v>
      </c>
      <c r="P1195" s="79">
        <v>0.17712956035924199</v>
      </c>
      <c r="Q1195" s="79">
        <v>0.27477790773677302</v>
      </c>
      <c r="R1195" s="79">
        <v>1</v>
      </c>
      <c r="S1195" s="107">
        <v>8.1717287259336593E-2</v>
      </c>
      <c r="T1195" s="81">
        <v>1.43426133516469E-2</v>
      </c>
      <c r="U1195" s="81">
        <v>1.29107138183275E-8</v>
      </c>
      <c r="V1195" s="81">
        <v>5.0862207461038996E-7</v>
      </c>
      <c r="W1195" s="81">
        <v>2.1870749208246799E-5</v>
      </c>
    </row>
    <row r="1196" spans="2:23" x14ac:dyDescent="0.2">
      <c r="B1196" t="s">
        <v>399</v>
      </c>
      <c r="C1196" s="84">
        <v>115</v>
      </c>
      <c r="D1196" s="102">
        <v>2.1357710117427101E-2</v>
      </c>
      <c r="E1196" s="79">
        <v>1.4561273678656299E-2</v>
      </c>
      <c r="F1196" s="79">
        <v>0.14251214104408499</v>
      </c>
      <c r="G1196" s="79">
        <v>0.80938271582532695</v>
      </c>
      <c r="H1196" s="79">
        <v>1</v>
      </c>
      <c r="I1196" s="102">
        <v>-2.8487815639320598E-3</v>
      </c>
      <c r="J1196" s="79">
        <v>1.44550666651167E-2</v>
      </c>
      <c r="K1196" s="79">
        <v>0.84377494490971805</v>
      </c>
      <c r="L1196" s="79">
        <v>0.95812349699803201</v>
      </c>
      <c r="M1196" s="79">
        <v>1</v>
      </c>
      <c r="N1196" s="102">
        <v>1.9311046586762699E-2</v>
      </c>
      <c r="O1196" s="79">
        <v>1.43561967042895E-2</v>
      </c>
      <c r="P1196" s="79">
        <v>0.17864758446821299</v>
      </c>
      <c r="Q1196" s="79">
        <v>0.27658323023787201</v>
      </c>
      <c r="R1196" s="79">
        <v>1</v>
      </c>
      <c r="S1196" s="107">
        <v>6.1802480512735403E-2</v>
      </c>
      <c r="T1196" s="81">
        <v>1.43210074729677E-2</v>
      </c>
      <c r="U1196" s="81">
        <v>1.6256550542753101E-5</v>
      </c>
      <c r="V1196" s="81">
        <v>1.7591206290998201E-4</v>
      </c>
      <c r="W1196" s="81">
        <v>2.7538596619423799E-2</v>
      </c>
    </row>
    <row r="1197" spans="2:23" x14ac:dyDescent="0.2">
      <c r="B1197" t="s">
        <v>400</v>
      </c>
      <c r="C1197" s="84">
        <v>335</v>
      </c>
      <c r="D1197" s="102">
        <v>2.1760751341380301E-2</v>
      </c>
      <c r="E1197" s="79">
        <v>1.45654176382262E-2</v>
      </c>
      <c r="F1197" s="79">
        <v>0.13524398476549199</v>
      </c>
      <c r="G1197" s="79">
        <v>0.80938271582532695</v>
      </c>
      <c r="H1197" s="79">
        <v>1</v>
      </c>
      <c r="I1197" s="102">
        <v>1.33388646845787E-2</v>
      </c>
      <c r="J1197" s="79">
        <v>1.44494933155997E-2</v>
      </c>
      <c r="K1197" s="79">
        <v>0.35598546596895603</v>
      </c>
      <c r="L1197" s="79">
        <v>0.74482453015727901</v>
      </c>
      <c r="M1197" s="79">
        <v>1</v>
      </c>
      <c r="N1197" s="102">
        <v>-2.5713816321889401E-2</v>
      </c>
      <c r="O1197" s="79">
        <v>1.43568707645061E-2</v>
      </c>
      <c r="P1197" s="79">
        <v>7.3353374086119902E-2</v>
      </c>
      <c r="Q1197" s="79">
        <v>0.138529114494857</v>
      </c>
      <c r="R1197" s="79">
        <v>1</v>
      </c>
      <c r="S1197" s="102">
        <v>4.2107246207217001E-2</v>
      </c>
      <c r="T1197" s="79">
        <v>1.4338188421582999E-2</v>
      </c>
      <c r="U1197" s="79">
        <v>3.3337399641611902E-3</v>
      </c>
      <c r="V1197" s="79">
        <v>1.1716505185247E-2</v>
      </c>
      <c r="W1197" s="79">
        <v>1</v>
      </c>
    </row>
    <row r="1198" spans="2:23" x14ac:dyDescent="0.2">
      <c r="B1198" t="s">
        <v>401</v>
      </c>
      <c r="C1198" s="84">
        <v>115</v>
      </c>
      <c r="D1198" s="102">
        <v>-2.4374398771782699E-2</v>
      </c>
      <c r="E1198" s="79">
        <v>1.46478187863256E-2</v>
      </c>
      <c r="F1198" s="79">
        <v>9.6173515960667796E-2</v>
      </c>
      <c r="G1198" s="79">
        <v>0.769098967758997</v>
      </c>
      <c r="H1198" s="79">
        <v>1</v>
      </c>
      <c r="I1198" s="102">
        <v>1.7951992972031702E-2</v>
      </c>
      <c r="J1198" s="79">
        <v>1.45608548498216E-2</v>
      </c>
      <c r="K1198" s="79">
        <v>0.21767882333489699</v>
      </c>
      <c r="L1198" s="79">
        <v>0.65149810376204198</v>
      </c>
      <c r="M1198" s="79">
        <v>1</v>
      </c>
      <c r="N1198" s="102">
        <v>2.40071764690938E-2</v>
      </c>
      <c r="O1198" s="79">
        <v>1.44639427706564E-2</v>
      </c>
      <c r="P1198" s="79">
        <v>9.7023920096564104E-2</v>
      </c>
      <c r="Q1198" s="79">
        <v>0.17037285006888001</v>
      </c>
      <c r="R1198" s="79">
        <v>1</v>
      </c>
      <c r="S1198" s="102">
        <v>2.6125611626997999E-2</v>
      </c>
      <c r="T1198" s="79">
        <v>1.4448577136109499E-2</v>
      </c>
      <c r="U1198" s="79">
        <v>7.06438348140557E-2</v>
      </c>
      <c r="V1198" s="79">
        <v>0.13356100019532399</v>
      </c>
      <c r="W1198" s="79">
        <v>1</v>
      </c>
    </row>
    <row r="1199" spans="2:23" x14ac:dyDescent="0.2">
      <c r="B1199" t="s">
        <v>402</v>
      </c>
      <c r="C1199" s="84">
        <v>1209</v>
      </c>
      <c r="D1199" s="102">
        <v>-9.9848051960309096E-3</v>
      </c>
      <c r="E1199" s="79">
        <v>1.47004471854707E-2</v>
      </c>
      <c r="F1199" s="79">
        <v>0.49703257824583602</v>
      </c>
      <c r="G1199" s="79">
        <v>0.91718212151246903</v>
      </c>
      <c r="H1199" s="79">
        <v>1</v>
      </c>
      <c r="I1199" s="102">
        <v>9.1589959034296103E-3</v>
      </c>
      <c r="J1199" s="79">
        <v>1.46308870475462E-2</v>
      </c>
      <c r="K1199" s="79">
        <v>0.531342582336639</v>
      </c>
      <c r="L1199" s="79">
        <v>0.83997995029907901</v>
      </c>
      <c r="M1199" s="79">
        <v>1</v>
      </c>
      <c r="N1199" s="102">
        <v>2.0782730136684101E-2</v>
      </c>
      <c r="O1199" s="79">
        <v>1.4527456789034301E-2</v>
      </c>
      <c r="P1199" s="79">
        <v>0.15261556348768299</v>
      </c>
      <c r="Q1199" s="79">
        <v>0.24298004186854799</v>
      </c>
      <c r="R1199" s="79">
        <v>1</v>
      </c>
      <c r="S1199" s="102">
        <v>5.7782033642065501E-2</v>
      </c>
      <c r="T1199" s="79">
        <v>1.4488823168034799E-2</v>
      </c>
      <c r="U1199" s="79">
        <v>6.7624753841204806E-5</v>
      </c>
      <c r="V1199" s="79">
        <v>5.3530996732243405E-4</v>
      </c>
      <c r="W1199" s="79">
        <v>0.11455633300700099</v>
      </c>
    </row>
    <row r="1200" spans="2:23" x14ac:dyDescent="0.2">
      <c r="B1200" t="s">
        <v>403</v>
      </c>
      <c r="C1200" s="84">
        <v>1209</v>
      </c>
      <c r="D1200" s="102">
        <v>-5.5536977219485001E-2</v>
      </c>
      <c r="E1200" s="79">
        <v>1.46343980494066E-2</v>
      </c>
      <c r="F1200" s="79">
        <v>1.4945575970149201E-4</v>
      </c>
      <c r="G1200" s="79">
        <v>8.3417519310952704E-2</v>
      </c>
      <c r="H1200" s="79">
        <v>0.25317805693432699</v>
      </c>
      <c r="I1200" s="102">
        <v>-8.2920492986768603E-3</v>
      </c>
      <c r="J1200" s="79">
        <v>1.4587166591333601E-2</v>
      </c>
      <c r="K1200" s="79">
        <v>0.56975716178843905</v>
      </c>
      <c r="L1200" s="79">
        <v>0.85878159627519401</v>
      </c>
      <c r="M1200" s="79">
        <v>1</v>
      </c>
      <c r="N1200" s="102">
        <v>3.7309780476932203E-2</v>
      </c>
      <c r="O1200" s="79">
        <v>1.4476561657870601E-2</v>
      </c>
      <c r="P1200" s="79">
        <v>9.9881695499315307E-3</v>
      </c>
      <c r="Q1200" s="79">
        <v>2.7737638061613099E-2</v>
      </c>
      <c r="R1200" s="79">
        <v>1</v>
      </c>
      <c r="S1200" s="102">
        <v>1.8686546917643699E-2</v>
      </c>
      <c r="T1200" s="79">
        <v>1.4467950242127801E-2</v>
      </c>
      <c r="U1200" s="79">
        <v>0.196563604294507</v>
      </c>
      <c r="V1200" s="79">
        <v>0.29703723967430401</v>
      </c>
      <c r="W1200" s="79">
        <v>1</v>
      </c>
    </row>
    <row r="1201" spans="2:23" x14ac:dyDescent="0.2">
      <c r="B1201" t="s">
        <v>404</v>
      </c>
      <c r="C1201" s="84">
        <v>189</v>
      </c>
      <c r="D1201" s="102">
        <v>-8.2713722994135902E-3</v>
      </c>
      <c r="E1201" s="79">
        <v>1.46313767533319E-2</v>
      </c>
      <c r="F1201" s="79">
        <v>0.571885136953176</v>
      </c>
      <c r="G1201" s="79">
        <v>0.93281728622651605</v>
      </c>
      <c r="H1201" s="79">
        <v>1</v>
      </c>
      <c r="I1201" s="102">
        <v>-1.0241453772039299E-3</v>
      </c>
      <c r="J1201" s="79">
        <v>1.4535803732964101E-2</v>
      </c>
      <c r="K1201" s="79">
        <v>0.943833237500452</v>
      </c>
      <c r="L1201" s="79">
        <v>0.98938954475604302</v>
      </c>
      <c r="M1201" s="79">
        <v>1</v>
      </c>
      <c r="N1201" s="102">
        <v>2.0539545824837999E-2</v>
      </c>
      <c r="O1201" s="79">
        <v>1.44431216182478E-2</v>
      </c>
      <c r="P1201" s="79">
        <v>0.15506576891309301</v>
      </c>
      <c r="Q1201" s="79">
        <v>0.245726297978278</v>
      </c>
      <c r="R1201" s="79">
        <v>1</v>
      </c>
      <c r="S1201" s="102">
        <v>3.3844253158217999E-2</v>
      </c>
      <c r="T1201" s="79">
        <v>1.44195925694647E-2</v>
      </c>
      <c r="U1201" s="79">
        <v>1.8962433260327701E-2</v>
      </c>
      <c r="V1201" s="79">
        <v>4.6962517460519201E-2</v>
      </c>
      <c r="W1201" s="79">
        <v>1</v>
      </c>
    </row>
    <row r="1202" spans="2:23" x14ac:dyDescent="0.2">
      <c r="B1202" t="s">
        <v>405</v>
      </c>
      <c r="C1202" s="84">
        <v>188</v>
      </c>
      <c r="D1202" s="102">
        <v>-1.54952309641455E-2</v>
      </c>
      <c r="E1202" s="79">
        <v>1.4625957598747999E-2</v>
      </c>
      <c r="F1202" s="79">
        <v>0.28945633907301799</v>
      </c>
      <c r="G1202" s="79">
        <v>0.86861170490914397</v>
      </c>
      <c r="H1202" s="79">
        <v>1</v>
      </c>
      <c r="I1202" s="102">
        <v>-1.2894001755747E-2</v>
      </c>
      <c r="J1202" s="79">
        <v>1.4529268090760401E-2</v>
      </c>
      <c r="K1202" s="79">
        <v>0.37488245351593702</v>
      </c>
      <c r="L1202" s="79">
        <v>0.75612407354447997</v>
      </c>
      <c r="M1202" s="79">
        <v>1</v>
      </c>
      <c r="N1202" s="102">
        <v>2.7744519569828201E-2</v>
      </c>
      <c r="O1202" s="79">
        <v>1.4430885989863499E-2</v>
      </c>
      <c r="P1202" s="79">
        <v>5.4593852304969402E-2</v>
      </c>
      <c r="Q1202" s="79">
        <v>0.10867448390671899</v>
      </c>
      <c r="R1202" s="79">
        <v>1</v>
      </c>
      <c r="S1202" s="102">
        <v>4.8288338536365799E-2</v>
      </c>
      <c r="T1202" s="79">
        <v>1.4399377368311801E-2</v>
      </c>
      <c r="U1202" s="79">
        <v>8.0431332459112099E-4</v>
      </c>
      <c r="V1202" s="79">
        <v>3.77425698575446E-3</v>
      </c>
      <c r="W1202" s="79">
        <v>1</v>
      </c>
    </row>
    <row r="1203" spans="2:23" x14ac:dyDescent="0.2">
      <c r="B1203" t="s">
        <v>406</v>
      </c>
      <c r="C1203" s="84">
        <v>115</v>
      </c>
      <c r="D1203" s="102">
        <v>-1.73228180377594E-2</v>
      </c>
      <c r="E1203" s="79">
        <v>1.4647478682868999E-2</v>
      </c>
      <c r="F1203" s="79">
        <v>0.23700849470786001</v>
      </c>
      <c r="G1203" s="79">
        <v>0.85383558790471104</v>
      </c>
      <c r="H1203" s="79">
        <v>1</v>
      </c>
      <c r="I1203" s="102">
        <v>-4.6938960158891601E-3</v>
      </c>
      <c r="J1203" s="79">
        <v>1.45579611303653E-2</v>
      </c>
      <c r="K1203" s="79">
        <v>0.74714311959028801</v>
      </c>
      <c r="L1203" s="79">
        <v>0.91967633960533601</v>
      </c>
      <c r="M1203" s="79">
        <v>1</v>
      </c>
      <c r="N1203" s="102">
        <v>4.19064056792883E-2</v>
      </c>
      <c r="O1203" s="79">
        <v>1.44529050166439E-2</v>
      </c>
      <c r="P1203" s="79">
        <v>3.7550742366498002E-3</v>
      </c>
      <c r="Q1203" s="79">
        <v>1.26212217398507E-2</v>
      </c>
      <c r="R1203" s="79">
        <v>1</v>
      </c>
      <c r="S1203" s="102">
        <v>3.66327662128655E-2</v>
      </c>
      <c r="T1203" s="79">
        <v>1.4443845513064201E-2</v>
      </c>
      <c r="U1203" s="79">
        <v>1.1238253727456E-2</v>
      </c>
      <c r="V1203" s="79">
        <v>3.1005866147085399E-2</v>
      </c>
      <c r="W1203" s="79">
        <v>1</v>
      </c>
    </row>
    <row r="1204" spans="2:23" x14ac:dyDescent="0.2">
      <c r="B1204" t="s">
        <v>408</v>
      </c>
      <c r="C1204" s="84">
        <v>232</v>
      </c>
      <c r="D1204" s="102">
        <v>2.5174947965809699E-3</v>
      </c>
      <c r="E1204" s="79">
        <v>1.45272640221067E-2</v>
      </c>
      <c r="F1204" s="79">
        <v>0.86242781223242304</v>
      </c>
      <c r="G1204" s="79">
        <v>0.99362338620020496</v>
      </c>
      <c r="H1204" s="79">
        <v>1</v>
      </c>
      <c r="I1204" s="102">
        <v>-6.4829560066438701E-3</v>
      </c>
      <c r="J1204" s="79">
        <v>1.44051261849697E-2</v>
      </c>
      <c r="K1204" s="79">
        <v>0.65270052895608699</v>
      </c>
      <c r="L1204" s="79">
        <v>0.88374695918109603</v>
      </c>
      <c r="M1204" s="79">
        <v>1</v>
      </c>
      <c r="N1204" s="102">
        <v>-8.6062436292339995E-3</v>
      </c>
      <c r="O1204" s="79">
        <v>1.43155310011444E-2</v>
      </c>
      <c r="P1204" s="79">
        <v>0.54775015482611</v>
      </c>
      <c r="Q1204" s="79">
        <v>0.65954164348361399</v>
      </c>
      <c r="R1204" s="79">
        <v>1</v>
      </c>
      <c r="S1204" s="102">
        <v>-6.0965529908275102E-3</v>
      </c>
      <c r="T1204" s="79">
        <v>1.4307428595066901E-2</v>
      </c>
      <c r="U1204" s="79">
        <v>0.67004788321157105</v>
      </c>
      <c r="V1204" s="79">
        <v>0.73849129093064503</v>
      </c>
      <c r="W1204" s="79">
        <v>1</v>
      </c>
    </row>
    <row r="1205" spans="2:23" x14ac:dyDescent="0.2">
      <c r="B1205" t="s">
        <v>409</v>
      </c>
      <c r="C1205" s="84">
        <v>1209</v>
      </c>
      <c r="D1205" s="102">
        <v>-2.33463913575182E-2</v>
      </c>
      <c r="E1205" s="79">
        <v>1.45919609703506E-2</v>
      </c>
      <c r="F1205" s="79">
        <v>0.109678710766739</v>
      </c>
      <c r="G1205" s="79">
        <v>0.80938271582532695</v>
      </c>
      <c r="H1205" s="79">
        <v>1</v>
      </c>
      <c r="I1205" s="102">
        <v>-7.8606694912554901E-3</v>
      </c>
      <c r="J1205" s="79">
        <v>1.44957166604196E-2</v>
      </c>
      <c r="K1205" s="79">
        <v>0.58765591189698496</v>
      </c>
      <c r="L1205" s="79">
        <v>0.86627788689256002</v>
      </c>
      <c r="M1205" s="79">
        <v>1</v>
      </c>
      <c r="N1205" s="102">
        <v>1.59309178726725E-2</v>
      </c>
      <c r="O1205" s="79">
        <v>1.44070676783164E-2</v>
      </c>
      <c r="P1205" s="79">
        <v>0.26888467196941801</v>
      </c>
      <c r="Q1205" s="79">
        <v>0.381541307778758</v>
      </c>
      <c r="R1205" s="79">
        <v>1</v>
      </c>
      <c r="S1205" s="102">
        <v>1.9588727036367999E-2</v>
      </c>
      <c r="T1205" s="79">
        <v>1.43928805612545E-2</v>
      </c>
      <c r="U1205" s="79">
        <v>0.173581031405316</v>
      </c>
      <c r="V1205" s="79">
        <v>0.27076083535967299</v>
      </c>
      <c r="W1205" s="79">
        <v>1</v>
      </c>
    </row>
    <row r="1206" spans="2:23" x14ac:dyDescent="0.2">
      <c r="B1206" t="s">
        <v>410</v>
      </c>
      <c r="C1206" s="84">
        <v>1209</v>
      </c>
      <c r="D1206" s="102">
        <v>-3.64409575050983E-3</v>
      </c>
      <c r="E1206" s="79">
        <v>1.45813740990027E-2</v>
      </c>
      <c r="F1206" s="79">
        <v>0.80266460211971002</v>
      </c>
      <c r="G1206" s="79">
        <v>0.99362338620020496</v>
      </c>
      <c r="H1206" s="79">
        <v>1</v>
      </c>
      <c r="I1206" s="102">
        <v>5.2324366538638502E-3</v>
      </c>
      <c r="J1206" s="79">
        <v>1.44679943104514E-2</v>
      </c>
      <c r="K1206" s="79">
        <v>0.71762600062374604</v>
      </c>
      <c r="L1206" s="79">
        <v>0.91424734896672399</v>
      </c>
      <c r="M1206" s="79">
        <v>1</v>
      </c>
      <c r="N1206" s="102">
        <v>3.7837200654594998E-2</v>
      </c>
      <c r="O1206" s="79">
        <v>1.4361322117954401E-2</v>
      </c>
      <c r="P1206" s="79">
        <v>8.4507482528729198E-3</v>
      </c>
      <c r="Q1206" s="79">
        <v>2.4555004357404299E-2</v>
      </c>
      <c r="R1206" s="79">
        <v>1</v>
      </c>
      <c r="S1206" s="102">
        <v>2.18460163275646E-2</v>
      </c>
      <c r="T1206" s="79">
        <v>1.4362319367243401E-2</v>
      </c>
      <c r="U1206" s="79">
        <v>0.128312636474712</v>
      </c>
      <c r="V1206" s="79">
        <v>0.21542280097934799</v>
      </c>
      <c r="W1206" s="79">
        <v>1</v>
      </c>
    </row>
    <row r="1207" spans="2:23" x14ac:dyDescent="0.2">
      <c r="B1207" t="s">
        <v>411</v>
      </c>
      <c r="C1207" s="84">
        <v>1209</v>
      </c>
      <c r="D1207" s="102">
        <v>-2.2996434233599702E-2</v>
      </c>
      <c r="E1207" s="79">
        <v>1.45523038626663E-2</v>
      </c>
      <c r="F1207" s="79">
        <v>0.114117332942618</v>
      </c>
      <c r="G1207" s="79">
        <v>0.80938271582532695</v>
      </c>
      <c r="H1207" s="79">
        <v>1</v>
      </c>
      <c r="I1207" s="102">
        <v>-3.2812510322626297E-2</v>
      </c>
      <c r="J1207" s="79">
        <v>1.44279697648805E-2</v>
      </c>
      <c r="K1207" s="79">
        <v>2.30004833546931E-2</v>
      </c>
      <c r="L1207" s="79">
        <v>0.30376275693374599</v>
      </c>
      <c r="M1207" s="79">
        <v>1</v>
      </c>
      <c r="N1207" s="102">
        <v>2.5498490137702799E-2</v>
      </c>
      <c r="O1207" s="79">
        <v>1.43410246803094E-2</v>
      </c>
      <c r="P1207" s="79">
        <v>7.5471585739614599E-2</v>
      </c>
      <c r="Q1207" s="79">
        <v>0.14126946546177599</v>
      </c>
      <c r="R1207" s="79">
        <v>1</v>
      </c>
      <c r="S1207" s="102">
        <v>-7.0425396896262298E-3</v>
      </c>
      <c r="T1207" s="79">
        <v>1.43390991995813E-2</v>
      </c>
      <c r="U1207" s="79">
        <v>0.623350042027639</v>
      </c>
      <c r="V1207" s="79">
        <v>0.70396998079654705</v>
      </c>
      <c r="W1207" s="79">
        <v>1</v>
      </c>
    </row>
    <row r="1208" spans="2:23" x14ac:dyDescent="0.2">
      <c r="B1208" t="s">
        <v>412</v>
      </c>
      <c r="C1208" s="84">
        <v>138</v>
      </c>
      <c r="D1208" s="102">
        <v>-1.5461124264791799E-2</v>
      </c>
      <c r="E1208" s="79">
        <v>1.4520784457031401E-2</v>
      </c>
      <c r="F1208" s="79">
        <v>0.28703811533325602</v>
      </c>
      <c r="G1208" s="79">
        <v>0.86861170490914397</v>
      </c>
      <c r="H1208" s="79">
        <v>1</v>
      </c>
      <c r="I1208" s="102">
        <v>1.8449357653248299E-2</v>
      </c>
      <c r="J1208" s="79">
        <v>1.44180469937507E-2</v>
      </c>
      <c r="K1208" s="79">
        <v>0.20074672264898299</v>
      </c>
      <c r="L1208" s="79">
        <v>0.64163197767429703</v>
      </c>
      <c r="M1208" s="79">
        <v>1</v>
      </c>
      <c r="N1208" s="102">
        <v>5.11009771486306E-2</v>
      </c>
      <c r="O1208" s="79">
        <v>1.4312505917878899E-2</v>
      </c>
      <c r="P1208" s="79">
        <v>3.5993609949369702E-4</v>
      </c>
      <c r="Q1208" s="79">
        <v>1.96807250274198E-3</v>
      </c>
      <c r="R1208" s="79">
        <v>0.60973175254232304</v>
      </c>
      <c r="S1208" s="102">
        <v>4.1516463800846497E-2</v>
      </c>
      <c r="T1208" s="79">
        <v>1.4305003566535E-2</v>
      </c>
      <c r="U1208" s="79">
        <v>3.7218240210763502E-3</v>
      </c>
      <c r="V1208" s="79">
        <v>1.2762692088468299E-2</v>
      </c>
      <c r="W1208" s="79">
        <v>1</v>
      </c>
    </row>
    <row r="1209" spans="2:23" x14ac:dyDescent="0.2">
      <c r="B1209" t="s">
        <v>413</v>
      </c>
      <c r="C1209" s="84">
        <v>1220</v>
      </c>
      <c r="D1209" s="102">
        <v>-3.3333608244800403E-2</v>
      </c>
      <c r="E1209" s="79">
        <v>1.45708764652407E-2</v>
      </c>
      <c r="F1209" s="79">
        <v>2.2199916006162401E-2</v>
      </c>
      <c r="G1209" s="79">
        <v>0.56979784415816803</v>
      </c>
      <c r="H1209" s="79">
        <v>1</v>
      </c>
      <c r="I1209" s="102">
        <v>-1.12622713067588E-2</v>
      </c>
      <c r="J1209" s="79">
        <v>1.44772728688438E-2</v>
      </c>
      <c r="K1209" s="79">
        <v>0.436651629201387</v>
      </c>
      <c r="L1209" s="79">
        <v>0.78893272642295398</v>
      </c>
      <c r="M1209" s="79">
        <v>1</v>
      </c>
      <c r="N1209" s="102">
        <v>2.8355414614985499E-2</v>
      </c>
      <c r="O1209" s="79">
        <v>1.4384321347184301E-2</v>
      </c>
      <c r="P1209" s="79">
        <v>4.8752178481516702E-2</v>
      </c>
      <c r="Q1209" s="79">
        <v>9.8787309028336504E-2</v>
      </c>
      <c r="R1209" s="79">
        <v>1</v>
      </c>
      <c r="S1209" s="102">
        <v>2.9368539963263201E-2</v>
      </c>
      <c r="T1209" s="79">
        <v>1.4364786514927501E-2</v>
      </c>
      <c r="U1209" s="79">
        <v>4.0962300087866298E-2</v>
      </c>
      <c r="V1209" s="79">
        <v>8.7503324525656401E-2</v>
      </c>
      <c r="W1209" s="79">
        <v>1</v>
      </c>
    </row>
    <row r="1210" spans="2:23" x14ac:dyDescent="0.2">
      <c r="B1210" t="s">
        <v>414</v>
      </c>
      <c r="C1210" s="84">
        <v>1220</v>
      </c>
      <c r="D1210" s="102">
        <v>-1.1462397981989499E-2</v>
      </c>
      <c r="E1210" s="79">
        <v>1.4500611008796601E-2</v>
      </c>
      <c r="F1210" s="79">
        <v>0.429288680590175</v>
      </c>
      <c r="G1210" s="79">
        <v>0.90113385987578298</v>
      </c>
      <c r="H1210" s="79">
        <v>1</v>
      </c>
      <c r="I1210" s="102">
        <v>7.55759685097153E-3</v>
      </c>
      <c r="J1210" s="79">
        <v>1.4412386586725201E-2</v>
      </c>
      <c r="K1210" s="79">
        <v>0.60003772991218896</v>
      </c>
      <c r="L1210" s="79">
        <v>0.86877257647115202</v>
      </c>
      <c r="M1210" s="79">
        <v>1</v>
      </c>
      <c r="N1210" s="107">
        <v>0.118894823289197</v>
      </c>
      <c r="O1210" s="81">
        <v>1.42148656871208E-2</v>
      </c>
      <c r="P1210" s="81">
        <v>7.8997785814196597E-17</v>
      </c>
      <c r="Q1210" s="81">
        <v>1.4869138796583202E-14</v>
      </c>
      <c r="R1210" s="81">
        <v>1.3382224916924901E-13</v>
      </c>
      <c r="S1210" s="102">
        <v>5.9034896432447803E-2</v>
      </c>
      <c r="T1210" s="79">
        <v>1.4274620668574701E-2</v>
      </c>
      <c r="U1210" s="79">
        <v>3.6012967405867599E-5</v>
      </c>
      <c r="V1210" s="79">
        <v>3.3336593871879602E-4</v>
      </c>
      <c r="W1210" s="79">
        <v>6.1005966785539698E-2</v>
      </c>
    </row>
    <row r="1211" spans="2:23" x14ac:dyDescent="0.2">
      <c r="B1211" t="s">
        <v>415</v>
      </c>
      <c r="C1211" s="84">
        <v>1220</v>
      </c>
      <c r="D1211" s="102">
        <v>-3.6115507024700199E-3</v>
      </c>
      <c r="E1211" s="79">
        <v>1.4592920099262E-2</v>
      </c>
      <c r="F1211" s="79">
        <v>0.80454292040687203</v>
      </c>
      <c r="G1211" s="79">
        <v>0.99362338620020496</v>
      </c>
      <c r="H1211" s="79">
        <v>1</v>
      </c>
      <c r="I1211" s="102">
        <v>-7.4160723289567604E-3</v>
      </c>
      <c r="J1211" s="79">
        <v>1.4483809089814399E-2</v>
      </c>
      <c r="K1211" s="79">
        <v>0.608659161462065</v>
      </c>
      <c r="L1211" s="79">
        <v>0.87455910458575803</v>
      </c>
      <c r="M1211" s="79">
        <v>1</v>
      </c>
      <c r="N1211" s="102">
        <v>2.4455359687726001E-2</v>
      </c>
      <c r="O1211" s="79">
        <v>1.4389442752753299E-2</v>
      </c>
      <c r="P1211" s="79">
        <v>8.9288573082809505E-2</v>
      </c>
      <c r="Q1211" s="79">
        <v>0.160058034711407</v>
      </c>
      <c r="R1211" s="79">
        <v>1</v>
      </c>
      <c r="S1211" s="102">
        <v>3.1995260698973203E-2</v>
      </c>
      <c r="T1211" s="79">
        <v>1.43731450545932E-2</v>
      </c>
      <c r="U1211" s="79">
        <v>2.6060886456336901E-2</v>
      </c>
      <c r="V1211" s="79">
        <v>6.1744254065782801E-2</v>
      </c>
      <c r="W1211" s="79">
        <v>1</v>
      </c>
    </row>
    <row r="1212" spans="2:23" x14ac:dyDescent="0.2">
      <c r="B1212" t="s">
        <v>416</v>
      </c>
      <c r="C1212" s="84">
        <v>132</v>
      </c>
      <c r="D1212" s="102">
        <v>-1.5265472394099901E-2</v>
      </c>
      <c r="E1212" s="79">
        <v>1.46474888534712E-2</v>
      </c>
      <c r="F1212" s="79">
        <v>0.29737589604752501</v>
      </c>
      <c r="G1212" s="79">
        <v>0.87846938063621105</v>
      </c>
      <c r="H1212" s="79">
        <v>1</v>
      </c>
      <c r="I1212" s="102">
        <v>1.2371191020852299E-2</v>
      </c>
      <c r="J1212" s="79">
        <v>1.45662271984058E-2</v>
      </c>
      <c r="K1212" s="79">
        <v>0.39575387688717401</v>
      </c>
      <c r="L1212" s="79">
        <v>0.76304312491983595</v>
      </c>
      <c r="M1212" s="79">
        <v>1</v>
      </c>
      <c r="N1212" s="102">
        <v>2.20459427614988E-2</v>
      </c>
      <c r="O1212" s="79">
        <v>1.44697912900332E-2</v>
      </c>
      <c r="P1212" s="79">
        <v>0.127679202819312</v>
      </c>
      <c r="Q1212" s="79">
        <v>0.21113492635220299</v>
      </c>
      <c r="R1212" s="79">
        <v>1</v>
      </c>
      <c r="S1212" s="102">
        <v>3.7305985323525297E-2</v>
      </c>
      <c r="T1212" s="79">
        <v>1.44445229196898E-2</v>
      </c>
      <c r="U1212" s="79">
        <v>9.8324636548021097E-3</v>
      </c>
      <c r="V1212" s="79">
        <v>2.7899821492855598E-2</v>
      </c>
      <c r="W1212" s="79">
        <v>1</v>
      </c>
    </row>
    <row r="1213" spans="2:23" x14ac:dyDescent="0.2">
      <c r="B1213" t="s">
        <v>417</v>
      </c>
      <c r="C1213" s="84">
        <v>132</v>
      </c>
      <c r="D1213" s="102">
        <v>-8.7344543841514806E-3</v>
      </c>
      <c r="E1213" s="79">
        <v>1.46029602577251E-2</v>
      </c>
      <c r="F1213" s="79">
        <v>0.549782411480918</v>
      </c>
      <c r="G1213" s="79">
        <v>0.929472460128418</v>
      </c>
      <c r="H1213" s="79">
        <v>1</v>
      </c>
      <c r="I1213" s="102">
        <v>-2.3155730344467801E-2</v>
      </c>
      <c r="J1213" s="79">
        <v>1.4494799613327799E-2</v>
      </c>
      <c r="K1213" s="79">
        <v>0.110217691020882</v>
      </c>
      <c r="L1213" s="79">
        <v>0.53622641688935602</v>
      </c>
      <c r="M1213" s="79">
        <v>1</v>
      </c>
      <c r="N1213" s="102">
        <v>1.82587193292847E-2</v>
      </c>
      <c r="O1213" s="79">
        <v>1.4406845529902901E-2</v>
      </c>
      <c r="P1213" s="79">
        <v>0.205088254184005</v>
      </c>
      <c r="Q1213" s="79">
        <v>0.308442894306724</v>
      </c>
      <c r="R1213" s="79">
        <v>1</v>
      </c>
      <c r="S1213" s="102">
        <v>1.35668390110785E-2</v>
      </c>
      <c r="T1213" s="79">
        <v>1.43932843678026E-2</v>
      </c>
      <c r="U1213" s="79">
        <v>0.34594368435089601</v>
      </c>
      <c r="V1213" s="79">
        <v>0.463630222539888</v>
      </c>
      <c r="W1213" s="79">
        <v>1</v>
      </c>
    </row>
    <row r="1214" spans="2:23" x14ac:dyDescent="0.2">
      <c r="B1214" t="s">
        <v>418</v>
      </c>
      <c r="C1214" s="84">
        <v>132</v>
      </c>
      <c r="D1214" s="102">
        <v>-2.6424929328381298E-3</v>
      </c>
      <c r="E1214" s="79">
        <v>1.46243572458585E-2</v>
      </c>
      <c r="F1214" s="79">
        <v>0.85661771211397397</v>
      </c>
      <c r="G1214" s="79">
        <v>0.99362338620020496</v>
      </c>
      <c r="H1214" s="79">
        <v>1</v>
      </c>
      <c r="I1214" s="102">
        <v>-9.7091215879892504E-3</v>
      </c>
      <c r="J1214" s="79">
        <v>1.45205288996757E-2</v>
      </c>
      <c r="K1214" s="79">
        <v>0.50375345458454301</v>
      </c>
      <c r="L1214" s="79">
        <v>0.82233649204368997</v>
      </c>
      <c r="M1214" s="79">
        <v>1</v>
      </c>
      <c r="N1214" s="102">
        <v>4.8162988440604099E-2</v>
      </c>
      <c r="O1214" s="79">
        <v>1.4415152362833999E-2</v>
      </c>
      <c r="P1214" s="79">
        <v>8.40941615220557E-4</v>
      </c>
      <c r="Q1214" s="79">
        <v>3.8089708454107601E-3</v>
      </c>
      <c r="R1214" s="79">
        <v>1</v>
      </c>
      <c r="S1214" s="102">
        <v>5.2163950282231003E-2</v>
      </c>
      <c r="T1214" s="79">
        <v>1.44007662796252E-2</v>
      </c>
      <c r="U1214" s="79">
        <v>2.9509231314439599E-4</v>
      </c>
      <c r="V1214" s="79">
        <v>1.72374613264347E-3</v>
      </c>
      <c r="W1214" s="79">
        <v>0.499886378466607</v>
      </c>
    </row>
    <row r="1215" spans="2:23" x14ac:dyDescent="0.2">
      <c r="B1215" t="s">
        <v>419</v>
      </c>
      <c r="C1215" s="84">
        <v>132</v>
      </c>
      <c r="D1215" s="102">
        <v>1.16369766085725E-3</v>
      </c>
      <c r="E1215" s="79">
        <v>1.4431650337321999E-2</v>
      </c>
      <c r="F1215" s="79">
        <v>0.93573583243892799</v>
      </c>
      <c r="G1215" s="79">
        <v>0.99840985319461195</v>
      </c>
      <c r="H1215" s="79">
        <v>1</v>
      </c>
      <c r="I1215" s="102">
        <v>1.12992637932479E-2</v>
      </c>
      <c r="J1215" s="79">
        <v>1.42996213490366E-2</v>
      </c>
      <c r="K1215" s="79">
        <v>0.42946750509496701</v>
      </c>
      <c r="L1215" s="79">
        <v>0.78480901146804105</v>
      </c>
      <c r="M1215" s="79">
        <v>1</v>
      </c>
      <c r="N1215" s="102">
        <v>4.0716775516092797E-2</v>
      </c>
      <c r="O1215" s="79">
        <v>1.4196692375004E-2</v>
      </c>
      <c r="P1215" s="79">
        <v>4.1505765875025202E-3</v>
      </c>
      <c r="Q1215" s="79">
        <v>1.3674520437765399E-2</v>
      </c>
      <c r="R1215" s="79">
        <v>1</v>
      </c>
      <c r="S1215" s="102">
        <v>5.2295581335280499E-2</v>
      </c>
      <c r="T1215" s="79">
        <v>1.41778180914808E-2</v>
      </c>
      <c r="U1215" s="79">
        <v>2.2833218940287401E-4</v>
      </c>
      <c r="V1215" s="79">
        <v>1.40143017698721E-3</v>
      </c>
      <c r="W1215" s="79">
        <v>0.38679472884846899</v>
      </c>
    </row>
    <row r="1216" spans="2:23" x14ac:dyDescent="0.2">
      <c r="B1216" t="s">
        <v>420</v>
      </c>
      <c r="C1216" s="84">
        <v>132</v>
      </c>
      <c r="D1216" s="102">
        <v>9.7621111568659807E-3</v>
      </c>
      <c r="E1216" s="79">
        <v>1.45924980828924E-2</v>
      </c>
      <c r="F1216" s="79">
        <v>0.50353915217197698</v>
      </c>
      <c r="G1216" s="79">
        <v>0.91752655785263504</v>
      </c>
      <c r="H1216" s="79">
        <v>1</v>
      </c>
      <c r="I1216" s="102">
        <v>2.2750210636343901E-2</v>
      </c>
      <c r="J1216" s="79">
        <v>1.4496254672518499E-2</v>
      </c>
      <c r="K1216" s="79">
        <v>0.11662422860714999</v>
      </c>
      <c r="L1216" s="79">
        <v>0.54991179036125304</v>
      </c>
      <c r="M1216" s="79">
        <v>1</v>
      </c>
      <c r="N1216" s="102">
        <v>4.3588918413931699E-2</v>
      </c>
      <c r="O1216" s="79">
        <v>1.43943612717366E-2</v>
      </c>
      <c r="P1216" s="79">
        <v>2.4732570366817002E-3</v>
      </c>
      <c r="Q1216" s="79">
        <v>8.8390240931198304E-3</v>
      </c>
      <c r="R1216" s="79">
        <v>1</v>
      </c>
      <c r="S1216" s="102">
        <v>5.1817460910921702E-2</v>
      </c>
      <c r="T1216" s="79">
        <v>1.4374201837765501E-2</v>
      </c>
      <c r="U1216" s="79">
        <v>3.1544254514652398E-4</v>
      </c>
      <c r="V1216" s="79">
        <v>1.80526916039936E-3</v>
      </c>
      <c r="W1216" s="79">
        <v>0.53435967147821195</v>
      </c>
    </row>
    <row r="1217" spans="2:23" x14ac:dyDescent="0.2">
      <c r="B1217" t="s">
        <v>421</v>
      </c>
      <c r="C1217" s="84">
        <v>132</v>
      </c>
      <c r="D1217" s="102">
        <v>-1.62979369715128E-2</v>
      </c>
      <c r="E1217" s="79">
        <v>1.46080980987758E-2</v>
      </c>
      <c r="F1217" s="79">
        <v>0.26461646053948901</v>
      </c>
      <c r="G1217" s="79">
        <v>0.85990749347533801</v>
      </c>
      <c r="H1217" s="79">
        <v>1</v>
      </c>
      <c r="I1217" s="102">
        <v>-5.8571833005693101E-3</v>
      </c>
      <c r="J1217" s="79">
        <v>1.45100493908949E-2</v>
      </c>
      <c r="K1217" s="79">
        <v>0.68647844320228502</v>
      </c>
      <c r="L1217" s="79">
        <v>0.89660330206990801</v>
      </c>
      <c r="M1217" s="79">
        <v>1</v>
      </c>
      <c r="N1217" s="102">
        <v>3.0268532619402402E-2</v>
      </c>
      <c r="O1217" s="79">
        <v>1.4414041806802599E-2</v>
      </c>
      <c r="P1217" s="79">
        <v>3.5788089432195899E-2</v>
      </c>
      <c r="Q1217" s="79">
        <v>7.6740536073594795E-2</v>
      </c>
      <c r="R1217" s="79">
        <v>1</v>
      </c>
      <c r="S1217" s="102">
        <v>4.7284562701723001E-2</v>
      </c>
      <c r="T1217" s="79">
        <v>1.438964039474E-2</v>
      </c>
      <c r="U1217" s="79">
        <v>1.0236289545216099E-3</v>
      </c>
      <c r="V1217" s="79">
        <v>4.5752703138775899E-3</v>
      </c>
      <c r="W1217" s="79">
        <v>1</v>
      </c>
    </row>
    <row r="1218" spans="2:23" x14ac:dyDescent="0.2">
      <c r="B1218" t="s">
        <v>422</v>
      </c>
      <c r="C1218" s="84">
        <v>132</v>
      </c>
      <c r="D1218" s="102">
        <v>1.32428048689674E-2</v>
      </c>
      <c r="E1218" s="79">
        <v>1.46339315089868E-2</v>
      </c>
      <c r="F1218" s="79">
        <v>0.365543064113308</v>
      </c>
      <c r="G1218" s="79">
        <v>0.89461055933914202</v>
      </c>
      <c r="H1218" s="79">
        <v>1</v>
      </c>
      <c r="I1218" s="102">
        <v>1.42368791965958E-2</v>
      </c>
      <c r="J1218" s="79">
        <v>1.4551535873113501E-2</v>
      </c>
      <c r="K1218" s="79">
        <v>0.32793770513340498</v>
      </c>
      <c r="L1218" s="79">
        <v>0.71959387629014004</v>
      </c>
      <c r="M1218" s="79">
        <v>1</v>
      </c>
      <c r="N1218" s="102">
        <v>3.0396975237520399E-2</v>
      </c>
      <c r="O1218" s="79">
        <v>1.44518982459787E-2</v>
      </c>
      <c r="P1218" s="79">
        <v>3.5489580372532303E-2</v>
      </c>
      <c r="Q1218" s="79">
        <v>7.6390777093819598E-2</v>
      </c>
      <c r="R1218" s="79">
        <v>1</v>
      </c>
      <c r="S1218" s="102">
        <v>5.7832613743828302E-2</v>
      </c>
      <c r="T1218" s="79">
        <v>1.4416938924278099E-2</v>
      </c>
      <c r="U1218" s="79">
        <v>6.1267319266547805E-5</v>
      </c>
      <c r="V1218" s="79">
        <v>4.9188075278451201E-4</v>
      </c>
      <c r="W1218" s="79">
        <v>0.10378683883753199</v>
      </c>
    </row>
    <row r="1219" spans="2:23" x14ac:dyDescent="0.2">
      <c r="B1219" t="s">
        <v>423</v>
      </c>
      <c r="C1219" s="84">
        <v>132</v>
      </c>
      <c r="D1219" s="102">
        <v>-1.8553591810722501E-2</v>
      </c>
      <c r="E1219" s="79">
        <v>1.4187541642479E-2</v>
      </c>
      <c r="F1219" s="79">
        <v>0.19102665519897499</v>
      </c>
      <c r="G1219" s="79">
        <v>0.83003013605610498</v>
      </c>
      <c r="H1219" s="79">
        <v>1</v>
      </c>
      <c r="I1219" s="102">
        <v>1.05765922620632E-2</v>
      </c>
      <c r="J1219" s="79">
        <v>1.4084604796586801E-2</v>
      </c>
      <c r="K1219" s="79">
        <v>0.45273194177704401</v>
      </c>
      <c r="L1219" s="79">
        <v>0.79746066051088205</v>
      </c>
      <c r="M1219" s="79">
        <v>1</v>
      </c>
      <c r="N1219" s="107">
        <v>6.05114491317712E-2</v>
      </c>
      <c r="O1219" s="81">
        <v>1.3971575744124E-2</v>
      </c>
      <c r="P1219" s="81">
        <v>1.5158353519662599E-5</v>
      </c>
      <c r="Q1219" s="81">
        <v>1.3955571120819799E-4</v>
      </c>
      <c r="R1219" s="81">
        <v>2.5678250862308401E-2</v>
      </c>
      <c r="S1219" s="102">
        <v>4.0094966720361502E-2</v>
      </c>
      <c r="T1219" s="79">
        <v>1.39736996802402E-2</v>
      </c>
      <c r="U1219" s="79">
        <v>4.1323610167264E-3</v>
      </c>
      <c r="V1219" s="79">
        <v>1.3834426012518801E-2</v>
      </c>
      <c r="W1219" s="79">
        <v>1</v>
      </c>
    </row>
    <row r="1220" spans="2:23" x14ac:dyDescent="0.2">
      <c r="B1220" t="s">
        <v>424</v>
      </c>
      <c r="C1220" s="84">
        <v>132</v>
      </c>
      <c r="D1220" s="102">
        <v>-4.8841948727184397E-3</v>
      </c>
      <c r="E1220" s="79">
        <v>1.4586624291106E-2</v>
      </c>
      <c r="F1220" s="79">
        <v>0.73776028752737999</v>
      </c>
      <c r="G1220" s="79">
        <v>0.97790761116696501</v>
      </c>
      <c r="H1220" s="79">
        <v>1</v>
      </c>
      <c r="I1220" s="102">
        <v>5.2747853858531599E-3</v>
      </c>
      <c r="J1220" s="79">
        <v>1.44763815605067E-2</v>
      </c>
      <c r="K1220" s="79">
        <v>0.71559718556307195</v>
      </c>
      <c r="L1220" s="79">
        <v>0.91399514845934504</v>
      </c>
      <c r="M1220" s="79">
        <v>1</v>
      </c>
      <c r="N1220" s="102">
        <v>2.08413354065102E-2</v>
      </c>
      <c r="O1220" s="79">
        <v>1.4380230288064901E-2</v>
      </c>
      <c r="P1220" s="79">
        <v>0.14732059045878201</v>
      </c>
      <c r="Q1220" s="79">
        <v>0.23658632618932299</v>
      </c>
      <c r="R1220" s="79">
        <v>1</v>
      </c>
      <c r="S1220" s="102">
        <v>3.0551241742163601E-2</v>
      </c>
      <c r="T1220" s="79">
        <v>1.43607512054333E-2</v>
      </c>
      <c r="U1220" s="79">
        <v>3.3438581943021503E-2</v>
      </c>
      <c r="V1220" s="79">
        <v>7.5038382677804605E-2</v>
      </c>
      <c r="W1220" s="79">
        <v>1</v>
      </c>
    </row>
    <row r="1221" spans="2:23" x14ac:dyDescent="0.2">
      <c r="B1221" t="s">
        <v>425</v>
      </c>
      <c r="C1221" s="84">
        <v>132</v>
      </c>
      <c r="D1221" s="102">
        <v>-9.0575986543129303E-3</v>
      </c>
      <c r="E1221" s="79">
        <v>1.45535586531723E-2</v>
      </c>
      <c r="F1221" s="79">
        <v>0.53373415258461698</v>
      </c>
      <c r="G1221" s="79">
        <v>0.92176676956083303</v>
      </c>
      <c r="H1221" s="79">
        <v>1</v>
      </c>
      <c r="I1221" s="102">
        <v>4.8038907059884204E-3</v>
      </c>
      <c r="J1221" s="79">
        <v>1.4438159976305501E-2</v>
      </c>
      <c r="K1221" s="79">
        <v>0.73935996938356197</v>
      </c>
      <c r="L1221" s="79">
        <v>0.91967633960533601</v>
      </c>
      <c r="M1221" s="79">
        <v>1</v>
      </c>
      <c r="N1221" s="102">
        <v>4.7541029265541303E-2</v>
      </c>
      <c r="O1221" s="79">
        <v>1.43330642617608E-2</v>
      </c>
      <c r="P1221" s="79">
        <v>9.1757991397930496E-4</v>
      </c>
      <c r="Q1221" s="79">
        <v>4.1230248654666899E-3</v>
      </c>
      <c r="R1221" s="79">
        <v>1</v>
      </c>
      <c r="S1221" s="102">
        <v>4.3831067817352E-2</v>
      </c>
      <c r="T1221" s="79">
        <v>1.4330942138293E-2</v>
      </c>
      <c r="U1221" s="79">
        <v>2.2375981366575801E-3</v>
      </c>
      <c r="V1221" s="79">
        <v>8.3860425741104899E-3</v>
      </c>
      <c r="W1221" s="79">
        <v>1</v>
      </c>
    </row>
    <row r="1222" spans="2:23" x14ac:dyDescent="0.2">
      <c r="B1222" t="s">
        <v>426</v>
      </c>
      <c r="C1222" s="84">
        <v>132</v>
      </c>
      <c r="D1222" s="102">
        <v>-1.08308892361265E-2</v>
      </c>
      <c r="E1222" s="79">
        <v>1.45310441566732E-2</v>
      </c>
      <c r="F1222" s="79">
        <v>0.45609063859601801</v>
      </c>
      <c r="G1222" s="79">
        <v>0.91151047511105199</v>
      </c>
      <c r="H1222" s="79">
        <v>1</v>
      </c>
      <c r="I1222" s="102">
        <v>-3.8248085765620302E-3</v>
      </c>
      <c r="J1222" s="79">
        <v>1.44186416744445E-2</v>
      </c>
      <c r="K1222" s="79">
        <v>0.790814862637649</v>
      </c>
      <c r="L1222" s="79">
        <v>0.93431667519995099</v>
      </c>
      <c r="M1222" s="79">
        <v>1</v>
      </c>
      <c r="N1222" s="102">
        <v>2.0915221166555399E-2</v>
      </c>
      <c r="O1222" s="79">
        <v>1.43311010096596E-2</v>
      </c>
      <c r="P1222" s="79">
        <v>0.14451609792032799</v>
      </c>
      <c r="Q1222" s="79">
        <v>0.23293079912182299</v>
      </c>
      <c r="R1222" s="79">
        <v>1</v>
      </c>
      <c r="S1222" s="102">
        <v>2.55910756730022E-2</v>
      </c>
      <c r="T1222" s="79">
        <v>1.4314881868467799E-2</v>
      </c>
      <c r="U1222" s="79">
        <v>7.3886445954709501E-2</v>
      </c>
      <c r="V1222" s="79">
        <v>0.138149712414214</v>
      </c>
      <c r="W1222" s="79">
        <v>1</v>
      </c>
    </row>
    <row r="1223" spans="2:23" x14ac:dyDescent="0.2">
      <c r="B1223" t="s">
        <v>427</v>
      </c>
      <c r="C1223" s="84">
        <v>132</v>
      </c>
      <c r="D1223" s="102">
        <v>-2.2536025008930101E-2</v>
      </c>
      <c r="E1223" s="79">
        <v>1.4447593911722E-2</v>
      </c>
      <c r="F1223" s="79">
        <v>0.118862943404557</v>
      </c>
      <c r="G1223" s="79">
        <v>0.80938271582532695</v>
      </c>
      <c r="H1223" s="79">
        <v>1</v>
      </c>
      <c r="I1223" s="102">
        <v>-6.2834843467408502E-3</v>
      </c>
      <c r="J1223" s="79">
        <v>1.43560928970109E-2</v>
      </c>
      <c r="K1223" s="79">
        <v>0.66163306290178203</v>
      </c>
      <c r="L1223" s="79">
        <v>0.88734337255888895</v>
      </c>
      <c r="M1223" s="79">
        <v>1</v>
      </c>
      <c r="N1223" s="107">
        <v>9.8215197811874294E-2</v>
      </c>
      <c r="O1223" s="81">
        <v>1.41999688464946E-2</v>
      </c>
      <c r="P1223" s="81">
        <v>5.2497709110795801E-12</v>
      </c>
      <c r="Q1223" s="81">
        <v>2.6948824010208498E-10</v>
      </c>
      <c r="R1223" s="81">
        <v>8.8931119233688101E-9</v>
      </c>
      <c r="S1223" s="102">
        <v>5.7497979895369998E-2</v>
      </c>
      <c r="T1223" s="79">
        <v>1.4225561716771499E-2</v>
      </c>
      <c r="U1223" s="79">
        <v>5.3874751872047498E-5</v>
      </c>
      <c r="V1223" s="79">
        <v>4.49575515621914E-4</v>
      </c>
      <c r="W1223" s="79">
        <v>9.1263829671248506E-2</v>
      </c>
    </row>
    <row r="1224" spans="2:23" x14ac:dyDescent="0.2">
      <c r="B1224" t="s">
        <v>428</v>
      </c>
      <c r="C1224" s="84">
        <v>1209</v>
      </c>
      <c r="D1224" s="102">
        <v>-1.5305876878699399E-2</v>
      </c>
      <c r="E1224" s="79">
        <v>1.4488468162894201E-2</v>
      </c>
      <c r="F1224" s="79">
        <v>0.29083126567814499</v>
      </c>
      <c r="G1224" s="79">
        <v>0.87043845240066697</v>
      </c>
      <c r="H1224" s="79">
        <v>1</v>
      </c>
      <c r="I1224" s="102">
        <v>-2.03687599444814E-2</v>
      </c>
      <c r="J1224" s="79">
        <v>1.4373955942349101E-2</v>
      </c>
      <c r="K1224" s="79">
        <v>0.15653231629578199</v>
      </c>
      <c r="L1224" s="79">
        <v>0.59601477595142704</v>
      </c>
      <c r="M1224" s="79">
        <v>1</v>
      </c>
      <c r="N1224" s="102">
        <v>7.38874811799892E-4</v>
      </c>
      <c r="O1224" s="79">
        <v>1.42909299439807E-2</v>
      </c>
      <c r="P1224" s="79">
        <v>0.95876806851392204</v>
      </c>
      <c r="Q1224" s="79">
        <v>0.97094949432959099</v>
      </c>
      <c r="R1224" s="79">
        <v>1</v>
      </c>
      <c r="S1224" s="102">
        <v>-8.3240409906912907E-3</v>
      </c>
      <c r="T1224" s="79">
        <v>1.4278371568296E-2</v>
      </c>
      <c r="U1224" s="79">
        <v>0.55993309200186303</v>
      </c>
      <c r="V1224" s="79">
        <v>0.65761513044777298</v>
      </c>
      <c r="W1224" s="79">
        <v>1</v>
      </c>
    </row>
    <row r="1225" spans="2:23" x14ac:dyDescent="0.2">
      <c r="B1225" t="s">
        <v>429</v>
      </c>
      <c r="C1225" s="84">
        <v>1209</v>
      </c>
      <c r="D1225" s="102">
        <v>1.04489937175214E-2</v>
      </c>
      <c r="E1225" s="79">
        <v>1.4571924347853E-2</v>
      </c>
      <c r="F1225" s="79">
        <v>0.47337198594426</v>
      </c>
      <c r="G1225" s="79">
        <v>0.91151047511105199</v>
      </c>
      <c r="H1225" s="79">
        <v>1</v>
      </c>
      <c r="I1225" s="102">
        <v>3.2271386536399202E-2</v>
      </c>
      <c r="J1225" s="79">
        <v>1.4451069013592201E-2</v>
      </c>
      <c r="K1225" s="79">
        <v>2.5589370865238201E-2</v>
      </c>
      <c r="L1225" s="79">
        <v>0.31185895140801101</v>
      </c>
      <c r="M1225" s="79">
        <v>1</v>
      </c>
      <c r="N1225" s="107">
        <v>6.3141524633799795E-2</v>
      </c>
      <c r="O1225" s="81">
        <v>1.4344527861251699E-2</v>
      </c>
      <c r="P1225" s="81">
        <v>1.09890716037488E-5</v>
      </c>
      <c r="Q1225" s="81">
        <v>1.05772513624347E-4</v>
      </c>
      <c r="R1225" s="81">
        <v>1.8615487296750499E-2</v>
      </c>
      <c r="S1225" s="107">
        <v>7.4059627930540897E-2</v>
      </c>
      <c r="T1225" s="81">
        <v>1.4316436338279901E-2</v>
      </c>
      <c r="U1225" s="81">
        <v>2.4041489314796102E-7</v>
      </c>
      <c r="V1225" s="81">
        <v>5.1552256834512097E-6</v>
      </c>
      <c r="W1225" s="81">
        <v>4.0726282899264599E-4</v>
      </c>
    </row>
    <row r="1226" spans="2:23" x14ac:dyDescent="0.2">
      <c r="B1226" t="s">
        <v>430</v>
      </c>
      <c r="C1226" s="84">
        <v>1209</v>
      </c>
      <c r="D1226" s="102">
        <v>-3.6457715522591798E-2</v>
      </c>
      <c r="E1226" s="79">
        <v>1.46242182161592E-2</v>
      </c>
      <c r="F1226" s="79">
        <v>1.27008692015603E-2</v>
      </c>
      <c r="G1226" s="79">
        <v>0.509998060465089</v>
      </c>
      <c r="H1226" s="79">
        <v>1</v>
      </c>
      <c r="I1226" s="102">
        <v>4.4869063699976997E-3</v>
      </c>
      <c r="J1226" s="79">
        <v>1.45596077279035E-2</v>
      </c>
      <c r="K1226" s="79">
        <v>0.75796251625558897</v>
      </c>
      <c r="L1226" s="79">
        <v>0.92506376263470302</v>
      </c>
      <c r="M1226" s="79">
        <v>1</v>
      </c>
      <c r="N1226" s="102">
        <v>5.9642433949599401E-2</v>
      </c>
      <c r="O1226" s="79">
        <v>1.44376292997914E-2</v>
      </c>
      <c r="P1226" s="79">
        <v>3.6720057517091703E-5</v>
      </c>
      <c r="Q1226" s="79">
        <v>2.87980451083117E-4</v>
      </c>
      <c r="R1226" s="79">
        <v>6.2203777433953299E-2</v>
      </c>
      <c r="S1226" s="102">
        <v>5.7079674670344499E-2</v>
      </c>
      <c r="T1226" s="79">
        <v>1.4422493846117599E-2</v>
      </c>
      <c r="U1226" s="79">
        <v>7.6762626130551196E-5</v>
      </c>
      <c r="V1226" s="79">
        <v>5.8839768626766395E-4</v>
      </c>
      <c r="W1226" s="79">
        <v>0.130035888665154</v>
      </c>
    </row>
    <row r="1227" spans="2:23" x14ac:dyDescent="0.2">
      <c r="B1227" t="s">
        <v>431</v>
      </c>
      <c r="C1227" s="84">
        <v>1209</v>
      </c>
      <c r="D1227" s="102">
        <v>-1.7682770842043598E-2</v>
      </c>
      <c r="E1227" s="79">
        <v>1.46284584477035E-2</v>
      </c>
      <c r="F1227" s="79">
        <v>0.226803693080142</v>
      </c>
      <c r="G1227" s="79">
        <v>0.84071215771938901</v>
      </c>
      <c r="H1227" s="79">
        <v>1</v>
      </c>
      <c r="I1227" s="102">
        <v>-1.6075097305171201E-2</v>
      </c>
      <c r="J1227" s="79">
        <v>1.4529224947533901E-2</v>
      </c>
      <c r="K1227" s="79">
        <v>0.268612865552533</v>
      </c>
      <c r="L1227" s="79">
        <v>0.68528643711745596</v>
      </c>
      <c r="M1227" s="79">
        <v>1</v>
      </c>
      <c r="N1227" s="102">
        <v>4.4933027832728602E-2</v>
      </c>
      <c r="O1227" s="79">
        <v>1.4428616010742801E-2</v>
      </c>
      <c r="P1227" s="79">
        <v>1.85603062256219E-3</v>
      </c>
      <c r="Q1227" s="79">
        <v>7.0806238134588396E-3</v>
      </c>
      <c r="R1227" s="79">
        <v>1</v>
      </c>
      <c r="S1227" s="102">
        <v>3.8669229656613603E-2</v>
      </c>
      <c r="T1227" s="79">
        <v>1.4415952146272301E-2</v>
      </c>
      <c r="U1227" s="79">
        <v>7.3358384743697196E-3</v>
      </c>
      <c r="V1227" s="79">
        <v>2.1878363337292799E-2</v>
      </c>
      <c r="W1227" s="79">
        <v>1</v>
      </c>
    </row>
    <row r="1228" spans="2:23" x14ac:dyDescent="0.2">
      <c r="B1228" t="s">
        <v>432</v>
      </c>
      <c r="C1228" s="84">
        <v>1293</v>
      </c>
      <c r="D1228" s="102">
        <v>5.6127920604155798E-3</v>
      </c>
      <c r="E1228" s="79">
        <v>1.44890753469723E-2</v>
      </c>
      <c r="F1228" s="79">
        <v>0.69849205863689301</v>
      </c>
      <c r="G1228" s="79">
        <v>0.969323693033459</v>
      </c>
      <c r="H1228" s="79">
        <v>1</v>
      </c>
      <c r="I1228" s="102">
        <v>2.1391558960883E-2</v>
      </c>
      <c r="J1228" s="79">
        <v>1.43654637772001E-2</v>
      </c>
      <c r="K1228" s="79">
        <v>0.136532060225423</v>
      </c>
      <c r="L1228" s="79">
        <v>0.583070994269827</v>
      </c>
      <c r="M1228" s="79">
        <v>1</v>
      </c>
      <c r="N1228" s="102">
        <v>3.9036940603478398E-2</v>
      </c>
      <c r="O1228" s="79">
        <v>1.4273580642879201E-2</v>
      </c>
      <c r="P1228" s="79">
        <v>6.2640748576195497E-3</v>
      </c>
      <c r="Q1228" s="79">
        <v>1.9252648216191302E-2</v>
      </c>
      <c r="R1228" s="79">
        <v>1</v>
      </c>
      <c r="S1228" s="102">
        <v>4.3666525943393701E-2</v>
      </c>
      <c r="T1228" s="79">
        <v>1.4260642954829201E-2</v>
      </c>
      <c r="U1228" s="79">
        <v>2.2112262659682298E-3</v>
      </c>
      <c r="V1228" s="79">
        <v>8.3055815843684801E-3</v>
      </c>
      <c r="W1228" s="79">
        <v>1</v>
      </c>
    </row>
    <row r="1229" spans="2:23" x14ac:dyDescent="0.2">
      <c r="B1229" t="s">
        <v>433</v>
      </c>
      <c r="C1229" s="84">
        <v>1220</v>
      </c>
      <c r="D1229" s="102">
        <v>-2.6700971671425201E-3</v>
      </c>
      <c r="E1229" s="79">
        <v>1.45900848887121E-2</v>
      </c>
      <c r="F1229" s="79">
        <v>0.85479977223076697</v>
      </c>
      <c r="G1229" s="79">
        <v>0.99362338620020496</v>
      </c>
      <c r="H1229" s="79">
        <v>1</v>
      </c>
      <c r="I1229" s="102">
        <v>1.8540183130404501E-2</v>
      </c>
      <c r="J1229" s="79">
        <v>1.4487637256305299E-2</v>
      </c>
      <c r="K1229" s="79">
        <v>0.20070514225053401</v>
      </c>
      <c r="L1229" s="79">
        <v>0.64163197767429703</v>
      </c>
      <c r="M1229" s="79">
        <v>1</v>
      </c>
      <c r="N1229" s="102">
        <v>1.9308313859929101E-2</v>
      </c>
      <c r="O1229" s="79">
        <v>1.43985214751765E-2</v>
      </c>
      <c r="P1229" s="79">
        <v>0.17998717826278299</v>
      </c>
      <c r="Q1229" s="79">
        <v>0.27768513659121502</v>
      </c>
      <c r="R1229" s="79">
        <v>1</v>
      </c>
      <c r="S1229" s="102">
        <v>3.8330226314563003E-2</v>
      </c>
      <c r="T1229" s="79">
        <v>1.4375225040299E-2</v>
      </c>
      <c r="U1229" s="79">
        <v>7.6926706962523799E-3</v>
      </c>
      <c r="V1229" s="79">
        <v>2.2702759859671701E-2</v>
      </c>
      <c r="W1229" s="79">
        <v>1</v>
      </c>
    </row>
    <row r="1230" spans="2:23" x14ac:dyDescent="0.2">
      <c r="B1230" t="s">
        <v>434</v>
      </c>
      <c r="C1230" s="84">
        <v>1220</v>
      </c>
      <c r="D1230" s="102">
        <v>1.6026619582106901E-3</v>
      </c>
      <c r="E1230" s="79">
        <v>1.46270917671413E-2</v>
      </c>
      <c r="F1230" s="79">
        <v>0.91275653181299998</v>
      </c>
      <c r="G1230" s="79">
        <v>0.99533029194181499</v>
      </c>
      <c r="H1230" s="79">
        <v>1</v>
      </c>
      <c r="I1230" s="102">
        <v>1.41146524787986E-2</v>
      </c>
      <c r="J1230" s="79">
        <v>1.4539147121626199E-2</v>
      </c>
      <c r="K1230" s="79">
        <v>0.331695984542133</v>
      </c>
      <c r="L1230" s="79">
        <v>0.72502322298628796</v>
      </c>
      <c r="M1230" s="79">
        <v>1</v>
      </c>
      <c r="N1230" s="107">
        <v>6.8773576641812897E-2</v>
      </c>
      <c r="O1230" s="81">
        <v>1.4413975670724499E-2</v>
      </c>
      <c r="P1230" s="81">
        <v>1.8852011048221299E-6</v>
      </c>
      <c r="Q1230" s="81">
        <v>2.17246984460455E-5</v>
      </c>
      <c r="R1230" s="81">
        <v>3.19353067156869E-3</v>
      </c>
      <c r="S1230" s="107">
        <v>8.1177394910341899E-2</v>
      </c>
      <c r="T1230" s="81">
        <v>1.4385292756678301E-2</v>
      </c>
      <c r="U1230" s="81">
        <v>1.76722026784456E-8</v>
      </c>
      <c r="V1230" s="81">
        <v>6.8037980312015605E-7</v>
      </c>
      <c r="W1230" s="81">
        <v>2.9936711337286799E-5</v>
      </c>
    </row>
    <row r="1231" spans="2:23" x14ac:dyDescent="0.2">
      <c r="B1231" t="s">
        <v>435</v>
      </c>
      <c r="C1231" s="84">
        <v>1220</v>
      </c>
      <c r="D1231" s="102">
        <v>-5.5138576227038404E-3</v>
      </c>
      <c r="E1231" s="79">
        <v>1.4629181303278799E-2</v>
      </c>
      <c r="F1231" s="79">
        <v>0.70625859789361001</v>
      </c>
      <c r="G1231" s="79">
        <v>0.97144983428590104</v>
      </c>
      <c r="H1231" s="79">
        <v>1</v>
      </c>
      <c r="I1231" s="102">
        <v>6.9270631141508899E-3</v>
      </c>
      <c r="J1231" s="79">
        <v>1.4538804344196E-2</v>
      </c>
      <c r="K1231" s="79">
        <v>0.63377354858360901</v>
      </c>
      <c r="L1231" s="79">
        <v>0.87748013759880805</v>
      </c>
      <c r="M1231" s="79">
        <v>1</v>
      </c>
      <c r="N1231" s="102">
        <v>4.8511096007279299E-2</v>
      </c>
      <c r="O1231" s="79">
        <v>1.44267046989244E-2</v>
      </c>
      <c r="P1231" s="79">
        <v>7.7829195725006802E-4</v>
      </c>
      <c r="Q1231" s="79">
        <v>3.6320291338336501E-3</v>
      </c>
      <c r="R1231" s="79">
        <v>1</v>
      </c>
      <c r="S1231" s="107">
        <v>6.3428747402777805E-2</v>
      </c>
      <c r="T1231" s="81">
        <v>1.44000572831417E-2</v>
      </c>
      <c r="U1231" s="81">
        <v>1.08242924619043E-5</v>
      </c>
      <c r="V1231" s="81">
        <v>1.2822623377948199E-4</v>
      </c>
      <c r="W1231" s="81">
        <v>1.83363514304659E-2</v>
      </c>
    </row>
    <row r="1232" spans="2:23" x14ac:dyDescent="0.2">
      <c r="B1232" t="s">
        <v>436</v>
      </c>
      <c r="C1232" s="84">
        <v>157</v>
      </c>
      <c r="D1232" s="102">
        <v>1.2512490366899E-2</v>
      </c>
      <c r="E1232" s="79">
        <v>1.4652817990446499E-2</v>
      </c>
      <c r="F1232" s="79">
        <v>0.39318595290668801</v>
      </c>
      <c r="G1232" s="79">
        <v>0.89461055933914202</v>
      </c>
      <c r="H1232" s="79">
        <v>1</v>
      </c>
      <c r="I1232" s="102">
        <v>1.6300476181827801E-2</v>
      </c>
      <c r="J1232" s="79">
        <v>1.4564299365241701E-2</v>
      </c>
      <c r="K1232" s="79">
        <v>0.26310833867995898</v>
      </c>
      <c r="L1232" s="79">
        <v>0.68382629307189902</v>
      </c>
      <c r="M1232" s="79">
        <v>1</v>
      </c>
      <c r="N1232" s="102">
        <v>1.82039511212558E-2</v>
      </c>
      <c r="O1232" s="79">
        <v>1.4468741444206901E-2</v>
      </c>
      <c r="P1232" s="79">
        <v>0.20839666032602799</v>
      </c>
      <c r="Q1232" s="79">
        <v>0.31241056866574501</v>
      </c>
      <c r="R1232" s="79">
        <v>1</v>
      </c>
      <c r="S1232" s="107">
        <v>6.6279171360547603E-2</v>
      </c>
      <c r="T1232" s="81">
        <v>1.4424808353857101E-2</v>
      </c>
      <c r="U1232" s="81">
        <v>4.4434445167566399E-6</v>
      </c>
      <c r="V1232" s="81">
        <v>6.1698319765456997E-5</v>
      </c>
      <c r="W1232" s="81">
        <v>7.5271950113857504E-3</v>
      </c>
    </row>
    <row r="1233" spans="2:23" x14ac:dyDescent="0.2">
      <c r="B1233" t="s">
        <v>437</v>
      </c>
      <c r="C1233" s="84">
        <v>1209</v>
      </c>
      <c r="D1233" s="102">
        <v>-9.3116419047903495E-4</v>
      </c>
      <c r="E1233" s="79">
        <v>1.45794527026041E-2</v>
      </c>
      <c r="F1233" s="79">
        <v>0.94907780741627901</v>
      </c>
      <c r="G1233" s="79">
        <v>0.99840985319461195</v>
      </c>
      <c r="H1233" s="79">
        <v>1</v>
      </c>
      <c r="I1233" s="102">
        <v>1.3066711047273499E-2</v>
      </c>
      <c r="J1233" s="79">
        <v>1.44691896279817E-2</v>
      </c>
      <c r="K1233" s="79">
        <v>0.36653432857851698</v>
      </c>
      <c r="L1233" s="79">
        <v>0.74754780849462499</v>
      </c>
      <c r="M1233" s="79">
        <v>1</v>
      </c>
      <c r="N1233" s="102">
        <v>3.3413391353997401E-2</v>
      </c>
      <c r="O1233" s="79">
        <v>1.43695853590951E-2</v>
      </c>
      <c r="P1233" s="79">
        <v>2.0098939521167501E-2</v>
      </c>
      <c r="Q1233" s="79">
        <v>4.8709017952586198E-2</v>
      </c>
      <c r="R1233" s="79">
        <v>1</v>
      </c>
      <c r="S1233" s="102">
        <v>4.4946899053238502E-2</v>
      </c>
      <c r="T1233" s="79">
        <v>1.43519012144458E-2</v>
      </c>
      <c r="U1233" s="79">
        <v>1.74814435210618E-3</v>
      </c>
      <c r="V1233" s="79">
        <v>7.0247949328564397E-3</v>
      </c>
      <c r="W1233" s="79">
        <v>1</v>
      </c>
    </row>
    <row r="1234" spans="2:23" x14ac:dyDescent="0.2">
      <c r="B1234" t="s">
        <v>438</v>
      </c>
      <c r="C1234" s="84">
        <v>1209</v>
      </c>
      <c r="D1234" s="102">
        <v>-1.40717936466132E-2</v>
      </c>
      <c r="E1234" s="79">
        <v>1.43709883098393E-2</v>
      </c>
      <c r="F1234" s="79">
        <v>0.327538272543411</v>
      </c>
      <c r="G1234" s="79">
        <v>0.88730162874475904</v>
      </c>
      <c r="H1234" s="79">
        <v>1</v>
      </c>
      <c r="I1234" s="102">
        <v>3.8133785435561597E-2</v>
      </c>
      <c r="J1234" s="79">
        <v>1.4318926420900401E-2</v>
      </c>
      <c r="K1234" s="79">
        <v>7.7657957976785801E-3</v>
      </c>
      <c r="L1234" s="79">
        <v>0.170847507548929</v>
      </c>
      <c r="M1234" s="79">
        <v>1</v>
      </c>
      <c r="N1234" s="107">
        <v>7.9291974068764898E-2</v>
      </c>
      <c r="O1234" s="81">
        <v>1.4172146645625E-2</v>
      </c>
      <c r="P1234" s="81">
        <v>2.3255691948649899E-8</v>
      </c>
      <c r="Q1234" s="81">
        <v>4.5281772598865501E-7</v>
      </c>
      <c r="R1234" s="81">
        <v>3.9395142161012899E-5</v>
      </c>
      <c r="S1234" s="107">
        <v>6.2876155995411007E-2</v>
      </c>
      <c r="T1234" s="81">
        <v>1.41788830506585E-2</v>
      </c>
      <c r="U1234" s="81">
        <v>9.4283582782629892E-6</v>
      </c>
      <c r="V1234" s="81">
        <v>1.17438521495423E-4</v>
      </c>
      <c r="W1234" s="81">
        <v>1.5971638923377499E-2</v>
      </c>
    </row>
    <row r="1235" spans="2:23" x14ac:dyDescent="0.2">
      <c r="B1235" t="s">
        <v>439</v>
      </c>
      <c r="C1235" s="84">
        <v>1209</v>
      </c>
      <c r="D1235" s="102">
        <v>-3.8142284164240699E-3</v>
      </c>
      <c r="E1235" s="79">
        <v>1.45873313622767E-2</v>
      </c>
      <c r="F1235" s="79">
        <v>0.79373718892960499</v>
      </c>
      <c r="G1235" s="79">
        <v>0.99158613425276598</v>
      </c>
      <c r="H1235" s="79">
        <v>1</v>
      </c>
      <c r="I1235" s="102">
        <v>1.77091168941018E-2</v>
      </c>
      <c r="J1235" s="79">
        <v>1.44766189842913E-2</v>
      </c>
      <c r="K1235" s="79">
        <v>0.22128114949232</v>
      </c>
      <c r="L1235" s="79">
        <v>0.65304481397729397</v>
      </c>
      <c r="M1235" s="79">
        <v>1</v>
      </c>
      <c r="N1235" s="102">
        <v>4.5006963264671102E-2</v>
      </c>
      <c r="O1235" s="79">
        <v>1.43767489761122E-2</v>
      </c>
      <c r="P1235" s="79">
        <v>1.7555206423640699E-3</v>
      </c>
      <c r="Q1235" s="79">
        <v>6.85219347503395E-3</v>
      </c>
      <c r="R1235" s="79">
        <v>1</v>
      </c>
      <c r="S1235" s="102">
        <v>4.94273681221142E-2</v>
      </c>
      <c r="T1235" s="79">
        <v>1.4364139276395901E-2</v>
      </c>
      <c r="U1235" s="79">
        <v>5.8452105516766304E-4</v>
      </c>
      <c r="V1235" s="79">
        <v>2.97350951187394E-3</v>
      </c>
      <c r="W1235" s="79">
        <v>0.99017866745402106</v>
      </c>
    </row>
    <row r="1236" spans="2:23" x14ac:dyDescent="0.2">
      <c r="B1236" t="s">
        <v>440</v>
      </c>
      <c r="C1236" s="84">
        <v>165</v>
      </c>
      <c r="D1236" s="102">
        <v>-1.86441355603491E-2</v>
      </c>
      <c r="E1236" s="79">
        <v>1.46077238296905E-2</v>
      </c>
      <c r="F1236" s="79">
        <v>0.20190569445366699</v>
      </c>
      <c r="G1236" s="79">
        <v>0.83003013605610498</v>
      </c>
      <c r="H1236" s="79">
        <v>1</v>
      </c>
      <c r="I1236" s="102">
        <v>-1.6043987585484299E-2</v>
      </c>
      <c r="J1236" s="79">
        <v>1.44998583569251E-2</v>
      </c>
      <c r="K1236" s="79">
        <v>0.268571562462741</v>
      </c>
      <c r="L1236" s="79">
        <v>0.68528643711745596</v>
      </c>
      <c r="M1236" s="79">
        <v>1</v>
      </c>
      <c r="N1236" s="102">
        <v>-6.3509658687565702E-3</v>
      </c>
      <c r="O1236" s="79">
        <v>1.4409284247051299E-2</v>
      </c>
      <c r="P1236" s="79">
        <v>0.65941112725665396</v>
      </c>
      <c r="Q1236" s="79">
        <v>0.75480859689376401</v>
      </c>
      <c r="R1236" s="79">
        <v>1</v>
      </c>
      <c r="S1236" s="102">
        <v>5.7801992565910103E-3</v>
      </c>
      <c r="T1236" s="79">
        <v>1.4396355452825201E-2</v>
      </c>
      <c r="U1236" s="79">
        <v>0.68806746280383102</v>
      </c>
      <c r="V1236" s="79">
        <v>0.75491339507104305</v>
      </c>
      <c r="W1236" s="79">
        <v>1</v>
      </c>
    </row>
    <row r="1237" spans="2:23" x14ac:dyDescent="0.2">
      <c r="B1237" t="s">
        <v>441</v>
      </c>
      <c r="C1237" s="84">
        <v>1209</v>
      </c>
      <c r="D1237" s="102">
        <v>-1.0067330904798799E-2</v>
      </c>
      <c r="E1237" s="79">
        <v>1.4508264790090999E-2</v>
      </c>
      <c r="F1237" s="79">
        <v>0.487779136168699</v>
      </c>
      <c r="G1237" s="79">
        <v>0.91678121217168596</v>
      </c>
      <c r="H1237" s="79">
        <v>1</v>
      </c>
      <c r="I1237" s="102">
        <v>5.0857997522866403E-3</v>
      </c>
      <c r="J1237" s="79">
        <v>1.4398825689979199E-2</v>
      </c>
      <c r="K1237" s="79">
        <v>0.72394884163596995</v>
      </c>
      <c r="L1237" s="79">
        <v>0.91650041093290602</v>
      </c>
      <c r="M1237" s="79">
        <v>1</v>
      </c>
      <c r="N1237" s="102">
        <v>5.1850303139223702E-2</v>
      </c>
      <c r="O1237" s="79">
        <v>1.4300518413818301E-2</v>
      </c>
      <c r="P1237" s="79">
        <v>2.9141051854920702E-4</v>
      </c>
      <c r="Q1237" s="79">
        <v>1.6454980614078599E-3</v>
      </c>
      <c r="R1237" s="79">
        <v>0.49364941842235699</v>
      </c>
      <c r="S1237" s="102">
        <v>5.34419165898148E-2</v>
      </c>
      <c r="T1237" s="79">
        <v>1.42800165801069E-2</v>
      </c>
      <c r="U1237" s="79">
        <v>1.84595136115258E-4</v>
      </c>
      <c r="V1237" s="79">
        <v>1.1711766313829499E-3</v>
      </c>
      <c r="W1237" s="79">
        <v>0.31270416057924699</v>
      </c>
    </row>
    <row r="1238" spans="2:23" x14ac:dyDescent="0.2">
      <c r="B1238" t="s">
        <v>442</v>
      </c>
      <c r="C1238" s="84">
        <v>1209</v>
      </c>
      <c r="D1238" s="102">
        <v>-2.10466794888267E-2</v>
      </c>
      <c r="E1238" s="79">
        <v>1.44578356408375E-2</v>
      </c>
      <c r="F1238" s="79">
        <v>0.14553385994770901</v>
      </c>
      <c r="G1238" s="79">
        <v>0.80938271582532695</v>
      </c>
      <c r="H1238" s="79">
        <v>1</v>
      </c>
      <c r="I1238" s="102">
        <v>1.0192606022432301E-2</v>
      </c>
      <c r="J1238" s="79">
        <v>1.43641702822415E-2</v>
      </c>
      <c r="K1238" s="79">
        <v>0.47799673073774301</v>
      </c>
      <c r="L1238" s="79">
        <v>0.80783235637134798</v>
      </c>
      <c r="M1238" s="79">
        <v>1</v>
      </c>
      <c r="N1238" s="102">
        <v>4.2143102143418397E-2</v>
      </c>
      <c r="O1238" s="79">
        <v>1.4262095907771E-2</v>
      </c>
      <c r="P1238" s="79">
        <v>3.1432388465817999E-3</v>
      </c>
      <c r="Q1238" s="79">
        <v>1.0813462041590101E-2</v>
      </c>
      <c r="R1238" s="79">
        <v>1</v>
      </c>
      <c r="S1238" s="102">
        <v>5.3836658221975101E-2</v>
      </c>
      <c r="T1238" s="79">
        <v>1.42422437839126E-2</v>
      </c>
      <c r="U1238" s="79">
        <v>1.58727575287908E-4</v>
      </c>
      <c r="V1238" s="79">
        <v>1.0146585378781701E-3</v>
      </c>
      <c r="W1238" s="79">
        <v>0.268884512537716</v>
      </c>
    </row>
    <row r="1239" spans="2:23" x14ac:dyDescent="0.2">
      <c r="B1239" t="s">
        <v>443</v>
      </c>
      <c r="C1239" s="84">
        <v>1209</v>
      </c>
      <c r="D1239" s="102">
        <v>1.01440583655179E-2</v>
      </c>
      <c r="E1239" s="79">
        <v>1.4576783790629801E-2</v>
      </c>
      <c r="F1239" s="79">
        <v>0.486522049525281</v>
      </c>
      <c r="G1239" s="79">
        <v>0.91678121217168596</v>
      </c>
      <c r="H1239" s="79">
        <v>1</v>
      </c>
      <c r="I1239" s="102">
        <v>1.6393136849928502E-2</v>
      </c>
      <c r="J1239" s="79">
        <v>1.44767521525458E-2</v>
      </c>
      <c r="K1239" s="79">
        <v>0.25753370081823102</v>
      </c>
      <c r="L1239" s="79">
        <v>0.68025543872958705</v>
      </c>
      <c r="M1239" s="79">
        <v>1</v>
      </c>
      <c r="N1239" s="107">
        <v>6.0363740978736799E-2</v>
      </c>
      <c r="O1239" s="81">
        <v>1.43545621700822E-2</v>
      </c>
      <c r="P1239" s="81">
        <v>2.6567909930742E-5</v>
      </c>
      <c r="Q1239" s="81">
        <v>2.1630466514854099E-4</v>
      </c>
      <c r="R1239" s="81">
        <v>4.5006039422677002E-2</v>
      </c>
      <c r="S1239" s="102">
        <v>5.4840793680269999E-2</v>
      </c>
      <c r="T1239" s="79">
        <v>1.43479549443476E-2</v>
      </c>
      <c r="U1239" s="79">
        <v>1.33958727734109E-4</v>
      </c>
      <c r="V1239" s="79">
        <v>8.9522436989974399E-4</v>
      </c>
      <c r="W1239" s="79">
        <v>0.22692608478158099</v>
      </c>
    </row>
    <row r="1240" spans="2:23" x14ac:dyDescent="0.2">
      <c r="B1240" t="s">
        <v>444</v>
      </c>
      <c r="C1240" s="84">
        <v>1302</v>
      </c>
      <c r="D1240" s="102">
        <v>-1.7698044998815499E-2</v>
      </c>
      <c r="E1240" s="79">
        <v>1.45304425832456E-2</v>
      </c>
      <c r="F1240" s="79">
        <v>0.22328396039619899</v>
      </c>
      <c r="G1240" s="79">
        <v>0.84071215771938901</v>
      </c>
      <c r="H1240" s="79">
        <v>1</v>
      </c>
      <c r="I1240" s="102">
        <v>1.35004139805258E-2</v>
      </c>
      <c r="J1240" s="79">
        <v>1.4432999980087499E-2</v>
      </c>
      <c r="K1240" s="79">
        <v>0.34963676191647503</v>
      </c>
      <c r="L1240" s="79">
        <v>0.74221137178760499</v>
      </c>
      <c r="M1240" s="79">
        <v>1</v>
      </c>
      <c r="N1240" s="102">
        <v>5.0720830887684601E-2</v>
      </c>
      <c r="O1240" s="79">
        <v>1.43248024590287E-2</v>
      </c>
      <c r="P1240" s="79">
        <v>4.0273380399637101E-4</v>
      </c>
      <c r="Q1240" s="79">
        <v>2.1417959168598798E-3</v>
      </c>
      <c r="R1240" s="79">
        <v>0.682231063969852</v>
      </c>
      <c r="S1240" s="102">
        <v>3.4309370970617703E-2</v>
      </c>
      <c r="T1240" s="79">
        <v>1.4318944871455999E-2</v>
      </c>
      <c r="U1240" s="79">
        <v>1.6609201651868698E-2</v>
      </c>
      <c r="V1240" s="79">
        <v>4.2565790617648397E-2</v>
      </c>
      <c r="W1240" s="79">
        <v>1</v>
      </c>
    </row>
    <row r="1241" spans="2:23" x14ac:dyDescent="0.2">
      <c r="B1241" t="s">
        <v>352</v>
      </c>
      <c r="C1241" s="84">
        <v>5018</v>
      </c>
      <c r="D1241" s="102">
        <v>1.993000847852E-2</v>
      </c>
      <c r="E1241" s="79">
        <v>1.6288161580829699E-2</v>
      </c>
      <c r="F1241" s="79">
        <v>0.221181189300305</v>
      </c>
      <c r="G1241" s="79">
        <v>0.84071215771938901</v>
      </c>
      <c r="H1241" s="79">
        <v>1</v>
      </c>
      <c r="I1241" s="102">
        <v>1.94926645146325E-2</v>
      </c>
      <c r="J1241" s="79">
        <v>1.6226913871544402E-2</v>
      </c>
      <c r="K1241" s="79">
        <v>0.22972620611978301</v>
      </c>
      <c r="L1241" s="79">
        <v>0.66141104862732303</v>
      </c>
      <c r="M1241" s="79">
        <v>1</v>
      </c>
      <c r="N1241" s="102">
        <v>1.23825072656967E-2</v>
      </c>
      <c r="O1241" s="79">
        <v>1.6117604884864099E-2</v>
      </c>
      <c r="P1241" s="79">
        <v>0.44237936713673198</v>
      </c>
      <c r="Q1241" s="79">
        <v>0.56008269650943499</v>
      </c>
      <c r="R1241" s="79">
        <v>1</v>
      </c>
      <c r="S1241" s="107">
        <v>8.5928536027057995E-2</v>
      </c>
      <c r="T1241" s="81">
        <v>1.5978358856204199E-2</v>
      </c>
      <c r="U1241" s="81">
        <v>7.9831039604579406E-8</v>
      </c>
      <c r="V1241" s="81">
        <v>2.0498849374502598E-6</v>
      </c>
      <c r="W1241" s="81">
        <v>1.35233781090158E-4</v>
      </c>
    </row>
    <row r="1242" spans="2:23" x14ac:dyDescent="0.2">
      <c r="B1242" t="s">
        <v>351</v>
      </c>
      <c r="C1242" s="84">
        <v>5018</v>
      </c>
      <c r="D1242" s="102">
        <v>-1.8186838931842999E-2</v>
      </c>
      <c r="E1242" s="79">
        <v>1.6281456599707499E-2</v>
      </c>
      <c r="F1242" s="79">
        <v>0.26405427055321901</v>
      </c>
      <c r="G1242" s="79">
        <v>0.85990749347533801</v>
      </c>
      <c r="H1242" s="79">
        <v>1</v>
      </c>
      <c r="I1242" s="102">
        <v>3.4764607510032602E-2</v>
      </c>
      <c r="J1242" s="79">
        <v>1.61823774030385E-2</v>
      </c>
      <c r="K1242" s="79">
        <v>3.1755910907931797E-2</v>
      </c>
      <c r="L1242" s="79">
        <v>0.34116449862822301</v>
      </c>
      <c r="M1242" s="79">
        <v>1</v>
      </c>
      <c r="N1242" s="102">
        <v>6.1298672599591202E-2</v>
      </c>
      <c r="O1242" s="79">
        <v>1.6062184007670201E-2</v>
      </c>
      <c r="P1242" s="79">
        <v>1.37664137211399E-4</v>
      </c>
      <c r="Q1242" s="79">
        <v>8.9533714030007501E-4</v>
      </c>
      <c r="R1242" s="79">
        <v>0.23320304843611001</v>
      </c>
      <c r="S1242" s="107">
        <v>7.5894858103602206E-2</v>
      </c>
      <c r="T1242" s="81">
        <v>1.5969980402955501E-2</v>
      </c>
      <c r="U1242" s="81">
        <v>2.0869751488403398E-6</v>
      </c>
      <c r="V1242" s="81">
        <v>3.3993614443610898E-5</v>
      </c>
      <c r="W1242" s="81">
        <v>3.53533590213554E-3</v>
      </c>
    </row>
    <row r="1243" spans="2:23" x14ac:dyDescent="0.2">
      <c r="B1243" t="s">
        <v>353</v>
      </c>
      <c r="C1243" s="84">
        <v>5018</v>
      </c>
      <c r="D1243" s="102">
        <v>-1.19850071150959E-2</v>
      </c>
      <c r="E1243" s="79">
        <v>1.6175344721512601E-2</v>
      </c>
      <c r="F1243" s="79">
        <v>0.45877155300954098</v>
      </c>
      <c r="G1243" s="79">
        <v>0.91151047511105199</v>
      </c>
      <c r="H1243" s="79">
        <v>1</v>
      </c>
      <c r="I1243" s="102">
        <v>8.5992195282341005E-3</v>
      </c>
      <c r="J1243" s="79">
        <v>1.61554239616017E-2</v>
      </c>
      <c r="K1243" s="79">
        <v>0.59456152273428298</v>
      </c>
      <c r="L1243" s="79">
        <v>0.86874857653162296</v>
      </c>
      <c r="M1243" s="79">
        <v>1</v>
      </c>
      <c r="N1243" s="107">
        <v>7.1179226555713002E-2</v>
      </c>
      <c r="O1243" s="81">
        <v>1.5974373290950299E-2</v>
      </c>
      <c r="P1243" s="81">
        <v>8.5853084449243293E-6</v>
      </c>
      <c r="Q1243" s="81">
        <v>8.6056287015987099E-5</v>
      </c>
      <c r="R1243" s="81">
        <v>1.45435125057018E-2</v>
      </c>
      <c r="S1243" s="107">
        <v>0.11614909626787399</v>
      </c>
      <c r="T1243" s="81">
        <v>1.58352633730026E-2</v>
      </c>
      <c r="U1243" s="81">
        <v>2.6758849787709202E-13</v>
      </c>
      <c r="V1243" s="81">
        <v>8.05551938668542E-11</v>
      </c>
      <c r="W1243" s="81">
        <v>4.5329491540379403E-10</v>
      </c>
    </row>
    <row r="1244" spans="2:23" x14ac:dyDescent="0.2">
      <c r="B1244" t="s">
        <v>348</v>
      </c>
      <c r="C1244" s="84">
        <v>5018</v>
      </c>
      <c r="D1244" s="102">
        <v>-3.9171912968465401E-2</v>
      </c>
      <c r="E1244" s="79">
        <v>1.6082220286663802E-2</v>
      </c>
      <c r="F1244" s="79">
        <v>1.4906505703567E-2</v>
      </c>
      <c r="G1244" s="79">
        <v>0.51533919718045895</v>
      </c>
      <c r="H1244" s="79">
        <v>1</v>
      </c>
      <c r="I1244" s="102">
        <v>2.12547138964354E-3</v>
      </c>
      <c r="J1244" s="79">
        <v>1.6038813644068801E-2</v>
      </c>
      <c r="K1244" s="79">
        <v>0.89457962606649599</v>
      </c>
      <c r="L1244" s="79">
        <v>0.98103349543168095</v>
      </c>
      <c r="M1244" s="79">
        <v>1</v>
      </c>
      <c r="N1244" s="107">
        <v>0.124762403529385</v>
      </c>
      <c r="O1244" s="81">
        <v>1.5809014085729201E-2</v>
      </c>
      <c r="P1244" s="81">
        <v>3.8424219417113701E-15</v>
      </c>
      <c r="Q1244" s="81">
        <v>4.64933054947076E-13</v>
      </c>
      <c r="R1244" s="81">
        <v>6.5090627692590601E-12</v>
      </c>
      <c r="S1244" s="107">
        <v>8.5157932539551506E-2</v>
      </c>
      <c r="T1244" s="81">
        <v>1.5788639474592098E-2</v>
      </c>
      <c r="U1244" s="81">
        <v>7.3192792790520006E-8</v>
      </c>
      <c r="V1244" s="81">
        <v>1.93732173417408E-6</v>
      </c>
      <c r="W1244" s="81">
        <v>1.2398859098714101E-4</v>
      </c>
    </row>
    <row r="1245" spans="2:23" x14ac:dyDescent="0.2">
      <c r="B1245" t="s">
        <v>346</v>
      </c>
      <c r="C1245" s="84">
        <v>5018</v>
      </c>
      <c r="D1245" s="102">
        <v>2.5954645699444799E-2</v>
      </c>
      <c r="E1245" s="79">
        <v>1.6308313035141998E-2</v>
      </c>
      <c r="F1245" s="79">
        <v>0.111577569857763</v>
      </c>
      <c r="G1245" s="79">
        <v>0.80938271582532695</v>
      </c>
      <c r="H1245" s="79">
        <v>1</v>
      </c>
      <c r="I1245" s="102">
        <v>-4.6998846228263301E-3</v>
      </c>
      <c r="J1245" s="79">
        <v>1.6270372597078499E-2</v>
      </c>
      <c r="K1245" s="79">
        <v>0.77270273465848505</v>
      </c>
      <c r="L1245" s="79">
        <v>0.92861868293626904</v>
      </c>
      <c r="M1245" s="79">
        <v>1</v>
      </c>
      <c r="N1245" s="102">
        <v>2.0517440878281001E-2</v>
      </c>
      <c r="O1245" s="79">
        <v>1.6137826345801999E-2</v>
      </c>
      <c r="P1245" s="79">
        <v>0.20366557574288099</v>
      </c>
      <c r="Q1245" s="79">
        <v>0.30673804731590398</v>
      </c>
      <c r="R1245" s="79">
        <v>1</v>
      </c>
      <c r="S1245" s="107">
        <v>9.1409540099995704E-2</v>
      </c>
      <c r="T1245" s="81">
        <v>1.5994398293633701E-2</v>
      </c>
      <c r="U1245" s="81">
        <v>1.1778561283460901E-8</v>
      </c>
      <c r="V1245" s="81">
        <v>4.75068638432923E-7</v>
      </c>
      <c r="W1245" s="81">
        <v>1.9952882814182801E-5</v>
      </c>
    </row>
    <row r="1246" spans="2:23" x14ac:dyDescent="0.2">
      <c r="B1246" t="s">
        <v>350</v>
      </c>
      <c r="C1246" s="84">
        <v>5018</v>
      </c>
      <c r="D1246" s="102">
        <v>-4.9983929287929697E-2</v>
      </c>
      <c r="E1246" s="79">
        <v>1.60720093762243E-2</v>
      </c>
      <c r="F1246" s="79">
        <v>1.88411269558654E-3</v>
      </c>
      <c r="G1246" s="79">
        <v>0.22515221791711101</v>
      </c>
      <c r="H1246" s="79">
        <v>1</v>
      </c>
      <c r="I1246" s="102">
        <v>4.5966925588223698E-2</v>
      </c>
      <c r="J1246" s="79">
        <v>1.6036819037790001E-2</v>
      </c>
      <c r="K1246" s="79">
        <v>4.1745610274812198E-3</v>
      </c>
      <c r="L1246" s="79">
        <v>0.141434127611064</v>
      </c>
      <c r="M1246" s="79">
        <v>1</v>
      </c>
      <c r="N1246" s="107">
        <v>0.110451774733046</v>
      </c>
      <c r="O1246" s="81">
        <v>1.5825255114587902E-2</v>
      </c>
      <c r="P1246" s="81">
        <v>3.4566153973909399E-12</v>
      </c>
      <c r="Q1246" s="81">
        <v>1.8888730590904E-10</v>
      </c>
      <c r="R1246" s="81">
        <v>5.8555064831802504E-9</v>
      </c>
      <c r="S1246" s="107">
        <v>8.7626069445361901E-2</v>
      </c>
      <c r="T1246" s="81">
        <v>1.5789014623512499E-2</v>
      </c>
      <c r="U1246" s="81">
        <v>3.04664002301563E-8</v>
      </c>
      <c r="V1246" s="81">
        <v>1.0322016397977E-6</v>
      </c>
      <c r="W1246" s="81">
        <v>5.16100819898848E-5</v>
      </c>
    </row>
    <row r="1247" spans="2:23" x14ac:dyDescent="0.2">
      <c r="B1247" t="s">
        <v>345</v>
      </c>
      <c r="C1247" s="84">
        <v>5018</v>
      </c>
      <c r="D1247" s="102">
        <v>-1.1536214302615E-2</v>
      </c>
      <c r="E1247" s="79">
        <v>1.62900824610526E-2</v>
      </c>
      <c r="F1247" s="79">
        <v>0.478878761983482</v>
      </c>
      <c r="G1247" s="79">
        <v>0.91339947432389301</v>
      </c>
      <c r="H1247" s="79">
        <v>1</v>
      </c>
      <c r="I1247" s="102">
        <v>1.6384034280264699E-2</v>
      </c>
      <c r="J1247" s="79">
        <v>1.62568241093567E-2</v>
      </c>
      <c r="K1247" s="79">
        <v>0.31360080489591702</v>
      </c>
      <c r="L1247" s="79">
        <v>0.71287249273680797</v>
      </c>
      <c r="M1247" s="79">
        <v>1</v>
      </c>
      <c r="N1247" s="102">
        <v>5.5377144110508703E-2</v>
      </c>
      <c r="O1247" s="79">
        <v>1.60972821801071E-2</v>
      </c>
      <c r="P1247" s="79">
        <v>5.8738675045933602E-4</v>
      </c>
      <c r="Q1247" s="79">
        <v>2.9009712981869201E-3</v>
      </c>
      <c r="R1247" s="79">
        <v>0.99503315527811498</v>
      </c>
      <c r="S1247" s="107">
        <v>0.10322861758567201</v>
      </c>
      <c r="T1247" s="81">
        <v>1.59714530288847E-2</v>
      </c>
      <c r="U1247" s="81">
        <v>1.14895719061565E-10</v>
      </c>
      <c r="V1247" s="81">
        <v>1.29755565393527E-8</v>
      </c>
      <c r="W1247" s="81">
        <v>1.94633348090291E-7</v>
      </c>
    </row>
    <row r="1248" spans="2:23" x14ac:dyDescent="0.2">
      <c r="B1248" t="s">
        <v>349</v>
      </c>
      <c r="C1248" s="84">
        <v>5018</v>
      </c>
      <c r="D1248" s="102">
        <v>-1.6301050687239901E-2</v>
      </c>
      <c r="E1248" s="79">
        <v>1.6206144315035802E-2</v>
      </c>
      <c r="F1248" s="79">
        <v>0.31454626220167398</v>
      </c>
      <c r="G1248" s="79">
        <v>0.88730162874475904</v>
      </c>
      <c r="H1248" s="79">
        <v>1</v>
      </c>
      <c r="I1248" s="102">
        <v>4.1551384739000198E-2</v>
      </c>
      <c r="J1248" s="79">
        <v>1.6156308718979599E-2</v>
      </c>
      <c r="K1248" s="79">
        <v>1.0152766312246901E-2</v>
      </c>
      <c r="L1248" s="79">
        <v>0.193278136766975</v>
      </c>
      <c r="M1248" s="79">
        <v>1</v>
      </c>
      <c r="N1248" s="107">
        <v>9.8445738711876105E-2</v>
      </c>
      <c r="O1248" s="81">
        <v>1.5953419895269199E-2</v>
      </c>
      <c r="P1248" s="81">
        <v>7.4788249252559203E-10</v>
      </c>
      <c r="Q1248" s="81">
        <v>2.11152157056392E-8</v>
      </c>
      <c r="R1248" s="81">
        <v>1.2669129423383501E-6</v>
      </c>
      <c r="S1248" s="107">
        <v>9.9769578244305795E-2</v>
      </c>
      <c r="T1248" s="81">
        <v>1.5881717234858199E-2</v>
      </c>
      <c r="U1248" s="81">
        <v>3.7049697007778699E-10</v>
      </c>
      <c r="V1248" s="81">
        <v>3.3032729858514299E-8</v>
      </c>
      <c r="W1248" s="81">
        <v>6.2762186731177096E-7</v>
      </c>
    </row>
    <row r="1249" spans="2:23" x14ac:dyDescent="0.2">
      <c r="B1249" t="s">
        <v>347</v>
      </c>
      <c r="C1249" s="84">
        <v>5018</v>
      </c>
      <c r="D1249" s="102">
        <v>-2.1248743129292501E-2</v>
      </c>
      <c r="E1249" s="79">
        <v>1.6336367178938199E-2</v>
      </c>
      <c r="F1249" s="79">
        <v>0.19343762151553601</v>
      </c>
      <c r="G1249" s="79">
        <v>0.83003013605610498</v>
      </c>
      <c r="H1249" s="79">
        <v>1</v>
      </c>
      <c r="I1249" s="102">
        <v>-9.6978281094564096E-3</v>
      </c>
      <c r="J1249" s="79">
        <v>1.6284749448287901E-2</v>
      </c>
      <c r="K1249" s="79">
        <v>0.55153404387899596</v>
      </c>
      <c r="L1249" s="79">
        <v>0.85324079482284898</v>
      </c>
      <c r="M1249" s="79">
        <v>1</v>
      </c>
      <c r="N1249" s="102">
        <v>3.0347587465054299E-2</v>
      </c>
      <c r="O1249" s="79">
        <v>1.6160736516716099E-2</v>
      </c>
      <c r="P1249" s="79">
        <v>6.0475431400373897E-2</v>
      </c>
      <c r="Q1249" s="79">
        <v>0.118984182104801</v>
      </c>
      <c r="R1249" s="79">
        <v>1</v>
      </c>
      <c r="S1249" s="102">
        <v>5.6664530304732098E-2</v>
      </c>
      <c r="T1249" s="79">
        <v>1.6065005475751001E-2</v>
      </c>
      <c r="U1249" s="79">
        <v>4.2486083523541902E-4</v>
      </c>
      <c r="V1249" s="79">
        <v>2.29940656513994E-3</v>
      </c>
      <c r="W1249" s="79">
        <v>0.71971425488880003</v>
      </c>
    </row>
    <row r="1250" spans="2:23" x14ac:dyDescent="0.2">
      <c r="B1250" t="s">
        <v>341</v>
      </c>
      <c r="C1250" s="84">
        <v>5018</v>
      </c>
      <c r="D1250" s="102">
        <v>-2.26413567356007E-2</v>
      </c>
      <c r="E1250" s="79">
        <v>1.6108021694387901E-2</v>
      </c>
      <c r="F1250" s="79">
        <v>0.159922178886964</v>
      </c>
      <c r="G1250" s="79">
        <v>0.81672751857704495</v>
      </c>
      <c r="H1250" s="79">
        <v>1</v>
      </c>
      <c r="I1250" s="102">
        <v>4.2450260078447398E-2</v>
      </c>
      <c r="J1250" s="79">
        <v>1.6072231925663899E-2</v>
      </c>
      <c r="K1250" s="79">
        <v>8.2933825468793892E-3</v>
      </c>
      <c r="L1250" s="79">
        <v>0.173221602610866</v>
      </c>
      <c r="M1250" s="79">
        <v>1</v>
      </c>
      <c r="N1250" s="107">
        <v>9.8389261184314306E-2</v>
      </c>
      <c r="O1250" s="81">
        <v>1.5866384765147502E-2</v>
      </c>
      <c r="P1250" s="81">
        <v>6.1763294206675898E-10</v>
      </c>
      <c r="Q1250" s="81">
        <v>1.7733393285781201E-8</v>
      </c>
      <c r="R1250" s="81">
        <v>1.0462702038610899E-6</v>
      </c>
      <c r="S1250" s="107">
        <v>0.104385103349231</v>
      </c>
      <c r="T1250" s="81">
        <v>1.5789612155529899E-2</v>
      </c>
      <c r="U1250" s="81">
        <v>4.3234634716652599E-11</v>
      </c>
      <c r="V1250" s="81">
        <v>6.1032892675007898E-9</v>
      </c>
      <c r="W1250" s="81">
        <v>7.3239471210009497E-8</v>
      </c>
    </row>
    <row r="1251" spans="2:23" x14ac:dyDescent="0.2">
      <c r="B1251" t="s">
        <v>334</v>
      </c>
      <c r="C1251" s="84">
        <v>5009</v>
      </c>
      <c r="D1251" s="102">
        <v>2.0773730314156798E-2</v>
      </c>
      <c r="E1251" s="79">
        <v>1.6272010255209898E-2</v>
      </c>
      <c r="F1251" s="79">
        <v>0.201799349937612</v>
      </c>
      <c r="G1251" s="79">
        <v>0.83003013605610498</v>
      </c>
      <c r="H1251" s="79">
        <v>1</v>
      </c>
      <c r="I1251" s="102">
        <v>7.8240357001912592E-3</v>
      </c>
      <c r="J1251" s="79">
        <v>1.6228570393521401E-2</v>
      </c>
      <c r="K1251" s="79">
        <v>0.62975139329376895</v>
      </c>
      <c r="L1251" s="79">
        <v>0.87748013759880805</v>
      </c>
      <c r="M1251" s="79">
        <v>1</v>
      </c>
      <c r="N1251" s="102">
        <v>2.29142664317767E-2</v>
      </c>
      <c r="O1251" s="79">
        <v>1.6097247237786098E-2</v>
      </c>
      <c r="P1251" s="79">
        <v>0.15467331182528099</v>
      </c>
      <c r="Q1251" s="79">
        <v>0.24533388598504299</v>
      </c>
      <c r="R1251" s="79">
        <v>1</v>
      </c>
      <c r="S1251" s="107">
        <v>8.9723932431574505E-2</v>
      </c>
      <c r="T1251" s="81">
        <v>1.5960606261850099E-2</v>
      </c>
      <c r="U1251" s="81">
        <v>2.0234401906062501E-8</v>
      </c>
      <c r="V1251" s="81">
        <v>7.6171281841933103E-7</v>
      </c>
      <c r="W1251" s="81">
        <v>3.4277076828869903E-5</v>
      </c>
    </row>
    <row r="1252" spans="2:23" x14ac:dyDescent="0.2">
      <c r="B1252" t="s">
        <v>339</v>
      </c>
      <c r="C1252" s="84">
        <v>5009</v>
      </c>
      <c r="D1252" s="102">
        <v>-4.3294298244919698E-2</v>
      </c>
      <c r="E1252" s="79">
        <v>1.60971879717236E-2</v>
      </c>
      <c r="F1252" s="79">
        <v>7.1851275688819697E-3</v>
      </c>
      <c r="G1252" s="79">
        <v>0.38801325087508498</v>
      </c>
      <c r="H1252" s="79">
        <v>1</v>
      </c>
      <c r="I1252" s="102">
        <v>8.4791545193087792E-3</v>
      </c>
      <c r="J1252" s="79">
        <v>1.6056112229049499E-2</v>
      </c>
      <c r="K1252" s="79">
        <v>0.59746391538507404</v>
      </c>
      <c r="L1252" s="79">
        <v>0.86877257647115202</v>
      </c>
      <c r="M1252" s="79">
        <v>1</v>
      </c>
      <c r="N1252" s="107">
        <v>0.124583555114523</v>
      </c>
      <c r="O1252" s="81">
        <v>1.58211570028918E-2</v>
      </c>
      <c r="P1252" s="81">
        <v>4.4014863770109401E-15</v>
      </c>
      <c r="Q1252" s="81">
        <v>4.9707452817710199E-13</v>
      </c>
      <c r="R1252" s="81">
        <v>7.4561179226565294E-12</v>
      </c>
      <c r="S1252" s="107">
        <v>9.0933915693962503E-2</v>
      </c>
      <c r="T1252" s="81">
        <v>1.5796272892800001E-2</v>
      </c>
      <c r="U1252" s="81">
        <v>9.2431497651784096E-9</v>
      </c>
      <c r="V1252" s="81">
        <v>3.91447392555306E-7</v>
      </c>
      <c r="W1252" s="81">
        <v>1.5657895702212202E-5</v>
      </c>
    </row>
    <row r="1253" spans="2:23" x14ac:dyDescent="0.2">
      <c r="B1253" t="s">
        <v>343</v>
      </c>
      <c r="C1253" s="84">
        <v>5018</v>
      </c>
      <c r="D1253" s="102">
        <v>-3.2486267322972398E-2</v>
      </c>
      <c r="E1253" s="79">
        <v>1.6044626146016299E-2</v>
      </c>
      <c r="F1253" s="79">
        <v>4.2959848359033999E-2</v>
      </c>
      <c r="G1253" s="79">
        <v>0.67784404055428704</v>
      </c>
      <c r="H1253" s="79">
        <v>1</v>
      </c>
      <c r="I1253" s="102">
        <v>4.6483336625703697E-2</v>
      </c>
      <c r="J1253" s="79">
        <v>1.60169471781293E-2</v>
      </c>
      <c r="K1253" s="79">
        <v>3.72670733231237E-3</v>
      </c>
      <c r="L1253" s="79">
        <v>0.140536071937475</v>
      </c>
      <c r="M1253" s="79">
        <v>1</v>
      </c>
      <c r="N1253" s="107">
        <v>0.105241540679878</v>
      </c>
      <c r="O1253" s="81">
        <v>1.58002195450999E-2</v>
      </c>
      <c r="P1253" s="81">
        <v>3.0943965232982198E-11</v>
      </c>
      <c r="Q1253" s="81">
        <v>1.3440789001197901E-9</v>
      </c>
      <c r="R1253" s="81">
        <v>5.2419077104671801E-8</v>
      </c>
      <c r="S1253" s="107">
        <v>0.106447751686767</v>
      </c>
      <c r="T1253" s="81">
        <v>1.5731078771483401E-2</v>
      </c>
      <c r="U1253" s="81">
        <v>1.50919828188445E-11</v>
      </c>
      <c r="V1253" s="81">
        <v>2.3241653541020499E-9</v>
      </c>
      <c r="W1253" s="81">
        <v>2.5565818895122601E-8</v>
      </c>
    </row>
    <row r="1254" spans="2:23" x14ac:dyDescent="0.2">
      <c r="B1254" t="s">
        <v>342</v>
      </c>
      <c r="C1254" s="84">
        <v>5018</v>
      </c>
      <c r="D1254" s="102">
        <v>-2.2465782564834798E-3</v>
      </c>
      <c r="E1254" s="79">
        <v>1.6228133094495299E-2</v>
      </c>
      <c r="F1254" s="79">
        <v>0.88990183045499605</v>
      </c>
      <c r="G1254" s="79">
        <v>0.99362338620020496</v>
      </c>
      <c r="H1254" s="79">
        <v>1</v>
      </c>
      <c r="I1254" s="102">
        <v>3.4840635272436302E-3</v>
      </c>
      <c r="J1254" s="79">
        <v>1.6204856528291602E-2</v>
      </c>
      <c r="K1254" s="79">
        <v>0.82977748699370402</v>
      </c>
      <c r="L1254" s="79">
        <v>0.95427227628468103</v>
      </c>
      <c r="M1254" s="79">
        <v>1</v>
      </c>
      <c r="N1254" s="102">
        <v>3.7815070981990599E-2</v>
      </c>
      <c r="O1254" s="79">
        <v>1.60524334051424E-2</v>
      </c>
      <c r="P1254" s="79">
        <v>1.8534833950629201E-2</v>
      </c>
      <c r="Q1254" s="79">
        <v>4.5970730179159397E-2</v>
      </c>
      <c r="R1254" s="79">
        <v>1</v>
      </c>
      <c r="S1254" s="107">
        <v>0.102613830707913</v>
      </c>
      <c r="T1254" s="81">
        <v>1.5907908857990202E-2</v>
      </c>
      <c r="U1254" s="81">
        <v>1.2485822507040801E-10</v>
      </c>
      <c r="V1254" s="81">
        <v>1.32193645793294E-8</v>
      </c>
      <c r="W1254" s="81">
        <v>2.11509833269271E-7</v>
      </c>
    </row>
    <row r="1255" spans="2:23" x14ac:dyDescent="0.2">
      <c r="B1255" t="s">
        <v>340</v>
      </c>
      <c r="C1255" s="84">
        <v>5019</v>
      </c>
      <c r="D1255" s="102">
        <v>-4.8822890016420997E-2</v>
      </c>
      <c r="E1255" s="79">
        <v>1.60677100050499E-2</v>
      </c>
      <c r="F1255" s="79">
        <v>2.3924084548453302E-3</v>
      </c>
      <c r="G1255" s="79">
        <v>0.22515221791711101</v>
      </c>
      <c r="H1255" s="79">
        <v>1</v>
      </c>
      <c r="I1255" s="102">
        <v>4.4795378896995197E-2</v>
      </c>
      <c r="J1255" s="79">
        <v>1.6044866204721699E-2</v>
      </c>
      <c r="K1255" s="79">
        <v>5.2654347677161704E-3</v>
      </c>
      <c r="L1255" s="79">
        <v>0.143721784187822</v>
      </c>
      <c r="M1255" s="79">
        <v>1</v>
      </c>
      <c r="N1255" s="107">
        <v>0.10208556517695</v>
      </c>
      <c r="O1255" s="81">
        <v>1.5839449280459699E-2</v>
      </c>
      <c r="P1255" s="81">
        <v>1.2934000504213499E-10</v>
      </c>
      <c r="Q1255" s="81">
        <v>4.3155657887638103E-9</v>
      </c>
      <c r="R1255" s="81">
        <v>2.1910196854137699E-7</v>
      </c>
      <c r="S1255" s="107">
        <v>9.1687657137273795E-2</v>
      </c>
      <c r="T1255" s="81">
        <v>1.5783144552646199E-2</v>
      </c>
      <c r="U1255" s="81">
        <v>6.7678939509452804E-9</v>
      </c>
      <c r="V1255" s="81">
        <v>3.4741855614852402E-7</v>
      </c>
      <c r="W1255" s="81">
        <v>1.14648123529013E-5</v>
      </c>
    </row>
    <row r="1256" spans="2:23" x14ac:dyDescent="0.2">
      <c r="B1256" t="s">
        <v>337</v>
      </c>
      <c r="C1256" s="84">
        <v>5009</v>
      </c>
      <c r="D1256" s="102">
        <v>-2.4624775114835601E-2</v>
      </c>
      <c r="E1256" s="79">
        <v>1.6187701727720102E-2</v>
      </c>
      <c r="F1256" s="79">
        <v>0.12828901643774501</v>
      </c>
      <c r="G1256" s="79">
        <v>0.80938271582532695</v>
      </c>
      <c r="H1256" s="79">
        <v>1</v>
      </c>
      <c r="I1256" s="102">
        <v>-4.2329987245992001E-3</v>
      </c>
      <c r="J1256" s="79">
        <v>1.6139689848532899E-2</v>
      </c>
      <c r="K1256" s="79">
        <v>0.79312512589156903</v>
      </c>
      <c r="L1256" s="79">
        <v>0.93608823952815601</v>
      </c>
      <c r="M1256" s="79">
        <v>1</v>
      </c>
      <c r="N1256" s="102">
        <v>6.48794860858007E-2</v>
      </c>
      <c r="O1256" s="79">
        <v>1.5986992716032999E-2</v>
      </c>
      <c r="P1256" s="79">
        <v>5.03956517508496E-5</v>
      </c>
      <c r="Q1256" s="79">
        <v>3.8455060390062698E-4</v>
      </c>
      <c r="R1256" s="79">
        <v>8.5370234065939202E-2</v>
      </c>
      <c r="S1256" s="107">
        <v>8.4065328638484996E-2</v>
      </c>
      <c r="T1256" s="81">
        <v>1.5893103214083E-2</v>
      </c>
      <c r="U1256" s="81">
        <v>1.29374714805656E-7</v>
      </c>
      <c r="V1256" s="81">
        <v>3.0022022860380998E-6</v>
      </c>
      <c r="W1256" s="81">
        <v>2.19160766880781E-4</v>
      </c>
    </row>
    <row r="1257" spans="2:23" x14ac:dyDescent="0.2">
      <c r="B1257" t="s">
        <v>336</v>
      </c>
      <c r="C1257" s="84">
        <v>5010</v>
      </c>
      <c r="D1257" s="102">
        <v>-1.9268803060982002E-2</v>
      </c>
      <c r="E1257" s="79">
        <v>1.6306167902562601E-2</v>
      </c>
      <c r="F1257" s="79">
        <v>0.237400567829468</v>
      </c>
      <c r="G1257" s="79">
        <v>0.85383558790471104</v>
      </c>
      <c r="H1257" s="79">
        <v>1</v>
      </c>
      <c r="I1257" s="102">
        <v>-5.8267647841167298E-3</v>
      </c>
      <c r="J1257" s="79">
        <v>1.6275787836275001E-2</v>
      </c>
      <c r="K1257" s="79">
        <v>0.72036122583261897</v>
      </c>
      <c r="L1257" s="79">
        <v>0.91424734896672399</v>
      </c>
      <c r="M1257" s="79">
        <v>1</v>
      </c>
      <c r="N1257" s="102">
        <v>3.47247565723613E-2</v>
      </c>
      <c r="O1257" s="79">
        <v>1.6134868926908599E-2</v>
      </c>
      <c r="P1257" s="79">
        <v>3.1445456210376602E-2</v>
      </c>
      <c r="Q1257" s="79">
        <v>6.9814682595515001E-2</v>
      </c>
      <c r="R1257" s="79">
        <v>1</v>
      </c>
      <c r="S1257" s="107">
        <v>7.8285683596831093E-2</v>
      </c>
      <c r="T1257" s="81">
        <v>1.6021173081222001E-2</v>
      </c>
      <c r="U1257" s="81">
        <v>1.0679587089571101E-6</v>
      </c>
      <c r="V1257" s="81">
        <v>1.9280851810983699E-5</v>
      </c>
      <c r="W1257" s="81">
        <v>1.8091220529733399E-3</v>
      </c>
    </row>
    <row r="1258" spans="2:23" x14ac:dyDescent="0.2">
      <c r="B1258" t="s">
        <v>338</v>
      </c>
      <c r="C1258" s="84">
        <v>5010</v>
      </c>
      <c r="D1258" s="102">
        <v>-2.5722699748217899E-2</v>
      </c>
      <c r="E1258" s="79">
        <v>1.6273691004649898E-2</v>
      </c>
      <c r="F1258" s="79">
        <v>0.114043338370533</v>
      </c>
      <c r="G1258" s="79">
        <v>0.80938271582532695</v>
      </c>
      <c r="H1258" s="79">
        <v>1</v>
      </c>
      <c r="I1258" s="102">
        <v>1.86664998355345E-3</v>
      </c>
      <c r="J1258" s="79">
        <v>1.6227020181981501E-2</v>
      </c>
      <c r="K1258" s="79">
        <v>0.90842463447584298</v>
      </c>
      <c r="L1258" s="79">
        <v>0.98168469912841005</v>
      </c>
      <c r="M1258" s="79">
        <v>1</v>
      </c>
      <c r="N1258" s="102">
        <v>6.1184668684966803E-2</v>
      </c>
      <c r="O1258" s="79">
        <v>1.6082812667361501E-2</v>
      </c>
      <c r="P1258" s="79">
        <v>1.4435251931505501E-4</v>
      </c>
      <c r="Q1258" s="79">
        <v>9.2276667064038903E-4</v>
      </c>
      <c r="R1258" s="79">
        <v>0.24453316771970299</v>
      </c>
      <c r="S1258" s="107">
        <v>8.9703821637465597E-2</v>
      </c>
      <c r="T1258" s="81">
        <v>1.59748140828458E-2</v>
      </c>
      <c r="U1258" s="81">
        <v>2.0989363464327299E-8</v>
      </c>
      <c r="V1258" s="81">
        <v>7.7295612409935805E-7</v>
      </c>
      <c r="W1258" s="81">
        <v>3.5555981708570502E-5</v>
      </c>
    </row>
    <row r="1259" spans="2:23" x14ac:dyDescent="0.2">
      <c r="B1259" t="s">
        <v>344</v>
      </c>
      <c r="C1259" s="84">
        <v>5018</v>
      </c>
      <c r="D1259" s="102">
        <v>-3.2807590977328903E-2</v>
      </c>
      <c r="E1259" s="79">
        <v>1.5947799565672601E-2</v>
      </c>
      <c r="F1259" s="79">
        <v>3.9732382242483398E-2</v>
      </c>
      <c r="G1259" s="79">
        <v>0.673066555187669</v>
      </c>
      <c r="H1259" s="79">
        <v>1</v>
      </c>
      <c r="I1259" s="102">
        <v>2.38826053100329E-2</v>
      </c>
      <c r="J1259" s="79">
        <v>1.5962415545640801E-2</v>
      </c>
      <c r="K1259" s="79">
        <v>0.13468589885068799</v>
      </c>
      <c r="L1259" s="79">
        <v>0.57908099658138501</v>
      </c>
      <c r="M1259" s="79">
        <v>1</v>
      </c>
      <c r="N1259" s="107">
        <v>9.7620826265903904E-2</v>
      </c>
      <c r="O1259" s="81">
        <v>1.5725861653657199E-2</v>
      </c>
      <c r="P1259" s="81">
        <v>5.9193194567269597E-10</v>
      </c>
      <c r="Q1259" s="81">
        <v>1.72884951029232E-8</v>
      </c>
      <c r="R1259" s="81">
        <v>1.0027327159695501E-6</v>
      </c>
      <c r="S1259" s="107">
        <v>0.117285267313289</v>
      </c>
      <c r="T1259" s="81">
        <v>1.5634765070582798E-2</v>
      </c>
      <c r="U1259" s="81">
        <v>7.7119770929205995E-14</v>
      </c>
      <c r="V1259" s="81">
        <v>6.5320445977037504E-11</v>
      </c>
      <c r="W1259" s="81">
        <v>1.3064089195407501E-10</v>
      </c>
    </row>
    <row r="1260" spans="2:23" x14ac:dyDescent="0.2">
      <c r="B1260" t="s">
        <v>335</v>
      </c>
      <c r="C1260" s="84">
        <v>5009</v>
      </c>
      <c r="D1260" s="102">
        <v>-2.1421383564919801E-2</v>
      </c>
      <c r="E1260" s="79">
        <v>1.6325853511304899E-2</v>
      </c>
      <c r="F1260" s="79">
        <v>0.18955931922003599</v>
      </c>
      <c r="G1260" s="79">
        <v>0.83003013605610498</v>
      </c>
      <c r="H1260" s="79">
        <v>1</v>
      </c>
      <c r="I1260" s="102">
        <v>3.1271945619021899E-3</v>
      </c>
      <c r="J1260" s="79">
        <v>1.62600021133434E-2</v>
      </c>
      <c r="K1260" s="79">
        <v>0.84749841697627903</v>
      </c>
      <c r="L1260" s="79">
        <v>0.95881128018530504</v>
      </c>
      <c r="M1260" s="79">
        <v>1</v>
      </c>
      <c r="N1260" s="102">
        <v>4.4926486097398501E-2</v>
      </c>
      <c r="O1260" s="79">
        <v>1.6127025327493199E-2</v>
      </c>
      <c r="P1260" s="79">
        <v>5.3658662738897698E-3</v>
      </c>
      <c r="Q1260" s="79">
        <v>1.6990238257886502E-2</v>
      </c>
      <c r="R1260" s="79">
        <v>1</v>
      </c>
      <c r="S1260" s="107">
        <v>8.7272119315176394E-2</v>
      </c>
      <c r="T1260" s="81">
        <v>1.60055049787158E-2</v>
      </c>
      <c r="U1260" s="81">
        <v>5.2745526013921598E-8</v>
      </c>
      <c r="V1260" s="81">
        <v>1.4647691978292299E-6</v>
      </c>
      <c r="W1260" s="81">
        <v>8.9350921067583196E-5</v>
      </c>
    </row>
    <row r="1261" spans="2:23" x14ac:dyDescent="0.2">
      <c r="B1261" t="s">
        <v>3337</v>
      </c>
      <c r="C1261" s="84">
        <v>3383</v>
      </c>
      <c r="D1261" s="102">
        <v>-7.54991086718447E-3</v>
      </c>
      <c r="E1261" s="79">
        <v>1.4520937701276E-2</v>
      </c>
      <c r="F1261" s="79">
        <v>0.60313360992084397</v>
      </c>
      <c r="G1261" s="79">
        <v>0.94340566501007395</v>
      </c>
      <c r="H1261" s="79">
        <v>1</v>
      </c>
      <c r="I1261" s="102">
        <v>5.5237409369707301E-2</v>
      </c>
      <c r="J1261" s="79">
        <v>1.44594973337785E-2</v>
      </c>
      <c r="K1261" s="79">
        <v>1.35008364953592E-4</v>
      </c>
      <c r="L1261" s="79">
        <v>4.5740834046276997E-2</v>
      </c>
      <c r="M1261" s="79">
        <v>0.22870417023138501</v>
      </c>
      <c r="N1261" s="102">
        <v>-8.0584266441341007E-3</v>
      </c>
      <c r="O1261" s="79">
        <v>1.4337993258068799E-2</v>
      </c>
      <c r="P1261" s="79">
        <v>0.57411887113988702</v>
      </c>
      <c r="Q1261" s="79">
        <v>0.68331726136308502</v>
      </c>
      <c r="R1261" s="79">
        <v>1</v>
      </c>
      <c r="S1261" s="102">
        <v>8.3044034384684908E-3</v>
      </c>
      <c r="T1261" s="79">
        <v>1.43398618833579E-2</v>
      </c>
      <c r="U1261" s="79">
        <v>0.56253913122677401</v>
      </c>
      <c r="V1261" s="79">
        <v>0.65912966950598095</v>
      </c>
      <c r="W1261" s="79">
        <v>1</v>
      </c>
    </row>
    <row r="1262" spans="2:23" x14ac:dyDescent="0.2">
      <c r="B1262" t="s">
        <v>3374</v>
      </c>
      <c r="C1262" s="84">
        <v>5025</v>
      </c>
      <c r="D1262" s="102">
        <v>3.1526557761486398E-2</v>
      </c>
      <c r="E1262" s="79">
        <v>1.4446708797175301E-2</v>
      </c>
      <c r="F1262" s="79">
        <v>2.9138168045984399E-2</v>
      </c>
      <c r="G1262" s="79">
        <v>0.60066631790544101</v>
      </c>
      <c r="H1262" s="79">
        <v>1</v>
      </c>
      <c r="I1262" s="102">
        <v>-1.1939690522457601E-2</v>
      </c>
      <c r="J1262" s="79">
        <v>1.4360505468207E-2</v>
      </c>
      <c r="K1262" s="79">
        <v>0.405775253867527</v>
      </c>
      <c r="L1262" s="79">
        <v>0.76962452085435196</v>
      </c>
      <c r="M1262" s="79">
        <v>1</v>
      </c>
      <c r="N1262" s="102">
        <v>7.0896766745254802E-3</v>
      </c>
      <c r="O1262" s="79">
        <v>1.4235673470959999E-2</v>
      </c>
      <c r="P1262" s="79">
        <v>0.61849173395151902</v>
      </c>
      <c r="Q1262" s="79">
        <v>0.71959134430897898</v>
      </c>
      <c r="R1262" s="79">
        <v>1</v>
      </c>
      <c r="S1262" s="102">
        <v>3.5917308102000903E-2</v>
      </c>
      <c r="T1262" s="79">
        <v>1.42234041607644E-2</v>
      </c>
      <c r="U1262" s="79">
        <v>1.1594639619566E-2</v>
      </c>
      <c r="V1262" s="79">
        <v>3.1730726196356702E-2</v>
      </c>
      <c r="W1262" s="79">
        <v>1</v>
      </c>
    </row>
    <row r="1263" spans="2:23" x14ac:dyDescent="0.2">
      <c r="B1263" t="s">
        <v>3343</v>
      </c>
      <c r="C1263" s="84">
        <v>2390</v>
      </c>
      <c r="D1263" s="102">
        <v>-2.9591267502535701E-3</v>
      </c>
      <c r="E1263" s="79">
        <v>1.44612283895298E-2</v>
      </c>
      <c r="F1263" s="79">
        <v>0.83787372950113304</v>
      </c>
      <c r="G1263" s="79">
        <v>0.99362338620020496</v>
      </c>
      <c r="H1263" s="79">
        <v>1</v>
      </c>
      <c r="I1263" s="102">
        <v>6.8589410399711604E-3</v>
      </c>
      <c r="J1263" s="79">
        <v>1.4390503559921899E-2</v>
      </c>
      <c r="K1263" s="79">
        <v>0.63364729384945795</v>
      </c>
      <c r="L1263" s="79">
        <v>0.87748013759880805</v>
      </c>
      <c r="M1263" s="79">
        <v>1</v>
      </c>
      <c r="N1263" s="102">
        <v>5.5515264087765998E-2</v>
      </c>
      <c r="O1263" s="79">
        <v>1.42415064917629E-2</v>
      </c>
      <c r="P1263" s="79">
        <v>9.8238809390551005E-5</v>
      </c>
      <c r="Q1263" s="79">
        <v>6.7375118667041903E-4</v>
      </c>
      <c r="R1263" s="79">
        <v>0.16641654310759299</v>
      </c>
      <c r="S1263" s="102">
        <v>3.2533559837359602E-2</v>
      </c>
      <c r="T1263" s="79">
        <v>1.42526623529359E-2</v>
      </c>
      <c r="U1263" s="79">
        <v>2.2495032709449098E-2</v>
      </c>
      <c r="V1263" s="79">
        <v>5.4051894198307499E-2</v>
      </c>
      <c r="W1263" s="79">
        <v>1</v>
      </c>
    </row>
    <row r="1264" spans="2:23" x14ac:dyDescent="0.2">
      <c r="B1264" t="s">
        <v>3348</v>
      </c>
      <c r="C1264" s="84">
        <v>5036</v>
      </c>
      <c r="D1264" s="102">
        <v>-8.4102221581565395E-5</v>
      </c>
      <c r="E1264" s="79">
        <v>1.46549223991338E-2</v>
      </c>
      <c r="F1264" s="79">
        <v>0.99542133252033504</v>
      </c>
      <c r="G1264" s="79">
        <v>0.99962502278478604</v>
      </c>
      <c r="H1264" s="79">
        <v>1</v>
      </c>
      <c r="I1264" s="102">
        <v>1.6543009905460399E-2</v>
      </c>
      <c r="J1264" s="79">
        <v>1.45685335146928E-2</v>
      </c>
      <c r="K1264" s="79">
        <v>0.25621054520855902</v>
      </c>
      <c r="L1264" s="79">
        <v>0.68025543872958705</v>
      </c>
      <c r="M1264" s="79">
        <v>1</v>
      </c>
      <c r="N1264" s="102">
        <v>5.2990173058446999E-2</v>
      </c>
      <c r="O1264" s="79">
        <v>1.4422515753347701E-2</v>
      </c>
      <c r="P1264" s="79">
        <v>2.4127904245198901E-4</v>
      </c>
      <c r="Q1264" s="79">
        <v>1.4045590993596901E-3</v>
      </c>
      <c r="R1264" s="79">
        <v>0.408726697913669</v>
      </c>
      <c r="S1264" s="107">
        <v>7.0307444134236494E-2</v>
      </c>
      <c r="T1264" s="81">
        <v>1.4402386041007499E-2</v>
      </c>
      <c r="U1264" s="81">
        <v>1.0863037801116301E-6</v>
      </c>
      <c r="V1264" s="81">
        <v>1.93705116158853E-5</v>
      </c>
      <c r="W1264" s="81">
        <v>1.8401986035091E-3</v>
      </c>
    </row>
    <row r="1265" spans="2:23" x14ac:dyDescent="0.2">
      <c r="B1265" t="s">
        <v>3365</v>
      </c>
      <c r="C1265" s="84">
        <v>5014</v>
      </c>
      <c r="D1265" s="102">
        <v>3.0035808309783401E-2</v>
      </c>
      <c r="E1265" s="79">
        <v>1.4506106607569701E-2</v>
      </c>
      <c r="F1265" s="79">
        <v>3.8450912466992102E-2</v>
      </c>
      <c r="G1265" s="79">
        <v>0.66335502824181403</v>
      </c>
      <c r="H1265" s="79">
        <v>1</v>
      </c>
      <c r="I1265" s="102">
        <v>1.1159259731256499E-2</v>
      </c>
      <c r="J1265" s="79">
        <v>1.44774436469245E-2</v>
      </c>
      <c r="K1265" s="79">
        <v>0.44086020199913101</v>
      </c>
      <c r="L1265" s="79">
        <v>0.792097226457534</v>
      </c>
      <c r="M1265" s="79">
        <v>1</v>
      </c>
      <c r="N1265" s="102">
        <v>4.8834149062270397E-2</v>
      </c>
      <c r="O1265" s="79">
        <v>1.43139002291797E-2</v>
      </c>
      <c r="P1265" s="79">
        <v>6.5081949256343998E-4</v>
      </c>
      <c r="Q1265" s="79">
        <v>3.14996634400705E-3</v>
      </c>
      <c r="R1265" s="79">
        <v>1</v>
      </c>
      <c r="S1265" s="107">
        <v>6.0760226148427597E-2</v>
      </c>
      <c r="T1265" s="81">
        <v>1.43093129491148E-2</v>
      </c>
      <c r="U1265" s="81">
        <v>2.2138515851832801E-5</v>
      </c>
      <c r="V1265" s="81">
        <v>2.3007758192027499E-4</v>
      </c>
      <c r="W1265" s="81">
        <v>3.75026458530048E-2</v>
      </c>
    </row>
    <row r="1266" spans="2:23" x14ac:dyDescent="0.2">
      <c r="B1266" t="s">
        <v>3368</v>
      </c>
      <c r="C1266" s="84">
        <v>5024</v>
      </c>
      <c r="D1266" s="102">
        <v>1.3265297323571301E-2</v>
      </c>
      <c r="E1266" s="79">
        <v>1.4562935396267501E-2</v>
      </c>
      <c r="F1266" s="79">
        <v>0.36239640762530001</v>
      </c>
      <c r="G1266" s="79">
        <v>0.89461055933914202</v>
      </c>
      <c r="H1266" s="79">
        <v>1</v>
      </c>
      <c r="I1266" s="102">
        <v>-6.68732158059826E-3</v>
      </c>
      <c r="J1266" s="79">
        <v>1.44777355338538E-2</v>
      </c>
      <c r="K1266" s="79">
        <v>0.64417136950028597</v>
      </c>
      <c r="L1266" s="79">
        <v>0.88334199152593895</v>
      </c>
      <c r="M1266" s="79">
        <v>1</v>
      </c>
      <c r="N1266" s="102">
        <v>4.5083985410528001E-3</v>
      </c>
      <c r="O1266" s="79">
        <v>1.43459680305315E-2</v>
      </c>
      <c r="P1266" s="79">
        <v>0.75333543302776296</v>
      </c>
      <c r="Q1266" s="79">
        <v>0.83191018484291401</v>
      </c>
      <c r="R1266" s="79">
        <v>1</v>
      </c>
      <c r="S1266" s="102">
        <v>4.0220907316607803E-2</v>
      </c>
      <c r="T1266" s="79">
        <v>1.4330248050899001E-2</v>
      </c>
      <c r="U1266" s="79">
        <v>5.0251961292896901E-3</v>
      </c>
      <c r="V1266" s="79">
        <v>1.6061664609465499E-2</v>
      </c>
      <c r="W1266" s="79">
        <v>1</v>
      </c>
    </row>
    <row r="1267" spans="2:23" x14ac:dyDescent="0.2">
      <c r="B1267" t="s">
        <v>3202</v>
      </c>
      <c r="C1267" s="84">
        <v>2390</v>
      </c>
      <c r="D1267" s="102">
        <v>2.7929844772471499E-2</v>
      </c>
      <c r="E1267" s="79">
        <v>1.45406798219844E-2</v>
      </c>
      <c r="F1267" s="79">
        <v>5.48148296068557E-2</v>
      </c>
      <c r="G1267" s="79">
        <v>0.71261997111332298</v>
      </c>
      <c r="H1267" s="79">
        <v>1</v>
      </c>
      <c r="I1267" s="102">
        <v>-1.65726138618216E-2</v>
      </c>
      <c r="J1267" s="79">
        <v>1.44634682209015E-2</v>
      </c>
      <c r="K1267" s="79">
        <v>0.251924936927653</v>
      </c>
      <c r="L1267" s="79">
        <v>0.68025543872958705</v>
      </c>
      <c r="M1267" s="79">
        <v>1</v>
      </c>
      <c r="N1267" s="107">
        <v>-8.3571078353149295E-2</v>
      </c>
      <c r="O1267" s="81">
        <v>1.42898944405975E-2</v>
      </c>
      <c r="P1267" s="81">
        <v>5.2975328733026098E-9</v>
      </c>
      <c r="Q1267" s="81">
        <v>1.12175258592183E-7</v>
      </c>
      <c r="R1267" s="81">
        <v>8.97402068737462E-6</v>
      </c>
      <c r="S1267" s="102">
        <v>-5.4440764132129303E-2</v>
      </c>
      <c r="T1267" s="79">
        <v>1.43171941797811E-2</v>
      </c>
      <c r="U1267" s="79">
        <v>1.4504190047094599E-4</v>
      </c>
      <c r="V1267" s="79">
        <v>9.4865243010726797E-4</v>
      </c>
      <c r="W1267" s="79">
        <v>0.24570097939778299</v>
      </c>
    </row>
    <row r="1268" spans="2:23" x14ac:dyDescent="0.2">
      <c r="B1268" t="s">
        <v>3208</v>
      </c>
      <c r="C1268" s="84">
        <v>2391</v>
      </c>
      <c r="D1268" s="102">
        <v>-1.14912912001246E-2</v>
      </c>
      <c r="E1268" s="79">
        <v>1.45635678080848E-2</v>
      </c>
      <c r="F1268" s="79">
        <v>0.43012527019840502</v>
      </c>
      <c r="G1268" s="79">
        <v>0.90114499904005696</v>
      </c>
      <c r="H1268" s="79">
        <v>1</v>
      </c>
      <c r="I1268" s="102">
        <v>1.44568492768022E-2</v>
      </c>
      <c r="J1268" s="79">
        <v>1.4476693896940399E-2</v>
      </c>
      <c r="K1268" s="79">
        <v>0.31802522614140399</v>
      </c>
      <c r="L1268" s="79">
        <v>0.71493966280838095</v>
      </c>
      <c r="M1268" s="79">
        <v>1</v>
      </c>
      <c r="N1268" s="107">
        <v>8.1387395987249395E-2</v>
      </c>
      <c r="O1268" s="81">
        <v>1.43072969873877E-2</v>
      </c>
      <c r="P1268" s="81">
        <v>1.35783363854159E-8</v>
      </c>
      <c r="Q1268" s="81">
        <v>2.6746164926621598E-7</v>
      </c>
      <c r="R1268" s="81">
        <v>2.3001701836894501E-5</v>
      </c>
      <c r="S1268" s="102">
        <v>5.2946765613285401E-2</v>
      </c>
      <c r="T1268" s="79">
        <v>1.43277931464823E-2</v>
      </c>
      <c r="U1268" s="79">
        <v>2.2201069807664401E-4</v>
      </c>
      <c r="V1268" s="79">
        <v>1.3776048444755901E-3</v>
      </c>
      <c r="W1268" s="79">
        <v>0.37608612254183499</v>
      </c>
    </row>
    <row r="1269" spans="2:23" x14ac:dyDescent="0.2">
      <c r="B1269" t="s">
        <v>3344</v>
      </c>
      <c r="C1269" s="84">
        <v>2390</v>
      </c>
      <c r="D1269" s="102">
        <v>-2.4414678939764699E-2</v>
      </c>
      <c r="E1269" s="79">
        <v>1.4356772903210999E-2</v>
      </c>
      <c r="F1269" s="79">
        <v>8.90904525512414E-2</v>
      </c>
      <c r="G1269" s="79">
        <v>0.74740023431835101</v>
      </c>
      <c r="H1269" s="79">
        <v>1</v>
      </c>
      <c r="I1269" s="102">
        <v>-8.6782275023610592E-3</v>
      </c>
      <c r="J1269" s="79">
        <v>1.42507228873142E-2</v>
      </c>
      <c r="K1269" s="79">
        <v>0.54257613893508105</v>
      </c>
      <c r="L1269" s="79">
        <v>0.85027603254876005</v>
      </c>
      <c r="M1269" s="79">
        <v>1</v>
      </c>
      <c r="N1269" s="102">
        <v>-4.0286253423710103E-2</v>
      </c>
      <c r="O1269" s="79">
        <v>1.4113100224746201E-2</v>
      </c>
      <c r="P1269" s="79">
        <v>4.3293482422345304E-3</v>
      </c>
      <c r="Q1269" s="79">
        <v>1.41855240277472E-2</v>
      </c>
      <c r="R1269" s="79">
        <v>1</v>
      </c>
      <c r="S1269" s="102">
        <v>-1.6046026358752501E-2</v>
      </c>
      <c r="T1269" s="79">
        <v>1.41275775823426E-2</v>
      </c>
      <c r="U1269" s="79">
        <v>0.256101344808979</v>
      </c>
      <c r="V1269" s="79">
        <v>0.36641526867095497</v>
      </c>
      <c r="W1269" s="79">
        <v>1</v>
      </c>
    </row>
    <row r="1270" spans="2:23" x14ac:dyDescent="0.2">
      <c r="B1270" t="s">
        <v>3346</v>
      </c>
      <c r="C1270" s="84">
        <v>2390</v>
      </c>
      <c r="D1270" s="102">
        <v>-3.9677762007948704E-3</v>
      </c>
      <c r="E1270" s="79">
        <v>1.45625688213679E-2</v>
      </c>
      <c r="F1270" s="79">
        <v>0.78527678710510096</v>
      </c>
      <c r="G1270" s="79">
        <v>0.988344463507694</v>
      </c>
      <c r="H1270" s="79">
        <v>1</v>
      </c>
      <c r="I1270" s="102">
        <v>3.6117001981172202E-2</v>
      </c>
      <c r="J1270" s="79">
        <v>1.4482238637810599E-2</v>
      </c>
      <c r="K1270" s="79">
        <v>1.26687447537137E-2</v>
      </c>
      <c r="L1270" s="79">
        <v>0.212483699136545</v>
      </c>
      <c r="M1270" s="79">
        <v>1</v>
      </c>
      <c r="N1270" s="102">
        <v>6.7146773011207096E-3</v>
      </c>
      <c r="O1270" s="79">
        <v>1.4363696002322599E-2</v>
      </c>
      <c r="P1270" s="79">
        <v>0.640180688902934</v>
      </c>
      <c r="Q1270" s="79">
        <v>0.73924068643597196</v>
      </c>
      <c r="R1270" s="79">
        <v>1</v>
      </c>
      <c r="S1270" s="102">
        <v>1.1528660038029499E-2</v>
      </c>
      <c r="T1270" s="79">
        <v>1.43587902660866E-2</v>
      </c>
      <c r="U1270" s="79">
        <v>0.42207250711896299</v>
      </c>
      <c r="V1270" s="79">
        <v>0.53815082479501397</v>
      </c>
      <c r="W1270" s="79">
        <v>1</v>
      </c>
    </row>
    <row r="1271" spans="2:23" x14ac:dyDescent="0.2">
      <c r="B1271" t="s">
        <v>3220</v>
      </c>
      <c r="C1271" s="84">
        <v>4908</v>
      </c>
      <c r="D1271" s="102">
        <v>1.60829560504764E-2</v>
      </c>
      <c r="E1271" s="79">
        <v>1.45096366779258E-2</v>
      </c>
      <c r="F1271" s="79">
        <v>0.267731514523741</v>
      </c>
      <c r="G1271" s="79">
        <v>0.85990749347533801</v>
      </c>
      <c r="H1271" s="79">
        <v>1</v>
      </c>
      <c r="I1271" s="102">
        <v>-5.4483891581676601E-3</v>
      </c>
      <c r="J1271" s="79">
        <v>1.44072420503623E-2</v>
      </c>
      <c r="K1271" s="79">
        <v>0.70532155522886597</v>
      </c>
      <c r="L1271" s="79">
        <v>0.90817903987414805</v>
      </c>
      <c r="M1271" s="79">
        <v>1</v>
      </c>
      <c r="N1271" s="107">
        <v>-0.11456202554230301</v>
      </c>
      <c r="O1271" s="81">
        <v>1.42041350241784E-2</v>
      </c>
      <c r="P1271" s="81">
        <v>9.2049518109465904E-16</v>
      </c>
      <c r="Q1271" s="81">
        <v>1.41756257888578E-13</v>
      </c>
      <c r="R1271" s="81">
        <v>1.55931883677435E-12</v>
      </c>
      <c r="S1271" s="107">
        <v>-7.6457945264910204E-2</v>
      </c>
      <c r="T1271" s="81">
        <v>1.42437505282821E-2</v>
      </c>
      <c r="U1271" s="81">
        <v>8.3559062919461398E-8</v>
      </c>
      <c r="V1271" s="81">
        <v>2.08160371449364E-6</v>
      </c>
      <c r="W1271" s="81">
        <v>1.4154905258556799E-4</v>
      </c>
    </row>
    <row r="1272" spans="2:23" x14ac:dyDescent="0.2">
      <c r="B1272" t="s">
        <v>3362</v>
      </c>
      <c r="C1272" s="84">
        <v>2891</v>
      </c>
      <c r="D1272" s="102">
        <v>1.04861716122249E-2</v>
      </c>
      <c r="E1272" s="79">
        <v>1.4438894899942401E-2</v>
      </c>
      <c r="F1272" s="79">
        <v>0.46772412877564501</v>
      </c>
      <c r="G1272" s="79">
        <v>0.91151047511105199</v>
      </c>
      <c r="H1272" s="79">
        <v>1</v>
      </c>
      <c r="I1272" s="102">
        <v>-1.9853549865968098E-3</v>
      </c>
      <c r="J1272" s="79">
        <v>1.43550524176418E-2</v>
      </c>
      <c r="K1272" s="79">
        <v>0.89000639655124802</v>
      </c>
      <c r="L1272" s="79">
        <v>0.97964316813373198</v>
      </c>
      <c r="M1272" s="79">
        <v>1</v>
      </c>
      <c r="N1272" s="102">
        <v>-3.0165357919825799E-2</v>
      </c>
      <c r="O1272" s="79">
        <v>1.4227598109559E-2</v>
      </c>
      <c r="P1272" s="79">
        <v>3.4040754735227503E-2</v>
      </c>
      <c r="Q1272" s="79">
        <v>7.4214978792117595E-2</v>
      </c>
      <c r="R1272" s="79">
        <v>1</v>
      </c>
      <c r="S1272" s="102">
        <v>-4.9105664830200402E-2</v>
      </c>
      <c r="T1272" s="79">
        <v>1.42123212345995E-2</v>
      </c>
      <c r="U1272" s="79">
        <v>5.5479604611300803E-4</v>
      </c>
      <c r="V1272" s="79">
        <v>2.8479530367134399E-3</v>
      </c>
      <c r="W1272" s="79">
        <v>0.939824502115436</v>
      </c>
    </row>
    <row r="1273" spans="2:23" x14ac:dyDescent="0.2">
      <c r="B1273" t="s">
        <v>3203</v>
      </c>
      <c r="C1273" s="84">
        <v>2390</v>
      </c>
      <c r="D1273" s="102">
        <v>2.22443092252241E-2</v>
      </c>
      <c r="E1273" s="79">
        <v>1.4496758207563999E-2</v>
      </c>
      <c r="F1273" s="79">
        <v>0.12499156867335</v>
      </c>
      <c r="G1273" s="79">
        <v>0.80938271582532695</v>
      </c>
      <c r="H1273" s="79">
        <v>1</v>
      </c>
      <c r="I1273" s="102">
        <v>1.27542087667594E-2</v>
      </c>
      <c r="J1273" s="79">
        <v>1.43843656635694E-2</v>
      </c>
      <c r="K1273" s="79">
        <v>0.37530304679027598</v>
      </c>
      <c r="L1273" s="79">
        <v>0.75612407354447997</v>
      </c>
      <c r="M1273" s="79">
        <v>1</v>
      </c>
      <c r="N1273" s="107">
        <v>-0.103286491962121</v>
      </c>
      <c r="O1273" s="81">
        <v>1.41922401577799E-2</v>
      </c>
      <c r="P1273" s="81">
        <v>3.9833289006771002E-13</v>
      </c>
      <c r="Q1273" s="81">
        <v>3.3738795788735003E-11</v>
      </c>
      <c r="R1273" s="81">
        <v>6.7477591577470099E-10</v>
      </c>
      <c r="S1273" s="102">
        <v>-5.8914322872619898E-2</v>
      </c>
      <c r="T1273" s="79">
        <v>1.42345534974285E-2</v>
      </c>
      <c r="U1273" s="79">
        <v>3.5541016485929698E-5</v>
      </c>
      <c r="V1273" s="79">
        <v>3.3263249683516499E-4</v>
      </c>
      <c r="W1273" s="79">
        <v>6.02064819271649E-2</v>
      </c>
    </row>
    <row r="1274" spans="2:23" x14ac:dyDescent="0.2">
      <c r="B1274" t="s">
        <v>3342</v>
      </c>
      <c r="C1274" s="84">
        <v>2390</v>
      </c>
      <c r="D1274" s="102">
        <v>-1.87397387061412E-3</v>
      </c>
      <c r="E1274" s="79">
        <v>1.44594080465531E-2</v>
      </c>
      <c r="F1274" s="79">
        <v>0.89688644104686699</v>
      </c>
      <c r="G1274" s="79">
        <v>0.99497421816201204</v>
      </c>
      <c r="H1274" s="79">
        <v>1</v>
      </c>
      <c r="I1274" s="102">
        <v>-2.3209163025582302E-2</v>
      </c>
      <c r="J1274" s="79">
        <v>1.4367903292840699E-2</v>
      </c>
      <c r="K1274" s="79">
        <v>0.106302160773757</v>
      </c>
      <c r="L1274" s="79">
        <v>0.53293803425049502</v>
      </c>
      <c r="M1274" s="79">
        <v>1</v>
      </c>
      <c r="N1274" s="102">
        <v>4.6290176995671298E-2</v>
      </c>
      <c r="O1274" s="79">
        <v>1.4237628312209099E-2</v>
      </c>
      <c r="P1274" s="79">
        <v>1.1569727092579599E-3</v>
      </c>
      <c r="Q1274" s="79">
        <v>4.94742236722907E-3</v>
      </c>
      <c r="R1274" s="79">
        <v>1</v>
      </c>
      <c r="S1274" s="102">
        <v>4.8347995592425398E-2</v>
      </c>
      <c r="T1274" s="79">
        <v>1.42306474385013E-2</v>
      </c>
      <c r="U1274" s="79">
        <v>6.8573780015004405E-4</v>
      </c>
      <c r="V1274" s="79">
        <v>3.3504775855876601E-3</v>
      </c>
      <c r="W1274" s="79">
        <v>1</v>
      </c>
    </row>
    <row r="1275" spans="2:23" x14ac:dyDescent="0.2">
      <c r="B1275" t="s">
        <v>3370</v>
      </c>
      <c r="C1275" s="84">
        <v>4814</v>
      </c>
      <c r="D1275" s="102">
        <v>1.30841871047397E-2</v>
      </c>
      <c r="E1275" s="79">
        <v>1.45551563502315E-2</v>
      </c>
      <c r="F1275" s="79">
        <v>0.36873080489363602</v>
      </c>
      <c r="G1275" s="79">
        <v>0.89461055933914202</v>
      </c>
      <c r="H1275" s="79">
        <v>1</v>
      </c>
      <c r="I1275" s="102">
        <v>5.9875635084897204E-3</v>
      </c>
      <c r="J1275" s="79">
        <v>1.44627171016943E-2</v>
      </c>
      <c r="K1275" s="79">
        <v>0.67889307250886499</v>
      </c>
      <c r="L1275" s="79">
        <v>0.8940422852919</v>
      </c>
      <c r="M1275" s="79">
        <v>1</v>
      </c>
      <c r="N1275" s="102">
        <v>1.4894402672872901E-2</v>
      </c>
      <c r="O1275" s="79">
        <v>1.4334654649885901E-2</v>
      </c>
      <c r="P1275" s="79">
        <v>0.29883553384123202</v>
      </c>
      <c r="Q1275" s="79">
        <v>0.41358447248941699</v>
      </c>
      <c r="R1275" s="79">
        <v>1</v>
      </c>
      <c r="S1275" s="102">
        <v>4.1782633898538799E-2</v>
      </c>
      <c r="T1275" s="79">
        <v>1.4322163718343099E-2</v>
      </c>
      <c r="U1275" s="79">
        <v>3.5469331535035102E-3</v>
      </c>
      <c r="V1275" s="79">
        <v>1.22873308017075E-2</v>
      </c>
      <c r="W1275" s="79">
        <v>1</v>
      </c>
    </row>
    <row r="1276" spans="2:23" x14ac:dyDescent="0.2">
      <c r="B1276" t="s">
        <v>3338</v>
      </c>
      <c r="C1276" s="84">
        <v>5035</v>
      </c>
      <c r="D1276" s="102">
        <v>5.3412649185870303E-3</v>
      </c>
      <c r="E1276" s="79">
        <v>1.45970318061587E-2</v>
      </c>
      <c r="F1276" s="79">
        <v>0.71444485788339196</v>
      </c>
      <c r="G1276" s="79">
        <v>0.97160036230239</v>
      </c>
      <c r="H1276" s="79">
        <v>1</v>
      </c>
      <c r="I1276" s="102">
        <v>2.5977420441682698E-2</v>
      </c>
      <c r="J1276" s="79">
        <v>1.45121115042962E-2</v>
      </c>
      <c r="K1276" s="79">
        <v>7.3508875619331296E-2</v>
      </c>
      <c r="L1276" s="79">
        <v>0.45613199743277399</v>
      </c>
      <c r="M1276" s="79">
        <v>1</v>
      </c>
      <c r="N1276" s="102">
        <v>-2.4293726029366799E-2</v>
      </c>
      <c r="O1276" s="79">
        <v>1.4381216307402101E-2</v>
      </c>
      <c r="P1276" s="79">
        <v>9.1233041163422707E-2</v>
      </c>
      <c r="Q1276" s="79">
        <v>0.16251185250351</v>
      </c>
      <c r="R1276" s="79">
        <v>1</v>
      </c>
      <c r="S1276" s="102">
        <v>-2.7622686578424701E-2</v>
      </c>
      <c r="T1276" s="79">
        <v>1.4376560196729799E-2</v>
      </c>
      <c r="U1276" s="79">
        <v>5.4744215786760198E-2</v>
      </c>
      <c r="V1276" s="79">
        <v>0.110138600407092</v>
      </c>
      <c r="W1276" s="79">
        <v>1</v>
      </c>
    </row>
    <row r="1277" spans="2:23" x14ac:dyDescent="0.2">
      <c r="B1277" t="s">
        <v>3372</v>
      </c>
      <c r="C1277" s="84">
        <v>4786</v>
      </c>
      <c r="D1277" s="102">
        <v>1.9967500840893701E-2</v>
      </c>
      <c r="E1277" s="79">
        <v>1.4663368187299601E-2</v>
      </c>
      <c r="F1277" s="79">
        <v>0.17334767884628899</v>
      </c>
      <c r="G1277" s="79">
        <v>0.81796927009920195</v>
      </c>
      <c r="H1277" s="79">
        <v>1</v>
      </c>
      <c r="I1277" s="102">
        <v>3.23395624614016E-2</v>
      </c>
      <c r="J1277" s="79">
        <v>1.45757404240135E-2</v>
      </c>
      <c r="K1277" s="79">
        <v>2.6552412513757201E-2</v>
      </c>
      <c r="L1277" s="79">
        <v>0.31408898726867501</v>
      </c>
      <c r="M1277" s="79">
        <v>1</v>
      </c>
      <c r="N1277" s="102">
        <v>5.0245527100810303E-2</v>
      </c>
      <c r="O1277" s="79">
        <v>1.4438274338235401E-2</v>
      </c>
      <c r="P1277" s="79">
        <v>5.0584449055000402E-4</v>
      </c>
      <c r="Q1277" s="79">
        <v>2.5888234652317399E-3</v>
      </c>
      <c r="R1277" s="79">
        <v>0.85690056699170702</v>
      </c>
      <c r="S1277" s="107">
        <v>6.4643946283172396E-2</v>
      </c>
      <c r="T1277" s="81">
        <v>1.4424973791684099E-2</v>
      </c>
      <c r="U1277" s="81">
        <v>7.5887433752889003E-6</v>
      </c>
      <c r="V1277" s="81">
        <v>9.9653730835189095E-5</v>
      </c>
      <c r="W1277" s="81">
        <v>1.28553312777394E-2</v>
      </c>
    </row>
    <row r="1278" spans="2:23" x14ac:dyDescent="0.2">
      <c r="B1278" t="s">
        <v>3206</v>
      </c>
      <c r="C1278" s="84">
        <v>1981</v>
      </c>
      <c r="D1278" s="102">
        <v>-7.6414251662906404E-3</v>
      </c>
      <c r="E1278" s="79">
        <v>1.46306809078002E-2</v>
      </c>
      <c r="F1278" s="79">
        <v>0.60149396064773997</v>
      </c>
      <c r="G1278" s="79">
        <v>0.94340566501007395</v>
      </c>
      <c r="H1278" s="79">
        <v>1</v>
      </c>
      <c r="I1278" s="102">
        <v>1.14144438090271E-2</v>
      </c>
      <c r="J1278" s="79">
        <v>1.4547844519069901E-2</v>
      </c>
      <c r="K1278" s="79">
        <v>0.43271893914572401</v>
      </c>
      <c r="L1278" s="79">
        <v>0.787353257693724</v>
      </c>
      <c r="M1278" s="79">
        <v>1</v>
      </c>
      <c r="N1278" s="107">
        <v>-6.2697327210150394E-2</v>
      </c>
      <c r="O1278" s="81">
        <v>1.43999312761591E-2</v>
      </c>
      <c r="P1278" s="81">
        <v>1.3646228023215099E-5</v>
      </c>
      <c r="Q1278" s="81">
        <v>1.2914363280070601E-4</v>
      </c>
      <c r="R1278" s="81">
        <v>2.3116710271326401E-2</v>
      </c>
      <c r="S1278" s="102">
        <v>-4.35760553225715E-2</v>
      </c>
      <c r="T1278" s="79">
        <v>1.44049784562279E-2</v>
      </c>
      <c r="U1278" s="79">
        <v>2.4989681250656899E-3</v>
      </c>
      <c r="V1278" s="79">
        <v>9.2227712502424408E-3</v>
      </c>
      <c r="W1278" s="79">
        <v>1</v>
      </c>
    </row>
    <row r="1279" spans="2:23" x14ac:dyDescent="0.2">
      <c r="B1279" t="s">
        <v>3210</v>
      </c>
      <c r="C1279" s="84">
        <v>3542</v>
      </c>
      <c r="D1279" s="102">
        <v>-4.69347287764341E-3</v>
      </c>
      <c r="E1279" s="79">
        <v>1.4670888209047101E-2</v>
      </c>
      <c r="F1279" s="79">
        <v>0.74904456595580804</v>
      </c>
      <c r="G1279" s="79">
        <v>0.97983127006111104</v>
      </c>
      <c r="H1279" s="79">
        <v>1</v>
      </c>
      <c r="I1279" s="102">
        <v>2.59742270217426E-2</v>
      </c>
      <c r="J1279" s="79">
        <v>1.45928499402872E-2</v>
      </c>
      <c r="K1279" s="79">
        <v>7.5150385946280193E-2</v>
      </c>
      <c r="L1279" s="79">
        <v>0.46226633181563198</v>
      </c>
      <c r="M1279" s="79">
        <v>1</v>
      </c>
      <c r="N1279" s="107">
        <v>8.5023837052003504E-2</v>
      </c>
      <c r="O1279" s="81">
        <v>1.4409048576156699E-2</v>
      </c>
      <c r="P1279" s="81">
        <v>3.8641508524360097E-9</v>
      </c>
      <c r="Q1279" s="81">
        <v>8.8457723567927E-8</v>
      </c>
      <c r="R1279" s="81">
        <v>6.5458715440265998E-6</v>
      </c>
      <c r="S1279" s="102">
        <v>5.9308945424788297E-2</v>
      </c>
      <c r="T1279" s="79">
        <v>1.4432966030192101E-2</v>
      </c>
      <c r="U1279" s="79">
        <v>4.0344922824526402E-5</v>
      </c>
      <c r="V1279" s="79">
        <v>3.6353350672738198E-4</v>
      </c>
      <c r="W1279" s="79">
        <v>6.8344299264747693E-2</v>
      </c>
    </row>
    <row r="1280" spans="2:23" x14ac:dyDescent="0.2">
      <c r="B1280" t="s">
        <v>3213</v>
      </c>
      <c r="C1280" s="84">
        <v>5014</v>
      </c>
      <c r="D1280" s="102">
        <v>4.3945784680925998E-2</v>
      </c>
      <c r="E1280" s="79">
        <v>1.4259759639307E-2</v>
      </c>
      <c r="F1280" s="79">
        <v>2.0695831714916198E-3</v>
      </c>
      <c r="G1280" s="79">
        <v>0.22515221791711101</v>
      </c>
      <c r="H1280" s="79">
        <v>1</v>
      </c>
      <c r="I1280" s="102">
        <v>4.60995016281011E-2</v>
      </c>
      <c r="J1280" s="79">
        <v>1.41473482132559E-2</v>
      </c>
      <c r="K1280" s="79">
        <v>1.1281953535707001E-3</v>
      </c>
      <c r="L1280" s="79">
        <v>0.106175718274931</v>
      </c>
      <c r="M1280" s="79">
        <v>1</v>
      </c>
      <c r="N1280" s="107">
        <v>-9.7685426431894803E-2</v>
      </c>
      <c r="O1280" s="81">
        <v>1.3980392079872599E-2</v>
      </c>
      <c r="P1280" s="81">
        <v>3.20780673886858E-12</v>
      </c>
      <c r="Q1280" s="81">
        <v>1.8738015916011601E-10</v>
      </c>
      <c r="R1280" s="81">
        <v>5.4340246156433697E-9</v>
      </c>
      <c r="S1280" s="102">
        <v>-5.7832288869063601E-2</v>
      </c>
      <c r="T1280" s="79">
        <v>1.40204289560094E-2</v>
      </c>
      <c r="U1280" s="79">
        <v>3.7755043381884599E-5</v>
      </c>
      <c r="V1280" s="79">
        <v>3.4571374858871601E-4</v>
      </c>
      <c r="W1280" s="79">
        <v>6.3957043488912499E-2</v>
      </c>
    </row>
    <row r="1281" spans="2:23" x14ac:dyDescent="0.2">
      <c r="B1281" t="s">
        <v>3359</v>
      </c>
      <c r="C1281" s="84">
        <v>4998</v>
      </c>
      <c r="D1281" s="102">
        <v>-4.8109358637181202E-2</v>
      </c>
      <c r="E1281" s="79">
        <v>1.45261508118005E-2</v>
      </c>
      <c r="F1281" s="79">
        <v>9.3365560503900504E-4</v>
      </c>
      <c r="G1281" s="79">
        <v>0.175734732770675</v>
      </c>
      <c r="H1281" s="79">
        <v>1</v>
      </c>
      <c r="I1281" s="102">
        <v>1.85635517545082E-2</v>
      </c>
      <c r="J1281" s="79">
        <v>1.4427986808182001E-2</v>
      </c>
      <c r="K1281" s="79">
        <v>0.198286864908405</v>
      </c>
      <c r="L1281" s="79">
        <v>0.64163197767429703</v>
      </c>
      <c r="M1281" s="79">
        <v>1</v>
      </c>
      <c r="N1281" s="102">
        <v>-3.2027043124851398E-2</v>
      </c>
      <c r="O1281" s="79">
        <v>1.43021838988538E-2</v>
      </c>
      <c r="P1281" s="79">
        <v>2.5183517385E-2</v>
      </c>
      <c r="Q1281" s="79">
        <v>5.8200379877476102E-2</v>
      </c>
      <c r="R1281" s="79">
        <v>1</v>
      </c>
      <c r="S1281" s="102">
        <v>-3.6278199656899601E-2</v>
      </c>
      <c r="T1281" s="79">
        <v>1.4300110252380401E-2</v>
      </c>
      <c r="U1281" s="79">
        <v>1.1216042015476701E-2</v>
      </c>
      <c r="V1281" s="79">
        <v>3.09950655370596E-2</v>
      </c>
      <c r="W1281" s="79">
        <v>1</v>
      </c>
    </row>
    <row r="1282" spans="2:23" x14ac:dyDescent="0.2">
      <c r="B1282" t="s">
        <v>3339</v>
      </c>
      <c r="C1282" s="84">
        <v>3382</v>
      </c>
      <c r="D1282" s="102">
        <v>8.4497307277897702E-3</v>
      </c>
      <c r="E1282" s="79">
        <v>1.46118764957097E-2</v>
      </c>
      <c r="F1282" s="79">
        <v>0.56310359558083201</v>
      </c>
      <c r="G1282" s="79">
        <v>0.93167796111031398</v>
      </c>
      <c r="H1282" s="79">
        <v>1</v>
      </c>
      <c r="I1282" s="102">
        <v>1.9758708785465599E-2</v>
      </c>
      <c r="J1282" s="79">
        <v>1.4513253251537701E-2</v>
      </c>
      <c r="K1282" s="79">
        <v>0.17344490376875801</v>
      </c>
      <c r="L1282" s="79">
        <v>0.61396896490869202</v>
      </c>
      <c r="M1282" s="79">
        <v>1</v>
      </c>
      <c r="N1282" s="102">
        <v>3.7719817869951502E-2</v>
      </c>
      <c r="O1282" s="79">
        <v>1.43870904249281E-2</v>
      </c>
      <c r="P1282" s="79">
        <v>8.7752664569936707E-3</v>
      </c>
      <c r="Q1282" s="79">
        <v>2.5152794210063101E-2</v>
      </c>
      <c r="R1282" s="79">
        <v>1</v>
      </c>
      <c r="S1282" s="107">
        <v>6.4995310606658793E-2</v>
      </c>
      <c r="T1282" s="81">
        <v>1.43639122389302E-2</v>
      </c>
      <c r="U1282" s="81">
        <v>6.1906998404076297E-6</v>
      </c>
      <c r="V1282" s="81">
        <v>8.2575161650791495E-5</v>
      </c>
      <c r="W1282" s="81">
        <v>1.0487045529650499E-2</v>
      </c>
    </row>
    <row r="1283" spans="2:23" x14ac:dyDescent="0.2">
      <c r="B1283" t="s">
        <v>3212</v>
      </c>
      <c r="C1283" s="84">
        <v>455</v>
      </c>
      <c r="D1283" s="102">
        <v>2.9344961544351102E-2</v>
      </c>
      <c r="E1283" s="79">
        <v>1.4470320950995701E-2</v>
      </c>
      <c r="F1283" s="79">
        <v>4.2622077725973498E-2</v>
      </c>
      <c r="G1283" s="79">
        <v>0.67784404055428704</v>
      </c>
      <c r="H1283" s="79">
        <v>1</v>
      </c>
      <c r="I1283" s="102">
        <v>1.00837829417924E-2</v>
      </c>
      <c r="J1283" s="79">
        <v>1.4380401260907999E-2</v>
      </c>
      <c r="K1283" s="79">
        <v>0.48320266225157799</v>
      </c>
      <c r="L1283" s="79">
        <v>0.80894043982196895</v>
      </c>
      <c r="M1283" s="79">
        <v>1</v>
      </c>
      <c r="N1283" s="107">
        <v>-9.5730943313008701E-2</v>
      </c>
      <c r="O1283" s="81">
        <v>1.41999973369497E-2</v>
      </c>
      <c r="P1283" s="81">
        <v>1.75621148850919E-11</v>
      </c>
      <c r="Q1283" s="81">
        <v>7.8290059514067604E-10</v>
      </c>
      <c r="R1283" s="81">
        <v>2.9750222615345699E-8</v>
      </c>
      <c r="S1283" s="107">
        <v>-7.6847846168358006E-2</v>
      </c>
      <c r="T1283" s="81">
        <v>1.4211070599401099E-2</v>
      </c>
      <c r="U1283" s="81">
        <v>6.7052443214817696E-8</v>
      </c>
      <c r="V1283" s="81">
        <v>1.8320457871919601E-6</v>
      </c>
      <c r="W1283" s="81">
        <v>1.1358683880590101E-4</v>
      </c>
    </row>
    <row r="1284" spans="2:23" x14ac:dyDescent="0.2">
      <c r="B1284" t="s">
        <v>3200</v>
      </c>
      <c r="C1284" s="84">
        <v>3384</v>
      </c>
      <c r="D1284" s="102">
        <v>3.9579408883200599E-2</v>
      </c>
      <c r="E1284" s="79">
        <v>1.44653936082159E-2</v>
      </c>
      <c r="F1284" s="79">
        <v>6.2398533822962104E-3</v>
      </c>
      <c r="G1284" s="79">
        <v>0.38801325087508498</v>
      </c>
      <c r="H1284" s="79">
        <v>1</v>
      </c>
      <c r="I1284" s="102">
        <v>1.150641324873E-2</v>
      </c>
      <c r="J1284" s="79">
        <v>1.43685194315344E-2</v>
      </c>
      <c r="K1284" s="79">
        <v>0.42328495430876101</v>
      </c>
      <c r="L1284" s="79">
        <v>0.78109445816889</v>
      </c>
      <c r="M1284" s="79">
        <v>1</v>
      </c>
      <c r="N1284" s="107">
        <v>-0.12851679825974899</v>
      </c>
      <c r="O1284" s="81">
        <v>1.4130349869634301E-2</v>
      </c>
      <c r="P1284" s="81">
        <v>1.3779679660488801E-19</v>
      </c>
      <c r="Q1284" s="81">
        <v>6.0845364786234905E-17</v>
      </c>
      <c r="R1284" s="81">
        <v>2.3342777344868002E-16</v>
      </c>
      <c r="S1284" s="107">
        <v>-7.5453942851607295E-2</v>
      </c>
      <c r="T1284" s="81">
        <v>1.4205666672286401E-2</v>
      </c>
      <c r="U1284" s="81">
        <v>1.13820554728823E-7</v>
      </c>
      <c r="V1284" s="81">
        <v>2.7156622494454401E-6</v>
      </c>
      <c r="W1284" s="81">
        <v>1.92812019710626E-4</v>
      </c>
    </row>
    <row r="1285" spans="2:23" x14ac:dyDescent="0.2">
      <c r="B1285" t="s">
        <v>3367</v>
      </c>
      <c r="C1285" s="84">
        <v>5014</v>
      </c>
      <c r="D1285" s="102">
        <v>-1.37583920422537E-2</v>
      </c>
      <c r="E1285" s="79">
        <v>1.4578725780248899E-2</v>
      </c>
      <c r="F1285" s="79">
        <v>0.34535566166373499</v>
      </c>
      <c r="G1285" s="79">
        <v>0.89454509305560703</v>
      </c>
      <c r="H1285" s="79">
        <v>1</v>
      </c>
      <c r="I1285" s="102">
        <v>3.3433107430210201E-3</v>
      </c>
      <c r="J1285" s="79">
        <v>1.4474446765131E-2</v>
      </c>
      <c r="K1285" s="79">
        <v>0.81734040984908296</v>
      </c>
      <c r="L1285" s="79">
        <v>0.94898879663080704</v>
      </c>
      <c r="M1285" s="79">
        <v>1</v>
      </c>
      <c r="N1285" s="102">
        <v>-2.21293071830897E-2</v>
      </c>
      <c r="O1285" s="79">
        <v>1.4345987265560099E-2</v>
      </c>
      <c r="P1285" s="79">
        <v>0.123010295638679</v>
      </c>
      <c r="Q1285" s="79">
        <v>0.204494053789914</v>
      </c>
      <c r="R1285" s="79">
        <v>1</v>
      </c>
      <c r="S1285" s="102">
        <v>-2.0254637583559901E-2</v>
      </c>
      <c r="T1285" s="79">
        <v>1.4345725128954301E-2</v>
      </c>
      <c r="U1285" s="79">
        <v>0.158048259469623</v>
      </c>
      <c r="V1285" s="79">
        <v>0.25329588603740899</v>
      </c>
      <c r="W1285" s="79">
        <v>1</v>
      </c>
    </row>
    <row r="1286" spans="2:23" x14ac:dyDescent="0.2">
      <c r="B1286" t="s">
        <v>3373</v>
      </c>
      <c r="C1286" s="84">
        <v>5004</v>
      </c>
      <c r="D1286" s="102">
        <v>2.7852688267073301E-2</v>
      </c>
      <c r="E1286" s="79">
        <v>1.4597951558773701E-2</v>
      </c>
      <c r="F1286" s="79">
        <v>5.6453529546929199E-2</v>
      </c>
      <c r="G1286" s="79">
        <v>0.71323882218720602</v>
      </c>
      <c r="H1286" s="79">
        <v>1</v>
      </c>
      <c r="I1286" s="102">
        <v>1.9041482615891999E-2</v>
      </c>
      <c r="J1286" s="79">
        <v>1.4498881734932899E-2</v>
      </c>
      <c r="K1286" s="79">
        <v>0.189144493088614</v>
      </c>
      <c r="L1286" s="79">
        <v>0.63191814618936804</v>
      </c>
      <c r="M1286" s="79">
        <v>1</v>
      </c>
      <c r="N1286" s="102">
        <v>1.73401350662588E-2</v>
      </c>
      <c r="O1286" s="79">
        <v>1.43730649932454E-2</v>
      </c>
      <c r="P1286" s="79">
        <v>0.227712265189524</v>
      </c>
      <c r="Q1286" s="79">
        <v>0.33513864225113299</v>
      </c>
      <c r="R1286" s="79">
        <v>1</v>
      </c>
      <c r="S1286" s="102">
        <v>4.2550523633350101E-2</v>
      </c>
      <c r="T1286" s="79">
        <v>1.4360461574011101E-2</v>
      </c>
      <c r="U1286" s="79">
        <v>3.0616322489501E-3</v>
      </c>
      <c r="V1286" s="79">
        <v>1.08502197274508E-2</v>
      </c>
      <c r="W1286" s="79">
        <v>1</v>
      </c>
    </row>
    <row r="1287" spans="2:23" x14ac:dyDescent="0.2">
      <c r="B1287" t="s">
        <v>3356</v>
      </c>
      <c r="C1287" s="84">
        <v>3531</v>
      </c>
      <c r="D1287" s="102">
        <v>-1.0940094271749599E-2</v>
      </c>
      <c r="E1287" s="79">
        <v>1.4621569961512501E-2</v>
      </c>
      <c r="F1287" s="79">
        <v>0.45436674516842401</v>
      </c>
      <c r="G1287" s="79">
        <v>0.91151047511105199</v>
      </c>
      <c r="H1287" s="79">
        <v>1</v>
      </c>
      <c r="I1287" s="102">
        <v>-3.7627205360989801E-3</v>
      </c>
      <c r="J1287" s="79">
        <v>1.4517824258817501E-2</v>
      </c>
      <c r="K1287" s="79">
        <v>0.79550823432224105</v>
      </c>
      <c r="L1287" s="79">
        <v>0.93608823952815601</v>
      </c>
      <c r="M1287" s="79">
        <v>1</v>
      </c>
      <c r="N1287" s="102">
        <v>3.0185323454306301E-2</v>
      </c>
      <c r="O1287" s="79">
        <v>1.43911795982212E-2</v>
      </c>
      <c r="P1287" s="79">
        <v>3.6003619504201702E-2</v>
      </c>
      <c r="Q1287" s="79">
        <v>7.7007741717320305E-2</v>
      </c>
      <c r="R1287" s="79">
        <v>1</v>
      </c>
      <c r="S1287" s="102">
        <v>4.3369372758652401E-2</v>
      </c>
      <c r="T1287" s="79">
        <v>1.43819112817527E-2</v>
      </c>
      <c r="U1287" s="79">
        <v>2.57878822915735E-3</v>
      </c>
      <c r="V1287" s="79">
        <v>9.4555568402436199E-3</v>
      </c>
      <c r="W1287" s="79">
        <v>1</v>
      </c>
    </row>
    <row r="1288" spans="2:23" x14ac:dyDescent="0.2">
      <c r="B1288" t="s">
        <v>3350</v>
      </c>
      <c r="C1288" s="84">
        <v>2390</v>
      </c>
      <c r="D1288" s="102">
        <v>-3.6108770033199497E-2</v>
      </c>
      <c r="E1288" s="79">
        <v>1.45125918567216E-2</v>
      </c>
      <c r="F1288" s="79">
        <v>1.28765092027683E-2</v>
      </c>
      <c r="G1288" s="79">
        <v>0.509998060465089</v>
      </c>
      <c r="H1288" s="79">
        <v>1</v>
      </c>
      <c r="I1288" s="102">
        <v>-4.9178120135061404E-3</v>
      </c>
      <c r="J1288" s="79">
        <v>1.4429227635513501E-2</v>
      </c>
      <c r="K1288" s="79">
        <v>0.73325205312632402</v>
      </c>
      <c r="L1288" s="79">
        <v>0.91941449148482102</v>
      </c>
      <c r="M1288" s="79">
        <v>1</v>
      </c>
      <c r="N1288" s="102">
        <v>-2.43339350694378E-2</v>
      </c>
      <c r="O1288" s="79">
        <v>1.42942948093645E-2</v>
      </c>
      <c r="P1288" s="79">
        <v>8.8754831547832994E-2</v>
      </c>
      <c r="Q1288" s="79">
        <v>0.159438689970338</v>
      </c>
      <c r="R1288" s="79">
        <v>1</v>
      </c>
      <c r="S1288" s="102">
        <v>-3.0451930630422799E-2</v>
      </c>
      <c r="T1288" s="79">
        <v>1.42892375767395E-2</v>
      </c>
      <c r="U1288" s="79">
        <v>3.3131397151947399E-2</v>
      </c>
      <c r="V1288" s="79">
        <v>7.4534643792030397E-2</v>
      </c>
      <c r="W1288" s="79">
        <v>1</v>
      </c>
    </row>
    <row r="1289" spans="2:23" x14ac:dyDescent="0.2">
      <c r="B1289" t="s">
        <v>3207</v>
      </c>
      <c r="C1289" s="84">
        <v>2362</v>
      </c>
      <c r="D1289" s="102">
        <v>2.9000174443136E-2</v>
      </c>
      <c r="E1289" s="79">
        <v>1.4614015999450201E-2</v>
      </c>
      <c r="F1289" s="79">
        <v>4.7266084610615398E-2</v>
      </c>
      <c r="G1289" s="79">
        <v>0.69024782181364197</v>
      </c>
      <c r="H1289" s="79">
        <v>1</v>
      </c>
      <c r="I1289" s="102">
        <v>-2.35574188210565E-3</v>
      </c>
      <c r="J1289" s="79">
        <v>1.4549712425710799E-2</v>
      </c>
      <c r="K1289" s="79">
        <v>0.87138359554031997</v>
      </c>
      <c r="L1289" s="79">
        <v>0.97049560213366304</v>
      </c>
      <c r="M1289" s="79">
        <v>1</v>
      </c>
      <c r="N1289" s="107">
        <v>-8.8191374678430204E-2</v>
      </c>
      <c r="O1289" s="81">
        <v>1.43643545501125E-2</v>
      </c>
      <c r="P1289" s="81">
        <v>8.9301990839317198E-10</v>
      </c>
      <c r="Q1289" s="81">
        <v>2.40123130923497E-8</v>
      </c>
      <c r="R1289" s="81">
        <v>1.5127757248180301E-6</v>
      </c>
      <c r="S1289" s="102">
        <v>-4.9530498340768399E-2</v>
      </c>
      <c r="T1289" s="79">
        <v>1.43978608654271E-2</v>
      </c>
      <c r="U1289" s="79">
        <v>5.8632883226126999E-4</v>
      </c>
      <c r="V1289" s="79">
        <v>2.9737755744029702E-3</v>
      </c>
      <c r="W1289" s="79">
        <v>0.99324104185059103</v>
      </c>
    </row>
    <row r="1290" spans="2:23" x14ac:dyDescent="0.2">
      <c r="B1290" t="s">
        <v>3199</v>
      </c>
      <c r="C1290" s="84">
        <v>3386</v>
      </c>
      <c r="D1290" s="102">
        <v>2.8157510792156502E-4</v>
      </c>
      <c r="E1290" s="79">
        <v>1.4646625933065999E-2</v>
      </c>
      <c r="F1290" s="79">
        <v>0.98466274000746401</v>
      </c>
      <c r="G1290" s="79">
        <v>0.99881358178002599</v>
      </c>
      <c r="H1290" s="79">
        <v>1</v>
      </c>
      <c r="I1290" s="102">
        <v>3.1022276245916702E-2</v>
      </c>
      <c r="J1290" s="79">
        <v>1.4566581090332599E-2</v>
      </c>
      <c r="K1290" s="79">
        <v>3.3247721507847099E-2</v>
      </c>
      <c r="L1290" s="79">
        <v>0.347664445890697</v>
      </c>
      <c r="M1290" s="79">
        <v>1</v>
      </c>
      <c r="N1290" s="107">
        <v>9.3201192031753505E-2</v>
      </c>
      <c r="O1290" s="81">
        <v>1.4383502154152499E-2</v>
      </c>
      <c r="P1290" s="81">
        <v>1.0098274381552E-10</v>
      </c>
      <c r="Q1290" s="81">
        <v>3.4911177147651201E-9</v>
      </c>
      <c r="R1290" s="81">
        <v>1.7106476802349101E-7</v>
      </c>
      <c r="S1290" s="107">
        <v>6.7478336892337704E-2</v>
      </c>
      <c r="T1290" s="81">
        <v>1.4406705391305801E-2</v>
      </c>
      <c r="U1290" s="81">
        <v>2.8926766299941398E-6</v>
      </c>
      <c r="V1290" s="81">
        <v>4.3751734028661402E-5</v>
      </c>
      <c r="W1290" s="81">
        <v>4.9001942112100703E-3</v>
      </c>
    </row>
    <row r="1291" spans="2:23" x14ac:dyDescent="0.2">
      <c r="B1291" t="s">
        <v>3349</v>
      </c>
      <c r="C1291" s="84">
        <v>2013</v>
      </c>
      <c r="D1291" s="102">
        <v>1.44736728969341E-2</v>
      </c>
      <c r="E1291" s="79">
        <v>1.4663630110335101E-2</v>
      </c>
      <c r="F1291" s="79">
        <v>0.323669526962579</v>
      </c>
      <c r="G1291" s="79">
        <v>0.88730162874475904</v>
      </c>
      <c r="H1291" s="79">
        <v>1</v>
      </c>
      <c r="I1291" s="102">
        <v>1.9119530053503E-2</v>
      </c>
      <c r="J1291" s="79">
        <v>1.4582384158283199E-2</v>
      </c>
      <c r="K1291" s="79">
        <v>0.18987387037212999</v>
      </c>
      <c r="L1291" s="79">
        <v>0.63191814618936804</v>
      </c>
      <c r="M1291" s="79">
        <v>1</v>
      </c>
      <c r="N1291" s="102">
        <v>5.3501951471497403E-2</v>
      </c>
      <c r="O1291" s="79">
        <v>1.44380111774381E-2</v>
      </c>
      <c r="P1291" s="79">
        <v>2.1323636430644599E-4</v>
      </c>
      <c r="Q1291" s="79">
        <v>1.2792710563023599E-3</v>
      </c>
      <c r="R1291" s="79">
        <v>0.36122240113512</v>
      </c>
      <c r="S1291" s="102">
        <v>6.0218788785885401E-2</v>
      </c>
      <c r="T1291" s="79">
        <v>1.44302293008832E-2</v>
      </c>
      <c r="U1291" s="79">
        <v>3.0579103072871899E-5</v>
      </c>
      <c r="V1291" s="79">
        <v>2.9600571774540002E-4</v>
      </c>
      <c r="W1291" s="79">
        <v>5.1801000605445E-2</v>
      </c>
    </row>
    <row r="1292" spans="2:23" x14ac:dyDescent="0.2">
      <c r="B1292" t="s">
        <v>3215</v>
      </c>
      <c r="C1292" s="84">
        <v>5019</v>
      </c>
      <c r="D1292" s="102">
        <v>9.6826692060791794E-3</v>
      </c>
      <c r="E1292" s="79">
        <v>1.45839222151716E-2</v>
      </c>
      <c r="F1292" s="79">
        <v>0.50676806259101503</v>
      </c>
      <c r="G1292" s="79">
        <v>0.91752655785263504</v>
      </c>
      <c r="H1292" s="79">
        <v>1</v>
      </c>
      <c r="I1292" s="102">
        <v>1.7812566213303099E-2</v>
      </c>
      <c r="J1292" s="79">
        <v>1.4505278507225499E-2</v>
      </c>
      <c r="K1292" s="79">
        <v>0.21950488985588201</v>
      </c>
      <c r="L1292" s="79">
        <v>0.65235312879976204</v>
      </c>
      <c r="M1292" s="79">
        <v>1</v>
      </c>
      <c r="N1292" s="107">
        <v>8.39319105623932E-2</v>
      </c>
      <c r="O1292" s="81">
        <v>1.4330499491109301E-2</v>
      </c>
      <c r="P1292" s="81">
        <v>5.0287204235055399E-9</v>
      </c>
      <c r="Q1292" s="81">
        <v>1.07831043005296E-7</v>
      </c>
      <c r="R1292" s="81">
        <v>8.5186523974183795E-6</v>
      </c>
      <c r="S1292" s="107">
        <v>6.23914314775341E-2</v>
      </c>
      <c r="T1292" s="81">
        <v>1.4351389153912099E-2</v>
      </c>
      <c r="U1292" s="81">
        <v>1.4058269915636599E-5</v>
      </c>
      <c r="V1292" s="81">
        <v>1.60162399206026E-4</v>
      </c>
      <c r="W1292" s="81">
        <v>2.3814709237088401E-2</v>
      </c>
    </row>
    <row r="1293" spans="2:23" x14ac:dyDescent="0.2">
      <c r="B1293" t="s">
        <v>3355</v>
      </c>
      <c r="C1293" s="84">
        <v>3543</v>
      </c>
      <c r="D1293" s="102">
        <v>-4.7434912510742099E-3</v>
      </c>
      <c r="E1293" s="79">
        <v>1.4636130514173401E-2</v>
      </c>
      <c r="F1293" s="79">
        <v>0.74588013984476498</v>
      </c>
      <c r="G1293" s="79">
        <v>0.979098679061011</v>
      </c>
      <c r="H1293" s="79">
        <v>1</v>
      </c>
      <c r="I1293" s="102">
        <v>4.12089844206373E-2</v>
      </c>
      <c r="J1293" s="79">
        <v>1.4561807435964099E-2</v>
      </c>
      <c r="K1293" s="79">
        <v>4.6747497317143998E-3</v>
      </c>
      <c r="L1293" s="79">
        <v>0.143721784187822</v>
      </c>
      <c r="M1293" s="79">
        <v>1</v>
      </c>
      <c r="N1293" s="102">
        <v>5.5331815588524201E-2</v>
      </c>
      <c r="O1293" s="79">
        <v>1.44145321481808E-2</v>
      </c>
      <c r="P1293" s="79">
        <v>1.2529189709640801E-4</v>
      </c>
      <c r="Q1293" s="79">
        <v>8.34764159080579E-4</v>
      </c>
      <c r="R1293" s="79">
        <v>0.21224447368131499</v>
      </c>
      <c r="S1293" s="102">
        <v>5.8089057899099503E-2</v>
      </c>
      <c r="T1293" s="79">
        <v>1.4410014763055E-2</v>
      </c>
      <c r="U1293" s="79">
        <v>5.6346659982567599E-5</v>
      </c>
      <c r="V1293" s="79">
        <v>4.6687871204756701E-4</v>
      </c>
      <c r="W1293" s="79">
        <v>9.5451242010469506E-2</v>
      </c>
    </row>
    <row r="1294" spans="2:23" x14ac:dyDescent="0.2">
      <c r="B1294" t="s">
        <v>3363</v>
      </c>
      <c r="C1294" s="84">
        <v>2124</v>
      </c>
      <c r="D1294" s="102">
        <v>2.9088067251734798E-2</v>
      </c>
      <c r="E1294" s="79">
        <v>1.4497835695106201E-2</v>
      </c>
      <c r="F1294" s="79">
        <v>4.4874910765896101E-2</v>
      </c>
      <c r="G1294" s="79">
        <v>0.68219720695512798</v>
      </c>
      <c r="H1294" s="79">
        <v>1</v>
      </c>
      <c r="I1294" s="102">
        <v>-2.76069904076469E-2</v>
      </c>
      <c r="J1294" s="79">
        <v>1.43776553363704E-2</v>
      </c>
      <c r="K1294" s="79">
        <v>5.4904638878996603E-2</v>
      </c>
      <c r="L1294" s="79">
        <v>0.413834727810937</v>
      </c>
      <c r="M1294" s="79">
        <v>1</v>
      </c>
      <c r="N1294" s="102">
        <v>-2.1778615894508999E-2</v>
      </c>
      <c r="O1294" s="79">
        <v>1.42621358165401E-2</v>
      </c>
      <c r="P1294" s="79">
        <v>0.126825704494788</v>
      </c>
      <c r="Q1294" s="79">
        <v>0.21001245690534801</v>
      </c>
      <c r="R1294" s="79">
        <v>1</v>
      </c>
      <c r="S1294" s="102">
        <v>1.6567319849744001E-2</v>
      </c>
      <c r="T1294" s="79">
        <v>1.42649739988897E-2</v>
      </c>
      <c r="U1294" s="79">
        <v>0.24554106665327299</v>
      </c>
      <c r="V1294" s="79">
        <v>0.35505112911703801</v>
      </c>
      <c r="W1294" s="79">
        <v>1</v>
      </c>
    </row>
    <row r="1295" spans="2:23" x14ac:dyDescent="0.2">
      <c r="B1295" t="s">
        <v>3364</v>
      </c>
      <c r="C1295" s="84">
        <v>5019</v>
      </c>
      <c r="D1295" s="102">
        <v>-7.3387794807577697E-3</v>
      </c>
      <c r="E1295" s="79">
        <v>1.4619988448780701E-2</v>
      </c>
      <c r="F1295" s="79">
        <v>0.61571251643844804</v>
      </c>
      <c r="G1295" s="79">
        <v>0.951216817242591</v>
      </c>
      <c r="H1295" s="79">
        <v>1</v>
      </c>
      <c r="I1295" s="102">
        <v>-1.24511667609627E-2</v>
      </c>
      <c r="J1295" s="79">
        <v>1.45278755938309E-2</v>
      </c>
      <c r="K1295" s="79">
        <v>0.39145900890899898</v>
      </c>
      <c r="L1295" s="79">
        <v>0.76088358311707605</v>
      </c>
      <c r="M1295" s="79">
        <v>1</v>
      </c>
      <c r="N1295" s="102">
        <v>-3.7548407944252002E-2</v>
      </c>
      <c r="O1295" s="79">
        <v>1.43981853383432E-2</v>
      </c>
      <c r="P1295" s="79">
        <v>9.1397230830813792E-3</v>
      </c>
      <c r="Q1295" s="79">
        <v>2.59776692998991E-2</v>
      </c>
      <c r="R1295" s="79">
        <v>1</v>
      </c>
      <c r="S1295" s="107">
        <v>-6.9297164824978094E-2</v>
      </c>
      <c r="T1295" s="81">
        <v>1.43634256060309E-2</v>
      </c>
      <c r="U1295" s="81">
        <v>1.44724923995846E-6</v>
      </c>
      <c r="V1295" s="81">
        <v>2.4764042550400298E-5</v>
      </c>
      <c r="W1295" s="81">
        <v>2.4516402124896302E-3</v>
      </c>
    </row>
    <row r="1296" spans="2:23" x14ac:dyDescent="0.2">
      <c r="B1296" t="s">
        <v>3360</v>
      </c>
      <c r="C1296" s="84">
        <v>5018</v>
      </c>
      <c r="D1296" s="102">
        <v>-1.00376465564797E-2</v>
      </c>
      <c r="E1296" s="79">
        <v>1.4608003482274701E-2</v>
      </c>
      <c r="F1296" s="79">
        <v>0.49203137107859202</v>
      </c>
      <c r="G1296" s="79">
        <v>0.91678121217168596</v>
      </c>
      <c r="H1296" s="79">
        <v>1</v>
      </c>
      <c r="I1296" s="102">
        <v>2.9793927975506E-2</v>
      </c>
      <c r="J1296" s="79">
        <v>1.45266506455046E-2</v>
      </c>
      <c r="K1296" s="79">
        <v>4.03224945542318E-2</v>
      </c>
      <c r="L1296" s="79">
        <v>0.37791856411061397</v>
      </c>
      <c r="M1296" s="79">
        <v>1</v>
      </c>
      <c r="N1296" s="102">
        <v>5.7088979699192202E-2</v>
      </c>
      <c r="O1296" s="79">
        <v>1.43800775302918E-2</v>
      </c>
      <c r="P1296" s="79">
        <v>7.2913337336066102E-5</v>
      </c>
      <c r="Q1296" s="79">
        <v>5.2784270703972597E-4</v>
      </c>
      <c r="R1296" s="79">
        <v>0.123515193447296</v>
      </c>
      <c r="S1296" s="102">
        <v>2.9419681751263499E-2</v>
      </c>
      <c r="T1296" s="79">
        <v>1.43938898024652E-2</v>
      </c>
      <c r="U1296" s="79">
        <v>4.1017398225374202E-2</v>
      </c>
      <c r="V1296" s="79">
        <v>8.7510670773027599E-2</v>
      </c>
      <c r="W1296" s="79">
        <v>1</v>
      </c>
    </row>
    <row r="1297" spans="2:23" x14ac:dyDescent="0.2">
      <c r="B1297" t="s">
        <v>3369</v>
      </c>
      <c r="C1297" s="84">
        <v>5020</v>
      </c>
      <c r="D1297" s="102">
        <v>3.4390567918358102E-2</v>
      </c>
      <c r="E1297" s="79">
        <v>1.4621785220076001E-2</v>
      </c>
      <c r="F1297" s="79">
        <v>1.8712594142880401E-2</v>
      </c>
      <c r="G1297" s="79">
        <v>0.55550077810083998</v>
      </c>
      <c r="H1297" s="79">
        <v>1</v>
      </c>
      <c r="I1297" s="102">
        <v>-5.0062317881675103E-3</v>
      </c>
      <c r="J1297" s="79">
        <v>1.4538593282573099E-2</v>
      </c>
      <c r="K1297" s="79">
        <v>0.73060530910603205</v>
      </c>
      <c r="L1297" s="79">
        <v>0.91860526947379795</v>
      </c>
      <c r="M1297" s="79">
        <v>1</v>
      </c>
      <c r="N1297" s="102">
        <v>2.3264378023608302E-2</v>
      </c>
      <c r="O1297" s="79">
        <v>1.44107658580879E-2</v>
      </c>
      <c r="P1297" s="79">
        <v>0.10651272231183601</v>
      </c>
      <c r="Q1297" s="79">
        <v>0.183180255427665</v>
      </c>
      <c r="R1297" s="79">
        <v>1</v>
      </c>
      <c r="S1297" s="102">
        <v>3.9260525042365699E-2</v>
      </c>
      <c r="T1297" s="79">
        <v>1.43967837528111E-2</v>
      </c>
      <c r="U1297" s="79">
        <v>6.4141442771181003E-3</v>
      </c>
      <c r="V1297" s="79">
        <v>1.9612924919563301E-2</v>
      </c>
      <c r="W1297" s="79">
        <v>1</v>
      </c>
    </row>
    <row r="1298" spans="2:23" x14ac:dyDescent="0.2">
      <c r="B1298" t="s">
        <v>3361</v>
      </c>
      <c r="C1298" s="84">
        <v>5017</v>
      </c>
      <c r="D1298" s="102">
        <v>4.5214058826872003E-3</v>
      </c>
      <c r="E1298" s="79">
        <v>1.46734001933819E-2</v>
      </c>
      <c r="F1298" s="79">
        <v>0.75799215162701095</v>
      </c>
      <c r="G1298" s="79">
        <v>0.98065979399160996</v>
      </c>
      <c r="H1298" s="79">
        <v>1</v>
      </c>
      <c r="I1298" s="102">
        <v>-3.2972247433712002E-3</v>
      </c>
      <c r="J1298" s="79">
        <v>1.45757397227354E-2</v>
      </c>
      <c r="K1298" s="79">
        <v>0.82104547117873095</v>
      </c>
      <c r="L1298" s="79">
        <v>0.94998686769083596</v>
      </c>
      <c r="M1298" s="79">
        <v>1</v>
      </c>
      <c r="N1298" s="102">
        <v>5.6734841293412497E-2</v>
      </c>
      <c r="O1298" s="79">
        <v>1.4424708840239799E-2</v>
      </c>
      <c r="P1298" s="79">
        <v>8.5043503290365904E-5</v>
      </c>
      <c r="Q1298" s="79">
        <v>5.9042497776180304E-4</v>
      </c>
      <c r="R1298" s="79">
        <v>0.14406369457387999</v>
      </c>
      <c r="S1298" s="102">
        <v>3.34326382733404E-2</v>
      </c>
      <c r="T1298" s="79">
        <v>1.44386703352044E-2</v>
      </c>
      <c r="U1298" s="79">
        <v>2.0628734426483102E-2</v>
      </c>
      <c r="V1298" s="79">
        <v>5.01364076305056E-2</v>
      </c>
      <c r="W1298" s="79">
        <v>1</v>
      </c>
    </row>
    <row r="1299" spans="2:23" x14ac:dyDescent="0.2">
      <c r="B1299" t="s">
        <v>3366</v>
      </c>
      <c r="C1299" s="84">
        <v>5007</v>
      </c>
      <c r="D1299" s="102">
        <v>8.9417194293466805E-3</v>
      </c>
      <c r="E1299" s="79">
        <v>1.45378087005095E-2</v>
      </c>
      <c r="F1299" s="79">
        <v>0.53854087095926495</v>
      </c>
      <c r="G1299" s="79">
        <v>0.92176886451906703</v>
      </c>
      <c r="H1299" s="79">
        <v>1</v>
      </c>
      <c r="I1299" s="102">
        <v>-1.89306291866797E-2</v>
      </c>
      <c r="J1299" s="79">
        <v>1.44214258665014E-2</v>
      </c>
      <c r="K1299" s="79">
        <v>0.18935904381339999</v>
      </c>
      <c r="L1299" s="79">
        <v>0.63191814618936804</v>
      </c>
      <c r="M1299" s="79">
        <v>1</v>
      </c>
      <c r="N1299" s="102">
        <v>-1.58420992270412E-2</v>
      </c>
      <c r="O1299" s="79">
        <v>1.4304342218529199E-2</v>
      </c>
      <c r="P1299" s="79">
        <v>0.26813490051743899</v>
      </c>
      <c r="Q1299" s="79">
        <v>0.381057484460186</v>
      </c>
      <c r="R1299" s="79">
        <v>1</v>
      </c>
      <c r="S1299" s="102">
        <v>3.5493714799715498E-2</v>
      </c>
      <c r="T1299" s="79">
        <v>1.42942709594426E-2</v>
      </c>
      <c r="U1299" s="79">
        <v>1.3060863115435899E-2</v>
      </c>
      <c r="V1299" s="79">
        <v>3.4522938857233697E-2</v>
      </c>
      <c r="W1299" s="79">
        <v>1</v>
      </c>
    </row>
    <row r="1300" spans="2:23" x14ac:dyDescent="0.2">
      <c r="B1300" t="s">
        <v>3340</v>
      </c>
      <c r="C1300" s="84">
        <v>3386</v>
      </c>
      <c r="D1300" s="102">
        <v>1.7069794092813E-2</v>
      </c>
      <c r="E1300" s="79">
        <v>1.4645034585767699E-2</v>
      </c>
      <c r="F1300" s="79">
        <v>0.24384617915974999</v>
      </c>
      <c r="G1300" s="79">
        <v>0.85990749347533801</v>
      </c>
      <c r="H1300" s="79">
        <v>1</v>
      </c>
      <c r="I1300" s="102">
        <v>-1.62219168576405E-2</v>
      </c>
      <c r="J1300" s="79">
        <v>1.45640288804668E-2</v>
      </c>
      <c r="K1300" s="79">
        <v>0.26540627802448902</v>
      </c>
      <c r="L1300" s="79">
        <v>0.68382629307189902</v>
      </c>
      <c r="M1300" s="79">
        <v>1</v>
      </c>
      <c r="N1300" s="102">
        <v>-5.7045477030875598E-2</v>
      </c>
      <c r="O1300" s="79">
        <v>1.4410698245975601E-2</v>
      </c>
      <c r="P1300" s="79">
        <v>7.6493873719199395E-5</v>
      </c>
      <c r="Q1300" s="79">
        <v>5.4002139532035502E-4</v>
      </c>
      <c r="R1300" s="79">
        <v>0.129580622080324</v>
      </c>
      <c r="S1300" s="102">
        <v>-3.6861361468966701E-2</v>
      </c>
      <c r="T1300" s="79">
        <v>1.4419780681952699E-2</v>
      </c>
      <c r="U1300" s="79">
        <v>1.0609560809693001E-2</v>
      </c>
      <c r="V1300" s="79">
        <v>2.95601908085854E-2</v>
      </c>
      <c r="W1300" s="79">
        <v>1</v>
      </c>
    </row>
    <row r="1301" spans="2:23" x14ac:dyDescent="0.2">
      <c r="B1301" t="s">
        <v>1075</v>
      </c>
      <c r="C1301" s="84">
        <v>5034</v>
      </c>
      <c r="D1301" s="102">
        <v>3.8661548794973397E-2</v>
      </c>
      <c r="E1301" s="79">
        <v>1.4366872487039399E-2</v>
      </c>
      <c r="F1301" s="79">
        <v>7.1484614513175901E-3</v>
      </c>
      <c r="G1301" s="79">
        <v>0.38801325087508498</v>
      </c>
      <c r="H1301" s="79">
        <v>1</v>
      </c>
      <c r="I1301" s="102">
        <v>1.5728694304051102E-2</v>
      </c>
      <c r="J1301" s="79">
        <v>1.42826378329384E-2</v>
      </c>
      <c r="K1301" s="79">
        <v>0.27084698864191098</v>
      </c>
      <c r="L1301" s="79">
        <v>0.68891110924834398</v>
      </c>
      <c r="M1301" s="79">
        <v>1</v>
      </c>
      <c r="N1301" s="107">
        <v>-0.120335127368978</v>
      </c>
      <c r="O1301" s="81">
        <v>1.4071364317685599E-2</v>
      </c>
      <c r="P1301" s="81">
        <v>1.62218857363297E-17</v>
      </c>
      <c r="Q1301" s="81">
        <v>3.43498430466781E-15</v>
      </c>
      <c r="R1301" s="81">
        <v>2.7479874437342499E-14</v>
      </c>
      <c r="S1301" s="107">
        <v>-8.2826114305951007E-2</v>
      </c>
      <c r="T1301" s="81">
        <v>1.41095903221377E-2</v>
      </c>
      <c r="U1301" s="81">
        <v>4.6538175713484799E-9</v>
      </c>
      <c r="V1301" s="81">
        <v>2.8155596306658299E-7</v>
      </c>
      <c r="W1301" s="81">
        <v>7.8835669658643299E-6</v>
      </c>
    </row>
    <row r="1302" spans="2:23" x14ac:dyDescent="0.2">
      <c r="B1302" t="s">
        <v>1076</v>
      </c>
      <c r="C1302" s="84">
        <v>5036</v>
      </c>
      <c r="D1302" s="102">
        <v>-1.8757099062358E-2</v>
      </c>
      <c r="E1302" s="79">
        <v>1.4366750431329499E-2</v>
      </c>
      <c r="F1302" s="79">
        <v>0.191754142491186</v>
      </c>
      <c r="G1302" s="79">
        <v>0.83003013605610498</v>
      </c>
      <c r="H1302" s="79">
        <v>1</v>
      </c>
      <c r="I1302" s="102">
        <v>3.1350317090266902E-3</v>
      </c>
      <c r="J1302" s="79">
        <v>1.42907023509183E-2</v>
      </c>
      <c r="K1302" s="79">
        <v>0.82636690891805797</v>
      </c>
      <c r="L1302" s="79">
        <v>0.95225177964957897</v>
      </c>
      <c r="M1302" s="79">
        <v>1</v>
      </c>
      <c r="N1302" s="102">
        <v>-4.0694357902185799E-2</v>
      </c>
      <c r="O1302" s="79">
        <v>1.4158135694439701E-2</v>
      </c>
      <c r="P1302" s="79">
        <v>4.0675048623156603E-3</v>
      </c>
      <c r="Q1302" s="79">
        <v>1.3457721165552199E-2</v>
      </c>
      <c r="R1302" s="79">
        <v>1</v>
      </c>
      <c r="S1302" s="102">
        <v>-2.8951309443182801E-2</v>
      </c>
      <c r="T1302" s="79">
        <v>1.4150276240107699E-2</v>
      </c>
      <c r="U1302" s="79">
        <v>4.0812172670143698E-2</v>
      </c>
      <c r="V1302" s="79">
        <v>8.7503324525656401E-2</v>
      </c>
      <c r="W1302" s="79">
        <v>1</v>
      </c>
    </row>
    <row r="1303" spans="2:23" x14ac:dyDescent="0.2">
      <c r="B1303" t="s">
        <v>1077</v>
      </c>
      <c r="C1303" s="84">
        <v>5036</v>
      </c>
      <c r="D1303" s="102">
        <v>-9.8013547537231793E-3</v>
      </c>
      <c r="E1303" s="79">
        <v>1.45674856696768E-2</v>
      </c>
      <c r="F1303" s="79">
        <v>0.50109080919732696</v>
      </c>
      <c r="G1303" s="79">
        <v>0.91752655785263504</v>
      </c>
      <c r="H1303" s="79">
        <v>1</v>
      </c>
      <c r="I1303" s="102">
        <v>2.8803645245766198E-2</v>
      </c>
      <c r="J1303" s="79">
        <v>1.45077607601729E-2</v>
      </c>
      <c r="K1303" s="79">
        <v>4.7156363604419403E-2</v>
      </c>
      <c r="L1303" s="79">
        <v>0.40114376697029003</v>
      </c>
      <c r="M1303" s="79">
        <v>1</v>
      </c>
      <c r="N1303" s="107">
        <v>0.114536976384132</v>
      </c>
      <c r="O1303" s="81">
        <v>1.42904827639377E-2</v>
      </c>
      <c r="P1303" s="81">
        <v>1.3665987669232399E-15</v>
      </c>
      <c r="Q1303" s="81">
        <v>1.92918192597331E-13</v>
      </c>
      <c r="R1303" s="81">
        <v>2.31501831116797E-12</v>
      </c>
      <c r="S1303" s="107">
        <v>7.6156675334857399E-2</v>
      </c>
      <c r="T1303" s="81">
        <v>1.43304955272646E-2</v>
      </c>
      <c r="U1303" s="81">
        <v>1.11812517649504E-7</v>
      </c>
      <c r="V1303" s="81">
        <v>2.7058629271179998E-6</v>
      </c>
      <c r="W1303" s="81">
        <v>1.8941040489826001E-4</v>
      </c>
    </row>
    <row r="1304" spans="2:23" x14ac:dyDescent="0.2">
      <c r="B1304" t="s">
        <v>1078</v>
      </c>
      <c r="C1304" s="84">
        <v>5036</v>
      </c>
      <c r="D1304" s="102">
        <v>2.07203482417424E-2</v>
      </c>
      <c r="E1304" s="79">
        <v>1.44934323641135E-2</v>
      </c>
      <c r="F1304" s="79">
        <v>0.15288755748190699</v>
      </c>
      <c r="G1304" s="79">
        <v>0.80938271582532695</v>
      </c>
      <c r="H1304" s="79">
        <v>1</v>
      </c>
      <c r="I1304" s="102">
        <v>6.2173708759430402E-3</v>
      </c>
      <c r="J1304" s="79">
        <v>1.44023380698924E-2</v>
      </c>
      <c r="K1304" s="79">
        <v>0.66598563918451104</v>
      </c>
      <c r="L1304" s="79">
        <v>0.88817055760936303</v>
      </c>
      <c r="M1304" s="79">
        <v>1</v>
      </c>
      <c r="N1304" s="107">
        <v>-0.13270696697404899</v>
      </c>
      <c r="O1304" s="81">
        <v>1.41697500052935E-2</v>
      </c>
      <c r="P1304" s="81">
        <v>1.1488995773352301E-20</v>
      </c>
      <c r="Q1304" s="81">
        <v>9.7311794200293993E-18</v>
      </c>
      <c r="R1304" s="81">
        <v>1.9462358840058799E-17</v>
      </c>
      <c r="S1304" s="107">
        <v>-8.2134772877583404E-2</v>
      </c>
      <c r="T1304" s="81">
        <v>1.42228291742939E-2</v>
      </c>
      <c r="U1304" s="81">
        <v>8.2026892320720399E-9</v>
      </c>
      <c r="V1304" s="81">
        <v>3.8598209886472302E-7</v>
      </c>
      <c r="W1304" s="81">
        <v>1.389535555913E-5</v>
      </c>
    </row>
    <row r="1305" spans="2:23" x14ac:dyDescent="0.2">
      <c r="B1305" t="s">
        <v>1079</v>
      </c>
      <c r="C1305" s="84">
        <v>3386</v>
      </c>
      <c r="D1305" s="102">
        <v>-6.46914644017621E-3</v>
      </c>
      <c r="E1305" s="79">
        <v>1.4603768169154799E-2</v>
      </c>
      <c r="F1305" s="79">
        <v>0.65780137395741201</v>
      </c>
      <c r="G1305" s="79">
        <v>0.95805425431636804</v>
      </c>
      <c r="H1305" s="79">
        <v>1</v>
      </c>
      <c r="I1305" s="102">
        <v>7.0617275630056398E-4</v>
      </c>
      <c r="J1305" s="79">
        <v>1.45410643857889E-2</v>
      </c>
      <c r="K1305" s="79">
        <v>0.96126874580134603</v>
      </c>
      <c r="L1305" s="79">
        <v>0.99551534580938295</v>
      </c>
      <c r="M1305" s="79">
        <v>1</v>
      </c>
      <c r="N1305" s="107">
        <v>7.0022165623665797E-2</v>
      </c>
      <c r="O1305" s="81">
        <v>1.43810972492918E-2</v>
      </c>
      <c r="P1305" s="81">
        <v>1.15706057978415E-6</v>
      </c>
      <c r="Q1305" s="81">
        <v>1.4203337841698199E-5</v>
      </c>
      <c r="R1305" s="81">
        <v>1.9600606221543502E-3</v>
      </c>
      <c r="S1305" s="107">
        <v>8.8568619435147294E-2</v>
      </c>
      <c r="T1305" s="81">
        <v>1.43445514823039E-2</v>
      </c>
      <c r="U1305" s="81">
        <v>7.1857212803631604E-10</v>
      </c>
      <c r="V1305" s="81">
        <v>5.0719216037229998E-8</v>
      </c>
      <c r="W1305" s="81">
        <v>1.21726118489352E-6</v>
      </c>
    </row>
    <row r="1306" spans="2:23" x14ac:dyDescent="0.2">
      <c r="B1306" t="s">
        <v>1072</v>
      </c>
      <c r="C1306" s="84">
        <v>5034</v>
      </c>
      <c r="D1306" s="102">
        <v>3.1053749807324799E-2</v>
      </c>
      <c r="E1306" s="79">
        <v>1.44479032899636E-2</v>
      </c>
      <c r="F1306" s="79">
        <v>3.1655683611644801E-2</v>
      </c>
      <c r="G1306" s="79">
        <v>0.60944645828912802</v>
      </c>
      <c r="H1306" s="79">
        <v>1</v>
      </c>
      <c r="I1306" s="102">
        <v>6.19855984639648E-3</v>
      </c>
      <c r="J1306" s="79">
        <v>1.43773125814962E-2</v>
      </c>
      <c r="K1306" s="79">
        <v>0.66639007008353002</v>
      </c>
      <c r="L1306" s="79">
        <v>0.88817055760936303</v>
      </c>
      <c r="M1306" s="79">
        <v>1</v>
      </c>
      <c r="N1306" s="107">
        <v>-0.14488415643184999</v>
      </c>
      <c r="O1306" s="81">
        <v>1.4117513477247301E-2</v>
      </c>
      <c r="P1306" s="81">
        <v>1.8609157766824999E-24</v>
      </c>
      <c r="Q1306" s="81">
        <v>3.1523913257001599E-21</v>
      </c>
      <c r="R1306" s="81">
        <v>3.1523913257001599E-21</v>
      </c>
      <c r="S1306" s="107">
        <v>-9.7519484188202499E-2</v>
      </c>
      <c r="T1306" s="81">
        <v>1.41766873899145E-2</v>
      </c>
      <c r="U1306" s="81">
        <v>6.8154692353980301E-12</v>
      </c>
      <c r="V1306" s="81">
        <v>1.15454048847643E-9</v>
      </c>
      <c r="W1306" s="81">
        <v>1.1545404884764299E-8</v>
      </c>
    </row>
    <row r="1307" spans="2:23" x14ac:dyDescent="0.2">
      <c r="B1307" t="s">
        <v>1067</v>
      </c>
      <c r="C1307" s="84">
        <v>5036</v>
      </c>
      <c r="D1307" s="102">
        <v>3.1148099423961701E-2</v>
      </c>
      <c r="E1307" s="79">
        <v>1.4467990558851901E-2</v>
      </c>
      <c r="F1307" s="79">
        <v>3.1374925375603199E-2</v>
      </c>
      <c r="G1307" s="79">
        <v>0.60944645828912802</v>
      </c>
      <c r="H1307" s="79">
        <v>1</v>
      </c>
      <c r="I1307" s="102">
        <v>8.3816809400560303E-4</v>
      </c>
      <c r="J1307" s="79">
        <v>1.44302558914864E-2</v>
      </c>
      <c r="K1307" s="79">
        <v>0.953684022405212</v>
      </c>
      <c r="L1307" s="79">
        <v>0.99421745281696505</v>
      </c>
      <c r="M1307" s="79">
        <v>1</v>
      </c>
      <c r="N1307" s="102">
        <v>4.3160661649795699E-2</v>
      </c>
      <c r="O1307" s="79">
        <v>1.42843426272154E-2</v>
      </c>
      <c r="P1307" s="79">
        <v>2.5278546481202601E-3</v>
      </c>
      <c r="Q1307" s="79">
        <v>8.9773286664899792E-3</v>
      </c>
      <c r="R1307" s="79">
        <v>1</v>
      </c>
      <c r="S1307" s="107">
        <v>8.3058473350567097E-2</v>
      </c>
      <c r="T1307" s="81">
        <v>1.42369563775172E-2</v>
      </c>
      <c r="U1307" s="81">
        <v>5.75719638995325E-9</v>
      </c>
      <c r="V1307" s="81">
        <v>3.1460292530905802E-7</v>
      </c>
      <c r="W1307" s="81">
        <v>9.75269068458081E-6</v>
      </c>
    </row>
    <row r="1308" spans="2:23" x14ac:dyDescent="0.2">
      <c r="B1308" t="s">
        <v>1068</v>
      </c>
      <c r="C1308" s="84">
        <v>5034</v>
      </c>
      <c r="D1308" s="102">
        <v>1.4350815431277E-2</v>
      </c>
      <c r="E1308" s="79">
        <v>1.46303306961931E-2</v>
      </c>
      <c r="F1308" s="79">
        <v>0.32669279172259902</v>
      </c>
      <c r="G1308" s="79">
        <v>0.88730162874475904</v>
      </c>
      <c r="H1308" s="79">
        <v>1</v>
      </c>
      <c r="I1308" s="102">
        <v>3.5768740950084699E-2</v>
      </c>
      <c r="J1308" s="79">
        <v>1.4570268669940699E-2</v>
      </c>
      <c r="K1308" s="79">
        <v>1.4126539646319901E-2</v>
      </c>
      <c r="L1308" s="79">
        <v>0.23233357437733901</v>
      </c>
      <c r="M1308" s="79">
        <v>1</v>
      </c>
      <c r="N1308" s="107">
        <v>7.5166368091699007E-2</v>
      </c>
      <c r="O1308" s="81">
        <v>1.4406078344441201E-2</v>
      </c>
      <c r="P1308" s="81">
        <v>1.8864241272929401E-7</v>
      </c>
      <c r="Q1308" s="81">
        <v>2.8789211456164299E-6</v>
      </c>
      <c r="R1308" s="81">
        <v>3.1956024716342399E-4</v>
      </c>
      <c r="S1308" s="107">
        <v>8.8682363430815994E-2</v>
      </c>
      <c r="T1308" s="81">
        <v>1.43809192804934E-2</v>
      </c>
      <c r="U1308" s="81">
        <v>7.5348440495638498E-10</v>
      </c>
      <c r="V1308" s="81">
        <v>5.1056103279844698E-8</v>
      </c>
      <c r="W1308" s="81">
        <v>1.27640258199612E-6</v>
      </c>
    </row>
    <row r="1309" spans="2:23" x14ac:dyDescent="0.2">
      <c r="B1309" t="s">
        <v>1069</v>
      </c>
      <c r="C1309" s="84">
        <v>5034</v>
      </c>
      <c r="D1309" s="102">
        <v>1.7768985401928599E-2</v>
      </c>
      <c r="E1309" s="79">
        <v>1.4577528532591999E-2</v>
      </c>
      <c r="F1309" s="79">
        <v>0.222929718027159</v>
      </c>
      <c r="G1309" s="79">
        <v>0.84071215771938901</v>
      </c>
      <c r="H1309" s="79">
        <v>1</v>
      </c>
      <c r="I1309" s="102">
        <v>-1.2743945252485501E-2</v>
      </c>
      <c r="J1309" s="79">
        <v>1.4515822722315001E-2</v>
      </c>
      <c r="K1309" s="79">
        <v>0.38002289193185801</v>
      </c>
      <c r="L1309" s="79">
        <v>0.75782823609722505</v>
      </c>
      <c r="M1309" s="79">
        <v>1</v>
      </c>
      <c r="N1309" s="107">
        <v>-0.12488424577374201</v>
      </c>
      <c r="O1309" s="81">
        <v>1.42881353140478E-2</v>
      </c>
      <c r="P1309" s="81">
        <v>3.1506400479103798E-18</v>
      </c>
      <c r="Q1309" s="81">
        <v>1.0674368482320401E-15</v>
      </c>
      <c r="R1309" s="81">
        <v>5.3371842411601798E-15</v>
      </c>
      <c r="S1309" s="107">
        <v>-9.37105947056949E-2</v>
      </c>
      <c r="T1309" s="81">
        <v>1.43147328569793E-2</v>
      </c>
      <c r="U1309" s="81">
        <v>6.5031104595737104E-11</v>
      </c>
      <c r="V1309" s="81">
        <v>8.4740531680906698E-9</v>
      </c>
      <c r="W1309" s="81">
        <v>1.10162691185179E-7</v>
      </c>
    </row>
    <row r="1310" spans="2:23" x14ac:dyDescent="0.2">
      <c r="B1310" t="s">
        <v>1074</v>
      </c>
      <c r="C1310" s="84">
        <v>5036</v>
      </c>
      <c r="D1310" s="102">
        <v>-7.9106600360736201E-4</v>
      </c>
      <c r="E1310" s="79">
        <v>1.4543924759579401E-2</v>
      </c>
      <c r="F1310" s="79">
        <v>0.95662543632993202</v>
      </c>
      <c r="G1310" s="79">
        <v>0.99840985319461195</v>
      </c>
      <c r="H1310" s="79">
        <v>1</v>
      </c>
      <c r="I1310" s="102">
        <v>2.7048414244752701E-2</v>
      </c>
      <c r="J1310" s="79">
        <v>1.4498895045471799E-2</v>
      </c>
      <c r="K1310" s="79">
        <v>6.21637958685105E-2</v>
      </c>
      <c r="L1310" s="79">
        <v>0.43157979590679002</v>
      </c>
      <c r="M1310" s="79">
        <v>1</v>
      </c>
      <c r="N1310" s="107">
        <v>0.103326013352673</v>
      </c>
      <c r="O1310" s="81">
        <v>1.42919125561E-2</v>
      </c>
      <c r="P1310" s="81">
        <v>5.5822725939367696E-13</v>
      </c>
      <c r="Q1310" s="81">
        <v>4.1114651191864702E-11</v>
      </c>
      <c r="R1310" s="81">
        <v>9.4563697741288907E-10</v>
      </c>
      <c r="S1310" s="107">
        <v>0.100424260332204</v>
      </c>
      <c r="T1310" s="81">
        <v>1.428689191575E-2</v>
      </c>
      <c r="U1310" s="81">
        <v>2.36179421137228E-12</v>
      </c>
      <c r="V1310" s="81">
        <v>4.4454215489607099E-10</v>
      </c>
      <c r="W1310" s="81">
        <v>4.0008793940646401E-9</v>
      </c>
    </row>
    <row r="1311" spans="2:23" x14ac:dyDescent="0.2">
      <c r="B1311" t="s">
        <v>1070</v>
      </c>
      <c r="C1311" s="84">
        <v>5036</v>
      </c>
      <c r="D1311" s="102">
        <v>2.8940161338290499E-2</v>
      </c>
      <c r="E1311" s="79">
        <v>1.45731822195514E-2</v>
      </c>
      <c r="F1311" s="79">
        <v>4.7108688628859099E-2</v>
      </c>
      <c r="G1311" s="79">
        <v>0.69024782181364197</v>
      </c>
      <c r="H1311" s="79">
        <v>1</v>
      </c>
      <c r="I1311" s="102">
        <v>-2.7720193249397201E-2</v>
      </c>
      <c r="J1311" s="79">
        <v>1.44696051197879E-2</v>
      </c>
      <c r="K1311" s="79">
        <v>5.54592805841813E-2</v>
      </c>
      <c r="L1311" s="79">
        <v>0.41569920933452698</v>
      </c>
      <c r="M1311" s="79">
        <v>1</v>
      </c>
      <c r="N1311" s="102">
        <v>-5.8337600187633098E-3</v>
      </c>
      <c r="O1311" s="79">
        <v>1.43561081515334E-2</v>
      </c>
      <c r="P1311" s="79">
        <v>0.68449654451437603</v>
      </c>
      <c r="Q1311" s="79">
        <v>0.77612928139715698</v>
      </c>
      <c r="R1311" s="79">
        <v>1</v>
      </c>
      <c r="S1311" s="102">
        <v>2.6912196653482101E-2</v>
      </c>
      <c r="T1311" s="79">
        <v>1.4343287184815E-2</v>
      </c>
      <c r="U1311" s="79">
        <v>6.0678565412980501E-2</v>
      </c>
      <c r="V1311" s="79">
        <v>0.118421071209204</v>
      </c>
      <c r="W1311" s="79">
        <v>1</v>
      </c>
    </row>
    <row r="1312" spans="2:23" x14ac:dyDescent="0.2">
      <c r="B1312" t="s">
        <v>1071</v>
      </c>
      <c r="C1312" s="84">
        <v>5036</v>
      </c>
      <c r="D1312" s="102">
        <v>-2.0018016812688701E-2</v>
      </c>
      <c r="E1312" s="79">
        <v>1.46747322848691E-2</v>
      </c>
      <c r="F1312" s="79">
        <v>0.17259536860137401</v>
      </c>
      <c r="G1312" s="79">
        <v>0.81796927009920195</v>
      </c>
      <c r="H1312" s="79">
        <v>1</v>
      </c>
      <c r="I1312" s="102">
        <v>5.7774474627077799E-2</v>
      </c>
      <c r="J1312" s="79">
        <v>1.45717584257652E-2</v>
      </c>
      <c r="K1312" s="79">
        <v>7.4533444018260906E-5</v>
      </c>
      <c r="L1312" s="79">
        <v>3.7346077204129399E-2</v>
      </c>
      <c r="M1312" s="79">
        <v>0.12625965416693399</v>
      </c>
      <c r="N1312" s="102">
        <v>-3.4823662508070498E-3</v>
      </c>
      <c r="O1312" s="79">
        <v>1.4475366548862501E-2</v>
      </c>
      <c r="P1312" s="79">
        <v>0.80989729664546595</v>
      </c>
      <c r="Q1312" s="79">
        <v>0.86614016446806796</v>
      </c>
      <c r="R1312" s="79">
        <v>1</v>
      </c>
      <c r="S1312" s="102">
        <v>-1.50824212294879E-2</v>
      </c>
      <c r="T1312" s="79">
        <v>1.4460270625612099E-2</v>
      </c>
      <c r="U1312" s="79">
        <v>0.29698968914235302</v>
      </c>
      <c r="V1312" s="79">
        <v>0.41136593083168099</v>
      </c>
      <c r="W1312" s="79">
        <v>1</v>
      </c>
    </row>
    <row r="1313" spans="2:23" x14ac:dyDescent="0.2">
      <c r="B1313" t="s">
        <v>1073</v>
      </c>
      <c r="C1313" s="84">
        <v>5036</v>
      </c>
      <c r="D1313" s="102">
        <v>-3.4934796514852297E-2</v>
      </c>
      <c r="E1313" s="79">
        <v>1.46280904711403E-2</v>
      </c>
      <c r="F1313" s="79">
        <v>1.6969637693086199E-2</v>
      </c>
      <c r="G1313" s="79">
        <v>0.55281858177092402</v>
      </c>
      <c r="H1313" s="79">
        <v>1</v>
      </c>
      <c r="I1313" s="102">
        <v>4.06112959411387E-2</v>
      </c>
      <c r="J1313" s="79">
        <v>1.45440017464161E-2</v>
      </c>
      <c r="K1313" s="79">
        <v>5.25450351871603E-3</v>
      </c>
      <c r="L1313" s="79">
        <v>0.143721784187822</v>
      </c>
      <c r="M1313" s="79">
        <v>1</v>
      </c>
      <c r="N1313" s="102">
        <v>-1.5501017546513099E-2</v>
      </c>
      <c r="O1313" s="79">
        <v>1.4434250666101401E-2</v>
      </c>
      <c r="P1313" s="79">
        <v>0.28291973852061297</v>
      </c>
      <c r="Q1313" s="79">
        <v>0.39543402397187999</v>
      </c>
      <c r="R1313" s="79">
        <v>1</v>
      </c>
      <c r="S1313" s="102">
        <v>-5.4856385674713203E-2</v>
      </c>
      <c r="T1313" s="79">
        <v>1.43989201893263E-2</v>
      </c>
      <c r="U1313" s="79">
        <v>1.4086207330162601E-4</v>
      </c>
      <c r="V1313" s="79">
        <v>9.2488508594168396E-4</v>
      </c>
      <c r="W1313" s="79">
        <v>0.23862035217295399</v>
      </c>
    </row>
    <row r="1314" spans="2:23" x14ac:dyDescent="0.2">
      <c r="B1314" t="s">
        <v>3214</v>
      </c>
      <c r="C1314" s="84">
        <v>5009</v>
      </c>
      <c r="D1314" s="102">
        <v>2.1687337395083502E-2</v>
      </c>
      <c r="E1314" s="79">
        <v>1.4374916776816101E-2</v>
      </c>
      <c r="F1314" s="79">
        <v>0.13144526878625101</v>
      </c>
      <c r="G1314" s="79">
        <v>0.80938271582532695</v>
      </c>
      <c r="H1314" s="79">
        <v>1</v>
      </c>
      <c r="I1314" s="102">
        <v>1.7675232199420701E-2</v>
      </c>
      <c r="J1314" s="79">
        <v>1.4263477775382999E-2</v>
      </c>
      <c r="K1314" s="79">
        <v>0.21533735677009799</v>
      </c>
      <c r="L1314" s="79">
        <v>0.65149810376204198</v>
      </c>
      <c r="M1314" s="79">
        <v>1</v>
      </c>
      <c r="N1314" s="107">
        <v>-9.9984141492315007E-2</v>
      </c>
      <c r="O1314" s="81">
        <v>1.4084231826176401E-2</v>
      </c>
      <c r="P1314" s="81">
        <v>1.45022061884102E-12</v>
      </c>
      <c r="Q1314" s="81">
        <v>9.4487451089103401E-11</v>
      </c>
      <c r="R1314" s="81">
        <v>2.4566737283166902E-9</v>
      </c>
      <c r="S1314" s="107">
        <v>-6.2689627281065405E-2</v>
      </c>
      <c r="T1314" s="81">
        <v>1.4117356959260899E-2</v>
      </c>
      <c r="U1314" s="81">
        <v>9.1815604917085408E-6</v>
      </c>
      <c r="V1314" s="81">
        <v>1.15211581281143E-4</v>
      </c>
      <c r="W1314" s="81">
        <v>1.55535634729543E-2</v>
      </c>
    </row>
    <row r="1315" spans="2:23" x14ac:dyDescent="0.2">
      <c r="B1315" t="s">
        <v>3216</v>
      </c>
      <c r="C1315" s="84">
        <v>5019</v>
      </c>
      <c r="D1315" s="102">
        <v>2.4707386843063301E-2</v>
      </c>
      <c r="E1315" s="79">
        <v>1.4315776989416299E-2</v>
      </c>
      <c r="F1315" s="79">
        <v>8.4433942041717794E-2</v>
      </c>
      <c r="G1315" s="79">
        <v>0.74561034814826599</v>
      </c>
      <c r="H1315" s="79">
        <v>1</v>
      </c>
      <c r="I1315" s="102">
        <v>1.2406575283331601E-2</v>
      </c>
      <c r="J1315" s="79">
        <v>1.42114543956453E-2</v>
      </c>
      <c r="K1315" s="79">
        <v>0.38270966912218501</v>
      </c>
      <c r="L1315" s="79">
        <v>0.75782823609722505</v>
      </c>
      <c r="M1315" s="79">
        <v>1</v>
      </c>
      <c r="N1315" s="107">
        <v>-0.103058046716608</v>
      </c>
      <c r="O1315" s="81">
        <v>1.40246722229784E-2</v>
      </c>
      <c r="P1315" s="81">
        <v>2.3605932158818802E-13</v>
      </c>
      <c r="Q1315" s="81">
        <v>2.104655214581E-11</v>
      </c>
      <c r="R1315" s="81">
        <v>3.9988449077039101E-10</v>
      </c>
      <c r="S1315" s="102">
        <v>-5.73917051143654E-2</v>
      </c>
      <c r="T1315" s="79">
        <v>1.40726545299422E-2</v>
      </c>
      <c r="U1315" s="79">
        <v>4.6138499522374098E-5</v>
      </c>
      <c r="V1315" s="79">
        <v>4.0496693363161498E-4</v>
      </c>
      <c r="W1315" s="79">
        <v>7.8158618190901696E-2</v>
      </c>
    </row>
    <row r="1316" spans="2:23" x14ac:dyDescent="0.2">
      <c r="B1316" t="s">
        <v>3357</v>
      </c>
      <c r="C1316" s="84">
        <v>3542</v>
      </c>
      <c r="D1316" s="102">
        <v>-2.9113231008750299E-2</v>
      </c>
      <c r="E1316" s="79">
        <v>1.39004717293175E-2</v>
      </c>
      <c r="F1316" s="79">
        <v>3.6276155687484102E-2</v>
      </c>
      <c r="G1316" s="79">
        <v>0.653742635474448</v>
      </c>
      <c r="H1316" s="79">
        <v>1</v>
      </c>
      <c r="I1316" s="102">
        <v>2.8154772875064599E-2</v>
      </c>
      <c r="J1316" s="79">
        <v>1.38129327436854E-2</v>
      </c>
      <c r="K1316" s="79">
        <v>4.1576484864823397E-2</v>
      </c>
      <c r="L1316" s="79">
        <v>0.37900681554618598</v>
      </c>
      <c r="M1316" s="79">
        <v>1</v>
      </c>
      <c r="N1316" s="102">
        <v>3.07646205836834E-2</v>
      </c>
      <c r="O1316" s="79">
        <v>1.36924880347929E-2</v>
      </c>
      <c r="P1316" s="79">
        <v>2.46970444723403E-2</v>
      </c>
      <c r="Q1316" s="79">
        <v>5.7389291270431401E-2</v>
      </c>
      <c r="R1316" s="79">
        <v>1</v>
      </c>
      <c r="S1316" s="102">
        <v>9.1812185032051404E-3</v>
      </c>
      <c r="T1316" s="79">
        <v>1.3694415568092999E-2</v>
      </c>
      <c r="U1316" s="79">
        <v>0.50261299734571496</v>
      </c>
      <c r="V1316" s="79">
        <v>0.60990431053269401</v>
      </c>
      <c r="W1316" s="79">
        <v>1</v>
      </c>
    </row>
    <row r="1317" spans="2:23" x14ac:dyDescent="0.2">
      <c r="B1317" t="s">
        <v>3371</v>
      </c>
      <c r="C1317" s="84">
        <v>4213</v>
      </c>
      <c r="D1317" s="102">
        <v>5.2623181332898299E-3</v>
      </c>
      <c r="E1317" s="79">
        <v>1.45989454311521E-2</v>
      </c>
      <c r="F1317" s="79">
        <v>0.71852036586003798</v>
      </c>
      <c r="G1317" s="79">
        <v>0.97160036230239</v>
      </c>
      <c r="H1317" s="79">
        <v>1</v>
      </c>
      <c r="I1317" s="102">
        <v>3.6119775200927101E-2</v>
      </c>
      <c r="J1317" s="79">
        <v>1.44763907037385E-2</v>
      </c>
      <c r="K1317" s="79">
        <v>1.26278179029284E-2</v>
      </c>
      <c r="L1317" s="79">
        <v>0.212483699136545</v>
      </c>
      <c r="M1317" s="79">
        <v>1</v>
      </c>
      <c r="N1317" s="102">
        <v>-2.4799987072269998E-3</v>
      </c>
      <c r="O1317" s="79">
        <v>1.43623469560838E-2</v>
      </c>
      <c r="P1317" s="79">
        <v>0.86291561360593305</v>
      </c>
      <c r="Q1317" s="79">
        <v>0.90963226474701298</v>
      </c>
      <c r="R1317" s="79">
        <v>1</v>
      </c>
      <c r="S1317" s="102">
        <v>-1.00860031831164E-2</v>
      </c>
      <c r="T1317" s="79">
        <v>1.4362393451805301E-2</v>
      </c>
      <c r="U1317" s="79">
        <v>0.48255818393640199</v>
      </c>
      <c r="V1317" s="79">
        <v>0.59494436942377404</v>
      </c>
      <c r="W1317" s="79">
        <v>1</v>
      </c>
    </row>
    <row r="1318" spans="2:23" x14ac:dyDescent="0.2">
      <c r="B1318" t="s">
        <v>3204</v>
      </c>
      <c r="C1318" s="84">
        <v>2390</v>
      </c>
      <c r="D1318" s="102">
        <v>1.6228262123520298E-2</v>
      </c>
      <c r="E1318" s="79">
        <v>1.45439971030753E-2</v>
      </c>
      <c r="F1318" s="79">
        <v>0.26456356520187202</v>
      </c>
      <c r="G1318" s="79">
        <v>0.85990749347533801</v>
      </c>
      <c r="H1318" s="79">
        <v>1</v>
      </c>
      <c r="I1318" s="102">
        <v>-7.2194158785615602E-3</v>
      </c>
      <c r="J1318" s="79">
        <v>1.4427520851375501E-2</v>
      </c>
      <c r="K1318" s="79">
        <v>0.61682344862021599</v>
      </c>
      <c r="L1318" s="79">
        <v>0.87655014861260405</v>
      </c>
      <c r="M1318" s="79">
        <v>1</v>
      </c>
      <c r="N1318" s="107">
        <v>-6.7712536383185098E-2</v>
      </c>
      <c r="O1318" s="81">
        <v>1.4281872866399901E-2</v>
      </c>
      <c r="P1318" s="81">
        <v>2.1900078309426198E-6</v>
      </c>
      <c r="Q1318" s="81">
        <v>2.4898478292730201E-5</v>
      </c>
      <c r="R1318" s="81">
        <v>3.7098732656168001E-3</v>
      </c>
      <c r="S1318" s="107">
        <v>-6.1931667192844E-2</v>
      </c>
      <c r="T1318" s="81">
        <v>1.42853906085223E-2</v>
      </c>
      <c r="U1318" s="81">
        <v>1.4868119035006801E-5</v>
      </c>
      <c r="V1318" s="81">
        <v>1.6678327189558999E-4</v>
      </c>
      <c r="W1318" s="81">
        <v>2.51865936453015E-2</v>
      </c>
    </row>
    <row r="1319" spans="2:23" x14ac:dyDescent="0.2">
      <c r="B1319" t="s">
        <v>3205</v>
      </c>
      <c r="C1319" s="84">
        <v>2390</v>
      </c>
      <c r="D1319" s="102">
        <v>-1.88551122433127E-2</v>
      </c>
      <c r="E1319" s="79">
        <v>1.46479548779906E-2</v>
      </c>
      <c r="F1319" s="79">
        <v>0.19807954631831101</v>
      </c>
      <c r="G1319" s="79">
        <v>0.83003013605610498</v>
      </c>
      <c r="H1319" s="79">
        <v>1</v>
      </c>
      <c r="I1319" s="102">
        <v>2.6882352246945799E-2</v>
      </c>
      <c r="J1319" s="79">
        <v>1.4566026595091401E-2</v>
      </c>
      <c r="K1319" s="79">
        <v>6.5018848507212401E-2</v>
      </c>
      <c r="L1319" s="79">
        <v>0.43517978594622803</v>
      </c>
      <c r="M1319" s="79">
        <v>1</v>
      </c>
      <c r="N1319" s="107">
        <v>9.0717199242121904E-2</v>
      </c>
      <c r="O1319" s="81">
        <v>1.4379318291836999E-2</v>
      </c>
      <c r="P1319" s="81">
        <v>3.0626452765673102E-10</v>
      </c>
      <c r="Q1319" s="81">
        <v>9.4687205788945302E-9</v>
      </c>
      <c r="R1319" s="81">
        <v>5.1881210985050197E-7</v>
      </c>
      <c r="S1319" s="107">
        <v>6.2590516394240403E-2</v>
      </c>
      <c r="T1319" s="81">
        <v>1.44068409651058E-2</v>
      </c>
      <c r="U1319" s="81">
        <v>1.42461365286585E-5</v>
      </c>
      <c r="V1319" s="81">
        <v>1.60886368530317E-4</v>
      </c>
      <c r="W1319" s="81">
        <v>2.4132955279547501E-2</v>
      </c>
    </row>
    <row r="1320" spans="2:23" x14ac:dyDescent="0.2">
      <c r="B1320" t="s">
        <v>3209</v>
      </c>
      <c r="C1320" s="84">
        <v>2390</v>
      </c>
      <c r="D1320" s="102">
        <v>-1.5756340885086598E-2</v>
      </c>
      <c r="E1320" s="79">
        <v>1.4567186945305399E-2</v>
      </c>
      <c r="F1320" s="79">
        <v>0.27946903510252202</v>
      </c>
      <c r="G1320" s="79">
        <v>0.86861170490914397</v>
      </c>
      <c r="H1320" s="79">
        <v>1</v>
      </c>
      <c r="I1320" s="102">
        <v>1.1731141133872299E-2</v>
      </c>
      <c r="J1320" s="79">
        <v>1.4503937515940001E-2</v>
      </c>
      <c r="K1320" s="79">
        <v>0.41865568632626599</v>
      </c>
      <c r="L1320" s="79">
        <v>0.77720045244242597</v>
      </c>
      <c r="M1320" s="79">
        <v>1</v>
      </c>
      <c r="N1320" s="107">
        <v>6.1893215892925402E-2</v>
      </c>
      <c r="O1320" s="81">
        <v>1.434421816411E-2</v>
      </c>
      <c r="P1320" s="81">
        <v>1.62866453627336E-5</v>
      </c>
      <c r="Q1320" s="81">
        <v>1.46753070449312E-4</v>
      </c>
      <c r="R1320" s="81">
        <v>2.7589577244470701E-2</v>
      </c>
      <c r="S1320" s="107">
        <v>7.3000761807259701E-2</v>
      </c>
      <c r="T1320" s="81">
        <v>1.4328791862266601E-2</v>
      </c>
      <c r="U1320" s="81">
        <v>3.6250940016518299E-7</v>
      </c>
      <c r="V1320" s="81">
        <v>7.3106062366645203E-6</v>
      </c>
      <c r="W1320" s="81">
        <v>6.1409092387981995E-4</v>
      </c>
    </row>
    <row r="1321" spans="2:23" x14ac:dyDescent="0.2">
      <c r="B1321" t="s">
        <v>3358</v>
      </c>
      <c r="C1321" s="84">
        <v>5011</v>
      </c>
      <c r="D1321" s="102">
        <v>-1.46105802479148E-3</v>
      </c>
      <c r="E1321" s="79">
        <v>1.46028849726335E-2</v>
      </c>
      <c r="F1321" s="79">
        <v>0.92030664210111801</v>
      </c>
      <c r="G1321" s="79">
        <v>0.99605333311574995</v>
      </c>
      <c r="H1321" s="79">
        <v>1</v>
      </c>
      <c r="I1321" s="102">
        <v>1.9596972115760201E-2</v>
      </c>
      <c r="J1321" s="79">
        <v>1.45162529095574E-2</v>
      </c>
      <c r="K1321" s="79">
        <v>0.17707946981351499</v>
      </c>
      <c r="L1321" s="79">
        <v>0.61396896490869202</v>
      </c>
      <c r="M1321" s="79">
        <v>1</v>
      </c>
      <c r="N1321" s="102">
        <v>-3.2412460016864098E-2</v>
      </c>
      <c r="O1321" s="79">
        <v>1.4385761152902601E-2</v>
      </c>
      <c r="P1321" s="79">
        <v>2.4298354826300401E-2</v>
      </c>
      <c r="Q1321" s="79">
        <v>5.6696161261367603E-2</v>
      </c>
      <c r="R1321" s="79">
        <v>1</v>
      </c>
      <c r="S1321" s="102">
        <v>-3.3812799339803301E-2</v>
      </c>
      <c r="T1321" s="79">
        <v>1.43797408859645E-2</v>
      </c>
      <c r="U1321" s="79">
        <v>1.8742257573365E-2</v>
      </c>
      <c r="V1321" s="79">
        <v>4.6690271072471097E-2</v>
      </c>
      <c r="W1321" s="79">
        <v>1</v>
      </c>
    </row>
    <row r="1322" spans="2:23" x14ac:dyDescent="0.2">
      <c r="B1322" t="s">
        <v>3352</v>
      </c>
      <c r="C1322" s="84">
        <v>2387</v>
      </c>
      <c r="D1322" s="102">
        <v>-1.51056423949836E-2</v>
      </c>
      <c r="E1322" s="79">
        <v>1.4572920299819001E-2</v>
      </c>
      <c r="F1322" s="79">
        <v>0.29999702314704002</v>
      </c>
      <c r="G1322" s="79">
        <v>0.87874159579827504</v>
      </c>
      <c r="H1322" s="79">
        <v>1</v>
      </c>
      <c r="I1322" s="102">
        <v>3.80960754225282E-2</v>
      </c>
      <c r="J1322" s="79">
        <v>1.44450064945229E-2</v>
      </c>
      <c r="K1322" s="79">
        <v>8.3849890283890106E-3</v>
      </c>
      <c r="L1322" s="79">
        <v>0.173221602610866</v>
      </c>
      <c r="M1322" s="79">
        <v>1</v>
      </c>
      <c r="N1322" s="102">
        <v>-1.1881077660540199E-2</v>
      </c>
      <c r="O1322" s="79">
        <v>1.4339457179165099E-2</v>
      </c>
      <c r="P1322" s="79">
        <v>0.407397754634783</v>
      </c>
      <c r="Q1322" s="79">
        <v>0.52401806860389</v>
      </c>
      <c r="R1322" s="79">
        <v>1</v>
      </c>
      <c r="S1322" s="102">
        <v>-9.7862902502158094E-3</v>
      </c>
      <c r="T1322" s="79">
        <v>1.4339596768321399E-2</v>
      </c>
      <c r="U1322" s="79">
        <v>0.494978680028967</v>
      </c>
      <c r="V1322" s="79">
        <v>0.60236629595479196</v>
      </c>
      <c r="W1322" s="79">
        <v>1</v>
      </c>
    </row>
    <row r="1323" spans="2:23" x14ac:dyDescent="0.2">
      <c r="B1323" t="s">
        <v>3218</v>
      </c>
      <c r="C1323" s="84">
        <v>5017</v>
      </c>
      <c r="D1323" s="102">
        <v>-2.4502929234803202E-3</v>
      </c>
      <c r="E1323" s="79">
        <v>1.4665751535975E-2</v>
      </c>
      <c r="F1323" s="79">
        <v>0.86731733071396599</v>
      </c>
      <c r="G1323" s="79">
        <v>0.99362338620020496</v>
      </c>
      <c r="H1323" s="79">
        <v>1</v>
      </c>
      <c r="I1323" s="102">
        <v>4.0260080641989801E-5</v>
      </c>
      <c r="J1323" s="79">
        <v>1.45877528367065E-2</v>
      </c>
      <c r="K1323" s="79">
        <v>0.99779807226383699</v>
      </c>
      <c r="L1323" s="79">
        <v>0.99779807226383699</v>
      </c>
      <c r="M1323" s="79">
        <v>1</v>
      </c>
      <c r="N1323" s="107">
        <v>6.9667569406282395E-2</v>
      </c>
      <c r="O1323" s="81">
        <v>1.4424571688891399E-2</v>
      </c>
      <c r="P1323" s="81">
        <v>1.4092347607576501E-6</v>
      </c>
      <c r="Q1323" s="81">
        <v>1.6930806274634499E-5</v>
      </c>
      <c r="R1323" s="81">
        <v>2.3872436847234601E-3</v>
      </c>
      <c r="S1323" s="107">
        <v>7.8573189119972797E-2</v>
      </c>
      <c r="T1323" s="81">
        <v>1.44096389669735E-2</v>
      </c>
      <c r="U1323" s="81">
        <v>5.2057853677852203E-8</v>
      </c>
      <c r="V1323" s="81">
        <v>1.4647691978292299E-6</v>
      </c>
      <c r="W1323" s="81">
        <v>8.8186004130281606E-5</v>
      </c>
    </row>
    <row r="1324" spans="2:23" x14ac:dyDescent="0.2">
      <c r="B1324" t="s">
        <v>3345</v>
      </c>
      <c r="C1324" s="84">
        <v>2390</v>
      </c>
      <c r="D1324" s="102">
        <v>1.24788004853113E-2</v>
      </c>
      <c r="E1324" s="79">
        <v>1.45307462884501E-2</v>
      </c>
      <c r="F1324" s="79">
        <v>0.39050235037092901</v>
      </c>
      <c r="G1324" s="79">
        <v>0.89461055933914202</v>
      </c>
      <c r="H1324" s="79">
        <v>1</v>
      </c>
      <c r="I1324" s="102">
        <v>2.6523266638598601E-2</v>
      </c>
      <c r="J1324" s="79">
        <v>1.44275628369705E-2</v>
      </c>
      <c r="K1324" s="79">
        <v>6.6071473204485601E-2</v>
      </c>
      <c r="L1324" s="79">
        <v>0.43517978594622803</v>
      </c>
      <c r="M1324" s="79">
        <v>1</v>
      </c>
      <c r="N1324" s="102">
        <v>-3.2333518225950902E-2</v>
      </c>
      <c r="O1324" s="79">
        <v>1.43037965413471E-2</v>
      </c>
      <c r="P1324" s="79">
        <v>2.3837330452994299E-2</v>
      </c>
      <c r="Q1324" s="79">
        <v>5.5851227921676801E-2</v>
      </c>
      <c r="R1324" s="79">
        <v>1</v>
      </c>
      <c r="S1324" s="102">
        <v>-8.6266606784157901E-3</v>
      </c>
      <c r="T1324" s="79">
        <v>1.4307159994649399E-2</v>
      </c>
      <c r="U1324" s="79">
        <v>0.54656397031953696</v>
      </c>
      <c r="V1324" s="79">
        <v>0.64656380287799997</v>
      </c>
      <c r="W1324" s="79">
        <v>1</v>
      </c>
    </row>
    <row r="1325" spans="2:23" x14ac:dyDescent="0.2">
      <c r="B1325" t="s">
        <v>3375</v>
      </c>
      <c r="C1325" s="84">
        <v>4414</v>
      </c>
      <c r="D1325" s="102">
        <v>1.7303402041968799E-2</v>
      </c>
      <c r="E1325" s="79">
        <v>1.4552662630073401E-2</v>
      </c>
      <c r="F1325" s="79">
        <v>0.234492742581799</v>
      </c>
      <c r="G1325" s="79">
        <v>0.85383558790471104</v>
      </c>
      <c r="H1325" s="79">
        <v>1</v>
      </c>
      <c r="I1325" s="102">
        <v>-3.0937403654164301E-2</v>
      </c>
      <c r="J1325" s="79">
        <v>1.4435166204941599E-2</v>
      </c>
      <c r="K1325" s="79">
        <v>3.2150282087978301E-2</v>
      </c>
      <c r="L1325" s="79">
        <v>0.34116449862822301</v>
      </c>
      <c r="M1325" s="79">
        <v>1</v>
      </c>
      <c r="N1325" s="102">
        <v>1.22085788542471E-2</v>
      </c>
      <c r="O1325" s="79">
        <v>1.43147132704104E-2</v>
      </c>
      <c r="P1325" s="79">
        <v>0.393776626903247</v>
      </c>
      <c r="Q1325" s="79">
        <v>0.51037307266572296</v>
      </c>
      <c r="R1325" s="79">
        <v>1</v>
      </c>
      <c r="S1325" s="102">
        <v>2.1179471906697601E-2</v>
      </c>
      <c r="T1325" s="79">
        <v>1.43134661194089E-2</v>
      </c>
      <c r="U1325" s="79">
        <v>0.13902506152407901</v>
      </c>
      <c r="V1325" s="79">
        <v>0.229093827063998</v>
      </c>
      <c r="W1325" s="79">
        <v>1</v>
      </c>
    </row>
    <row r="1326" spans="2:23" x14ac:dyDescent="0.2">
      <c r="B1326" t="s">
        <v>3217</v>
      </c>
      <c r="C1326" s="84">
        <v>5009</v>
      </c>
      <c r="D1326" s="102">
        <v>3.2508303052396097E-2</v>
      </c>
      <c r="E1326" s="79">
        <v>1.4621814625705399E-2</v>
      </c>
      <c r="F1326" s="79">
        <v>2.6244135383217002E-2</v>
      </c>
      <c r="G1326" s="79">
        <v>0.59730976775552003</v>
      </c>
      <c r="H1326" s="79">
        <v>1</v>
      </c>
      <c r="I1326" s="102">
        <v>-5.1079827938559901E-3</v>
      </c>
      <c r="J1326" s="79">
        <v>1.45377919356173E-2</v>
      </c>
      <c r="K1326" s="79">
        <v>0.72533495488983102</v>
      </c>
      <c r="L1326" s="79">
        <v>0.91650041093290602</v>
      </c>
      <c r="M1326" s="79">
        <v>1</v>
      </c>
      <c r="N1326" s="107">
        <v>-0.103752641589536</v>
      </c>
      <c r="O1326" s="81">
        <v>1.43440016083745E-2</v>
      </c>
      <c r="P1326" s="81">
        <v>5.4816760502527096E-13</v>
      </c>
      <c r="Q1326" s="81">
        <v>4.1114651191864702E-11</v>
      </c>
      <c r="R1326" s="81">
        <v>9.2859592291280899E-10</v>
      </c>
      <c r="S1326" s="102">
        <v>-5.6770019666204402E-2</v>
      </c>
      <c r="T1326" s="79">
        <v>1.43911491377295E-2</v>
      </c>
      <c r="U1326" s="79">
        <v>8.1033170839841197E-5</v>
      </c>
      <c r="V1326" s="79">
        <v>6.1408413061862495E-4</v>
      </c>
      <c r="W1326" s="79">
        <v>0.13727019140269101</v>
      </c>
    </row>
    <row r="1327" spans="2:23" x14ac:dyDescent="0.2">
      <c r="B1327" t="s">
        <v>3341</v>
      </c>
      <c r="C1327" s="84">
        <v>3385</v>
      </c>
      <c r="D1327" s="102">
        <v>-9.4577010027647995E-3</v>
      </c>
      <c r="E1327" s="79">
        <v>1.4519178804859E-2</v>
      </c>
      <c r="F1327" s="79">
        <v>0.51482349991559495</v>
      </c>
      <c r="G1327" s="79">
        <v>0.91752655785263504</v>
      </c>
      <c r="H1327" s="79">
        <v>1</v>
      </c>
      <c r="I1327" s="102">
        <v>2.8763585830497599E-2</v>
      </c>
      <c r="J1327" s="79">
        <v>1.4428652473991501E-2</v>
      </c>
      <c r="K1327" s="79">
        <v>4.6263437180811599E-2</v>
      </c>
      <c r="L1327" s="79">
        <v>0.40114376697029003</v>
      </c>
      <c r="M1327" s="79">
        <v>1</v>
      </c>
      <c r="N1327" s="102">
        <v>6.9785964569201997E-3</v>
      </c>
      <c r="O1327" s="79">
        <v>1.43133269483466E-2</v>
      </c>
      <c r="P1327" s="79">
        <v>0.625884395844863</v>
      </c>
      <c r="Q1327" s="79">
        <v>0.72669511073420001</v>
      </c>
      <c r="R1327" s="79">
        <v>1</v>
      </c>
      <c r="S1327" s="102">
        <v>-2.56129316515964E-2</v>
      </c>
      <c r="T1327" s="79">
        <v>1.4304261382507E-2</v>
      </c>
      <c r="U1327" s="79">
        <v>7.3424023082716505E-2</v>
      </c>
      <c r="V1327" s="79">
        <v>0.13743679016808999</v>
      </c>
      <c r="W1327" s="79">
        <v>1</v>
      </c>
    </row>
    <row r="1328" spans="2:23" x14ac:dyDescent="0.2">
      <c r="B1328" t="s">
        <v>3351</v>
      </c>
      <c r="C1328" s="84">
        <v>2386</v>
      </c>
      <c r="D1328" s="102">
        <v>3.2662887320121903E-2</v>
      </c>
      <c r="E1328" s="79">
        <v>1.46281511299783E-2</v>
      </c>
      <c r="F1328" s="79">
        <v>2.56034776836002E-2</v>
      </c>
      <c r="G1328" s="79">
        <v>0.59730976775552003</v>
      </c>
      <c r="H1328" s="79">
        <v>1</v>
      </c>
      <c r="I1328" s="102">
        <v>-3.2947873185967903E-2</v>
      </c>
      <c r="J1328" s="79">
        <v>1.4533605081885E-2</v>
      </c>
      <c r="K1328" s="79">
        <v>2.3435084387980702E-2</v>
      </c>
      <c r="L1328" s="79">
        <v>0.30376275693374599</v>
      </c>
      <c r="M1328" s="79">
        <v>1</v>
      </c>
      <c r="N1328" s="102">
        <v>-1.46490972357809E-2</v>
      </c>
      <c r="O1328" s="79">
        <v>1.44183145217104E-2</v>
      </c>
      <c r="P1328" s="79">
        <v>0.30967889082016098</v>
      </c>
      <c r="Q1328" s="79">
        <v>0.42408734118783598</v>
      </c>
      <c r="R1328" s="79">
        <v>1</v>
      </c>
      <c r="S1328" s="102">
        <v>-2.1037726436207902E-3</v>
      </c>
      <c r="T1328" s="79">
        <v>1.44158130454202E-2</v>
      </c>
      <c r="U1328" s="79">
        <v>0.88397891402014706</v>
      </c>
      <c r="V1328" s="79">
        <v>0.91699955930810095</v>
      </c>
      <c r="W1328" s="79">
        <v>1</v>
      </c>
    </row>
    <row r="1329" spans="2:23" x14ac:dyDescent="0.2">
      <c r="B1329" t="s">
        <v>3347</v>
      </c>
      <c r="C1329" s="84">
        <v>2390</v>
      </c>
      <c r="D1329" s="102">
        <v>-2.56467066826505E-2</v>
      </c>
      <c r="E1329" s="79">
        <v>1.45324205090375E-2</v>
      </c>
      <c r="F1329" s="79">
        <v>7.7662891919126703E-2</v>
      </c>
      <c r="G1329" s="79">
        <v>0.73538141425839998</v>
      </c>
      <c r="H1329" s="79">
        <v>1</v>
      </c>
      <c r="I1329" s="102">
        <v>-6.0248007734908897E-3</v>
      </c>
      <c r="J1329" s="79">
        <v>1.4438794720591499E-2</v>
      </c>
      <c r="K1329" s="79">
        <v>0.67650392230128098</v>
      </c>
      <c r="L1329" s="79">
        <v>0.893913919171896</v>
      </c>
      <c r="M1329" s="79">
        <v>1</v>
      </c>
      <c r="N1329" s="102">
        <v>-1.1757189744552801E-2</v>
      </c>
      <c r="O1329" s="79">
        <v>1.4312800484152699E-2</v>
      </c>
      <c r="P1329" s="79">
        <v>0.41143438335961202</v>
      </c>
      <c r="Q1329" s="79">
        <v>0.528007458644836</v>
      </c>
      <c r="R1329" s="79">
        <v>1</v>
      </c>
      <c r="S1329" s="102">
        <v>9.8202805849073403E-3</v>
      </c>
      <c r="T1329" s="79">
        <v>1.43119061775539E-2</v>
      </c>
      <c r="U1329" s="79">
        <v>0.49264509865128098</v>
      </c>
      <c r="V1329" s="79">
        <v>0.60064678855985298</v>
      </c>
      <c r="W1329" s="79">
        <v>1</v>
      </c>
    </row>
    <row r="1330" spans="2:23" x14ac:dyDescent="0.2">
      <c r="B1330" t="s">
        <v>3219</v>
      </c>
      <c r="C1330" s="84">
        <v>4966</v>
      </c>
      <c r="D1330" s="102">
        <v>3.1806430367750903E-2</v>
      </c>
      <c r="E1330" s="79">
        <v>1.45448680440872E-2</v>
      </c>
      <c r="F1330" s="79">
        <v>2.8807189900252099E-2</v>
      </c>
      <c r="G1330" s="79">
        <v>0.60066631790544101</v>
      </c>
      <c r="H1330" s="79">
        <v>1</v>
      </c>
      <c r="I1330" s="102">
        <v>1.67879737821559E-2</v>
      </c>
      <c r="J1330" s="79">
        <v>1.4450011037150301E-2</v>
      </c>
      <c r="K1330" s="79">
        <v>0.24537756388443199</v>
      </c>
      <c r="L1330" s="79">
        <v>0.67337283769565504</v>
      </c>
      <c r="M1330" s="79">
        <v>1</v>
      </c>
      <c r="N1330" s="107">
        <v>-9.9186951777193999E-2</v>
      </c>
      <c r="O1330" s="81">
        <v>1.42596427660256E-2</v>
      </c>
      <c r="P1330" s="81">
        <v>3.98955504552227E-12</v>
      </c>
      <c r="Q1330" s="81">
        <v>2.1119707022233499E-10</v>
      </c>
      <c r="R1330" s="81">
        <v>6.7583062471147304E-9</v>
      </c>
      <c r="S1330" s="107">
        <v>-8.2339963627730398E-2</v>
      </c>
      <c r="T1330" s="81">
        <v>1.42741975886221E-2</v>
      </c>
      <c r="U1330" s="81">
        <v>8.5138918033119497E-9</v>
      </c>
      <c r="V1330" s="81">
        <v>3.8714181495221498E-7</v>
      </c>
      <c r="W1330" s="81">
        <v>1.44225327148104E-5</v>
      </c>
    </row>
    <row r="1331" spans="2:23" x14ac:dyDescent="0.2">
      <c r="B1331" t="s">
        <v>3353</v>
      </c>
      <c r="C1331" s="84">
        <v>2386</v>
      </c>
      <c r="D1331" s="102">
        <v>6.6711408589971704E-4</v>
      </c>
      <c r="E1331" s="79">
        <v>1.45660908397881E-2</v>
      </c>
      <c r="F1331" s="79">
        <v>0.96347223697097695</v>
      </c>
      <c r="G1331" s="79">
        <v>0.99840985319461195</v>
      </c>
      <c r="H1331" s="79">
        <v>1</v>
      </c>
      <c r="I1331" s="102">
        <v>4.3385373065701199E-2</v>
      </c>
      <c r="J1331" s="79">
        <v>1.4482857102585201E-2</v>
      </c>
      <c r="K1331" s="79">
        <v>2.7526557078951402E-3</v>
      </c>
      <c r="L1331" s="79">
        <v>0.137147022622776</v>
      </c>
      <c r="M1331" s="79">
        <v>1</v>
      </c>
      <c r="N1331" s="102">
        <v>1.1617522202106299E-3</v>
      </c>
      <c r="O1331" s="79">
        <v>1.43674449102E-2</v>
      </c>
      <c r="P1331" s="79">
        <v>0.93555659156606996</v>
      </c>
      <c r="Q1331" s="79">
        <v>0.954718594043929</v>
      </c>
      <c r="R1331" s="79">
        <v>1</v>
      </c>
      <c r="S1331" s="102">
        <v>-2.0996667846172202E-3</v>
      </c>
      <c r="T1331" s="79">
        <v>1.4363624199803301E-2</v>
      </c>
      <c r="U1331" s="79">
        <v>0.88378580205495105</v>
      </c>
      <c r="V1331" s="79">
        <v>0.91699955930810095</v>
      </c>
      <c r="W1331" s="79">
        <v>1</v>
      </c>
    </row>
    <row r="1332" spans="2:23" x14ac:dyDescent="0.2">
      <c r="B1332" t="s">
        <v>3336</v>
      </c>
      <c r="C1332" s="84">
        <v>3387</v>
      </c>
      <c r="D1332" s="102">
        <v>-1.57908485306716E-3</v>
      </c>
      <c r="E1332" s="79">
        <v>1.4649569844055001E-2</v>
      </c>
      <c r="F1332" s="79">
        <v>0.91416629366367697</v>
      </c>
      <c r="G1332" s="79">
        <v>0.99533029194181499</v>
      </c>
      <c r="H1332" s="79">
        <v>1</v>
      </c>
      <c r="I1332" s="102">
        <v>7.4046597041926097E-3</v>
      </c>
      <c r="J1332" s="79">
        <v>1.4574420908292701E-2</v>
      </c>
      <c r="K1332" s="79">
        <v>0.61143553373011195</v>
      </c>
      <c r="L1332" s="79">
        <v>0.87455910458575803</v>
      </c>
      <c r="M1332" s="79">
        <v>1</v>
      </c>
      <c r="N1332" s="102">
        <v>2.3884495453937799E-2</v>
      </c>
      <c r="O1332" s="79">
        <v>1.4444257895891601E-2</v>
      </c>
      <c r="P1332" s="79">
        <v>9.8281061989706195E-2</v>
      </c>
      <c r="Q1332" s="79">
        <v>0.171991858481986</v>
      </c>
      <c r="R1332" s="79">
        <v>1</v>
      </c>
      <c r="S1332" s="102">
        <v>4.8817808887161397E-2</v>
      </c>
      <c r="T1332" s="79">
        <v>1.4420113416806201E-2</v>
      </c>
      <c r="U1332" s="79">
        <v>7.1641431558135495E-4</v>
      </c>
      <c r="V1332" s="79">
        <v>3.4477438937352699E-3</v>
      </c>
      <c r="W1332" s="79">
        <v>1</v>
      </c>
    </row>
    <row r="1333" spans="2:23" x14ac:dyDescent="0.2">
      <c r="B1333" t="s">
        <v>3211</v>
      </c>
      <c r="C1333" s="84">
        <v>3537</v>
      </c>
      <c r="D1333" s="102">
        <v>3.7033020975569202E-4</v>
      </c>
      <c r="E1333" s="79">
        <v>1.44884675702399E-2</v>
      </c>
      <c r="F1333" s="79">
        <v>0.97960911198575396</v>
      </c>
      <c r="G1333" s="79">
        <v>0.99840985319461195</v>
      </c>
      <c r="H1333" s="79">
        <v>1</v>
      </c>
      <c r="I1333" s="102">
        <v>-5.9193667107508502E-3</v>
      </c>
      <c r="J1333" s="79">
        <v>1.4377640450644999E-2</v>
      </c>
      <c r="K1333" s="79">
        <v>0.680574014292472</v>
      </c>
      <c r="L1333" s="79">
        <v>0.8940422852919</v>
      </c>
      <c r="M1333" s="79">
        <v>1</v>
      </c>
      <c r="N1333" s="107">
        <v>-9.1470609678624401E-2</v>
      </c>
      <c r="O1333" s="81">
        <v>1.41987688018805E-2</v>
      </c>
      <c r="P1333" s="81">
        <v>1.29925534372464E-10</v>
      </c>
      <c r="Q1333" s="81">
        <v>4.3155657887638103E-9</v>
      </c>
      <c r="R1333" s="81">
        <v>2.20093855226954E-7</v>
      </c>
      <c r="S1333" s="102">
        <v>-5.4418029939746398E-2</v>
      </c>
      <c r="T1333" s="79">
        <v>1.42388554146567E-2</v>
      </c>
      <c r="U1333" s="79">
        <v>1.3423080870987901E-4</v>
      </c>
      <c r="V1333" s="79">
        <v>8.9522436989974399E-4</v>
      </c>
      <c r="W1333" s="79">
        <v>0.22738698995453499</v>
      </c>
    </row>
    <row r="1334" spans="2:23" x14ac:dyDescent="0.2">
      <c r="B1334" t="s">
        <v>3201</v>
      </c>
      <c r="C1334" s="84">
        <v>3388</v>
      </c>
      <c r="D1334" s="102">
        <v>-4.1207678102988801E-3</v>
      </c>
      <c r="E1334" s="79">
        <v>1.4600746285826E-2</v>
      </c>
      <c r="F1334" s="79">
        <v>0.77777951070117002</v>
      </c>
      <c r="G1334" s="79">
        <v>0.98707149633086799</v>
      </c>
      <c r="H1334" s="79">
        <v>1</v>
      </c>
      <c r="I1334" s="102">
        <v>-1.8841685235677599E-2</v>
      </c>
      <c r="J1334" s="79">
        <v>1.45005222199078E-2</v>
      </c>
      <c r="K1334" s="79">
        <v>0.19387796344557301</v>
      </c>
      <c r="L1334" s="79">
        <v>0.63772673801320501</v>
      </c>
      <c r="M1334" s="79">
        <v>1</v>
      </c>
      <c r="N1334" s="107">
        <v>-9.2129309873068402E-2</v>
      </c>
      <c r="O1334" s="81">
        <v>1.43267122994283E-2</v>
      </c>
      <c r="P1334" s="81">
        <v>1.39806772957105E-10</v>
      </c>
      <c r="Q1334" s="81">
        <v>4.5544744882564603E-9</v>
      </c>
      <c r="R1334" s="81">
        <v>2.3683267338933601E-7</v>
      </c>
      <c r="S1334" s="102">
        <v>-4.5436943528088802E-2</v>
      </c>
      <c r="T1334" s="79">
        <v>1.4359214892317699E-2</v>
      </c>
      <c r="U1334" s="79">
        <v>1.56449231795637E-3</v>
      </c>
      <c r="V1334" s="79">
        <v>6.4640243576050997E-3</v>
      </c>
      <c r="W1334" s="79">
        <v>1</v>
      </c>
    </row>
    <row r="1335" spans="2:23" x14ac:dyDescent="0.2">
      <c r="B1335" t="s">
        <v>3354</v>
      </c>
      <c r="C1335" s="84">
        <v>3544</v>
      </c>
      <c r="D1335" s="102">
        <v>1.81047904797851E-2</v>
      </c>
      <c r="E1335" s="79">
        <v>1.4585351201159599E-2</v>
      </c>
      <c r="F1335" s="79">
        <v>0.214554344387961</v>
      </c>
      <c r="G1335" s="79">
        <v>0.83938812792888196</v>
      </c>
      <c r="H1335" s="79">
        <v>1</v>
      </c>
      <c r="I1335" s="102">
        <v>-3.01831328752528E-3</v>
      </c>
      <c r="J1335" s="79">
        <v>1.4526405059876801E-2</v>
      </c>
      <c r="K1335" s="79">
        <v>0.83540854848134305</v>
      </c>
      <c r="L1335" s="79">
        <v>0.95558061391045301</v>
      </c>
      <c r="M1335" s="79">
        <v>1</v>
      </c>
      <c r="N1335" s="102">
        <v>4.9672947325045E-2</v>
      </c>
      <c r="O1335" s="79">
        <v>1.4375203303166899E-2</v>
      </c>
      <c r="P1335" s="79">
        <v>5.5402863638754198E-4</v>
      </c>
      <c r="Q1335" s="79">
        <v>2.76850887917551E-3</v>
      </c>
      <c r="R1335" s="79">
        <v>0.93852451004049597</v>
      </c>
      <c r="S1335" s="107">
        <v>6.86823983030493E-2</v>
      </c>
      <c r="T1335" s="81">
        <v>1.4358375263509599E-2</v>
      </c>
      <c r="U1335" s="81">
        <v>1.7740138598806401E-6</v>
      </c>
      <c r="V1335" s="81">
        <v>2.94625439082138E-5</v>
      </c>
      <c r="W1335" s="81">
        <v>3.0051794786378002E-3</v>
      </c>
    </row>
    <row r="1336" spans="2:23" x14ac:dyDescent="0.2">
      <c r="B1336" t="s">
        <v>325</v>
      </c>
      <c r="C1336" s="84">
        <v>423</v>
      </c>
      <c r="D1336" s="102">
        <v>-1.6489517028592499E-2</v>
      </c>
      <c r="E1336" s="79">
        <v>1.45089026240351E-2</v>
      </c>
      <c r="F1336" s="79">
        <v>0.25580090779185699</v>
      </c>
      <c r="G1336" s="79">
        <v>0.85990749347533801</v>
      </c>
      <c r="H1336" s="79">
        <v>1</v>
      </c>
      <c r="I1336" s="102">
        <v>1.6730817319383199E-2</v>
      </c>
      <c r="J1336" s="79">
        <v>1.44093479766662E-2</v>
      </c>
      <c r="K1336" s="79">
        <v>0.245657859324625</v>
      </c>
      <c r="L1336" s="79">
        <v>0.67337283769565504</v>
      </c>
      <c r="M1336" s="79">
        <v>1</v>
      </c>
      <c r="N1336" s="102">
        <v>5.8387603383748897E-2</v>
      </c>
      <c r="O1336" s="79">
        <v>1.42910399158766E-2</v>
      </c>
      <c r="P1336" s="79">
        <v>4.47021384198048E-5</v>
      </c>
      <c r="Q1336" s="79">
        <v>3.4577818485456301E-4</v>
      </c>
      <c r="R1336" s="79">
        <v>7.5725422483149299E-2</v>
      </c>
      <c r="S1336" s="107">
        <v>6.0371531245692597E-2</v>
      </c>
      <c r="T1336" s="81">
        <v>1.42781948821248E-2</v>
      </c>
      <c r="U1336" s="81">
        <v>2.4004978794486101E-5</v>
      </c>
      <c r="V1336" s="81">
        <v>2.44712113258716E-4</v>
      </c>
      <c r="W1336" s="81">
        <v>4.0664434077859503E-2</v>
      </c>
    </row>
    <row r="1337" spans="2:23" x14ac:dyDescent="0.2">
      <c r="B1337" t="s">
        <v>333</v>
      </c>
      <c r="C1337" s="84">
        <v>159</v>
      </c>
      <c r="D1337" s="102">
        <v>-4.6436261750804004E-3</v>
      </c>
      <c r="E1337" s="79">
        <v>1.46134258635313E-2</v>
      </c>
      <c r="F1337" s="79">
        <v>0.750678325109147</v>
      </c>
      <c r="G1337" s="79">
        <v>0.98006352001698205</v>
      </c>
      <c r="H1337" s="79">
        <v>1</v>
      </c>
      <c r="I1337" s="102">
        <v>1.5173228724595001E-2</v>
      </c>
      <c r="J1337" s="79">
        <v>1.4523288318145E-2</v>
      </c>
      <c r="K1337" s="79">
        <v>0.29619546553069598</v>
      </c>
      <c r="L1337" s="79">
        <v>0.70592340946629695</v>
      </c>
      <c r="M1337" s="79">
        <v>1</v>
      </c>
      <c r="N1337" s="102">
        <v>5.4318697083631802E-2</v>
      </c>
      <c r="O1337" s="79">
        <v>1.44019154031968E-2</v>
      </c>
      <c r="P1337" s="79">
        <v>1.64298303029157E-4</v>
      </c>
      <c r="Q1337" s="79">
        <v>1.0194920341809199E-3</v>
      </c>
      <c r="R1337" s="79">
        <v>0.27832132533139198</v>
      </c>
      <c r="S1337" s="102">
        <v>4.1524645835893798E-2</v>
      </c>
      <c r="T1337" s="79">
        <v>1.43994223526814E-2</v>
      </c>
      <c r="U1337" s="79">
        <v>3.9483061498698201E-3</v>
      </c>
      <c r="V1337" s="79">
        <v>1.3350160913931101E-2</v>
      </c>
      <c r="W1337" s="79">
        <v>1</v>
      </c>
    </row>
    <row r="1338" spans="2:23" x14ac:dyDescent="0.2">
      <c r="B1338" t="s">
        <v>326</v>
      </c>
      <c r="C1338" s="84">
        <v>618</v>
      </c>
      <c r="D1338" s="102">
        <v>1.0483213669385301E-2</v>
      </c>
      <c r="E1338" s="79">
        <v>1.4598949045667E-2</v>
      </c>
      <c r="F1338" s="79">
        <v>0.47274333942149299</v>
      </c>
      <c r="G1338" s="79">
        <v>0.91151047511105199</v>
      </c>
      <c r="H1338" s="79">
        <v>1</v>
      </c>
      <c r="I1338" s="102">
        <v>3.8458091172682798E-2</v>
      </c>
      <c r="J1338" s="79">
        <v>1.44989361870187E-2</v>
      </c>
      <c r="K1338" s="79">
        <v>8.0175176083271699E-3</v>
      </c>
      <c r="L1338" s="79">
        <v>0.17191993453805399</v>
      </c>
      <c r="M1338" s="79">
        <v>1</v>
      </c>
      <c r="N1338" s="102">
        <v>4.9202616232426097E-2</v>
      </c>
      <c r="O1338" s="79">
        <v>1.43871248405991E-2</v>
      </c>
      <c r="P1338" s="79">
        <v>6.3178126265959502E-4</v>
      </c>
      <c r="Q1338" s="79">
        <v>3.08425780675895E-3</v>
      </c>
      <c r="R1338" s="79">
        <v>1</v>
      </c>
      <c r="S1338" s="107">
        <v>8.2906228881297506E-2</v>
      </c>
      <c r="T1338" s="81">
        <v>1.43514448382335E-2</v>
      </c>
      <c r="U1338" s="81">
        <v>8.1023632579744408E-9</v>
      </c>
      <c r="V1338" s="81">
        <v>3.8598209886472302E-7</v>
      </c>
      <c r="W1338" s="81">
        <v>1.37254033590087E-5</v>
      </c>
    </row>
    <row r="1339" spans="2:23" x14ac:dyDescent="0.2">
      <c r="B1339" t="s">
        <v>327</v>
      </c>
      <c r="C1339" s="84">
        <v>577</v>
      </c>
      <c r="D1339" s="102">
        <v>-2.0277770293429E-2</v>
      </c>
      <c r="E1339" s="79">
        <v>1.45299611543699E-2</v>
      </c>
      <c r="F1339" s="79">
        <v>0.16290640709010301</v>
      </c>
      <c r="G1339" s="79">
        <v>0.81796927009920195</v>
      </c>
      <c r="H1339" s="79">
        <v>1</v>
      </c>
      <c r="I1339" s="102">
        <v>3.2492062256526802E-2</v>
      </c>
      <c r="J1339" s="79">
        <v>1.4424972000333399E-2</v>
      </c>
      <c r="K1339" s="79">
        <v>2.4338843630974299E-2</v>
      </c>
      <c r="L1339" s="79">
        <v>0.30705200698785101</v>
      </c>
      <c r="M1339" s="79">
        <v>1</v>
      </c>
      <c r="N1339" s="102">
        <v>2.6173245838484498E-2</v>
      </c>
      <c r="O1339" s="79">
        <v>1.43278093764317E-2</v>
      </c>
      <c r="P1339" s="79">
        <v>6.7803027477284297E-2</v>
      </c>
      <c r="Q1339" s="79">
        <v>0.129930235912353</v>
      </c>
      <c r="R1339" s="79">
        <v>1</v>
      </c>
      <c r="S1339" s="102">
        <v>2.8592152410818399E-2</v>
      </c>
      <c r="T1339" s="79">
        <v>1.43175174203741E-2</v>
      </c>
      <c r="U1339" s="79">
        <v>4.5883317898657502E-2</v>
      </c>
      <c r="V1339" s="79">
        <v>9.5252868284712994E-2</v>
      </c>
      <c r="W1339" s="79">
        <v>1</v>
      </c>
    </row>
    <row r="1340" spans="2:23" x14ac:dyDescent="0.2">
      <c r="B1340" t="s">
        <v>328</v>
      </c>
      <c r="C1340" s="84">
        <v>776</v>
      </c>
      <c r="D1340" s="102">
        <v>-4.6782038331353998E-3</v>
      </c>
      <c r="E1340" s="79">
        <v>1.45547911238022E-2</v>
      </c>
      <c r="F1340" s="79">
        <v>0.74790654705132698</v>
      </c>
      <c r="G1340" s="79">
        <v>0.979098679061011</v>
      </c>
      <c r="H1340" s="79">
        <v>1</v>
      </c>
      <c r="I1340" s="102">
        <v>4.05763805296789E-2</v>
      </c>
      <c r="J1340" s="79">
        <v>1.44445767737952E-2</v>
      </c>
      <c r="K1340" s="79">
        <v>4.9893364718917501E-3</v>
      </c>
      <c r="L1340" s="79">
        <v>0.143721784187822</v>
      </c>
      <c r="M1340" s="79">
        <v>1</v>
      </c>
      <c r="N1340" s="107">
        <v>6.4404795368986203E-2</v>
      </c>
      <c r="O1340" s="81">
        <v>1.4326414389215201E-2</v>
      </c>
      <c r="P1340" s="81">
        <v>7.1127854699784904E-6</v>
      </c>
      <c r="Q1340" s="81">
        <v>7.34698694277047E-5</v>
      </c>
      <c r="R1340" s="81">
        <v>1.20490585861436E-2</v>
      </c>
      <c r="S1340" s="102">
        <v>4.3965462314224803E-2</v>
      </c>
      <c r="T1340" s="79">
        <v>1.43342675363174E-2</v>
      </c>
      <c r="U1340" s="79">
        <v>2.1737247652719401E-3</v>
      </c>
      <c r="V1340" s="79">
        <v>8.2010907625181904E-3</v>
      </c>
      <c r="W1340" s="79">
        <v>1</v>
      </c>
    </row>
    <row r="1341" spans="2:23" x14ac:dyDescent="0.2">
      <c r="B1341" t="s">
        <v>329</v>
      </c>
      <c r="C1341" s="84">
        <v>406</v>
      </c>
      <c r="D1341" s="102">
        <v>-1.8570627485905201E-2</v>
      </c>
      <c r="E1341" s="79">
        <v>1.4596533304432001E-2</v>
      </c>
      <c r="F1341" s="79">
        <v>0.203342683862623</v>
      </c>
      <c r="G1341" s="79">
        <v>0.83003013605610498</v>
      </c>
      <c r="H1341" s="79">
        <v>1</v>
      </c>
      <c r="I1341" s="102">
        <v>2.4185777311953899E-2</v>
      </c>
      <c r="J1341" s="79">
        <v>1.4506512844712299E-2</v>
      </c>
      <c r="K1341" s="79">
        <v>9.5535824888922302E-2</v>
      </c>
      <c r="L1341" s="79">
        <v>0.51214458025897003</v>
      </c>
      <c r="M1341" s="79">
        <v>1</v>
      </c>
      <c r="N1341" s="102">
        <v>4.4006666696617701E-2</v>
      </c>
      <c r="O1341" s="79">
        <v>1.4392471796251201E-2</v>
      </c>
      <c r="P1341" s="79">
        <v>2.2437961491975399E-3</v>
      </c>
      <c r="Q1341" s="79">
        <v>8.1746811462778107E-3</v>
      </c>
      <c r="R1341" s="79">
        <v>1</v>
      </c>
      <c r="S1341" s="102">
        <v>4.4500330867202703E-2</v>
      </c>
      <c r="T1341" s="79">
        <v>1.43790905826033E-2</v>
      </c>
      <c r="U1341" s="79">
        <v>1.9812600644832099E-3</v>
      </c>
      <c r="V1341" s="79">
        <v>7.7716301541054999E-3</v>
      </c>
      <c r="W1341" s="79">
        <v>1</v>
      </c>
    </row>
    <row r="1342" spans="2:23" x14ac:dyDescent="0.2">
      <c r="B1342" t="s">
        <v>330</v>
      </c>
      <c r="C1342" s="84">
        <v>521</v>
      </c>
      <c r="D1342" s="102">
        <v>1.0567451068681099E-2</v>
      </c>
      <c r="E1342" s="79">
        <v>1.4605749784095E-2</v>
      </c>
      <c r="F1342" s="79">
        <v>0.46940092836268299</v>
      </c>
      <c r="G1342" s="79">
        <v>0.91151047511105199</v>
      </c>
      <c r="H1342" s="79">
        <v>1</v>
      </c>
      <c r="I1342" s="102">
        <v>2.8283560615760501E-2</v>
      </c>
      <c r="J1342" s="79">
        <v>1.4512519091146101E-2</v>
      </c>
      <c r="K1342" s="79">
        <v>5.1367704477305202E-2</v>
      </c>
      <c r="L1342" s="79">
        <v>0.40662098777829397</v>
      </c>
      <c r="M1342" s="79">
        <v>1</v>
      </c>
      <c r="N1342" s="102">
        <v>5.9818564204644299E-2</v>
      </c>
      <c r="O1342" s="79">
        <v>1.43858876602711E-2</v>
      </c>
      <c r="P1342" s="79">
        <v>3.2669651748889702E-5</v>
      </c>
      <c r="Q1342" s="79">
        <v>2.5860929935803302E-4</v>
      </c>
      <c r="R1342" s="79">
        <v>5.53423900626192E-2</v>
      </c>
      <c r="S1342" s="107">
        <v>7.3640659266224096E-2</v>
      </c>
      <c r="T1342" s="81">
        <v>1.4370268592107001E-2</v>
      </c>
      <c r="U1342" s="81">
        <v>3.1049094713382101E-7</v>
      </c>
      <c r="V1342" s="81">
        <v>6.4934773388233697E-6</v>
      </c>
      <c r="W1342" s="81">
        <v>5.2597166444469303E-4</v>
      </c>
    </row>
    <row r="1343" spans="2:23" x14ac:dyDescent="0.2">
      <c r="B1343" t="s">
        <v>331</v>
      </c>
      <c r="C1343" s="84">
        <v>854</v>
      </c>
      <c r="D1343" s="102">
        <v>-2.98542818036545E-2</v>
      </c>
      <c r="E1343" s="79">
        <v>1.46201576375194E-2</v>
      </c>
      <c r="F1343" s="79">
        <v>4.1207569135756503E-2</v>
      </c>
      <c r="G1343" s="79">
        <v>0.67784404055428704</v>
      </c>
      <c r="H1343" s="79">
        <v>1</v>
      </c>
      <c r="I1343" s="102">
        <v>1.12051788532966E-2</v>
      </c>
      <c r="J1343" s="79">
        <v>1.45344292696553E-2</v>
      </c>
      <c r="K1343" s="79">
        <v>0.440781682208015</v>
      </c>
      <c r="L1343" s="79">
        <v>0.792097226457534</v>
      </c>
      <c r="M1343" s="79">
        <v>1</v>
      </c>
      <c r="N1343" s="102">
        <v>4.00114826698168E-2</v>
      </c>
      <c r="O1343" s="79">
        <v>1.4418297304898299E-2</v>
      </c>
      <c r="P1343" s="79">
        <v>5.5413820720868296E-3</v>
      </c>
      <c r="Q1343" s="79">
        <v>1.7448143550399801E-2</v>
      </c>
      <c r="R1343" s="79">
        <v>1</v>
      </c>
      <c r="S1343" s="102">
        <v>4.2074997009141503E-2</v>
      </c>
      <c r="T1343" s="79">
        <v>1.4409816258241099E-2</v>
      </c>
      <c r="U1343" s="79">
        <v>3.5183838592058301E-3</v>
      </c>
      <c r="V1343" s="79">
        <v>1.22355940792888E-2</v>
      </c>
      <c r="W1343" s="79">
        <v>1</v>
      </c>
    </row>
    <row r="1344" spans="2:23" x14ac:dyDescent="0.2">
      <c r="B1344" t="s">
        <v>332</v>
      </c>
      <c r="C1344" s="84">
        <v>373</v>
      </c>
      <c r="D1344" s="102">
        <v>-2.3530290882998E-2</v>
      </c>
      <c r="E1344" s="79">
        <v>1.4567602180124701E-2</v>
      </c>
      <c r="F1344" s="79">
        <v>0.10632585507895</v>
      </c>
      <c r="G1344" s="79">
        <v>0.80938271582532695</v>
      </c>
      <c r="H1344" s="79">
        <v>1</v>
      </c>
      <c r="I1344" s="102">
        <v>2.3425990754611301E-2</v>
      </c>
      <c r="J1344" s="79">
        <v>1.4481242015023901E-2</v>
      </c>
      <c r="K1344" s="79">
        <v>0.105802813695391</v>
      </c>
      <c r="L1344" s="79">
        <v>0.53293803425049502</v>
      </c>
      <c r="M1344" s="79">
        <v>1</v>
      </c>
      <c r="N1344" s="102">
        <v>4.5054276616693097E-2</v>
      </c>
      <c r="O1344" s="79">
        <v>1.4362671556512999E-2</v>
      </c>
      <c r="P1344" s="79">
        <v>1.7184869483639299E-3</v>
      </c>
      <c r="Q1344" s="79">
        <v>6.7277267588438001E-3</v>
      </c>
      <c r="R1344" s="79">
        <v>1</v>
      </c>
      <c r="S1344" s="102">
        <v>5.75139194232571E-2</v>
      </c>
      <c r="T1344" s="79">
        <v>1.43463357855531E-2</v>
      </c>
      <c r="U1344" s="79">
        <v>6.1972695486686995E-5</v>
      </c>
      <c r="V1344" s="79">
        <v>4.9519691582286703E-4</v>
      </c>
      <c r="W1344" s="79">
        <v>0.104981746154448</v>
      </c>
    </row>
    <row r="1345" spans="2:23" x14ac:dyDescent="0.2">
      <c r="B1345" t="s">
        <v>8540</v>
      </c>
      <c r="C1345" s="84">
        <v>1337</v>
      </c>
      <c r="D1345" s="102">
        <v>1.0603663294725385</v>
      </c>
      <c r="E1345" s="79">
        <v>0.14481619630385101</v>
      </c>
      <c r="F1345" s="79">
        <v>0.68566084445126996</v>
      </c>
      <c r="G1345" s="79">
        <v>0.96670198527320195</v>
      </c>
      <c r="H1345" s="79">
        <v>1</v>
      </c>
      <c r="I1345" s="102">
        <v>0.97934989695894425</v>
      </c>
      <c r="J1345" s="79">
        <v>0.14436439629324899</v>
      </c>
      <c r="K1345" s="79">
        <v>0.88507479429411995</v>
      </c>
      <c r="L1345" s="79">
        <v>0.97675355714987899</v>
      </c>
      <c r="M1345" s="79">
        <v>1</v>
      </c>
      <c r="N1345" s="102">
        <v>1.2103467924899725</v>
      </c>
      <c r="O1345" s="79">
        <v>0.143703695688011</v>
      </c>
      <c r="P1345" s="79">
        <v>0.18402087694666</v>
      </c>
      <c r="Q1345" s="79">
        <v>0.281854760892986</v>
      </c>
      <c r="R1345" s="79">
        <v>1</v>
      </c>
      <c r="S1345" s="102">
        <v>1.072084318356082</v>
      </c>
      <c r="T1345" s="79">
        <v>0.14924811263579399</v>
      </c>
      <c r="U1345" s="79">
        <v>0.64095129295768405</v>
      </c>
      <c r="V1345" s="79">
        <v>0.71573598567588503</v>
      </c>
      <c r="W1345" s="79">
        <v>1</v>
      </c>
    </row>
    <row r="1346" spans="2:23" x14ac:dyDescent="0.2">
      <c r="B1346" t="s">
        <v>8541</v>
      </c>
      <c r="C1346" s="84">
        <v>1337</v>
      </c>
      <c r="D1346" s="102">
        <v>1.0179288258335704</v>
      </c>
      <c r="E1346" s="79">
        <v>0.1</v>
      </c>
      <c r="F1346" s="79">
        <v>0.85960000000000003</v>
      </c>
      <c r="G1346" s="79">
        <v>0.99362338620020496</v>
      </c>
      <c r="H1346" s="79">
        <v>1</v>
      </c>
      <c r="I1346" s="102">
        <v>1.007328956095918</v>
      </c>
      <c r="J1346" s="79">
        <v>0.100107549555162</v>
      </c>
      <c r="K1346" s="79">
        <v>0.941850801809618</v>
      </c>
      <c r="L1346" s="79">
        <v>0.98792276053590899</v>
      </c>
      <c r="M1346" s="79">
        <v>1</v>
      </c>
      <c r="N1346" s="102">
        <v>0.92572924789462741</v>
      </c>
      <c r="O1346" s="79">
        <v>9.9881787820105303E-2</v>
      </c>
      <c r="P1346" s="79">
        <v>0.43973065561636299</v>
      </c>
      <c r="Q1346" s="79">
        <v>0.55810662616810702</v>
      </c>
      <c r="R1346" s="79">
        <v>1</v>
      </c>
      <c r="S1346" s="102">
        <v>1.0587202139934218</v>
      </c>
      <c r="T1346" s="79">
        <v>9.96716288839819E-2</v>
      </c>
      <c r="U1346" s="79">
        <v>0.56699126422786505</v>
      </c>
      <c r="V1346" s="79">
        <v>0.66148980826584303</v>
      </c>
      <c r="W1346" s="79">
        <v>1</v>
      </c>
    </row>
    <row r="1347" spans="2:23" x14ac:dyDescent="0.2">
      <c r="B1347" s="33" t="s">
        <v>8542</v>
      </c>
      <c r="C1347" s="84">
        <v>1337</v>
      </c>
      <c r="D1347" s="102">
        <v>0.99612616754314043</v>
      </c>
      <c r="E1347" s="79">
        <v>5.62961811205882E-2</v>
      </c>
      <c r="F1347" s="79">
        <v>0.94503318719165696</v>
      </c>
      <c r="G1347" s="79">
        <v>0.99840985319461195</v>
      </c>
      <c r="H1347" s="79">
        <v>1</v>
      </c>
      <c r="I1347" s="102">
        <v>1.0013356111732499</v>
      </c>
      <c r="J1347" s="79">
        <v>5.6018231436445999E-2</v>
      </c>
      <c r="K1347" s="79">
        <v>0.98099097865577201</v>
      </c>
      <c r="L1347" s="79">
        <v>0.99629532610271199</v>
      </c>
      <c r="M1347" s="79">
        <v>1</v>
      </c>
      <c r="N1347" s="102">
        <v>1.0041663809811037</v>
      </c>
      <c r="O1347" s="79">
        <v>5.5551243608657597E-2</v>
      </c>
      <c r="P1347" s="79">
        <v>0.94033814020809003</v>
      </c>
      <c r="Q1347" s="79">
        <v>0.95729135187049597</v>
      </c>
      <c r="R1347" s="79">
        <v>1</v>
      </c>
      <c r="S1347" s="102">
        <v>0.90918234109578</v>
      </c>
      <c r="T1347" s="79">
        <v>5.5823407943888598E-2</v>
      </c>
      <c r="U1347" s="79">
        <v>8.8091907995282895E-2</v>
      </c>
      <c r="V1347" s="79">
        <v>0.15841580907007399</v>
      </c>
      <c r="W1347" s="79">
        <v>1</v>
      </c>
    </row>
    <row r="1348" spans="2:23" x14ac:dyDescent="0.2">
      <c r="B1348" t="s">
        <v>1066</v>
      </c>
      <c r="C1348" s="84">
        <v>975</v>
      </c>
      <c r="D1348" s="102">
        <v>-1.6958793354672101E-2</v>
      </c>
      <c r="E1348" s="79">
        <v>3.6613051349116403E-2</v>
      </c>
      <c r="F1348" s="79">
        <v>0.64336978350288199</v>
      </c>
      <c r="G1348" s="79">
        <v>0.95767440062337605</v>
      </c>
      <c r="H1348" s="79">
        <v>1</v>
      </c>
      <c r="I1348" s="102">
        <v>-2.53191561987819E-2</v>
      </c>
      <c r="J1348" s="79">
        <v>3.4484593657789803E-2</v>
      </c>
      <c r="K1348" s="79">
        <v>0.46305687731167</v>
      </c>
      <c r="L1348" s="79">
        <v>0.799032058493933</v>
      </c>
      <c r="M1348" s="79">
        <v>1</v>
      </c>
      <c r="N1348" s="102">
        <v>-9.6711984091482905E-2</v>
      </c>
      <c r="O1348" s="79">
        <v>3.6337794939379303E-2</v>
      </c>
      <c r="P1348" s="79">
        <v>7.9549440618003203E-3</v>
      </c>
      <c r="Q1348" s="79">
        <v>2.3354723120779498E-2</v>
      </c>
      <c r="R1348" s="79">
        <v>1</v>
      </c>
      <c r="S1348" s="102">
        <v>-6.7531076168950696E-2</v>
      </c>
      <c r="T1348" s="79">
        <v>3.6629369348545299E-2</v>
      </c>
      <c r="U1348" s="79">
        <v>6.5651423351223204E-2</v>
      </c>
      <c r="V1348" s="79">
        <v>0.125949616259312</v>
      </c>
      <c r="W1348" s="79">
        <v>1</v>
      </c>
    </row>
    <row r="1349" spans="2:23" x14ac:dyDescent="0.2">
      <c r="B1349" t="s">
        <v>3780</v>
      </c>
      <c r="C1349" s="84">
        <v>5047</v>
      </c>
      <c r="D1349" s="102">
        <v>0.96413854451783332</v>
      </c>
      <c r="E1349" s="79">
        <v>4.1084835135280003E-2</v>
      </c>
      <c r="F1349" s="79">
        <v>0.37405726545294699</v>
      </c>
      <c r="G1349" s="79">
        <v>0.99362338620020496</v>
      </c>
      <c r="H1349" s="79">
        <v>1</v>
      </c>
      <c r="I1349" s="102">
        <v>0.96242387125801576</v>
      </c>
      <c r="J1349" s="79">
        <v>4.0794805005775099E-2</v>
      </c>
      <c r="K1349" s="79">
        <v>0.347806403218126</v>
      </c>
      <c r="L1349" s="79">
        <v>0.95440124680681704</v>
      </c>
      <c r="M1349" s="79">
        <v>1</v>
      </c>
      <c r="N1349" s="102">
        <v>0.95642113452694533</v>
      </c>
      <c r="O1349" s="79">
        <v>1.6846699634584201E-2</v>
      </c>
      <c r="P1349" s="79">
        <v>8.2093525457871408E-3</v>
      </c>
      <c r="Q1349" s="79">
        <v>2.39034341625208E-2</v>
      </c>
      <c r="R1349" s="79">
        <v>1</v>
      </c>
      <c r="S1349" s="102">
        <v>0.97842905012674508</v>
      </c>
      <c r="T1349" s="79">
        <v>1.69671886328201E-2</v>
      </c>
      <c r="U1349" s="79">
        <v>0.198792180412979</v>
      </c>
      <c r="V1349" s="79">
        <v>0.29933684766185498</v>
      </c>
      <c r="W1349" s="79">
        <v>1</v>
      </c>
    </row>
    <row r="1350" spans="2:23" x14ac:dyDescent="0.2">
      <c r="B1350" t="s">
        <v>1061</v>
      </c>
      <c r="C1350" s="84">
        <v>4923</v>
      </c>
      <c r="D1350" s="102">
        <v>3.2620752617211102E-3</v>
      </c>
      <c r="E1350" s="79">
        <v>1.71370443683652E-2</v>
      </c>
      <c r="F1350" s="79">
        <v>0.84904407894817802</v>
      </c>
      <c r="G1350" s="79">
        <v>0.99362338620020496</v>
      </c>
      <c r="H1350" s="79">
        <v>1</v>
      </c>
      <c r="I1350" s="102">
        <v>-3.6422824333034098E-3</v>
      </c>
      <c r="J1350" s="79">
        <v>1.7020207783509999E-2</v>
      </c>
      <c r="K1350" s="79">
        <v>0.83056152069808697</v>
      </c>
      <c r="L1350" s="79">
        <v>0.95440124680681704</v>
      </c>
      <c r="M1350" s="79">
        <v>1</v>
      </c>
      <c r="N1350" s="102">
        <v>-4.4556945642390898E-2</v>
      </c>
      <c r="O1350" s="79">
        <v>1.6846699634584201E-2</v>
      </c>
      <c r="P1350" s="79">
        <v>8.2093525457871408E-3</v>
      </c>
      <c r="Q1350" s="79">
        <v>2.39034341625208E-2</v>
      </c>
      <c r="R1350" s="79">
        <v>1</v>
      </c>
      <c r="S1350" s="102">
        <v>-2.18070035876257E-2</v>
      </c>
      <c r="T1350" s="79">
        <v>1.69671886328201E-2</v>
      </c>
      <c r="U1350" s="79">
        <v>0.198792180412979</v>
      </c>
      <c r="V1350" s="79">
        <v>0.29933684766185498</v>
      </c>
      <c r="W1350" s="79">
        <v>1</v>
      </c>
    </row>
    <row r="1351" spans="2:23" x14ac:dyDescent="0.2">
      <c r="B1351" t="s">
        <v>3782</v>
      </c>
      <c r="C1351" s="84">
        <v>4834</v>
      </c>
      <c r="D1351" s="102">
        <v>0.94732173522260699</v>
      </c>
      <c r="E1351" s="79">
        <v>4.3927405943907198E-2</v>
      </c>
      <c r="F1351" s="79">
        <v>0.21796662075498299</v>
      </c>
      <c r="G1351" s="79">
        <v>0.84071215771938901</v>
      </c>
      <c r="H1351" s="79">
        <v>1</v>
      </c>
      <c r="I1351" s="102">
        <v>1.0370593295939778</v>
      </c>
      <c r="J1351" s="79">
        <v>4.3448576117285601E-2</v>
      </c>
      <c r="K1351" s="79">
        <v>0.40229919060453201</v>
      </c>
      <c r="L1351" s="79">
        <v>0.76658585926217904</v>
      </c>
      <c r="M1351" s="79">
        <v>1</v>
      </c>
      <c r="N1351" s="107">
        <v>1.2824009376068701</v>
      </c>
      <c r="O1351" s="81">
        <v>4.3613375644832302E-2</v>
      </c>
      <c r="P1351" s="81">
        <v>1.1760658808553999E-8</v>
      </c>
      <c r="Q1351" s="81">
        <v>2.34383012019888E-7</v>
      </c>
      <c r="R1351" s="81">
        <v>1.9922556021690499E-5</v>
      </c>
      <c r="S1351" s="107">
        <v>1.2016039429310421</v>
      </c>
      <c r="T1351" s="81">
        <v>4.3432370422776E-2</v>
      </c>
      <c r="U1351" s="81">
        <v>2.35170161070736E-5</v>
      </c>
      <c r="V1351" s="81">
        <v>2.41441365365956E-4</v>
      </c>
      <c r="W1351" s="81">
        <v>3.9837825285382697E-2</v>
      </c>
    </row>
    <row r="1352" spans="2:23" x14ac:dyDescent="0.2">
      <c r="B1352" t="s">
        <v>3779</v>
      </c>
      <c r="C1352" s="84">
        <v>5047</v>
      </c>
      <c r="D1352" s="102">
        <v>0.98927801605702326</v>
      </c>
      <c r="E1352" s="79">
        <v>8.7061835876504901E-2</v>
      </c>
      <c r="F1352" s="79">
        <v>0.90145886824277699</v>
      </c>
      <c r="G1352" s="79">
        <v>0.99533029194181499</v>
      </c>
      <c r="H1352" s="79">
        <v>1</v>
      </c>
      <c r="I1352" s="102">
        <v>1.0214202242584118</v>
      </c>
      <c r="J1352" s="79">
        <v>8.5599845881957598E-2</v>
      </c>
      <c r="K1352" s="79">
        <v>0.80444830654171895</v>
      </c>
      <c r="L1352" s="79">
        <v>0.94164659117888305</v>
      </c>
      <c r="M1352" s="79">
        <v>1</v>
      </c>
      <c r="N1352" s="102">
        <v>1.2422799018979429</v>
      </c>
      <c r="O1352" s="79">
        <v>8.5044655478392794E-2</v>
      </c>
      <c r="P1352" s="79">
        <v>1.0741647904690199E-2</v>
      </c>
      <c r="Q1352" s="79">
        <v>2.9539531737898101E-2</v>
      </c>
      <c r="R1352" s="79">
        <v>1</v>
      </c>
      <c r="S1352" s="102">
        <v>1.2564453950756105</v>
      </c>
      <c r="T1352" s="79">
        <v>8.5588226667379197E-2</v>
      </c>
      <c r="U1352" s="79">
        <v>7.6470982031403099E-3</v>
      </c>
      <c r="V1352" s="79">
        <v>2.2647175447761701E-2</v>
      </c>
      <c r="W1352" s="79">
        <v>1</v>
      </c>
    </row>
    <row r="1353" spans="2:23" x14ac:dyDescent="0.2">
      <c r="B1353" t="s">
        <v>3778</v>
      </c>
      <c r="C1353" s="84">
        <v>5047</v>
      </c>
      <c r="D1353" s="102">
        <v>0.93536141612982404</v>
      </c>
      <c r="E1353" s="79">
        <v>6.82342104636183E-2</v>
      </c>
      <c r="F1353" s="79">
        <v>0.32742800062150801</v>
      </c>
      <c r="G1353" s="79">
        <v>0.88730162874475904</v>
      </c>
      <c r="H1353" s="79">
        <v>1</v>
      </c>
      <c r="I1353" s="102">
        <v>1.0789464111607632</v>
      </c>
      <c r="J1353" s="79">
        <v>6.7546250725118107E-2</v>
      </c>
      <c r="K1353" s="79">
        <v>0.26061734340938703</v>
      </c>
      <c r="L1353" s="79">
        <v>0.68025543872958705</v>
      </c>
      <c r="M1353" s="79">
        <v>1</v>
      </c>
      <c r="N1353" s="107">
        <v>1.343100545007397</v>
      </c>
      <c r="O1353" s="81">
        <v>6.7330553033753293E-2</v>
      </c>
      <c r="P1353" s="81">
        <v>1.18090555363138E-5</v>
      </c>
      <c r="Q1353" s="81">
        <v>1.1238505662087399E-4</v>
      </c>
      <c r="R1353" s="81">
        <v>2.0004540078515601E-2</v>
      </c>
      <c r="S1353" s="107">
        <v>1.3482155028190945</v>
      </c>
      <c r="T1353" s="81">
        <v>6.7494839204867804E-2</v>
      </c>
      <c r="U1353" s="81">
        <v>9.5669480828968795E-6</v>
      </c>
      <c r="V1353" s="81">
        <v>1.1786855289704599E-4</v>
      </c>
      <c r="W1353" s="81">
        <v>1.62064100524273E-2</v>
      </c>
    </row>
    <row r="1354" spans="2:23" x14ac:dyDescent="0.2">
      <c r="B1354" t="s">
        <v>3771</v>
      </c>
      <c r="C1354" s="84">
        <v>5047</v>
      </c>
      <c r="D1354" s="102">
        <v>0.94415657717073553</v>
      </c>
      <c r="E1354" s="79">
        <v>4.64781776051141E-2</v>
      </c>
      <c r="F1354" s="79">
        <v>0.21632876435693901</v>
      </c>
      <c r="G1354" s="79">
        <v>0.84071215771938901</v>
      </c>
      <c r="H1354" s="79">
        <v>1</v>
      </c>
      <c r="I1354" s="102">
        <v>1.0388222218924836</v>
      </c>
      <c r="J1354" s="79">
        <v>4.62497735220452E-2</v>
      </c>
      <c r="K1354" s="79">
        <v>0.41021260698091999</v>
      </c>
      <c r="L1354" s="79">
        <v>0.77250777393894599</v>
      </c>
      <c r="M1354" s="79">
        <v>1</v>
      </c>
      <c r="N1354" s="102">
        <v>1.1362906321508495</v>
      </c>
      <c r="O1354" s="79">
        <v>4.6104529115915803E-2</v>
      </c>
      <c r="P1354" s="79">
        <v>5.5834283261734802E-3</v>
      </c>
      <c r="Q1354" s="79">
        <v>1.7483045442768699E-2</v>
      </c>
      <c r="R1354" s="79">
        <v>1</v>
      </c>
      <c r="S1354" s="102">
        <v>1.1701432220880656</v>
      </c>
      <c r="T1354" s="79">
        <v>4.5670682559292797E-2</v>
      </c>
      <c r="U1354" s="79">
        <v>5.8082039938319797E-4</v>
      </c>
      <c r="V1354" s="79">
        <v>2.96517052384174E-3</v>
      </c>
      <c r="W1354" s="79">
        <v>0.98390975655513802</v>
      </c>
    </row>
    <row r="1355" spans="2:23" x14ac:dyDescent="0.2">
      <c r="B1355" t="s">
        <v>1063</v>
      </c>
      <c r="C1355" s="84">
        <v>5048</v>
      </c>
      <c r="D1355" s="102">
        <v>1.14348562659241E-3</v>
      </c>
      <c r="E1355" s="79">
        <v>1.45092064757949E-2</v>
      </c>
      <c r="F1355" s="79">
        <v>0.93718610439773697</v>
      </c>
      <c r="G1355" s="79">
        <v>0.99840985319461195</v>
      </c>
      <c r="H1355" s="79">
        <v>1</v>
      </c>
      <c r="I1355" s="102">
        <v>-2.1029705917523601E-2</v>
      </c>
      <c r="J1355" s="79">
        <v>1.44888317883488E-2</v>
      </c>
      <c r="K1355" s="79">
        <v>0.146720208129312</v>
      </c>
      <c r="L1355" s="79">
        <v>0.59040772609061598</v>
      </c>
      <c r="M1355" s="79">
        <v>1</v>
      </c>
      <c r="N1355" s="102">
        <v>-5.6751850875769297E-2</v>
      </c>
      <c r="O1355" s="79">
        <v>1.43349654969751E-2</v>
      </c>
      <c r="P1355" s="79">
        <v>7.6325524061141297E-5</v>
      </c>
      <c r="Q1355" s="79">
        <v>5.4002139532035502E-4</v>
      </c>
      <c r="R1355" s="79">
        <v>0.129295437759573</v>
      </c>
      <c r="S1355" s="102">
        <v>-5.15195449489897E-2</v>
      </c>
      <c r="T1355" s="79">
        <v>1.43352239059342E-2</v>
      </c>
      <c r="U1355" s="79">
        <v>3.2892164025747999E-4</v>
      </c>
      <c r="V1355" s="79">
        <v>1.8635226040005701E-3</v>
      </c>
      <c r="W1355" s="79">
        <v>0.55719325859617097</v>
      </c>
    </row>
    <row r="1356" spans="2:23" x14ac:dyDescent="0.2">
      <c r="B1356" t="s">
        <v>1064</v>
      </c>
      <c r="C1356" s="84">
        <v>4077</v>
      </c>
      <c r="D1356" s="102">
        <v>-1.70067087849659E-2</v>
      </c>
      <c r="E1356" s="79">
        <v>3.7561364662138198E-2</v>
      </c>
      <c r="F1356" s="79">
        <v>0.65084775407337403</v>
      </c>
      <c r="G1356" s="79">
        <v>0.95767440062337605</v>
      </c>
      <c r="H1356" s="79">
        <v>1</v>
      </c>
      <c r="I1356" s="102">
        <v>7.1231417019181398E-2</v>
      </c>
      <c r="J1356" s="79">
        <v>3.7328251004030803E-2</v>
      </c>
      <c r="K1356" s="79">
        <v>5.6760364347224701E-2</v>
      </c>
      <c r="L1356" s="79">
        <v>0.42171954914122201</v>
      </c>
      <c r="M1356" s="79">
        <v>1</v>
      </c>
      <c r="N1356" s="102">
        <v>9.3354472784555304E-2</v>
      </c>
      <c r="O1356" s="79">
        <v>3.60493794416595E-2</v>
      </c>
      <c r="P1356" s="79">
        <v>9.8044171808488508E-3</v>
      </c>
      <c r="Q1356" s="79">
        <v>2.7407067168907499E-2</v>
      </c>
      <c r="R1356" s="79">
        <v>1</v>
      </c>
      <c r="S1356" s="102">
        <v>0.103395485434085</v>
      </c>
      <c r="T1356" s="79">
        <v>3.5559836665668601E-2</v>
      </c>
      <c r="U1356" s="79">
        <v>3.7529713574948002E-3</v>
      </c>
      <c r="V1356" s="79">
        <v>1.2831742165128199E-2</v>
      </c>
      <c r="W1356" s="79">
        <v>1</v>
      </c>
    </row>
    <row r="1357" spans="2:23" x14ac:dyDescent="0.2">
      <c r="B1357" t="s">
        <v>3763</v>
      </c>
      <c r="C1357" s="84">
        <v>5013</v>
      </c>
      <c r="D1357" s="102">
        <v>1.0363201579267651</v>
      </c>
      <c r="E1357" s="79">
        <v>0.10859398425035301</v>
      </c>
      <c r="F1357" s="79">
        <v>0.742512725014423</v>
      </c>
      <c r="G1357" s="79">
        <v>0.979098679061011</v>
      </c>
      <c r="H1357" s="79">
        <v>1</v>
      </c>
      <c r="I1357" s="102">
        <v>0.97367759554672917</v>
      </c>
      <c r="J1357" s="79">
        <v>0.10785118124630599</v>
      </c>
      <c r="K1357" s="79">
        <v>0.80465134926294302</v>
      </c>
      <c r="L1357" s="79">
        <v>0.94164659117888305</v>
      </c>
      <c r="M1357" s="79">
        <v>1</v>
      </c>
      <c r="N1357" s="102">
        <v>1.1881787625059772</v>
      </c>
      <c r="O1357" s="79">
        <v>0.10820291316521299</v>
      </c>
      <c r="P1357" s="79">
        <v>0.11104736194168</v>
      </c>
      <c r="Q1357" s="79">
        <v>0.189737110384369</v>
      </c>
      <c r="R1357" s="79">
        <v>1</v>
      </c>
      <c r="S1357" s="102">
        <v>1.055292554857324</v>
      </c>
      <c r="T1357" s="79">
        <v>0.105983782814629</v>
      </c>
      <c r="U1357" s="79">
        <v>0.61159713865452603</v>
      </c>
      <c r="V1357" s="79">
        <v>0.69700543657854397</v>
      </c>
      <c r="W1357" s="79">
        <v>1</v>
      </c>
    </row>
    <row r="1358" spans="2:23" x14ac:dyDescent="0.2">
      <c r="B1358" t="s">
        <v>3762</v>
      </c>
      <c r="C1358" s="84">
        <v>5013</v>
      </c>
      <c r="D1358" s="102">
        <v>0.99555159827820017</v>
      </c>
      <c r="E1358" s="79">
        <v>9.2076674468839298E-2</v>
      </c>
      <c r="F1358" s="79">
        <v>0.96138175639082202</v>
      </c>
      <c r="G1358" s="79">
        <v>0.99840985319461195</v>
      </c>
      <c r="H1358" s="79">
        <v>1</v>
      </c>
      <c r="I1358" s="102">
        <v>0.9862504448081415</v>
      </c>
      <c r="J1358" s="79">
        <v>9.1760001935985894E-2</v>
      </c>
      <c r="K1358" s="79">
        <v>0.88006860038599899</v>
      </c>
      <c r="L1358" s="79">
        <v>0.97367036309529298</v>
      </c>
      <c r="M1358" s="79">
        <v>1</v>
      </c>
      <c r="N1358" s="102">
        <v>0.82612938636513156</v>
      </c>
      <c r="O1358" s="79">
        <v>9.1679867506837306E-2</v>
      </c>
      <c r="P1358" s="79">
        <v>3.72167257138361E-2</v>
      </c>
      <c r="Q1358" s="79">
        <v>7.9003926515336304E-2</v>
      </c>
      <c r="R1358" s="79">
        <v>1</v>
      </c>
      <c r="S1358" s="102">
        <v>0.91138897931641671</v>
      </c>
      <c r="T1358" s="79">
        <v>9.0050187633658907E-2</v>
      </c>
      <c r="U1358" s="79">
        <v>0.30283384698104898</v>
      </c>
      <c r="V1358" s="79">
        <v>0.41741296727900501</v>
      </c>
      <c r="W1358" s="79">
        <v>1</v>
      </c>
    </row>
    <row r="1359" spans="2:23" x14ac:dyDescent="0.2">
      <c r="B1359" t="s">
        <v>1477</v>
      </c>
      <c r="C1359" s="84">
        <v>1335</v>
      </c>
      <c r="D1359" s="102">
        <v>-2.0134641073759001E-2</v>
      </c>
      <c r="E1359" s="79">
        <v>1.4687416974258301E-2</v>
      </c>
      <c r="F1359" s="79">
        <v>0.17047636219471499</v>
      </c>
      <c r="G1359" s="79">
        <v>0.81796927009920195</v>
      </c>
      <c r="H1359" s="79">
        <v>1</v>
      </c>
      <c r="I1359" s="102">
        <v>-1.45818867581822E-2</v>
      </c>
      <c r="J1359" s="79">
        <v>1.4623140432238099E-2</v>
      </c>
      <c r="K1359" s="79">
        <v>0.31872778984893102</v>
      </c>
      <c r="L1359" s="79">
        <v>0.71493966280838095</v>
      </c>
      <c r="M1359" s="79">
        <v>1</v>
      </c>
      <c r="N1359" s="107">
        <v>-8.2760415627312706E-2</v>
      </c>
      <c r="O1359" s="81">
        <v>1.4455719887748899E-2</v>
      </c>
      <c r="P1359" s="81">
        <v>1.09600706207375E-8</v>
      </c>
      <c r="Q1359" s="81">
        <v>2.23691079897944E-7</v>
      </c>
      <c r="R1359" s="81">
        <v>1.85663596315293E-5</v>
      </c>
      <c r="S1359" s="107">
        <v>-9.12097724388891E-2</v>
      </c>
      <c r="T1359" s="81">
        <v>1.44228907807153E-2</v>
      </c>
      <c r="U1359" s="81">
        <v>2.77930398311308E-10</v>
      </c>
      <c r="V1359" s="81">
        <v>2.6156338596630901E-8</v>
      </c>
      <c r="W1359" s="81">
        <v>4.7081409473935599E-7</v>
      </c>
    </row>
    <row r="1360" spans="2:23" x14ac:dyDescent="0.2">
      <c r="B1360" t="s">
        <v>3781</v>
      </c>
      <c r="C1360" s="84">
        <v>5047</v>
      </c>
      <c r="D1360" s="102">
        <v>0.93747802883594711</v>
      </c>
      <c r="E1360" s="79">
        <v>5.2854401056065002E-2</v>
      </c>
      <c r="F1360" s="79">
        <v>0.22189457183743999</v>
      </c>
      <c r="G1360" s="79">
        <v>0.98006352001698205</v>
      </c>
      <c r="H1360" s="79">
        <v>1</v>
      </c>
      <c r="I1360" s="102">
        <v>1.016470359455151</v>
      </c>
      <c r="J1360" s="79">
        <v>5.2992813890474402E-2</v>
      </c>
      <c r="K1360" s="79">
        <v>0.75787546300086595</v>
      </c>
      <c r="L1360" s="79">
        <v>0.74593451887386297</v>
      </c>
      <c r="M1360" s="79">
        <v>1</v>
      </c>
      <c r="N1360" s="102">
        <v>0.96370789108792865</v>
      </c>
      <c r="O1360" s="79">
        <v>1.50442905926349E-2</v>
      </c>
      <c r="P1360" s="79">
        <v>1.40400630787412E-2</v>
      </c>
      <c r="Q1360" s="79">
        <v>3.6694012144663599E-2</v>
      </c>
      <c r="R1360" s="79">
        <v>1</v>
      </c>
      <c r="S1360" s="102">
        <v>0.96835509932390929</v>
      </c>
      <c r="T1360" s="79">
        <v>1.5071040071246799E-2</v>
      </c>
      <c r="U1360" s="79">
        <v>3.2925824241260997E-2</v>
      </c>
      <c r="V1360" s="79">
        <v>7.4170673224330005E-2</v>
      </c>
      <c r="W1360" s="79">
        <v>1</v>
      </c>
    </row>
    <row r="1361" spans="2:23" x14ac:dyDescent="0.2">
      <c r="B1361" t="s">
        <v>1062</v>
      </c>
      <c r="C1361" s="84">
        <v>5048</v>
      </c>
      <c r="D1361" s="102">
        <v>-4.7725005353365197E-3</v>
      </c>
      <c r="E1361" s="79">
        <v>1.5293403618546799E-2</v>
      </c>
      <c r="F1361" s="79">
        <v>0.75500761134720296</v>
      </c>
      <c r="G1361" s="79">
        <v>0.98006352001698205</v>
      </c>
      <c r="H1361" s="79">
        <v>1</v>
      </c>
      <c r="I1361" s="102">
        <v>-1.39252677882484E-2</v>
      </c>
      <c r="J1361" s="79">
        <v>1.5189082880655701E-2</v>
      </c>
      <c r="K1361" s="79">
        <v>0.35930034424304502</v>
      </c>
      <c r="L1361" s="79">
        <v>0.74593451887386297</v>
      </c>
      <c r="M1361" s="79">
        <v>1</v>
      </c>
      <c r="N1361" s="102">
        <v>-3.6967047834326201E-2</v>
      </c>
      <c r="O1361" s="79">
        <v>1.50442905926349E-2</v>
      </c>
      <c r="P1361" s="79">
        <v>1.40400630787412E-2</v>
      </c>
      <c r="Q1361" s="79">
        <v>3.6694012144663599E-2</v>
      </c>
      <c r="R1361" s="79">
        <v>1</v>
      </c>
      <c r="S1361" s="102">
        <v>-3.2156420829687102E-2</v>
      </c>
      <c r="T1361" s="79">
        <v>1.5071040071246799E-2</v>
      </c>
      <c r="U1361" s="79">
        <v>3.2925824241260997E-2</v>
      </c>
      <c r="V1361" s="79">
        <v>7.4170673224330005E-2</v>
      </c>
      <c r="W1361" s="79">
        <v>1</v>
      </c>
    </row>
    <row r="1362" spans="2:23" x14ac:dyDescent="0.2">
      <c r="B1362" t="s">
        <v>3777</v>
      </c>
      <c r="C1362" s="84">
        <v>5047</v>
      </c>
      <c r="D1362" s="102">
        <v>1.0076858020371946</v>
      </c>
      <c r="E1362" s="79">
        <v>3.36215143307508E-2</v>
      </c>
      <c r="F1362" s="79">
        <v>0.81986102137565398</v>
      </c>
      <c r="G1362" s="79">
        <v>0.99362338620020496</v>
      </c>
      <c r="H1362" s="79">
        <v>1</v>
      </c>
      <c r="I1362" s="102">
        <v>1.0682906730411914</v>
      </c>
      <c r="J1362" s="79">
        <v>3.3347711016714299E-2</v>
      </c>
      <c r="K1362" s="79">
        <v>4.7597818939956703E-2</v>
      </c>
      <c r="L1362" s="79">
        <v>0.40114376697029003</v>
      </c>
      <c r="M1362" s="79">
        <v>1</v>
      </c>
      <c r="N1362" s="102">
        <v>0.97252338444953379</v>
      </c>
      <c r="O1362" s="79">
        <v>3.3008350935707503E-2</v>
      </c>
      <c r="P1362" s="79">
        <v>0.39863368811045102</v>
      </c>
      <c r="Q1362" s="79">
        <v>0.51548508981610996</v>
      </c>
      <c r="R1362" s="79">
        <v>1</v>
      </c>
      <c r="S1362" s="102">
        <v>0.91927818644352288</v>
      </c>
      <c r="T1362" s="79">
        <v>3.31077586614048E-2</v>
      </c>
      <c r="U1362" s="79">
        <v>1.10157570219311E-2</v>
      </c>
      <c r="V1362" s="79">
        <v>3.0589697822779999E-2</v>
      </c>
      <c r="W1362" s="79">
        <v>1</v>
      </c>
    </row>
    <row r="1363" spans="2:23" x14ac:dyDescent="0.2">
      <c r="B1363" t="s">
        <v>3772</v>
      </c>
      <c r="C1363" s="84">
        <v>5047</v>
      </c>
      <c r="D1363" s="102">
        <v>0.89237543116646589</v>
      </c>
      <c r="E1363" s="79">
        <v>7.9751573960419403E-2</v>
      </c>
      <c r="F1363" s="79">
        <v>0.15335285999783599</v>
      </c>
      <c r="G1363" s="79">
        <v>0.80938271582532695</v>
      </c>
      <c r="H1363" s="79">
        <v>1</v>
      </c>
      <c r="I1363" s="102">
        <v>0.9949516848025185</v>
      </c>
      <c r="J1363" s="79">
        <v>7.8997748424846206E-2</v>
      </c>
      <c r="K1363" s="79">
        <v>0.94891735940400301</v>
      </c>
      <c r="L1363" s="79">
        <v>0.99158948287371096</v>
      </c>
      <c r="M1363" s="79">
        <v>1</v>
      </c>
      <c r="N1363" s="102">
        <v>1.3780976322594838</v>
      </c>
      <c r="O1363" s="79">
        <v>7.8991555802694902E-2</v>
      </c>
      <c r="P1363" s="79">
        <v>4.9077228044278703E-5</v>
      </c>
      <c r="Q1363" s="79">
        <v>3.7748328671241999E-4</v>
      </c>
      <c r="R1363" s="79">
        <v>8.3136824307008098E-2</v>
      </c>
      <c r="S1363" s="102">
        <v>1.3953094153959551</v>
      </c>
      <c r="T1363" s="79">
        <v>8.0384903042790695E-2</v>
      </c>
      <c r="U1363" s="79">
        <v>3.4127833531074702E-5</v>
      </c>
      <c r="V1363" s="79">
        <v>3.2297513967397001E-4</v>
      </c>
      <c r="W1363" s="79">
        <v>5.7812550001640498E-2</v>
      </c>
    </row>
    <row r="1364" spans="2:23" x14ac:dyDescent="0.2">
      <c r="B1364" t="s">
        <v>3773</v>
      </c>
      <c r="C1364" s="84">
        <v>5047</v>
      </c>
      <c r="D1364" s="102">
        <v>0.99868063918082173</v>
      </c>
      <c r="E1364" s="79">
        <v>7.8254173568647903E-2</v>
      </c>
      <c r="F1364" s="79">
        <v>0.98653946919982705</v>
      </c>
      <c r="G1364" s="79">
        <v>0.99907221241919597</v>
      </c>
      <c r="H1364" s="79">
        <v>1</v>
      </c>
      <c r="I1364" s="102">
        <v>0.92993357466165971</v>
      </c>
      <c r="J1364" s="79">
        <v>7.7302191263249304E-2</v>
      </c>
      <c r="K1364" s="79">
        <v>0.34736315947245999</v>
      </c>
      <c r="L1364" s="79">
        <v>0.74109458643718196</v>
      </c>
      <c r="M1364" s="79">
        <v>1</v>
      </c>
      <c r="N1364" s="102">
        <v>1.228773016636892</v>
      </c>
      <c r="O1364" s="79">
        <v>7.7418408456198601E-2</v>
      </c>
      <c r="P1364" s="79">
        <v>7.7891805778332896E-3</v>
      </c>
      <c r="Q1364" s="79">
        <v>2.2972420578793701E-2</v>
      </c>
      <c r="R1364" s="79">
        <v>1</v>
      </c>
      <c r="S1364" s="102">
        <v>1.1772132230371712</v>
      </c>
      <c r="T1364" s="79">
        <v>7.7118465051634499E-2</v>
      </c>
      <c r="U1364" s="79">
        <v>3.4380889122032902E-2</v>
      </c>
      <c r="V1364" s="79">
        <v>7.66331923325312E-2</v>
      </c>
      <c r="W1364" s="79">
        <v>1</v>
      </c>
    </row>
    <row r="1365" spans="2:23" x14ac:dyDescent="0.2">
      <c r="B1365" t="s">
        <v>3774</v>
      </c>
      <c r="C1365" s="84">
        <v>5047</v>
      </c>
      <c r="D1365" s="102">
        <v>0.98800873089474706</v>
      </c>
      <c r="E1365" s="79">
        <v>8.0791177007277101E-2</v>
      </c>
      <c r="F1365" s="79">
        <v>0.88130107797564605</v>
      </c>
      <c r="G1365" s="79">
        <v>0.99362338620020496</v>
      </c>
      <c r="H1365" s="79">
        <v>1</v>
      </c>
      <c r="I1365" s="102">
        <v>0.802743691624619</v>
      </c>
      <c r="J1365" s="79">
        <v>8.0203939726188195E-2</v>
      </c>
      <c r="K1365" s="79">
        <v>6.1530120433068202E-3</v>
      </c>
      <c r="L1365" s="79">
        <v>0.14783530310543999</v>
      </c>
      <c r="M1365" s="79">
        <v>1</v>
      </c>
      <c r="N1365" s="102">
        <v>1.0288311064151834</v>
      </c>
      <c r="O1365" s="79">
        <v>7.9281480923360501E-2</v>
      </c>
      <c r="P1365" s="79">
        <v>0.71996068577030004</v>
      </c>
      <c r="Q1365" s="79">
        <v>0.81145269573844903</v>
      </c>
      <c r="R1365" s="79">
        <v>1</v>
      </c>
      <c r="S1365" s="102">
        <v>1.0726581460752147</v>
      </c>
      <c r="T1365" s="79">
        <v>7.9415138104740199E-2</v>
      </c>
      <c r="U1365" s="79">
        <v>0.37712572842644798</v>
      </c>
      <c r="V1365" s="79">
        <v>0.49493113170772501</v>
      </c>
      <c r="W1365" s="79">
        <v>1</v>
      </c>
    </row>
    <row r="1366" spans="2:23" x14ac:dyDescent="0.2">
      <c r="B1366" t="s">
        <v>3775</v>
      </c>
      <c r="C1366" s="84">
        <v>4780</v>
      </c>
      <c r="D1366" s="102">
        <v>1.0351072344773915</v>
      </c>
      <c r="E1366" s="79">
        <v>4.6630543137888197E-2</v>
      </c>
      <c r="F1366" s="79">
        <v>0.45932045514554998</v>
      </c>
      <c r="G1366" s="79">
        <v>0.91151047511105199</v>
      </c>
      <c r="H1366" s="79">
        <v>1</v>
      </c>
      <c r="I1366" s="102">
        <v>0.97525354584682744</v>
      </c>
      <c r="J1366" s="79">
        <v>4.64092871995435E-2</v>
      </c>
      <c r="K1366" s="79">
        <v>0.58924488685877496</v>
      </c>
      <c r="L1366" s="79">
        <v>0.86705736778625797</v>
      </c>
      <c r="M1366" s="79">
        <v>1</v>
      </c>
      <c r="N1366" s="102">
        <v>0.92699229509338954</v>
      </c>
      <c r="O1366" s="79">
        <v>4.5715127831741198E-2</v>
      </c>
      <c r="P1366" s="79">
        <v>9.7254154936191106E-2</v>
      </c>
      <c r="Q1366" s="79">
        <v>0.17037285006888001</v>
      </c>
      <c r="R1366" s="79">
        <v>1</v>
      </c>
      <c r="S1366" s="102">
        <v>0.89920110631017081</v>
      </c>
      <c r="T1366" s="79">
        <v>4.5282593449151802E-2</v>
      </c>
      <c r="U1366" s="79">
        <v>1.8958569143309699E-2</v>
      </c>
      <c r="V1366" s="79">
        <v>4.6962517460519201E-2</v>
      </c>
      <c r="W1366" s="79">
        <v>1</v>
      </c>
    </row>
    <row r="1367" spans="2:23" x14ac:dyDescent="0.2">
      <c r="B1367" t="s">
        <v>3776</v>
      </c>
      <c r="C1367" s="84">
        <v>5047</v>
      </c>
      <c r="D1367" s="102">
        <v>1.0040903002537118</v>
      </c>
      <c r="E1367" s="79">
        <v>5.9672481126568901E-2</v>
      </c>
      <c r="F1367" s="79">
        <v>0.94546241939265196</v>
      </c>
      <c r="G1367" s="79">
        <v>0.99840985319461195</v>
      </c>
      <c r="H1367" s="79">
        <v>1</v>
      </c>
      <c r="I1367" s="102">
        <v>0.9837234201945193</v>
      </c>
      <c r="J1367" s="79">
        <v>5.9465514748219699E-2</v>
      </c>
      <c r="K1367" s="79">
        <v>0.78257368675859296</v>
      </c>
      <c r="L1367" s="79">
        <v>0.92899777531118199</v>
      </c>
      <c r="M1367" s="79">
        <v>1</v>
      </c>
      <c r="N1367" s="102">
        <v>1.0251062760852496</v>
      </c>
      <c r="O1367" s="79">
        <v>5.8672112783976799E-2</v>
      </c>
      <c r="P1367" s="79">
        <v>0.67256901371536404</v>
      </c>
      <c r="Q1367" s="79">
        <v>0.76619496249753005</v>
      </c>
      <c r="R1367" s="79">
        <v>1</v>
      </c>
      <c r="S1367" s="102">
        <v>1.1343386358989092</v>
      </c>
      <c r="T1367" s="79">
        <v>5.8751994401276202E-2</v>
      </c>
      <c r="U1367" s="79">
        <v>3.1916456709187697E-2</v>
      </c>
      <c r="V1367" s="79">
        <v>7.2631313459657704E-2</v>
      </c>
      <c r="W1367" s="79">
        <v>1</v>
      </c>
    </row>
    <row r="1368" spans="2:23" x14ac:dyDescent="0.2">
      <c r="B1368" t="s">
        <v>1065</v>
      </c>
      <c r="C1368" s="84">
        <v>3816</v>
      </c>
      <c r="D1368" s="102">
        <v>-7.4967869745035402E-4</v>
      </c>
      <c r="E1368" s="79">
        <v>1.47877369816819E-2</v>
      </c>
      <c r="F1368" s="79">
        <v>0.95956982812396896</v>
      </c>
      <c r="G1368" s="79">
        <v>0.99840985319461195</v>
      </c>
      <c r="H1368" s="79">
        <v>1</v>
      </c>
      <c r="I1368" s="102">
        <v>-1.58502648525643E-2</v>
      </c>
      <c r="J1368" s="79">
        <v>1.47475648752157E-2</v>
      </c>
      <c r="K1368" s="79">
        <v>0.28252973486238903</v>
      </c>
      <c r="L1368" s="79">
        <v>0.69665992846708502</v>
      </c>
      <c r="M1368" s="79">
        <v>1</v>
      </c>
      <c r="N1368" s="102">
        <v>-1.9964002650677999E-2</v>
      </c>
      <c r="O1368" s="79">
        <v>1.4615329562788401E-2</v>
      </c>
      <c r="P1368" s="79">
        <v>0.172012706328764</v>
      </c>
      <c r="Q1368" s="79">
        <v>0.26757532095585501</v>
      </c>
      <c r="R1368" s="79">
        <v>1</v>
      </c>
      <c r="S1368" s="102">
        <v>-4.3197662852227699E-3</v>
      </c>
      <c r="T1368" s="79">
        <v>1.4610284903954201E-2</v>
      </c>
      <c r="U1368" s="79">
        <v>0.76749752751471401</v>
      </c>
      <c r="V1368" s="79">
        <v>0.82235345452873199</v>
      </c>
      <c r="W1368" s="79">
        <v>1</v>
      </c>
    </row>
    <row r="1369" spans="2:23" x14ac:dyDescent="0.2">
      <c r="B1369" t="s">
        <v>3271</v>
      </c>
      <c r="C1369" s="84">
        <v>1816</v>
      </c>
      <c r="D1369" s="102">
        <v>-4.3590307999537302E-2</v>
      </c>
      <c r="E1369" s="79">
        <v>9.6165742971058801E-2</v>
      </c>
      <c r="F1369" s="79">
        <v>0.65126521655187397</v>
      </c>
      <c r="G1369" s="79">
        <v>0.95767440062337605</v>
      </c>
      <c r="H1369" s="79">
        <v>1</v>
      </c>
      <c r="I1369" s="102">
        <v>0.17664898328956699</v>
      </c>
      <c r="J1369" s="79">
        <v>8.2848467327210101E-2</v>
      </c>
      <c r="K1369" s="79">
        <v>3.84981276189829E-2</v>
      </c>
      <c r="L1369" s="79">
        <v>0.37551217641373102</v>
      </c>
      <c r="M1369" s="79">
        <v>1</v>
      </c>
      <c r="N1369" s="102">
        <v>8.8962189097835001E-2</v>
      </c>
      <c r="O1369" s="79">
        <v>7.8152268447002807E-2</v>
      </c>
      <c r="P1369" s="79">
        <v>0.25873141389591597</v>
      </c>
      <c r="Q1369" s="79">
        <v>0.371118556426488</v>
      </c>
      <c r="R1369" s="79">
        <v>1</v>
      </c>
      <c r="S1369" s="102">
        <v>5.8956581234544801E-2</v>
      </c>
      <c r="T1369" s="79">
        <v>8.4095887128548402E-2</v>
      </c>
      <c r="U1369" s="79">
        <v>0.48478677126930297</v>
      </c>
      <c r="V1369" s="79">
        <v>0.59552486622929601</v>
      </c>
      <c r="W1369" s="79">
        <v>1</v>
      </c>
    </row>
    <row r="1370" spans="2:23" x14ac:dyDescent="0.2">
      <c r="B1370" t="s">
        <v>3764</v>
      </c>
      <c r="C1370" s="84">
        <v>5008</v>
      </c>
      <c r="D1370" s="102">
        <v>1.0071531251564476</v>
      </c>
      <c r="E1370" s="79">
        <v>3.8867167068753601E-2</v>
      </c>
      <c r="F1370" s="79">
        <v>0.85449579366663597</v>
      </c>
      <c r="G1370" s="79">
        <v>0.99362338620020496</v>
      </c>
      <c r="H1370" s="79">
        <v>1</v>
      </c>
      <c r="I1370" s="102">
        <v>1.0304446443174065</v>
      </c>
      <c r="J1370" s="79">
        <v>3.8477880274142701E-2</v>
      </c>
      <c r="K1370" s="79">
        <v>0.43573275702738001</v>
      </c>
      <c r="L1370" s="79">
        <v>0.78893272642295398</v>
      </c>
      <c r="M1370" s="79">
        <v>1</v>
      </c>
      <c r="N1370" s="102">
        <v>1.1267659147814131</v>
      </c>
      <c r="O1370" s="79">
        <v>3.8355504962960002E-2</v>
      </c>
      <c r="P1370" s="79">
        <v>1.86002219420849E-3</v>
      </c>
      <c r="Q1370" s="79">
        <v>7.0806238134588396E-3</v>
      </c>
      <c r="R1370" s="79">
        <v>1</v>
      </c>
      <c r="S1370" s="102">
        <v>1.1720976000985914</v>
      </c>
      <c r="T1370" s="79">
        <v>3.8609692590256699E-2</v>
      </c>
      <c r="U1370" s="79">
        <v>3.9084424187436099E-5</v>
      </c>
      <c r="V1370" s="79">
        <v>3.5405890146265602E-4</v>
      </c>
      <c r="W1370" s="79">
        <v>6.62090145735168E-2</v>
      </c>
    </row>
    <row r="1371" spans="2:23" x14ac:dyDescent="0.2">
      <c r="B1371" t="s">
        <v>3765</v>
      </c>
      <c r="C1371" s="84">
        <v>5016</v>
      </c>
      <c r="D1371" s="102">
        <v>1.0151989299872668</v>
      </c>
      <c r="E1371" s="79">
        <v>4.2118911611582703E-2</v>
      </c>
      <c r="F1371" s="79">
        <v>0.72023647757461196</v>
      </c>
      <c r="G1371" s="79">
        <v>0.97160036230239</v>
      </c>
      <c r="H1371" s="79">
        <v>1</v>
      </c>
      <c r="I1371" s="102">
        <v>1.0456368259547282</v>
      </c>
      <c r="J1371" s="79">
        <v>4.1642438853194803E-2</v>
      </c>
      <c r="K1371" s="79">
        <v>0.28387744952778499</v>
      </c>
      <c r="L1371" s="79">
        <v>0.698965696947773</v>
      </c>
      <c r="M1371" s="79">
        <v>1</v>
      </c>
      <c r="N1371" s="102">
        <v>1.1301015180534022</v>
      </c>
      <c r="O1371" s="79">
        <v>4.1418026744661503E-2</v>
      </c>
      <c r="P1371" s="79">
        <v>3.1470110900259402E-3</v>
      </c>
      <c r="Q1371" s="79">
        <v>1.0813462041590101E-2</v>
      </c>
      <c r="R1371" s="79">
        <v>1</v>
      </c>
      <c r="S1371" s="102">
        <v>1.1482014307384352</v>
      </c>
      <c r="T1371" s="79">
        <v>4.1785064277659698E-2</v>
      </c>
      <c r="U1371" s="79">
        <v>9.4191888458708504E-4</v>
      </c>
      <c r="V1371" s="79">
        <v>4.2777763820121203E-3</v>
      </c>
      <c r="W1371" s="79">
        <v>1</v>
      </c>
    </row>
    <row r="1372" spans="2:23" x14ac:dyDescent="0.2">
      <c r="B1372" t="s">
        <v>3766</v>
      </c>
      <c r="C1372" s="84">
        <v>5016</v>
      </c>
      <c r="D1372" s="102">
        <v>1.0585675342165468</v>
      </c>
      <c r="E1372" s="79">
        <v>3.9354856454318403E-2</v>
      </c>
      <c r="F1372" s="79">
        <v>0.14810958622273501</v>
      </c>
      <c r="G1372" s="79">
        <v>0.80938271582532695</v>
      </c>
      <c r="H1372" s="79">
        <v>1</v>
      </c>
      <c r="I1372" s="102">
        <v>1.0788655651808747</v>
      </c>
      <c r="J1372" s="79">
        <v>3.8949941418712601E-2</v>
      </c>
      <c r="K1372" s="79">
        <v>5.1305694842204597E-2</v>
      </c>
      <c r="L1372" s="79">
        <v>0.40662098777829397</v>
      </c>
      <c r="M1372" s="79">
        <v>1</v>
      </c>
      <c r="N1372" s="102">
        <v>1.0954368216938011</v>
      </c>
      <c r="O1372" s="79">
        <v>3.8729707487027198E-2</v>
      </c>
      <c r="P1372" s="79">
        <v>1.8593938684027998E-2</v>
      </c>
      <c r="Q1372" s="79">
        <v>4.6006555457572297E-2</v>
      </c>
      <c r="R1372" s="79">
        <v>1</v>
      </c>
      <c r="S1372" s="102">
        <v>1.1345037728317637</v>
      </c>
      <c r="T1372" s="79">
        <v>3.8933051925039798E-2</v>
      </c>
      <c r="U1372" s="79">
        <v>1.1896820828209099E-3</v>
      </c>
      <c r="V1372" s="79">
        <v>5.1674908930733898E-3</v>
      </c>
      <c r="W1372" s="79">
        <v>1</v>
      </c>
    </row>
    <row r="1373" spans="2:23" x14ac:dyDescent="0.2">
      <c r="B1373" t="s">
        <v>3767</v>
      </c>
      <c r="C1373" s="84">
        <v>5047</v>
      </c>
      <c r="D1373" s="102">
        <v>0.95560546077756403</v>
      </c>
      <c r="E1373" s="79">
        <v>6.4188966289423999E-2</v>
      </c>
      <c r="F1373" s="79">
        <v>0.47929011801800497</v>
      </c>
      <c r="G1373" s="79">
        <v>0.91339947432389301</v>
      </c>
      <c r="H1373" s="79">
        <v>1</v>
      </c>
      <c r="I1373" s="102">
        <v>0.99202333710496937</v>
      </c>
      <c r="J1373" s="79">
        <v>6.2947179655004404E-2</v>
      </c>
      <c r="K1373" s="79">
        <v>0.89875990827982399</v>
      </c>
      <c r="L1373" s="79">
        <v>0.98103349543168095</v>
      </c>
      <c r="M1373" s="79">
        <v>1</v>
      </c>
      <c r="N1373" s="107">
        <v>1.403192112178246</v>
      </c>
      <c r="O1373" s="81">
        <v>6.3257297852442607E-2</v>
      </c>
      <c r="P1373" s="81">
        <v>8.5504884216489895E-8</v>
      </c>
      <c r="Q1373" s="81">
        <v>1.4341116224033101E-6</v>
      </c>
      <c r="R1373" s="81">
        <v>1.44845273862734E-4</v>
      </c>
      <c r="S1373" s="102">
        <v>1.2578292438721039</v>
      </c>
      <c r="T1373" s="79">
        <v>6.2943350549732199E-2</v>
      </c>
      <c r="U1373" s="79">
        <v>2.6807151210090399E-4</v>
      </c>
      <c r="V1373" s="79">
        <v>1.5767817413157299E-3</v>
      </c>
      <c r="W1373" s="79">
        <v>0.45411314149893101</v>
      </c>
    </row>
    <row r="1374" spans="2:23" x14ac:dyDescent="0.2">
      <c r="B1374" t="s">
        <v>3768</v>
      </c>
      <c r="C1374" s="84">
        <v>5047</v>
      </c>
      <c r="D1374" s="102">
        <v>1.0524149271341514</v>
      </c>
      <c r="E1374" s="79">
        <v>8.5369539164218994E-2</v>
      </c>
      <c r="F1374" s="79">
        <v>0.54955492350400503</v>
      </c>
      <c r="G1374" s="79">
        <v>0.929472460128418</v>
      </c>
      <c r="H1374" s="79">
        <v>1</v>
      </c>
      <c r="I1374" s="102">
        <v>1.2879805699454729</v>
      </c>
      <c r="J1374" s="79">
        <v>8.6237232808976605E-2</v>
      </c>
      <c r="K1374" s="79">
        <v>3.3393101283375999E-3</v>
      </c>
      <c r="L1374" s="79">
        <v>0.140536071937475</v>
      </c>
      <c r="M1374" s="79">
        <v>1</v>
      </c>
      <c r="N1374" s="107">
        <v>1.5007329738039685</v>
      </c>
      <c r="O1374" s="81">
        <v>8.4570693364849403E-2</v>
      </c>
      <c r="P1374" s="81">
        <v>1.5853163026081499E-6</v>
      </c>
      <c r="Q1374" s="81">
        <v>1.86494848376264E-5</v>
      </c>
      <c r="R1374" s="81">
        <v>2.6855258166182099E-3</v>
      </c>
      <c r="S1374" s="107">
        <v>1.5693410020360821</v>
      </c>
      <c r="T1374" s="81">
        <v>8.5711896843649604E-2</v>
      </c>
      <c r="U1374" s="81">
        <v>1.45791015087953E-7</v>
      </c>
      <c r="V1374" s="81">
        <v>3.24960499419727E-6</v>
      </c>
      <c r="W1374" s="81">
        <v>2.4696997955899201E-4</v>
      </c>
    </row>
    <row r="1375" spans="2:23" x14ac:dyDescent="0.2">
      <c r="B1375" t="s">
        <v>3769</v>
      </c>
      <c r="C1375" s="84">
        <v>5047</v>
      </c>
      <c r="D1375" s="102">
        <v>1.0330197056553954</v>
      </c>
      <c r="E1375" s="79">
        <v>3.9775458674692198E-2</v>
      </c>
      <c r="F1375" s="79">
        <v>0.41407619392390899</v>
      </c>
      <c r="G1375" s="79">
        <v>0.89561567502544503</v>
      </c>
      <c r="H1375" s="79">
        <v>1</v>
      </c>
      <c r="I1375" s="102">
        <v>1.1211383985546821</v>
      </c>
      <c r="J1375" s="79">
        <v>3.9431023374464802E-2</v>
      </c>
      <c r="K1375" s="79">
        <v>3.73324866421863E-3</v>
      </c>
      <c r="L1375" s="79">
        <v>0.140536071937475</v>
      </c>
      <c r="M1375" s="79">
        <v>1</v>
      </c>
      <c r="N1375" s="102">
        <v>1.1625498905480784</v>
      </c>
      <c r="O1375" s="79">
        <v>3.9113616978389602E-2</v>
      </c>
      <c r="P1375" s="79">
        <v>1.1776878432494E-4</v>
      </c>
      <c r="Q1375" s="79">
        <v>7.9482199460736405E-4</v>
      </c>
      <c r="R1375" s="79">
        <v>0.19950032064644799</v>
      </c>
      <c r="S1375" s="107">
        <v>1.2031144777944938</v>
      </c>
      <c r="T1375" s="81">
        <v>3.9503686351075998E-2</v>
      </c>
      <c r="U1375" s="81">
        <v>2.8559047565142298E-6</v>
      </c>
      <c r="V1375" s="81">
        <v>4.3584708626442398E-5</v>
      </c>
      <c r="W1375" s="81">
        <v>4.8379026575351104E-3</v>
      </c>
    </row>
    <row r="1376" spans="2:23" x14ac:dyDescent="0.2">
      <c r="B1376" t="s">
        <v>3770</v>
      </c>
      <c r="C1376" s="84">
        <v>5047</v>
      </c>
      <c r="D1376" s="102">
        <v>1.0491602390941936</v>
      </c>
      <c r="E1376" s="79">
        <v>7.2841765316191201E-2</v>
      </c>
      <c r="F1376" s="79">
        <v>0.51000730643052505</v>
      </c>
      <c r="G1376" s="79">
        <v>0.91752655785263504</v>
      </c>
      <c r="H1376" s="79">
        <v>1</v>
      </c>
      <c r="I1376" s="102">
        <v>1.0766298603107567</v>
      </c>
      <c r="J1376" s="79">
        <v>7.2802256055928105E-2</v>
      </c>
      <c r="K1376" s="79">
        <v>0.31048985532175899</v>
      </c>
      <c r="L1376" s="79">
        <v>0.712776365212754</v>
      </c>
      <c r="M1376" s="79">
        <v>1</v>
      </c>
      <c r="N1376" s="102">
        <v>1.0504637749052821</v>
      </c>
      <c r="O1376" s="79">
        <v>7.1671239589591706E-2</v>
      </c>
      <c r="P1376" s="79">
        <v>0.49213886586212602</v>
      </c>
      <c r="Q1376" s="79">
        <v>0.60897241692508497</v>
      </c>
      <c r="R1376" s="79">
        <v>1</v>
      </c>
      <c r="S1376" s="102">
        <v>1.1539073615884126</v>
      </c>
      <c r="T1376" s="79">
        <v>7.1600056519251096E-2</v>
      </c>
      <c r="U1376" s="79">
        <v>4.5570020692031102E-2</v>
      </c>
      <c r="V1376" s="79">
        <v>9.4834907926659301E-2</v>
      </c>
      <c r="W1376" s="79">
        <v>1</v>
      </c>
    </row>
    <row r="1377" spans="2:23" x14ac:dyDescent="0.2">
      <c r="B1377" t="s">
        <v>1058</v>
      </c>
      <c r="C1377" s="84">
        <v>5039</v>
      </c>
      <c r="D1377" s="102">
        <v>1.80935601226845E-2</v>
      </c>
      <c r="E1377" s="79">
        <v>1.46393930302713E-2</v>
      </c>
      <c r="F1377" s="79">
        <v>0.21653695295981401</v>
      </c>
      <c r="G1377" s="79">
        <v>0.84071215771938901</v>
      </c>
      <c r="H1377" s="79">
        <v>1</v>
      </c>
      <c r="I1377" s="102">
        <v>4.0606443670081899E-2</v>
      </c>
      <c r="J1377" s="79">
        <v>1.4545152871820901E-2</v>
      </c>
      <c r="K1377" s="79">
        <v>5.2631668381300503E-3</v>
      </c>
      <c r="L1377" s="79">
        <v>0.143721784187822</v>
      </c>
      <c r="M1377" s="79">
        <v>1</v>
      </c>
      <c r="N1377" s="102">
        <v>5.8046782239758801E-2</v>
      </c>
      <c r="O1377" s="79">
        <v>1.4427010646603299E-2</v>
      </c>
      <c r="P1377" s="79">
        <v>5.8225008582248402E-5</v>
      </c>
      <c r="Q1377" s="79">
        <v>4.3642993158552601E-4</v>
      </c>
      <c r="R1377" s="79">
        <v>9.8633164538328794E-2</v>
      </c>
      <c r="S1377" s="107">
        <v>7.0410647861651299E-2</v>
      </c>
      <c r="T1377" s="81">
        <v>1.4393714294773201E-2</v>
      </c>
      <c r="U1377" s="81">
        <v>1.0319661701001601E-6</v>
      </c>
      <c r="V1377" s="81">
        <v>1.9001637958148599E-5</v>
      </c>
      <c r="W1377" s="81">
        <v>1.74815069214967E-3</v>
      </c>
    </row>
    <row r="1378" spans="2:23" x14ac:dyDescent="0.2">
      <c r="B1378" t="s">
        <v>1060</v>
      </c>
      <c r="C1378" s="84">
        <v>5048</v>
      </c>
      <c r="D1378" s="102">
        <v>-9.2269801863687103E-4</v>
      </c>
      <c r="E1378" s="79">
        <v>1.4829358675144001E-2</v>
      </c>
      <c r="F1378" s="79">
        <v>0.95038940889427304</v>
      </c>
      <c r="G1378" s="79">
        <v>0.99840985319461195</v>
      </c>
      <c r="H1378" s="79">
        <v>1</v>
      </c>
      <c r="I1378" s="102">
        <v>-2.5588598535903201E-3</v>
      </c>
      <c r="J1378" s="79">
        <v>1.48015452448912E-2</v>
      </c>
      <c r="K1378" s="79">
        <v>0.86275475779828303</v>
      </c>
      <c r="L1378" s="79">
        <v>0.96574302214288199</v>
      </c>
      <c r="M1378" s="79">
        <v>1</v>
      </c>
      <c r="N1378" s="107">
        <v>9.6401389647794197E-2</v>
      </c>
      <c r="O1378" s="81">
        <v>1.46278507558475E-2</v>
      </c>
      <c r="P1378" s="81">
        <v>4.8647529586814402E-11</v>
      </c>
      <c r="Q1378" s="81">
        <v>1.8313092248903E-9</v>
      </c>
      <c r="R1378" s="81">
        <v>8.2408915120063601E-8</v>
      </c>
      <c r="S1378" s="107">
        <v>7.5466353277259798E-2</v>
      </c>
      <c r="T1378" s="81">
        <v>1.4557693387583301E-2</v>
      </c>
      <c r="U1378" s="81">
        <v>2.26231019021021E-7</v>
      </c>
      <c r="V1378" s="81">
        <v>4.9132736695078201E-6</v>
      </c>
      <c r="W1378" s="81">
        <v>3.8323534622160997E-4</v>
      </c>
    </row>
    <row r="1379" spans="2:23" x14ac:dyDescent="0.2">
      <c r="B1379" t="s">
        <v>1059</v>
      </c>
      <c r="C1379" s="84">
        <v>5048</v>
      </c>
      <c r="D1379" s="102">
        <v>-1.5233778323550501E-2</v>
      </c>
      <c r="E1379" s="79">
        <v>1.48101618986788E-2</v>
      </c>
      <c r="F1379" s="79">
        <v>0.30371866922660001</v>
      </c>
      <c r="G1379" s="79">
        <v>0.87948619772625702</v>
      </c>
      <c r="H1379" s="79">
        <v>1</v>
      </c>
      <c r="I1379" s="102">
        <v>-1.5866114804205099E-2</v>
      </c>
      <c r="J1379" s="79">
        <v>1.47451403215172E-2</v>
      </c>
      <c r="K1379" s="79">
        <v>0.28197216666417402</v>
      </c>
      <c r="L1379" s="79">
        <v>0.69629861564010298</v>
      </c>
      <c r="M1379" s="79">
        <v>1</v>
      </c>
      <c r="N1379" s="107">
        <v>0.104319255050112</v>
      </c>
      <c r="O1379" s="81">
        <v>1.4580925936820199E-2</v>
      </c>
      <c r="P1379" s="81">
        <v>9.6955041359695709E-13</v>
      </c>
      <c r="Q1379" s="81">
        <v>6.5696736025329801E-11</v>
      </c>
      <c r="R1379" s="81">
        <v>1.6424184006332501E-9</v>
      </c>
      <c r="S1379" s="107">
        <v>6.5766943251189494E-2</v>
      </c>
      <c r="T1379" s="81">
        <v>1.4531827146154299E-2</v>
      </c>
      <c r="U1379" s="81">
        <v>6.1680208259130699E-6</v>
      </c>
      <c r="V1379" s="81">
        <v>8.2575161650791495E-5</v>
      </c>
      <c r="W1379" s="81">
        <v>1.0448627279096699E-2</v>
      </c>
    </row>
    <row r="1380" spans="2:23" x14ac:dyDescent="0.2">
      <c r="B1380" t="s">
        <v>2483</v>
      </c>
      <c r="C1380" s="84">
        <v>5048</v>
      </c>
      <c r="D1380" s="102">
        <v>0.95057643312615281</v>
      </c>
      <c r="E1380" s="79">
        <v>6.5810891743937103E-2</v>
      </c>
      <c r="F1380" s="79">
        <v>0.44118885339941299</v>
      </c>
      <c r="G1380" s="79">
        <v>0.90581448957043498</v>
      </c>
      <c r="H1380" s="79">
        <v>1</v>
      </c>
      <c r="I1380" s="102">
        <v>1.0479896052763347</v>
      </c>
      <c r="J1380" s="79">
        <v>6.4960650016471194E-2</v>
      </c>
      <c r="K1380" s="79">
        <v>0.47055878511812399</v>
      </c>
      <c r="L1380" s="79">
        <v>0.80241685035737897</v>
      </c>
      <c r="M1380" s="79">
        <v>1</v>
      </c>
      <c r="N1380" s="102">
        <v>1.189841440881769</v>
      </c>
      <c r="O1380" s="79">
        <v>6.4709365265510702E-2</v>
      </c>
      <c r="P1380" s="79">
        <v>7.2277308990889499E-3</v>
      </c>
      <c r="Q1380" s="79">
        <v>2.1480309022906499E-2</v>
      </c>
      <c r="R1380" s="79">
        <v>1</v>
      </c>
      <c r="S1380" s="102">
        <v>1.1085431351084789</v>
      </c>
      <c r="T1380" s="79">
        <v>6.4492150543700194E-2</v>
      </c>
      <c r="U1380" s="79">
        <v>0.110083682995681</v>
      </c>
      <c r="V1380" s="79">
        <v>0.190093536182144</v>
      </c>
      <c r="W1380" s="79">
        <v>1</v>
      </c>
    </row>
    <row r="1381" spans="2:23" x14ac:dyDescent="0.2">
      <c r="B1381" t="s">
        <v>2484</v>
      </c>
      <c r="C1381" s="84">
        <v>5029</v>
      </c>
      <c r="D1381" s="102">
        <v>0.99137687623413084</v>
      </c>
      <c r="E1381" s="79">
        <v>5.35625307612125E-2</v>
      </c>
      <c r="F1381" s="79">
        <v>0.87155009114637205</v>
      </c>
      <c r="G1381" s="79">
        <v>0.99362338620020496</v>
      </c>
      <c r="H1381" s="79">
        <v>1</v>
      </c>
      <c r="I1381" s="102">
        <v>1.0894802078302539</v>
      </c>
      <c r="J1381" s="79">
        <v>5.3069282389829601E-2</v>
      </c>
      <c r="K1381" s="79">
        <v>0.10633592418929599</v>
      </c>
      <c r="L1381" s="79">
        <v>0.53293803425049502</v>
      </c>
      <c r="M1381" s="79">
        <v>1</v>
      </c>
      <c r="N1381" s="107">
        <v>1.2479564073578606</v>
      </c>
      <c r="O1381" s="81">
        <v>5.2839387938191901E-2</v>
      </c>
      <c r="P1381" s="81">
        <v>2.7639930625042601E-5</v>
      </c>
      <c r="Q1381" s="81">
        <v>2.2190541459157399E-4</v>
      </c>
      <c r="R1381" s="81">
        <v>4.6822042478822198E-2</v>
      </c>
      <c r="S1381" s="102">
        <v>1.2005156611272663</v>
      </c>
      <c r="T1381" s="79">
        <v>5.2694145865499802E-2</v>
      </c>
      <c r="U1381" s="79">
        <v>5.2405541851823303E-4</v>
      </c>
      <c r="V1381" s="79">
        <v>2.7484516376776701E-3</v>
      </c>
      <c r="W1381" s="79">
        <v>0.887749878969887</v>
      </c>
    </row>
    <row r="1382" spans="2:23" x14ac:dyDescent="0.2">
      <c r="B1382" t="s">
        <v>2485</v>
      </c>
      <c r="C1382" s="84">
        <v>5004</v>
      </c>
      <c r="D1382" s="102">
        <v>1.0280198036840471</v>
      </c>
      <c r="E1382" s="79">
        <v>4.3500328518372898E-2</v>
      </c>
      <c r="F1382" s="79">
        <v>0.52525267434567002</v>
      </c>
      <c r="G1382" s="79">
        <v>0.92176676956083303</v>
      </c>
      <c r="H1382" s="79">
        <v>1</v>
      </c>
      <c r="I1382" s="102">
        <v>1.0320370449472531</v>
      </c>
      <c r="J1382" s="79">
        <v>4.3215659508756499E-2</v>
      </c>
      <c r="K1382" s="79">
        <v>0.46557222385114899</v>
      </c>
      <c r="L1382" s="79">
        <v>0.799032058493933</v>
      </c>
      <c r="M1382" s="79">
        <v>1</v>
      </c>
      <c r="N1382" s="107">
        <v>1.2879930894836933</v>
      </c>
      <c r="O1382" s="81">
        <v>4.3151041775572697E-2</v>
      </c>
      <c r="P1382" s="81">
        <v>4.4885662501677501E-9</v>
      </c>
      <c r="Q1382" s="81">
        <v>9.8748457503690506E-8</v>
      </c>
      <c r="R1382" s="81">
        <v>7.6036312277841698E-6</v>
      </c>
      <c r="S1382" s="107">
        <v>1.2409446625811689</v>
      </c>
      <c r="T1382" s="81">
        <v>4.3095022283555197E-2</v>
      </c>
      <c r="U1382" s="81">
        <v>5.4647998069050802E-7</v>
      </c>
      <c r="V1382" s="81">
        <v>1.0640656175743899E-5</v>
      </c>
      <c r="W1382" s="81">
        <v>9.2573708728972096E-4</v>
      </c>
    </row>
    <row r="1383" spans="2:23" x14ac:dyDescent="0.2">
      <c r="B1383" t="s">
        <v>2486</v>
      </c>
      <c r="C1383" s="84">
        <v>5031</v>
      </c>
      <c r="D1383" s="102">
        <v>1.0096558634691648</v>
      </c>
      <c r="E1383" s="79">
        <v>7.4959356754447301E-2</v>
      </c>
      <c r="F1383" s="79">
        <v>0.89799329693799201</v>
      </c>
      <c r="G1383" s="79">
        <v>0.99533029194181499</v>
      </c>
      <c r="H1383" s="79">
        <v>1</v>
      </c>
      <c r="I1383" s="102">
        <v>0.93763418134746623</v>
      </c>
      <c r="J1383" s="79">
        <v>7.4399052898462797E-2</v>
      </c>
      <c r="K1383" s="79">
        <v>0.38674211461202601</v>
      </c>
      <c r="L1383" s="79">
        <v>0.75866743125431202</v>
      </c>
      <c r="M1383" s="79">
        <v>1</v>
      </c>
      <c r="N1383" s="102">
        <v>1.2471275006309539</v>
      </c>
      <c r="O1383" s="79">
        <v>7.3561891199516297E-2</v>
      </c>
      <c r="P1383" s="79">
        <v>2.6809111137873999E-3</v>
      </c>
      <c r="Q1383" s="79">
        <v>9.4221232920245999E-3</v>
      </c>
      <c r="R1383" s="79">
        <v>1</v>
      </c>
      <c r="S1383" s="102">
        <v>1.1853855241933167</v>
      </c>
      <c r="T1383" s="79">
        <v>7.4597782935912904E-2</v>
      </c>
      <c r="U1383" s="79">
        <v>2.2619526758247199E-2</v>
      </c>
      <c r="V1383" s="79">
        <v>5.4274048623896301E-2</v>
      </c>
      <c r="W1383" s="79">
        <v>1</v>
      </c>
    </row>
    <row r="1384" spans="2:23" x14ac:dyDescent="0.2">
      <c r="B1384" t="s">
        <v>312</v>
      </c>
      <c r="C1384" s="84">
        <v>5025</v>
      </c>
      <c r="D1384" s="102">
        <v>2.5818392160540202E-2</v>
      </c>
      <c r="E1384" s="79">
        <v>1.4676197962999999E-2</v>
      </c>
      <c r="F1384" s="79">
        <v>7.8607078375131201E-2</v>
      </c>
      <c r="G1384" s="79">
        <v>0.73538141425839998</v>
      </c>
      <c r="H1384" s="79">
        <v>1</v>
      </c>
      <c r="I1384" s="102">
        <v>-3.1754658670582699E-2</v>
      </c>
      <c r="J1384" s="79">
        <v>1.45809340509011E-2</v>
      </c>
      <c r="K1384" s="79">
        <v>2.9468251011706598E-2</v>
      </c>
      <c r="L1384" s="79">
        <v>0.33059084247570197</v>
      </c>
      <c r="M1384" s="79">
        <v>1</v>
      </c>
      <c r="N1384" s="107">
        <v>-7.7040193238531396E-2</v>
      </c>
      <c r="O1384" s="81">
        <v>1.4414768276857901E-2</v>
      </c>
      <c r="P1384" s="81">
        <v>9.4867172640271795E-8</v>
      </c>
      <c r="Q1384" s="81">
        <v>1.5452402928136599E-6</v>
      </c>
      <c r="R1384" s="81">
        <v>1.6070499045262E-4</v>
      </c>
      <c r="S1384" s="107">
        <v>-6.1282926210650297E-2</v>
      </c>
      <c r="T1384" s="81">
        <v>1.4390228014832701E-2</v>
      </c>
      <c r="U1384" s="81">
        <v>2.09624843202585E-5</v>
      </c>
      <c r="V1384" s="81">
        <v>2.19200299003197E-4</v>
      </c>
      <c r="W1384" s="81">
        <v>3.5510448438517903E-2</v>
      </c>
    </row>
    <row r="1385" spans="2:23" x14ac:dyDescent="0.2">
      <c r="B1385" t="s">
        <v>950</v>
      </c>
      <c r="C1385" s="84">
        <v>5017</v>
      </c>
      <c r="D1385" s="102">
        <v>5.7819212215486797E-2</v>
      </c>
      <c r="E1385" s="79">
        <v>5.1886151643311701E-2</v>
      </c>
      <c r="F1385" s="79">
        <v>0.26584503159038297</v>
      </c>
      <c r="G1385" s="79">
        <v>0.85990749347533801</v>
      </c>
      <c r="H1385" s="79">
        <v>1</v>
      </c>
      <c r="I1385" s="102">
        <v>0.12149455731753001</v>
      </c>
      <c r="J1385" s="79">
        <v>5.1353847877468002E-2</v>
      </c>
      <c r="K1385" s="79">
        <v>1.85002693898665E-2</v>
      </c>
      <c r="L1385" s="79">
        <v>0.27251701170811998</v>
      </c>
      <c r="M1385" s="79">
        <v>1</v>
      </c>
      <c r="N1385" s="102">
        <v>9.9776425611280806E-2</v>
      </c>
      <c r="O1385" s="79">
        <v>4.9286319266859703E-2</v>
      </c>
      <c r="P1385" s="79">
        <v>4.3648329949936199E-2</v>
      </c>
      <c r="Q1385" s="79">
        <v>9.0835713679597002E-2</v>
      </c>
      <c r="R1385" s="79">
        <v>1</v>
      </c>
      <c r="S1385" s="102">
        <v>0.15922574101742601</v>
      </c>
      <c r="T1385" s="79">
        <v>4.8845473760145398E-2</v>
      </c>
      <c r="U1385" s="79">
        <v>1.22078604941373E-3</v>
      </c>
      <c r="V1385" s="79">
        <v>5.2354723233085003E-3</v>
      </c>
      <c r="W1385" s="79">
        <v>1</v>
      </c>
    </row>
    <row r="1386" spans="2:23" x14ac:dyDescent="0.2">
      <c r="B1386" t="s">
        <v>3269</v>
      </c>
      <c r="C1386" s="84">
        <v>5023</v>
      </c>
      <c r="D1386" s="102">
        <v>4.4344108992182399E-4</v>
      </c>
      <c r="E1386" s="79">
        <v>1.50443980426949E-2</v>
      </c>
      <c r="F1386" s="79">
        <v>0.97648667486543195</v>
      </c>
      <c r="G1386" s="79">
        <v>0.99840985319461195</v>
      </c>
      <c r="H1386" s="79">
        <v>1</v>
      </c>
      <c r="I1386" s="102">
        <v>3.6855938338084299E-3</v>
      </c>
      <c r="J1386" s="79">
        <v>1.49004885466688E-2</v>
      </c>
      <c r="K1386" s="79">
        <v>0.80465104577972502</v>
      </c>
      <c r="L1386" s="79">
        <v>0.94164659117888305</v>
      </c>
      <c r="M1386" s="79">
        <v>1</v>
      </c>
      <c r="N1386" s="102">
        <v>-4.0607642732223601E-2</v>
      </c>
      <c r="O1386" s="79">
        <v>1.47500875708495E-2</v>
      </c>
      <c r="P1386" s="79">
        <v>5.9284687398137997E-3</v>
      </c>
      <c r="Q1386" s="79">
        <v>1.8326324900081299E-2</v>
      </c>
      <c r="R1386" s="79">
        <v>1</v>
      </c>
      <c r="S1386" s="102">
        <v>-5.2576231640529304E-3</v>
      </c>
      <c r="T1386" s="79">
        <v>1.4703168690452699E-2</v>
      </c>
      <c r="U1386" s="79">
        <v>0.72067143237081999</v>
      </c>
      <c r="V1386" s="79">
        <v>0.78257526053600601</v>
      </c>
      <c r="W1386" s="79">
        <v>1</v>
      </c>
    </row>
    <row r="1387" spans="2:23" x14ac:dyDescent="0.2">
      <c r="B1387" t="s">
        <v>3270</v>
      </c>
      <c r="C1387" s="84">
        <v>3759</v>
      </c>
      <c r="D1387" s="102">
        <v>-4.61805990273585E-2</v>
      </c>
      <c r="E1387" s="79">
        <v>1.56452447412633E-2</v>
      </c>
      <c r="F1387" s="79">
        <v>3.1767599004635699E-3</v>
      </c>
      <c r="G1387" s="79">
        <v>0.260700983878355</v>
      </c>
      <c r="H1387" s="79">
        <v>1</v>
      </c>
      <c r="I1387" s="102">
        <v>-1.1582611284794601E-2</v>
      </c>
      <c r="J1387" s="79">
        <v>1.55106366257508E-2</v>
      </c>
      <c r="K1387" s="79">
        <v>0.45525334487423202</v>
      </c>
      <c r="L1387" s="79">
        <v>0.79746066051088205</v>
      </c>
      <c r="M1387" s="79">
        <v>1</v>
      </c>
      <c r="N1387" s="102">
        <v>4.6814520296415502E-2</v>
      </c>
      <c r="O1387" s="79">
        <v>1.5400492031215201E-2</v>
      </c>
      <c r="P1387" s="79">
        <v>2.3813717141849202E-3</v>
      </c>
      <c r="Q1387" s="79">
        <v>8.5657487029292493E-3</v>
      </c>
      <c r="R1387" s="79">
        <v>1</v>
      </c>
      <c r="S1387" s="102">
        <v>5.1198487518955497E-2</v>
      </c>
      <c r="T1387" s="79">
        <v>1.5390392087210301E-2</v>
      </c>
      <c r="U1387" s="79">
        <v>8.8628608056468201E-4</v>
      </c>
      <c r="V1387" s="79">
        <v>4.0909226715982903E-3</v>
      </c>
      <c r="W1387" s="79">
        <v>1</v>
      </c>
    </row>
    <row r="1388" spans="2:23" x14ac:dyDescent="0.2">
      <c r="B1388" t="s">
        <v>3783</v>
      </c>
      <c r="C1388" s="84">
        <v>5047</v>
      </c>
      <c r="D1388" s="102">
        <v>1.0692402369938199</v>
      </c>
      <c r="E1388" s="79">
        <v>5.0480283981606699E-2</v>
      </c>
      <c r="F1388" s="79">
        <v>0.18476437555149899</v>
      </c>
      <c r="G1388" s="79">
        <v>0.83003013605610498</v>
      </c>
      <c r="H1388" s="79">
        <v>1</v>
      </c>
      <c r="I1388" s="102">
        <v>1.0745605035426797</v>
      </c>
      <c r="J1388" s="79">
        <v>4.9549020317283601E-2</v>
      </c>
      <c r="K1388" s="79">
        <v>0.146689314744891</v>
      </c>
      <c r="L1388" s="79">
        <v>0.59040772609061598</v>
      </c>
      <c r="M1388" s="79">
        <v>1</v>
      </c>
      <c r="N1388" s="107">
        <v>1.2445123492042569</v>
      </c>
      <c r="O1388" s="81">
        <v>4.9751458031420302E-2</v>
      </c>
      <c r="P1388" s="81">
        <v>1.09893520648672E-5</v>
      </c>
      <c r="Q1388" s="81">
        <v>1.05772513624347E-4</v>
      </c>
      <c r="R1388" s="81">
        <v>1.8615962397884999E-2</v>
      </c>
      <c r="S1388" s="107">
        <v>1.3180104517063418</v>
      </c>
      <c r="T1388" s="81">
        <v>5.0261597334557997E-2</v>
      </c>
      <c r="U1388" s="81">
        <v>3.93544382848685E-8</v>
      </c>
      <c r="V1388" s="81">
        <v>1.23456330471421E-6</v>
      </c>
      <c r="W1388" s="81">
        <v>6.6666418454567196E-5</v>
      </c>
    </row>
    <row r="1389" spans="2:23" x14ac:dyDescent="0.2">
      <c r="B1389" t="s">
        <v>3787</v>
      </c>
      <c r="C1389" s="84">
        <v>5047</v>
      </c>
      <c r="D1389" s="102">
        <v>0.94036555614278861</v>
      </c>
      <c r="E1389" s="79">
        <v>4.0212292580068101E-2</v>
      </c>
      <c r="F1389" s="79">
        <v>0.12625214883132699</v>
      </c>
      <c r="G1389" s="79">
        <v>0.80938271582532695</v>
      </c>
      <c r="H1389" s="79">
        <v>1</v>
      </c>
      <c r="I1389" s="102">
        <v>0.9438287226181431</v>
      </c>
      <c r="J1389" s="79">
        <v>3.9577991324007501E-2</v>
      </c>
      <c r="K1389" s="79">
        <v>0.14410475895994701</v>
      </c>
      <c r="L1389" s="79">
        <v>0.59040772609061598</v>
      </c>
      <c r="M1389" s="79">
        <v>1</v>
      </c>
      <c r="N1389" s="107">
        <v>0.80188977595221922</v>
      </c>
      <c r="O1389" s="81">
        <v>3.9816083434694602E-2</v>
      </c>
      <c r="P1389" s="81">
        <v>2.93788209182467E-8</v>
      </c>
      <c r="Q1389" s="81">
        <v>5.5918789478101001E-7</v>
      </c>
      <c r="R1389" s="81">
        <v>4.9767722635509902E-5</v>
      </c>
      <c r="S1389" s="107">
        <v>0.78002916602043304</v>
      </c>
      <c r="T1389" s="81">
        <v>3.9990032409583501E-2</v>
      </c>
      <c r="U1389" s="81">
        <v>5.2265432171631701E-10</v>
      </c>
      <c r="V1389" s="81">
        <v>3.8494626999454E-8</v>
      </c>
      <c r="W1389" s="81">
        <v>8.8537642098744098E-7</v>
      </c>
    </row>
    <row r="1390" spans="2:23" x14ac:dyDescent="0.2">
      <c r="B1390" t="s">
        <v>3784</v>
      </c>
      <c r="C1390" s="84">
        <v>4511</v>
      </c>
      <c r="D1390" s="102">
        <v>1.0401510601103505</v>
      </c>
      <c r="E1390" s="79">
        <v>6.7406252540708297E-2</v>
      </c>
      <c r="F1390" s="79">
        <v>0.55921331300090105</v>
      </c>
      <c r="G1390" s="79">
        <v>0.93167796111031398</v>
      </c>
      <c r="H1390" s="79">
        <v>1</v>
      </c>
      <c r="I1390" s="102">
        <v>1.0785092095314375</v>
      </c>
      <c r="J1390" s="79">
        <v>6.6248306014768998E-2</v>
      </c>
      <c r="K1390" s="79">
        <v>0.25393017505450599</v>
      </c>
      <c r="L1390" s="79">
        <v>0.68025543872958705</v>
      </c>
      <c r="M1390" s="79">
        <v>1</v>
      </c>
      <c r="N1390" s="102">
        <v>1.2234041837710237</v>
      </c>
      <c r="O1390" s="79">
        <v>6.6371948627434701E-2</v>
      </c>
      <c r="P1390" s="79">
        <v>2.3816219829277899E-3</v>
      </c>
      <c r="Q1390" s="79">
        <v>8.5657487029292493E-3</v>
      </c>
      <c r="R1390" s="79">
        <v>1</v>
      </c>
      <c r="S1390" s="102">
        <v>1.1994416174206983</v>
      </c>
      <c r="T1390" s="79">
        <v>6.6069881409920594E-2</v>
      </c>
      <c r="U1390" s="79">
        <v>5.91454787848124E-3</v>
      </c>
      <c r="V1390" s="79">
        <v>1.84177281363E-2</v>
      </c>
      <c r="W1390" s="79">
        <v>1</v>
      </c>
    </row>
    <row r="1391" spans="2:23" x14ac:dyDescent="0.2">
      <c r="B1391" t="s">
        <v>3785</v>
      </c>
      <c r="C1391" s="84">
        <v>4887</v>
      </c>
      <c r="D1391" s="102">
        <v>0.99098057502510795</v>
      </c>
      <c r="E1391" s="79">
        <v>6.3054896336280697E-2</v>
      </c>
      <c r="F1391" s="79">
        <v>0.88574541616231095</v>
      </c>
      <c r="G1391" s="79">
        <v>0.99362338620020496</v>
      </c>
      <c r="H1391" s="79">
        <v>1</v>
      </c>
      <c r="I1391" s="102">
        <v>1.0353594977205751</v>
      </c>
      <c r="J1391" s="79">
        <v>6.2361211123161897E-2</v>
      </c>
      <c r="K1391" s="79">
        <v>0.57737939272754002</v>
      </c>
      <c r="L1391" s="79">
        <v>0.86249050978055197</v>
      </c>
      <c r="M1391" s="79">
        <v>1</v>
      </c>
      <c r="N1391" s="107">
        <v>1.3657665230352363</v>
      </c>
      <c r="O1391" s="81">
        <v>6.2501671722228702E-2</v>
      </c>
      <c r="P1391" s="81">
        <v>6.12226706774488E-7</v>
      </c>
      <c r="Q1391" s="81">
        <v>8.1662365454801802E-6</v>
      </c>
      <c r="R1391" s="81">
        <v>1.03711204127598E-3</v>
      </c>
      <c r="S1391" s="102">
        <v>1.2430661624079202</v>
      </c>
      <c r="T1391" s="79">
        <v>6.2319307130012401E-2</v>
      </c>
      <c r="U1391" s="79">
        <v>4.8051332032665101E-4</v>
      </c>
      <c r="V1391" s="79">
        <v>2.5677904247108701E-3</v>
      </c>
      <c r="W1391" s="79">
        <v>0.81398956463334704</v>
      </c>
    </row>
    <row r="1392" spans="2:23" x14ac:dyDescent="0.2">
      <c r="B1392" t="s">
        <v>3786</v>
      </c>
      <c r="C1392" s="84">
        <v>5014</v>
      </c>
      <c r="D1392" s="102">
        <v>0.96674706257853349</v>
      </c>
      <c r="E1392" s="79">
        <v>0.10353583858101</v>
      </c>
      <c r="F1392" s="79">
        <v>0.74394427266310703</v>
      </c>
      <c r="G1392" s="79">
        <v>0.979098679061011</v>
      </c>
      <c r="H1392" s="79">
        <v>1</v>
      </c>
      <c r="I1392" s="102">
        <v>1.0550720446367781</v>
      </c>
      <c r="J1392" s="79">
        <v>0.10266447408609</v>
      </c>
      <c r="K1392" s="79">
        <v>0.60154692028726198</v>
      </c>
      <c r="L1392" s="79">
        <v>0.86995763029817796</v>
      </c>
      <c r="M1392" s="79">
        <v>1</v>
      </c>
      <c r="N1392" s="102">
        <v>1.1340445848596312</v>
      </c>
      <c r="O1392" s="79">
        <v>0.10137697126684</v>
      </c>
      <c r="P1392" s="79">
        <v>0.21467244253805501</v>
      </c>
      <c r="Q1392" s="79">
        <v>0.320118941601642</v>
      </c>
      <c r="R1392" s="79">
        <v>1</v>
      </c>
      <c r="S1392" s="102">
        <v>1.3248963463370715</v>
      </c>
      <c r="T1392" s="79">
        <v>0.10253615130162699</v>
      </c>
      <c r="U1392" s="79">
        <v>6.0740582552311299E-3</v>
      </c>
      <c r="V1392" s="79">
        <v>1.8810703262086899E-2</v>
      </c>
      <c r="W1392" s="79">
        <v>1</v>
      </c>
    </row>
    <row r="1393" spans="2:23" x14ac:dyDescent="0.2">
      <c r="B1393" t="s">
        <v>2617</v>
      </c>
      <c r="C1393" s="84">
        <v>1345</v>
      </c>
      <c r="D1393" s="102">
        <v>1.00291085397112</v>
      </c>
      <c r="E1393" s="79">
        <v>9.7138770198150398E-2</v>
      </c>
      <c r="F1393" s="79">
        <v>0.97612893711070403</v>
      </c>
      <c r="G1393" s="79">
        <v>0.99840985319461195</v>
      </c>
      <c r="H1393" s="79">
        <v>1</v>
      </c>
      <c r="I1393" s="102">
        <v>1.0526968691270242</v>
      </c>
      <c r="J1393" s="79">
        <v>9.7802254836819702E-2</v>
      </c>
      <c r="K1393" s="79">
        <v>0.59951826671354502</v>
      </c>
      <c r="L1393" s="79">
        <v>0.86877257647115202</v>
      </c>
      <c r="M1393" s="79">
        <v>1</v>
      </c>
      <c r="N1393" s="102">
        <v>1.3037989015409093</v>
      </c>
      <c r="O1393" s="79">
        <v>9.8721217212578705E-2</v>
      </c>
      <c r="P1393" s="79">
        <v>7.2056898041745702E-3</v>
      </c>
      <c r="Q1393" s="79">
        <v>2.14524402957324E-2</v>
      </c>
      <c r="R1393" s="79">
        <v>1</v>
      </c>
      <c r="S1393" s="102">
        <v>1.3568332081350825</v>
      </c>
      <c r="T1393" s="79">
        <v>9.8077248253862701E-2</v>
      </c>
      <c r="U1393" s="79">
        <v>1.8622882257741901E-3</v>
      </c>
      <c r="V1393" s="79">
        <v>7.3851447961512098E-3</v>
      </c>
      <c r="W1393" s="79">
        <v>1</v>
      </c>
    </row>
    <row r="1394" spans="2:23" x14ac:dyDescent="0.2">
      <c r="B1394" t="s">
        <v>2620</v>
      </c>
      <c r="C1394" s="84">
        <v>1261</v>
      </c>
      <c r="D1394" s="102">
        <v>0.98362817095965427</v>
      </c>
      <c r="E1394" s="79">
        <v>0.102831021749201</v>
      </c>
      <c r="F1394" s="79">
        <v>0.87246462967336902</v>
      </c>
      <c r="G1394" s="79">
        <v>0.99362338620020496</v>
      </c>
      <c r="H1394" s="79">
        <v>1</v>
      </c>
      <c r="I1394" s="102">
        <v>1.095888852888909</v>
      </c>
      <c r="J1394" s="79">
        <v>0.105514775450713</v>
      </c>
      <c r="K1394" s="79">
        <v>0.38550357240433802</v>
      </c>
      <c r="L1394" s="79">
        <v>0.75782823609722505</v>
      </c>
      <c r="M1394" s="79">
        <v>1</v>
      </c>
      <c r="N1394" s="102">
        <v>1.4729424567513845</v>
      </c>
      <c r="O1394" s="79">
        <v>0.106010732534474</v>
      </c>
      <c r="P1394" s="79">
        <v>2.5914788945569903E-4</v>
      </c>
      <c r="Q1394" s="79">
        <v>1.4881238126710299E-3</v>
      </c>
      <c r="R1394" s="79">
        <v>0.43899652473795397</v>
      </c>
      <c r="S1394" s="102">
        <v>1.4284044964931679</v>
      </c>
      <c r="T1394" s="79">
        <v>0.10583213368755499</v>
      </c>
      <c r="U1394" s="79">
        <v>7.5416536970533503E-4</v>
      </c>
      <c r="V1394" s="79">
        <v>3.6089156392114098E-3</v>
      </c>
      <c r="W1394" s="79">
        <v>1</v>
      </c>
    </row>
    <row r="1395" spans="2:23" x14ac:dyDescent="0.2">
      <c r="B1395" t="s">
        <v>2503</v>
      </c>
      <c r="C1395" s="84">
        <v>1325</v>
      </c>
      <c r="D1395" s="102">
        <v>1.0171458929629789</v>
      </c>
      <c r="E1395" s="79">
        <v>0.10846287910930601</v>
      </c>
      <c r="F1395" s="79">
        <v>0.875449112001357</v>
      </c>
      <c r="G1395" s="79">
        <v>0.99362338620020496</v>
      </c>
      <c r="H1395" s="79">
        <v>1</v>
      </c>
      <c r="I1395" s="102">
        <v>1.0676517301303019</v>
      </c>
      <c r="J1395" s="79">
        <v>0.109612452135739</v>
      </c>
      <c r="K1395" s="79">
        <v>0.55036755241139201</v>
      </c>
      <c r="L1395" s="79">
        <v>0.85299417546651202</v>
      </c>
      <c r="M1395" s="79">
        <v>1</v>
      </c>
      <c r="N1395" s="102">
        <v>1.1215360214168899</v>
      </c>
      <c r="O1395" s="79">
        <v>0.107362959171934</v>
      </c>
      <c r="P1395" s="79">
        <v>0.28537116289019798</v>
      </c>
      <c r="Q1395" s="79">
        <v>0.39801020118513503</v>
      </c>
      <c r="R1395" s="79">
        <v>1</v>
      </c>
      <c r="S1395" s="102">
        <v>1.2579636917539578</v>
      </c>
      <c r="T1395" s="79">
        <v>0.10966522664393299</v>
      </c>
      <c r="U1395" s="79">
        <v>3.6377673177920601E-2</v>
      </c>
      <c r="V1395" s="79">
        <v>8.0659395763609296E-2</v>
      </c>
      <c r="W1395" s="79">
        <v>1</v>
      </c>
    </row>
    <row r="1396" spans="2:23" x14ac:dyDescent="0.2">
      <c r="B1396" t="s">
        <v>2621</v>
      </c>
      <c r="C1396" s="84">
        <v>1184</v>
      </c>
      <c r="D1396" s="102">
        <v>1.1091060824747634</v>
      </c>
      <c r="E1396" s="79">
        <v>0.104587497271581</v>
      </c>
      <c r="F1396" s="79">
        <v>0.32211459514438801</v>
      </c>
      <c r="G1396" s="79">
        <v>0.88730162874475904</v>
      </c>
      <c r="H1396" s="79">
        <v>1</v>
      </c>
      <c r="I1396" s="102">
        <v>1.0791802402232418</v>
      </c>
      <c r="J1396" s="79">
        <v>0.105504206700685</v>
      </c>
      <c r="K1396" s="79">
        <v>0.470133197021113</v>
      </c>
      <c r="L1396" s="79">
        <v>0.80241685035737897</v>
      </c>
      <c r="M1396" s="79">
        <v>1</v>
      </c>
      <c r="N1396" s="102">
        <v>1.3221921490555906</v>
      </c>
      <c r="O1396" s="79">
        <v>0.105663577385256</v>
      </c>
      <c r="P1396" s="79">
        <v>8.2123959165213093E-3</v>
      </c>
      <c r="Q1396" s="79">
        <v>2.39034341625208E-2</v>
      </c>
      <c r="R1396" s="79">
        <v>1</v>
      </c>
      <c r="S1396" s="102">
        <v>1.3399416246303888</v>
      </c>
      <c r="T1396" s="79">
        <v>0.10488488879144101</v>
      </c>
      <c r="U1396" s="79">
        <v>5.2712372849920202E-3</v>
      </c>
      <c r="V1396" s="79">
        <v>1.6690609272479399E-2</v>
      </c>
      <c r="W1396" s="79">
        <v>1</v>
      </c>
    </row>
    <row r="1397" spans="2:23" x14ac:dyDescent="0.2">
      <c r="B1397" t="s">
        <v>2625</v>
      </c>
      <c r="C1397" s="84">
        <v>1325</v>
      </c>
      <c r="D1397" s="102">
        <v>1.060950727856486</v>
      </c>
      <c r="E1397" s="79">
        <v>9.5388160865066393E-2</v>
      </c>
      <c r="F1397" s="79">
        <v>0.53508691110531303</v>
      </c>
      <c r="G1397" s="79">
        <v>0.92176676956083303</v>
      </c>
      <c r="H1397" s="79">
        <v>1</v>
      </c>
      <c r="I1397" s="102">
        <v>1.0940641333800354</v>
      </c>
      <c r="J1397" s="79">
        <v>9.7361500859090594E-2</v>
      </c>
      <c r="K1397" s="79">
        <v>0.35582171811575097</v>
      </c>
      <c r="L1397" s="79">
        <v>0.74482453015727901</v>
      </c>
      <c r="M1397" s="79">
        <v>1</v>
      </c>
      <c r="N1397" s="102">
        <v>1.0957601525643561</v>
      </c>
      <c r="O1397" s="79">
        <v>9.5086528876331095E-2</v>
      </c>
      <c r="P1397" s="79">
        <v>0.33618124181465298</v>
      </c>
      <c r="Q1397" s="79">
        <v>0.452695567276647</v>
      </c>
      <c r="R1397" s="79">
        <v>1</v>
      </c>
      <c r="S1397" s="102">
        <v>1.2066388035690392</v>
      </c>
      <c r="T1397" s="79">
        <v>9.7166702180533596E-2</v>
      </c>
      <c r="U1397" s="79">
        <v>5.3216663047113401E-2</v>
      </c>
      <c r="V1397" s="79">
        <v>0.10770493094601</v>
      </c>
      <c r="W1397" s="79">
        <v>1</v>
      </c>
    </row>
    <row r="1398" spans="2:23" x14ac:dyDescent="0.2">
      <c r="B1398" t="s">
        <v>2627</v>
      </c>
      <c r="C1398" s="84">
        <v>1325</v>
      </c>
      <c r="D1398" s="102">
        <v>1.0738514969407726</v>
      </c>
      <c r="E1398" s="79">
        <v>8.9839710723194299E-2</v>
      </c>
      <c r="F1398" s="79">
        <v>0.42772059424275399</v>
      </c>
      <c r="G1398" s="79">
        <v>0.89895618690722801</v>
      </c>
      <c r="H1398" s="79">
        <v>1</v>
      </c>
      <c r="I1398" s="102">
        <v>1.1573317880357519</v>
      </c>
      <c r="J1398" s="79">
        <v>9.2111861480902293E-2</v>
      </c>
      <c r="K1398" s="79">
        <v>0.11267095960595699</v>
      </c>
      <c r="L1398" s="79">
        <v>0.54222899310366801</v>
      </c>
      <c r="M1398" s="79">
        <v>1</v>
      </c>
      <c r="N1398" s="102">
        <v>1.0845897761488674</v>
      </c>
      <c r="O1398" s="79">
        <v>8.9435826759685602E-2</v>
      </c>
      <c r="P1398" s="79">
        <v>0.363913086549777</v>
      </c>
      <c r="Q1398" s="79">
        <v>0.48049007686307299</v>
      </c>
      <c r="R1398" s="79">
        <v>1</v>
      </c>
      <c r="S1398" s="102">
        <v>1.209963664902032</v>
      </c>
      <c r="T1398" s="79">
        <v>9.1566638754884994E-2</v>
      </c>
      <c r="U1398" s="79">
        <v>3.7393784865728502E-2</v>
      </c>
      <c r="V1398" s="79">
        <v>8.2373305022814203E-2</v>
      </c>
      <c r="W1398" s="79">
        <v>1</v>
      </c>
    </row>
    <row r="1399" spans="2:23" x14ac:dyDescent="0.2">
      <c r="B1399" t="s">
        <v>2629</v>
      </c>
      <c r="C1399" s="84">
        <v>1325</v>
      </c>
      <c r="D1399" s="102">
        <v>1.1244957683442665</v>
      </c>
      <c r="E1399" s="79">
        <v>9.72768753751556E-2</v>
      </c>
      <c r="F1399" s="79">
        <v>0.22774291145471301</v>
      </c>
      <c r="G1399" s="79">
        <v>0.84235041922332698</v>
      </c>
      <c r="H1399" s="79">
        <v>1</v>
      </c>
      <c r="I1399" s="102">
        <v>1.1509966318079716</v>
      </c>
      <c r="J1399" s="79">
        <v>9.8726245794169096E-2</v>
      </c>
      <c r="K1399" s="79">
        <v>0.154323274230903</v>
      </c>
      <c r="L1399" s="79">
        <v>0.59601477595142704</v>
      </c>
      <c r="M1399" s="79">
        <v>1</v>
      </c>
      <c r="N1399" s="102">
        <v>1.0241520961091937</v>
      </c>
      <c r="O1399" s="79">
        <v>9.6159441539019494E-2</v>
      </c>
      <c r="P1399" s="79">
        <v>0.80399355708031695</v>
      </c>
      <c r="Q1399" s="79">
        <v>0.86473973694860795</v>
      </c>
      <c r="R1399" s="79">
        <v>1</v>
      </c>
      <c r="S1399" s="102">
        <v>1.320309746071481</v>
      </c>
      <c r="T1399" s="79">
        <v>9.9585224779164094E-2</v>
      </c>
      <c r="U1399" s="79">
        <v>5.2669493909672698E-3</v>
      </c>
      <c r="V1399" s="79">
        <v>1.6690609272479399E-2</v>
      </c>
      <c r="W1399" s="79">
        <v>1</v>
      </c>
    </row>
    <row r="1400" spans="2:23" x14ac:dyDescent="0.2">
      <c r="B1400" t="s">
        <v>2631</v>
      </c>
      <c r="C1400" s="84">
        <v>1325</v>
      </c>
      <c r="D1400" s="102">
        <v>1.005732472903281</v>
      </c>
      <c r="E1400" s="79">
        <v>9.8723766180849201E-2</v>
      </c>
      <c r="F1400" s="79">
        <v>0.95382829327440899</v>
      </c>
      <c r="G1400" s="79">
        <v>0.99840985319461195</v>
      </c>
      <c r="H1400" s="79">
        <v>1</v>
      </c>
      <c r="I1400" s="102">
        <v>1.1212470819706932</v>
      </c>
      <c r="J1400" s="79">
        <v>0.101110522583732</v>
      </c>
      <c r="K1400" s="79">
        <v>0.25769922050431499</v>
      </c>
      <c r="L1400" s="79">
        <v>0.68025543872958705</v>
      </c>
      <c r="M1400" s="79">
        <v>1</v>
      </c>
      <c r="N1400" s="102">
        <v>1.0525602014561986</v>
      </c>
      <c r="O1400" s="79">
        <v>9.8387008496113204E-2</v>
      </c>
      <c r="P1400" s="79">
        <v>0.60260857543303004</v>
      </c>
      <c r="Q1400" s="79">
        <v>0.70401305295417405</v>
      </c>
      <c r="R1400" s="79">
        <v>1</v>
      </c>
      <c r="S1400" s="102">
        <v>1.2885147840806699</v>
      </c>
      <c r="T1400" s="79">
        <v>0.10077550273539899</v>
      </c>
      <c r="U1400" s="79">
        <v>1.18898990278679E-2</v>
      </c>
      <c r="V1400" s="79">
        <v>3.2278027168602903E-2</v>
      </c>
      <c r="W1400" s="79">
        <v>1</v>
      </c>
    </row>
    <row r="1401" spans="2:23" x14ac:dyDescent="0.2">
      <c r="B1401" t="s">
        <v>2633</v>
      </c>
      <c r="C1401" s="84">
        <v>1325</v>
      </c>
      <c r="D1401" s="102">
        <v>1.0854881101364042</v>
      </c>
      <c r="E1401" s="79">
        <v>8.7405713498653406E-2</v>
      </c>
      <c r="F1401" s="79">
        <v>0.34799048589648901</v>
      </c>
      <c r="G1401" s="79">
        <v>0.89461055933914202</v>
      </c>
      <c r="H1401" s="79">
        <v>1</v>
      </c>
      <c r="I1401" s="102">
        <v>1.0931873802800578</v>
      </c>
      <c r="J1401" s="79">
        <v>8.8990516315323107E-2</v>
      </c>
      <c r="K1401" s="79">
        <v>0.31672835458396398</v>
      </c>
      <c r="L1401" s="79">
        <v>0.71421187504967798</v>
      </c>
      <c r="M1401" s="79">
        <v>1</v>
      </c>
      <c r="N1401" s="102">
        <v>1.0570944829393023</v>
      </c>
      <c r="O1401" s="79">
        <v>8.6904630932792104E-2</v>
      </c>
      <c r="P1401" s="79">
        <v>0.52288258284339095</v>
      </c>
      <c r="Q1401" s="79">
        <v>0.63559465813993299</v>
      </c>
      <c r="R1401" s="79">
        <v>1</v>
      </c>
      <c r="S1401" s="102">
        <v>1.1978508976001552</v>
      </c>
      <c r="T1401" s="79">
        <v>8.9097600999853893E-2</v>
      </c>
      <c r="U1401" s="79">
        <v>4.2744899114226902E-2</v>
      </c>
      <c r="V1401" s="79">
        <v>9.0625605881727606E-2</v>
      </c>
      <c r="W1401" s="79">
        <v>1</v>
      </c>
    </row>
    <row r="1402" spans="2:23" x14ac:dyDescent="0.2">
      <c r="B1402" t="s">
        <v>2636</v>
      </c>
      <c r="C1402" s="84">
        <v>1325</v>
      </c>
      <c r="D1402" s="102">
        <v>1.1025436283082404</v>
      </c>
      <c r="E1402" s="79">
        <v>8.64840617749396E-2</v>
      </c>
      <c r="F1402" s="79">
        <v>0.25899835816495498</v>
      </c>
      <c r="G1402" s="79">
        <v>0.85990749347533801</v>
      </c>
      <c r="H1402" s="79">
        <v>1</v>
      </c>
      <c r="I1402" s="102">
        <v>1.0852685626739138</v>
      </c>
      <c r="J1402" s="79">
        <v>8.8075187166947899E-2</v>
      </c>
      <c r="K1402" s="79">
        <v>0.352855955828482</v>
      </c>
      <c r="L1402" s="79">
        <v>0.74345521041473694</v>
      </c>
      <c r="M1402" s="79">
        <v>1</v>
      </c>
      <c r="N1402" s="102">
        <v>1.0690766701633676</v>
      </c>
      <c r="O1402" s="79">
        <v>8.6059334731959494E-2</v>
      </c>
      <c r="P1402" s="79">
        <v>0.437657692588174</v>
      </c>
      <c r="Q1402" s="79">
        <v>0.55618314421933002</v>
      </c>
      <c r="R1402" s="79">
        <v>1</v>
      </c>
      <c r="S1402" s="102">
        <v>1.2461120981804992</v>
      </c>
      <c r="T1402" s="79">
        <v>8.8393398539705098E-2</v>
      </c>
      <c r="U1402" s="79">
        <v>1.2803281407488201E-2</v>
      </c>
      <c r="V1402" s="79">
        <v>3.3994919599192798E-2</v>
      </c>
      <c r="W1402" s="79">
        <v>1</v>
      </c>
    </row>
    <row r="1403" spans="2:23" x14ac:dyDescent="0.2">
      <c r="B1403" t="s">
        <v>2664</v>
      </c>
      <c r="C1403" s="84">
        <v>1325</v>
      </c>
      <c r="D1403" s="102">
        <v>1.0995991504628602</v>
      </c>
      <c r="E1403" s="79">
        <v>0.103298857519089</v>
      </c>
      <c r="F1403" s="79">
        <v>0.358024410932888</v>
      </c>
      <c r="G1403" s="79">
        <v>0.89461055933914202</v>
      </c>
      <c r="H1403" s="79">
        <v>1</v>
      </c>
      <c r="I1403" s="102">
        <v>1.2254734879429554</v>
      </c>
      <c r="J1403" s="79">
        <v>0.10576283728647801</v>
      </c>
      <c r="K1403" s="79">
        <v>5.4544970998625E-2</v>
      </c>
      <c r="L1403" s="79">
        <v>0.413834727810937</v>
      </c>
      <c r="M1403" s="79">
        <v>1</v>
      </c>
      <c r="N1403" s="102">
        <v>0.95460025863978559</v>
      </c>
      <c r="O1403" s="79">
        <v>0.102861987468022</v>
      </c>
      <c r="P1403" s="79">
        <v>0.651486212835934</v>
      </c>
      <c r="Q1403" s="79">
        <v>0.74821535223326896</v>
      </c>
      <c r="R1403" s="79">
        <v>1</v>
      </c>
      <c r="S1403" s="102">
        <v>1.2999775941386911</v>
      </c>
      <c r="T1403" s="79">
        <v>0.105017044855545</v>
      </c>
      <c r="U1403" s="79">
        <v>1.2484772040456799E-2</v>
      </c>
      <c r="V1403" s="79">
        <v>3.3321893414887303E-2</v>
      </c>
      <c r="W1403" s="79">
        <v>1</v>
      </c>
    </row>
    <row r="1404" spans="2:23" x14ac:dyDescent="0.2">
      <c r="B1404" t="s">
        <v>2669</v>
      </c>
      <c r="C1404" s="84">
        <v>1325</v>
      </c>
      <c r="D1404" s="102">
        <v>0.94847848805240287</v>
      </c>
      <c r="E1404" s="79">
        <v>0.100702368949435</v>
      </c>
      <c r="F1404" s="79">
        <v>0.59939387696473201</v>
      </c>
      <c r="G1404" s="79">
        <v>0.94340566501007395</v>
      </c>
      <c r="H1404" s="79">
        <v>1</v>
      </c>
      <c r="I1404" s="102">
        <v>1.043726666272323</v>
      </c>
      <c r="J1404" s="79">
        <v>0.105392322707235</v>
      </c>
      <c r="K1404" s="79">
        <v>0.68468433033609999</v>
      </c>
      <c r="L1404" s="79">
        <v>0.89513208287572998</v>
      </c>
      <c r="M1404" s="79">
        <v>1</v>
      </c>
      <c r="N1404" s="102">
        <v>1.1587164653141844</v>
      </c>
      <c r="O1404" s="79">
        <v>0.102081180132267</v>
      </c>
      <c r="P1404" s="79">
        <v>0.14899355592757299</v>
      </c>
      <c r="Q1404" s="79">
        <v>0.23855868028479099</v>
      </c>
      <c r="R1404" s="79">
        <v>1</v>
      </c>
      <c r="S1404" s="102">
        <v>1.3489692156457271</v>
      </c>
      <c r="T1404" s="79">
        <v>0.102988078719052</v>
      </c>
      <c r="U1404" s="79">
        <v>3.6542990904980398E-3</v>
      </c>
      <c r="V1404" s="79">
        <v>1.2556557118263E-2</v>
      </c>
      <c r="W1404" s="79">
        <v>1</v>
      </c>
    </row>
    <row r="1405" spans="2:23" x14ac:dyDescent="0.2">
      <c r="B1405" t="s">
        <v>2670</v>
      </c>
      <c r="C1405" s="84">
        <v>1325</v>
      </c>
      <c r="D1405" s="102">
        <v>1.0163574887782054</v>
      </c>
      <c r="E1405" s="79">
        <v>0.104438184201132</v>
      </c>
      <c r="F1405" s="79">
        <v>0.87654030937326799</v>
      </c>
      <c r="G1405" s="79">
        <v>0.99362338620020496</v>
      </c>
      <c r="H1405" s="79">
        <v>1</v>
      </c>
      <c r="I1405" s="102">
        <v>1.0115033567548604</v>
      </c>
      <c r="J1405" s="79">
        <v>0.10891195367859401</v>
      </c>
      <c r="K1405" s="79">
        <v>0.91636166667063201</v>
      </c>
      <c r="L1405" s="79">
        <v>0.98193837767293402</v>
      </c>
      <c r="M1405" s="79">
        <v>1</v>
      </c>
      <c r="N1405" s="102">
        <v>1.1252589479207287</v>
      </c>
      <c r="O1405" s="79">
        <v>0.105177633092946</v>
      </c>
      <c r="P1405" s="79">
        <v>0.26184675209349101</v>
      </c>
      <c r="Q1405" s="79">
        <v>0.374635471322951</v>
      </c>
      <c r="R1405" s="79">
        <v>1</v>
      </c>
      <c r="S1405" s="102">
        <v>1.2909422014638936</v>
      </c>
      <c r="T1405" s="79">
        <v>0.106179990543916</v>
      </c>
      <c r="U1405" s="79">
        <v>1.6168522067022E-2</v>
      </c>
      <c r="V1405" s="79">
        <v>4.1562179638141503E-2</v>
      </c>
      <c r="W1405" s="79">
        <v>1</v>
      </c>
    </row>
    <row r="1406" spans="2:23" x14ac:dyDescent="0.2">
      <c r="B1406" t="s">
        <v>2671</v>
      </c>
      <c r="C1406" s="84">
        <v>1325</v>
      </c>
      <c r="D1406" s="102">
        <v>0.98490652067413142</v>
      </c>
      <c r="E1406" s="79">
        <v>9.9608883791182906E-2</v>
      </c>
      <c r="F1406" s="79">
        <v>0.87864856862837104</v>
      </c>
      <c r="G1406" s="79">
        <v>0.99362338620020496</v>
      </c>
      <c r="H1406" s="79">
        <v>1</v>
      </c>
      <c r="I1406" s="102">
        <v>1.03103908169459</v>
      </c>
      <c r="J1406" s="79">
        <v>0.10314055191593</v>
      </c>
      <c r="K1406" s="79">
        <v>0.76695237861429799</v>
      </c>
      <c r="L1406" s="79">
        <v>0.92801237812330095</v>
      </c>
      <c r="M1406" s="79">
        <v>1</v>
      </c>
      <c r="N1406" s="102">
        <v>1.1811254888938723</v>
      </c>
      <c r="O1406" s="79">
        <v>0.10038412673875199</v>
      </c>
      <c r="P1406" s="79">
        <v>9.7255340033415905E-2</v>
      </c>
      <c r="Q1406" s="79">
        <v>0.17037285006888001</v>
      </c>
      <c r="R1406" s="79">
        <v>1</v>
      </c>
      <c r="S1406" s="102">
        <v>1.2294999991916011</v>
      </c>
      <c r="T1406" s="79">
        <v>0.10072483531684499</v>
      </c>
      <c r="U1406" s="79">
        <v>4.0246700946673299E-2</v>
      </c>
      <c r="V1406" s="79">
        <v>8.6850842552438898E-2</v>
      </c>
      <c r="W1406" s="79">
        <v>1</v>
      </c>
    </row>
    <row r="1407" spans="2:23" x14ac:dyDescent="0.2">
      <c r="B1407" t="s">
        <v>2672</v>
      </c>
      <c r="C1407" s="84">
        <v>1325</v>
      </c>
      <c r="D1407" s="102">
        <v>0.92033133278723667</v>
      </c>
      <c r="E1407" s="79">
        <v>0.100668625048685</v>
      </c>
      <c r="F1407" s="79">
        <v>0.40954128657455302</v>
      </c>
      <c r="G1407" s="79">
        <v>0.89561567502544503</v>
      </c>
      <c r="H1407" s="79">
        <v>1</v>
      </c>
      <c r="I1407" s="102">
        <v>1.0623920478832549</v>
      </c>
      <c r="J1407" s="79">
        <v>0.10472671806339</v>
      </c>
      <c r="K1407" s="79">
        <v>0.56332232388696701</v>
      </c>
      <c r="L1407" s="79">
        <v>0.85878159627519401</v>
      </c>
      <c r="M1407" s="79">
        <v>1</v>
      </c>
      <c r="N1407" s="102">
        <v>1.1761413159397507</v>
      </c>
      <c r="O1407" s="79">
        <v>0.10186237826095899</v>
      </c>
      <c r="P1407" s="79">
        <v>0.111221340384698</v>
      </c>
      <c r="Q1407" s="79">
        <v>0.189737110384369</v>
      </c>
      <c r="R1407" s="79">
        <v>1</v>
      </c>
      <c r="S1407" s="102">
        <v>1.3942999671767446</v>
      </c>
      <c r="T1407" s="79">
        <v>0.103228498785723</v>
      </c>
      <c r="U1407" s="79">
        <v>1.28204859621025E-3</v>
      </c>
      <c r="V1407" s="79">
        <v>5.4705045893706896E-3</v>
      </c>
      <c r="W1407" s="79">
        <v>1</v>
      </c>
    </row>
    <row r="1408" spans="2:23" x14ac:dyDescent="0.2">
      <c r="B1408" t="s">
        <v>2674</v>
      </c>
      <c r="C1408" s="84">
        <v>1325</v>
      </c>
      <c r="D1408" s="102">
        <v>0.91382619047788127</v>
      </c>
      <c r="E1408" s="79">
        <v>0.106584788811814</v>
      </c>
      <c r="F1408" s="79">
        <v>0.397845083639909</v>
      </c>
      <c r="G1408" s="79">
        <v>0.89461055933914202</v>
      </c>
      <c r="H1408" s="79">
        <v>1</v>
      </c>
      <c r="I1408" s="102">
        <v>1.0291474122412319</v>
      </c>
      <c r="J1408" s="79">
        <v>0.110903665401433</v>
      </c>
      <c r="K1408" s="79">
        <v>0.79558894128033997</v>
      </c>
      <c r="L1408" s="79">
        <v>0.93608823952815601</v>
      </c>
      <c r="M1408" s="79">
        <v>1</v>
      </c>
      <c r="N1408" s="102">
        <v>1.1468995951372232</v>
      </c>
      <c r="O1408" s="79">
        <v>0.10762774866576399</v>
      </c>
      <c r="P1408" s="79">
        <v>0.20284607808850399</v>
      </c>
      <c r="Q1408" s="79">
        <v>0.305985090188714</v>
      </c>
      <c r="R1408" s="79">
        <v>1</v>
      </c>
      <c r="S1408" s="102">
        <v>1.2679341060129752</v>
      </c>
      <c r="T1408" s="79">
        <v>0.10812607289396001</v>
      </c>
      <c r="U1408" s="79">
        <v>2.81290135116819E-2</v>
      </c>
      <c r="V1408" s="79">
        <v>6.5485159309135302E-2</v>
      </c>
      <c r="W1408" s="79">
        <v>1</v>
      </c>
    </row>
    <row r="1409" spans="2:23" x14ac:dyDescent="0.2">
      <c r="B1409" t="s">
        <v>2675</v>
      </c>
      <c r="C1409" s="84">
        <v>1325</v>
      </c>
      <c r="D1409" s="102">
        <v>0.89664913037155936</v>
      </c>
      <c r="E1409" s="79">
        <v>0.104789889667639</v>
      </c>
      <c r="F1409" s="79">
        <v>0.29785616170839102</v>
      </c>
      <c r="G1409" s="79">
        <v>0.87846938063621105</v>
      </c>
      <c r="H1409" s="79">
        <v>1</v>
      </c>
      <c r="I1409" s="102">
        <v>0.95069945124162747</v>
      </c>
      <c r="J1409" s="79">
        <v>0.108919694454318</v>
      </c>
      <c r="K1409" s="79">
        <v>0.64252564877609197</v>
      </c>
      <c r="L1409" s="79">
        <v>0.88295581341012397</v>
      </c>
      <c r="M1409" s="79">
        <v>1</v>
      </c>
      <c r="N1409" s="102">
        <v>1.1737538084284105</v>
      </c>
      <c r="O1409" s="79">
        <v>0.10613253110386001</v>
      </c>
      <c r="P1409" s="79">
        <v>0.13117119845394501</v>
      </c>
      <c r="Q1409" s="79">
        <v>0.215941700856154</v>
      </c>
      <c r="R1409" s="79">
        <v>1</v>
      </c>
      <c r="S1409" s="102">
        <v>1.2576482630120152</v>
      </c>
      <c r="T1409" s="79">
        <v>0.107279040594691</v>
      </c>
      <c r="U1409" s="79">
        <v>3.2606931982516997E-2</v>
      </c>
      <c r="V1409" s="79">
        <v>7.3815081497020194E-2</v>
      </c>
      <c r="W1409" s="79">
        <v>1</v>
      </c>
    </row>
    <row r="1410" spans="2:23" x14ac:dyDescent="0.2">
      <c r="B1410" t="s">
        <v>2681</v>
      </c>
      <c r="C1410" s="84">
        <v>1325</v>
      </c>
      <c r="D1410" s="102">
        <v>0.93877217571341887</v>
      </c>
      <c r="E1410" s="79">
        <v>0.107224669680242</v>
      </c>
      <c r="F1410" s="79">
        <v>0.55569159774341603</v>
      </c>
      <c r="G1410" s="79">
        <v>0.93167796111031398</v>
      </c>
      <c r="H1410" s="79">
        <v>1</v>
      </c>
      <c r="I1410" s="102">
        <v>1.0799907449008594</v>
      </c>
      <c r="J1410" s="79">
        <v>0.111810692485662</v>
      </c>
      <c r="K1410" s="79">
        <v>0.49130233108044802</v>
      </c>
      <c r="L1410" s="79">
        <v>0.81451663972478505</v>
      </c>
      <c r="M1410" s="79">
        <v>1</v>
      </c>
      <c r="N1410" s="102">
        <v>1.2059011032226312</v>
      </c>
      <c r="O1410" s="79">
        <v>0.108505002128901</v>
      </c>
      <c r="P1410" s="79">
        <v>8.4434566471591102E-2</v>
      </c>
      <c r="Q1410" s="79">
        <v>0.15315045199382901</v>
      </c>
      <c r="R1410" s="79">
        <v>1</v>
      </c>
      <c r="S1410" s="102">
        <v>1.3623295799351671</v>
      </c>
      <c r="T1410" s="79">
        <v>0.109196143100958</v>
      </c>
      <c r="U1410" s="79">
        <v>4.6320573879593098E-3</v>
      </c>
      <c r="V1410" s="79">
        <v>1.50608545397372E-2</v>
      </c>
      <c r="W1410" s="79">
        <v>1</v>
      </c>
    </row>
    <row r="1411" spans="2:23" x14ac:dyDescent="0.2">
      <c r="B1411" t="s">
        <v>2683</v>
      </c>
      <c r="C1411" s="84">
        <v>1325</v>
      </c>
      <c r="D1411" s="102">
        <v>1.0804312229547102</v>
      </c>
      <c r="E1411" s="79">
        <v>9.5640094846161997E-2</v>
      </c>
      <c r="F1411" s="79">
        <v>0.41859089838832902</v>
      </c>
      <c r="G1411" s="79">
        <v>0.89561567502544503</v>
      </c>
      <c r="H1411" s="79">
        <v>1</v>
      </c>
      <c r="I1411" s="102">
        <v>1.0829711174562793</v>
      </c>
      <c r="J1411" s="79">
        <v>9.8837519239704297E-2</v>
      </c>
      <c r="K1411" s="79">
        <v>0.41997887087056102</v>
      </c>
      <c r="L1411" s="79">
        <v>0.77720045244242597</v>
      </c>
      <c r="M1411" s="79">
        <v>1</v>
      </c>
      <c r="N1411" s="102">
        <v>1.2260926102662932</v>
      </c>
      <c r="O1411" s="79">
        <v>9.6127162493083604E-2</v>
      </c>
      <c r="P1411" s="79">
        <v>3.39685245157407E-2</v>
      </c>
      <c r="Q1411" s="79">
        <v>7.4152938826887504E-2</v>
      </c>
      <c r="R1411" s="79">
        <v>1</v>
      </c>
      <c r="S1411" s="102">
        <v>1.4087522496455382</v>
      </c>
      <c r="T1411" s="79">
        <v>9.7729243535651406E-2</v>
      </c>
      <c r="U1411" s="79">
        <v>4.5374840543934298E-4</v>
      </c>
      <c r="V1411" s="79">
        <v>2.4324360721969798E-3</v>
      </c>
      <c r="W1411" s="79">
        <v>0.768649798814247</v>
      </c>
    </row>
    <row r="1412" spans="2:23" x14ac:dyDescent="0.2">
      <c r="B1412" t="s">
        <v>2684</v>
      </c>
      <c r="C1412" s="84">
        <v>1325</v>
      </c>
      <c r="D1412" s="102">
        <v>0.85524996896832162</v>
      </c>
      <c r="E1412" s="79">
        <v>7.9198796590609702E-2</v>
      </c>
      <c r="F1412" s="79">
        <v>4.83486348534264E-2</v>
      </c>
      <c r="G1412" s="79">
        <v>0.69894085999847999</v>
      </c>
      <c r="H1412" s="79">
        <v>1</v>
      </c>
      <c r="I1412" s="102">
        <v>1.0401858912601758</v>
      </c>
      <c r="J1412" s="79">
        <v>8.1957701198032307E-2</v>
      </c>
      <c r="K1412" s="79">
        <v>0.63070916036984304</v>
      </c>
      <c r="L1412" s="79">
        <v>0.87748013759880805</v>
      </c>
      <c r="M1412" s="79">
        <v>1</v>
      </c>
      <c r="N1412" s="102">
        <v>1.1790437449121669</v>
      </c>
      <c r="O1412" s="79">
        <v>8.03371782165722E-2</v>
      </c>
      <c r="P1412" s="79">
        <v>4.0349238882551999E-2</v>
      </c>
      <c r="Q1412" s="79">
        <v>8.4803487179954201E-2</v>
      </c>
      <c r="R1412" s="79">
        <v>1</v>
      </c>
      <c r="S1412" s="102">
        <v>1.1383716399993595</v>
      </c>
      <c r="T1412" s="79">
        <v>8.0163286588424906E-2</v>
      </c>
      <c r="U1412" s="79">
        <v>0.105946098496168</v>
      </c>
      <c r="V1412" s="79">
        <v>0.184240705347647</v>
      </c>
      <c r="W1412" s="79">
        <v>1</v>
      </c>
    </row>
    <row r="1413" spans="2:23" x14ac:dyDescent="0.2">
      <c r="B1413" t="s">
        <v>2685</v>
      </c>
      <c r="C1413" s="84">
        <v>1325</v>
      </c>
      <c r="D1413" s="102">
        <v>0.94114736738753935</v>
      </c>
      <c r="E1413" s="79">
        <v>7.1812466111765394E-2</v>
      </c>
      <c r="F1413" s="79">
        <v>0.39831293360808401</v>
      </c>
      <c r="G1413" s="79">
        <v>0.89461055933914202</v>
      </c>
      <c r="H1413" s="79">
        <v>1</v>
      </c>
      <c r="I1413" s="102">
        <v>1.0076223860804103</v>
      </c>
      <c r="J1413" s="79">
        <v>7.4498057994789299E-2</v>
      </c>
      <c r="K1413" s="79">
        <v>0.91881335159731603</v>
      </c>
      <c r="L1413" s="79">
        <v>0.98193837767293402</v>
      </c>
      <c r="M1413" s="79">
        <v>1</v>
      </c>
      <c r="N1413" s="102">
        <v>1.1077549150734876</v>
      </c>
      <c r="O1413" s="79">
        <v>7.2638662155244699E-2</v>
      </c>
      <c r="P1413" s="79">
        <v>0.158886086718942</v>
      </c>
      <c r="Q1413" s="79">
        <v>0.25107558852787998</v>
      </c>
      <c r="R1413" s="79">
        <v>1</v>
      </c>
      <c r="S1413" s="102">
        <v>1.0975302897178025</v>
      </c>
      <c r="T1413" s="79">
        <v>7.27788613048857E-2</v>
      </c>
      <c r="U1413" s="79">
        <v>0.20100206882451499</v>
      </c>
      <c r="V1413" s="79">
        <v>0.30186503752708099</v>
      </c>
      <c r="W1413" s="79">
        <v>1</v>
      </c>
    </row>
    <row r="1414" spans="2:23" x14ac:dyDescent="0.2">
      <c r="B1414" t="s">
        <v>2686</v>
      </c>
      <c r="C1414" s="84">
        <v>1325</v>
      </c>
      <c r="D1414" s="102">
        <v>0.97631715393270313</v>
      </c>
      <c r="E1414" s="79">
        <v>7.3474578179063901E-2</v>
      </c>
      <c r="F1414" s="79">
        <v>0.74426907560090705</v>
      </c>
      <c r="G1414" s="79">
        <v>0.979098679061011</v>
      </c>
      <c r="H1414" s="79">
        <v>1</v>
      </c>
      <c r="I1414" s="102">
        <v>1.0223724135666605</v>
      </c>
      <c r="J1414" s="79">
        <v>7.6206157127460594E-2</v>
      </c>
      <c r="K1414" s="79">
        <v>0.77155486990877997</v>
      </c>
      <c r="L1414" s="79">
        <v>0.92861868293626904</v>
      </c>
      <c r="M1414" s="79">
        <v>1</v>
      </c>
      <c r="N1414" s="102">
        <v>1.1399250421643794</v>
      </c>
      <c r="O1414" s="79">
        <v>7.4399973226709701E-2</v>
      </c>
      <c r="P1414" s="79">
        <v>7.8365530487972596E-2</v>
      </c>
      <c r="Q1414" s="79">
        <v>0.14450136600017399</v>
      </c>
      <c r="R1414" s="79">
        <v>1</v>
      </c>
      <c r="S1414" s="102">
        <v>1.1300156714516454</v>
      </c>
      <c r="T1414" s="79">
        <v>7.47696531253466E-2</v>
      </c>
      <c r="U1414" s="79">
        <v>0.102096387524862</v>
      </c>
      <c r="V1414" s="79">
        <v>0.178484293567715</v>
      </c>
      <c r="W1414" s="79">
        <v>1</v>
      </c>
    </row>
    <row r="1415" spans="2:23" x14ac:dyDescent="0.2">
      <c r="B1415" t="s">
        <v>2687</v>
      </c>
      <c r="C1415" s="84">
        <v>1325</v>
      </c>
      <c r="D1415" s="102">
        <v>0.92738629281124696</v>
      </c>
      <c r="E1415" s="79">
        <v>7.0120986766974203E-2</v>
      </c>
      <c r="F1415" s="79">
        <v>0.28234263548144101</v>
      </c>
      <c r="G1415" s="79">
        <v>0.86861170490914397</v>
      </c>
      <c r="H1415" s="79">
        <v>1</v>
      </c>
      <c r="I1415" s="102">
        <v>1.0546635617815385</v>
      </c>
      <c r="J1415" s="79">
        <v>7.2689123983838894E-2</v>
      </c>
      <c r="K1415" s="79">
        <v>0.46405623745693803</v>
      </c>
      <c r="L1415" s="79">
        <v>0.799032058493933</v>
      </c>
      <c r="M1415" s="79">
        <v>1</v>
      </c>
      <c r="N1415" s="102">
        <v>1.1851242407540681</v>
      </c>
      <c r="O1415" s="79">
        <v>7.1088279599115303E-2</v>
      </c>
      <c r="P1415" s="79">
        <v>1.6882847449801699E-2</v>
      </c>
      <c r="Q1415" s="79">
        <v>4.2495607102472598E-2</v>
      </c>
      <c r="R1415" s="79">
        <v>1</v>
      </c>
      <c r="S1415" s="102">
        <v>1.1344815923415765</v>
      </c>
      <c r="T1415" s="79">
        <v>7.1165939866820405E-2</v>
      </c>
      <c r="U1415" s="79">
        <v>7.6231993772921003E-2</v>
      </c>
      <c r="V1415" s="79">
        <v>0.14159758492470201</v>
      </c>
      <c r="W1415" s="79">
        <v>1</v>
      </c>
    </row>
    <row r="1416" spans="2:23" x14ac:dyDescent="0.2">
      <c r="B1416" t="s">
        <v>2688</v>
      </c>
      <c r="C1416" s="84">
        <v>1325</v>
      </c>
      <c r="D1416" s="102">
        <v>0.96402246044234363</v>
      </c>
      <c r="E1416" s="79">
        <v>7.2713320215767901E-2</v>
      </c>
      <c r="F1416" s="79">
        <v>0.61432736551151501</v>
      </c>
      <c r="G1416" s="79">
        <v>0.951216817242591</v>
      </c>
      <c r="H1416" s="79">
        <v>1</v>
      </c>
      <c r="I1416" s="102">
        <v>1.0443225334225517</v>
      </c>
      <c r="J1416" s="79">
        <v>7.5108660354269705E-2</v>
      </c>
      <c r="K1416" s="79">
        <v>0.56366350749023597</v>
      </c>
      <c r="L1416" s="79">
        <v>0.85878159627519401</v>
      </c>
      <c r="M1416" s="79">
        <v>1</v>
      </c>
      <c r="N1416" s="102">
        <v>1.2392887780375552</v>
      </c>
      <c r="O1416" s="79">
        <v>7.4005873337736394E-2</v>
      </c>
      <c r="P1416" s="79">
        <v>3.7444166602990398E-3</v>
      </c>
      <c r="Q1416" s="79">
        <v>1.2610421118382901E-2</v>
      </c>
      <c r="R1416" s="79">
        <v>1</v>
      </c>
      <c r="S1416" s="102">
        <v>1.2365642170347215</v>
      </c>
      <c r="T1416" s="79">
        <v>7.4297405229771907E-2</v>
      </c>
      <c r="U1416" s="79">
        <v>4.2641521053107499E-3</v>
      </c>
      <c r="V1416" s="79">
        <v>1.41927606871917E-2</v>
      </c>
      <c r="W1416" s="79">
        <v>1</v>
      </c>
    </row>
    <row r="1417" spans="2:23" x14ac:dyDescent="0.2">
      <c r="B1417" t="s">
        <v>2689</v>
      </c>
      <c r="C1417" s="84">
        <v>1325</v>
      </c>
      <c r="D1417" s="102">
        <v>0.97192543775987084</v>
      </c>
      <c r="E1417" s="79">
        <v>7.8530288166152595E-2</v>
      </c>
      <c r="F1417" s="79">
        <v>0.71689319664362905</v>
      </c>
      <c r="G1417" s="79">
        <v>0.97160036230239</v>
      </c>
      <c r="H1417" s="79">
        <v>1</v>
      </c>
      <c r="I1417" s="102">
        <v>1.0513811974425675</v>
      </c>
      <c r="J1417" s="79">
        <v>8.1452176941176596E-2</v>
      </c>
      <c r="K1417" s="79">
        <v>0.53846037269299596</v>
      </c>
      <c r="L1417" s="79">
        <v>0.84615201423185105</v>
      </c>
      <c r="M1417" s="79">
        <v>1</v>
      </c>
      <c r="N1417" s="102">
        <v>1.1896517937396842</v>
      </c>
      <c r="O1417" s="79">
        <v>7.9412862612872101E-2</v>
      </c>
      <c r="P1417" s="79">
        <v>2.8756570130832999E-2</v>
      </c>
      <c r="Q1417" s="79">
        <v>6.5038224034220396E-2</v>
      </c>
      <c r="R1417" s="79">
        <v>1</v>
      </c>
      <c r="S1417" s="102">
        <v>1.1880967255607418</v>
      </c>
      <c r="T1417" s="79">
        <v>7.9565468751611093E-2</v>
      </c>
      <c r="U1417" s="79">
        <v>3.0297905871570201E-2</v>
      </c>
      <c r="V1417" s="79">
        <v>6.9734582264184705E-2</v>
      </c>
      <c r="W1417" s="79">
        <v>1</v>
      </c>
    </row>
    <row r="1418" spans="2:23" x14ac:dyDescent="0.2">
      <c r="B1418" t="s">
        <v>2690</v>
      </c>
      <c r="C1418" s="84">
        <v>1325</v>
      </c>
      <c r="D1418" s="102">
        <v>0.93946469293447832</v>
      </c>
      <c r="E1418" s="79">
        <v>7.3071805923364597E-2</v>
      </c>
      <c r="F1418" s="79">
        <v>0.39278872367342599</v>
      </c>
      <c r="G1418" s="79">
        <v>0.89461055933914202</v>
      </c>
      <c r="H1418" s="79">
        <v>1</v>
      </c>
      <c r="I1418" s="102">
        <v>1.0536013735169574</v>
      </c>
      <c r="J1418" s="79">
        <v>7.5629286484739405E-2</v>
      </c>
      <c r="K1418" s="79">
        <v>0.48994504007671302</v>
      </c>
      <c r="L1418" s="79">
        <v>0.81451663972478505</v>
      </c>
      <c r="M1418" s="79">
        <v>1</v>
      </c>
      <c r="N1418" s="102">
        <v>1.1741136508531944</v>
      </c>
      <c r="O1418" s="79">
        <v>7.3973590801450495E-2</v>
      </c>
      <c r="P1418" s="79">
        <v>3.0016236899287601E-2</v>
      </c>
      <c r="Q1418" s="79">
        <v>6.7302528697672004E-2</v>
      </c>
      <c r="R1418" s="79">
        <v>1</v>
      </c>
      <c r="S1418" s="102">
        <v>1.1065178050656861</v>
      </c>
      <c r="T1418" s="79">
        <v>7.3904473727507802E-2</v>
      </c>
      <c r="U1418" s="79">
        <v>0.17081854251619799</v>
      </c>
      <c r="V1418" s="79">
        <v>0.26793204724299902</v>
      </c>
      <c r="W1418" s="79">
        <v>1</v>
      </c>
    </row>
    <row r="1419" spans="2:23" x14ac:dyDescent="0.2">
      <c r="B1419" t="s">
        <v>2691</v>
      </c>
      <c r="C1419" s="84">
        <v>1325</v>
      </c>
      <c r="D1419" s="102">
        <v>0.93727407156666898</v>
      </c>
      <c r="E1419" s="79">
        <v>7.6458864335664706E-2</v>
      </c>
      <c r="F1419" s="79">
        <v>0.39685748261246601</v>
      </c>
      <c r="G1419" s="79">
        <v>0.89461055933914202</v>
      </c>
      <c r="H1419" s="79">
        <v>1</v>
      </c>
      <c r="I1419" s="102">
        <v>0.96796088578407224</v>
      </c>
      <c r="J1419" s="79">
        <v>7.9091960063338795E-2</v>
      </c>
      <c r="K1419" s="79">
        <v>0.68054598037712799</v>
      </c>
      <c r="L1419" s="79">
        <v>0.8940422852919</v>
      </c>
      <c r="M1419" s="79">
        <v>1</v>
      </c>
      <c r="N1419" s="102">
        <v>1.0809516029905726</v>
      </c>
      <c r="O1419" s="79">
        <v>7.7046546129084501E-2</v>
      </c>
      <c r="P1419" s="79">
        <v>0.31234137688767899</v>
      </c>
      <c r="Q1419" s="79">
        <v>0.4270430124679</v>
      </c>
      <c r="R1419" s="79">
        <v>1</v>
      </c>
      <c r="S1419" s="102">
        <v>1.0941451105742683</v>
      </c>
      <c r="T1419" s="79">
        <v>7.71101887721483E-2</v>
      </c>
      <c r="U1419" s="79">
        <v>0.24328502258753401</v>
      </c>
      <c r="V1419" s="79">
        <v>0.35284659954048198</v>
      </c>
      <c r="W1419" s="79">
        <v>1</v>
      </c>
    </row>
    <row r="1420" spans="2:23" x14ac:dyDescent="0.2">
      <c r="B1420" t="s">
        <v>2692</v>
      </c>
      <c r="C1420" s="84">
        <v>1325</v>
      </c>
      <c r="D1420" s="102">
        <v>0.92511879757036053</v>
      </c>
      <c r="E1420" s="79">
        <v>9.4603893111885606E-2</v>
      </c>
      <c r="F1420" s="79">
        <v>0.410663601897921</v>
      </c>
      <c r="G1420" s="79">
        <v>0.89561567502544503</v>
      </c>
      <c r="H1420" s="79">
        <v>1</v>
      </c>
      <c r="I1420" s="102">
        <v>0.97980519623610873</v>
      </c>
      <c r="J1420" s="79">
        <v>9.8386913396100395E-2</v>
      </c>
      <c r="K1420" s="79">
        <v>0.83572875025011095</v>
      </c>
      <c r="L1420" s="79">
        <v>0.95558061391045301</v>
      </c>
      <c r="M1420" s="79">
        <v>1</v>
      </c>
      <c r="N1420" s="102">
        <v>1.081704876081979</v>
      </c>
      <c r="O1420" s="79">
        <v>9.5217815688509996E-2</v>
      </c>
      <c r="P1420" s="79">
        <v>0.40946886033827601</v>
      </c>
      <c r="Q1420" s="79">
        <v>0.52628243506300398</v>
      </c>
      <c r="R1420" s="79">
        <v>1</v>
      </c>
      <c r="S1420" s="102">
        <v>1.1818975495125772</v>
      </c>
      <c r="T1420" s="79">
        <v>9.5989590477502496E-2</v>
      </c>
      <c r="U1420" s="79">
        <v>8.16774381367769E-2</v>
      </c>
      <c r="V1420" s="79">
        <v>0.149580086706703</v>
      </c>
      <c r="W1420" s="79">
        <v>1</v>
      </c>
    </row>
    <row r="1421" spans="2:23" x14ac:dyDescent="0.2">
      <c r="B1421" t="s">
        <v>2693</v>
      </c>
      <c r="C1421" s="84">
        <v>1325</v>
      </c>
      <c r="D1421" s="102">
        <v>0.99552613386388478</v>
      </c>
      <c r="E1421" s="79">
        <v>9.0305703790551597E-2</v>
      </c>
      <c r="F1421" s="79">
        <v>0.96039931041624704</v>
      </c>
      <c r="G1421" s="79">
        <v>0.99840985319461195</v>
      </c>
      <c r="H1421" s="79">
        <v>1</v>
      </c>
      <c r="I1421" s="102">
        <v>0.99361510471021852</v>
      </c>
      <c r="J1421" s="79">
        <v>9.3310549934327303E-2</v>
      </c>
      <c r="K1421" s="79">
        <v>0.94527165923096101</v>
      </c>
      <c r="L1421" s="79">
        <v>0.99028459538481595</v>
      </c>
      <c r="M1421" s="79">
        <v>1</v>
      </c>
      <c r="N1421" s="102">
        <v>1.0877081127324753</v>
      </c>
      <c r="O1421" s="79">
        <v>9.06628292711089E-2</v>
      </c>
      <c r="P1421" s="79">
        <v>0.35376396929075898</v>
      </c>
      <c r="Q1421" s="79">
        <v>0.46965216612738703</v>
      </c>
      <c r="R1421" s="79">
        <v>1</v>
      </c>
      <c r="S1421" s="102">
        <v>1.1232622432983648</v>
      </c>
      <c r="T1421" s="79">
        <v>9.1049154604875504E-2</v>
      </c>
      <c r="U1421" s="79">
        <v>0.201728690176291</v>
      </c>
      <c r="V1421" s="79">
        <v>0.30268237480835902</v>
      </c>
      <c r="W1421" s="79">
        <v>1</v>
      </c>
    </row>
    <row r="1422" spans="2:23" x14ac:dyDescent="0.2">
      <c r="B1422" t="s">
        <v>2694</v>
      </c>
      <c r="C1422" s="84">
        <v>1325</v>
      </c>
      <c r="D1422" s="102">
        <v>1.0241816106291459</v>
      </c>
      <c r="E1422" s="79">
        <v>8.0162402879206895E-2</v>
      </c>
      <c r="F1422" s="79">
        <v>0.76565109376013596</v>
      </c>
      <c r="G1422" s="79">
        <v>0.98333051768739199</v>
      </c>
      <c r="H1422" s="79">
        <v>1</v>
      </c>
      <c r="I1422" s="102">
        <v>1.007986463300359</v>
      </c>
      <c r="J1422" s="79">
        <v>8.2934816162395605E-2</v>
      </c>
      <c r="K1422" s="79">
        <v>0.92358762729334298</v>
      </c>
      <c r="L1422" s="79">
        <v>0.98193837767293402</v>
      </c>
      <c r="M1422" s="79">
        <v>1</v>
      </c>
      <c r="N1422" s="102">
        <v>1.1213162192135746</v>
      </c>
      <c r="O1422" s="79">
        <v>8.0796025932185697E-2</v>
      </c>
      <c r="P1422" s="79">
        <v>0.15642785121876601</v>
      </c>
      <c r="Q1422" s="79">
        <v>0.24765306538746701</v>
      </c>
      <c r="R1422" s="79">
        <v>1</v>
      </c>
      <c r="S1422" s="102">
        <v>1.2441970556421389</v>
      </c>
      <c r="T1422" s="79">
        <v>8.1411465823675797E-2</v>
      </c>
      <c r="U1422" s="79">
        <v>7.2795196843622499E-3</v>
      </c>
      <c r="V1422" s="79">
        <v>2.1748688439699598E-2</v>
      </c>
      <c r="W1422" s="79">
        <v>1</v>
      </c>
    </row>
    <row r="1423" spans="2:23" x14ac:dyDescent="0.2">
      <c r="B1423" t="s">
        <v>2695</v>
      </c>
      <c r="C1423" s="84">
        <v>1325</v>
      </c>
      <c r="D1423" s="102">
        <v>1.0592309317931514</v>
      </c>
      <c r="E1423" s="79">
        <v>9.1290539498907697E-2</v>
      </c>
      <c r="F1423" s="79">
        <v>0.52847910741870496</v>
      </c>
      <c r="G1423" s="79">
        <v>0.92176676956083303</v>
      </c>
      <c r="H1423" s="79">
        <v>1</v>
      </c>
      <c r="I1423" s="102">
        <v>1.0691396077523831</v>
      </c>
      <c r="J1423" s="79">
        <v>9.4885298241147095E-2</v>
      </c>
      <c r="K1423" s="79">
        <v>0.48107206395867003</v>
      </c>
      <c r="L1423" s="79">
        <v>0.80894043982196895</v>
      </c>
      <c r="M1423" s="79">
        <v>1</v>
      </c>
      <c r="N1423" s="102">
        <v>1.1498680515694109</v>
      </c>
      <c r="O1423" s="79">
        <v>9.2144993524702207E-2</v>
      </c>
      <c r="P1423" s="79">
        <v>0.129641819937314</v>
      </c>
      <c r="Q1423" s="79">
        <v>0.21363155931304501</v>
      </c>
      <c r="R1423" s="79">
        <v>1</v>
      </c>
      <c r="S1423" s="102">
        <v>1.2270112115015623</v>
      </c>
      <c r="T1423" s="79">
        <v>9.2575966988280106E-2</v>
      </c>
      <c r="U1423" s="79">
        <v>2.71138477493468E-2</v>
      </c>
      <c r="V1423" s="79">
        <v>6.3616146935447995E-2</v>
      </c>
      <c r="W1423" s="79">
        <v>1</v>
      </c>
    </row>
    <row r="1424" spans="2:23" x14ac:dyDescent="0.2">
      <c r="B1424" t="s">
        <v>2696</v>
      </c>
      <c r="C1424" s="84">
        <v>1325</v>
      </c>
      <c r="D1424" s="102">
        <v>0.99569568718879997</v>
      </c>
      <c r="E1424" s="79">
        <v>8.3887079800471095E-2</v>
      </c>
      <c r="F1424" s="79">
        <v>0.95898961909713298</v>
      </c>
      <c r="G1424" s="79">
        <v>0.99840985319461195</v>
      </c>
      <c r="H1424" s="79">
        <v>1</v>
      </c>
      <c r="I1424" s="102">
        <v>0.99042231029834638</v>
      </c>
      <c r="J1424" s="79">
        <v>8.6922909416546901E-2</v>
      </c>
      <c r="K1424" s="79">
        <v>0.91184070103791603</v>
      </c>
      <c r="L1424" s="79">
        <v>0.98168469912841005</v>
      </c>
      <c r="M1424" s="79">
        <v>1</v>
      </c>
      <c r="N1424" s="102">
        <v>1.1400070252210472</v>
      </c>
      <c r="O1424" s="79">
        <v>8.4619873119226599E-2</v>
      </c>
      <c r="P1424" s="79">
        <v>0.121500394270184</v>
      </c>
      <c r="Q1424" s="79">
        <v>0.20238118770274499</v>
      </c>
      <c r="R1424" s="79">
        <v>1</v>
      </c>
      <c r="S1424" s="102">
        <v>1.2092390831705702</v>
      </c>
      <c r="T1424" s="79">
        <v>8.5472138496492503E-2</v>
      </c>
      <c r="U1424" s="79">
        <v>2.6226262033255201E-2</v>
      </c>
      <c r="V1424" s="79">
        <v>6.2041176060712903E-2</v>
      </c>
      <c r="W1424" s="79">
        <v>1</v>
      </c>
    </row>
    <row r="1425" spans="2:23" x14ac:dyDescent="0.2">
      <c r="B1425" t="s">
        <v>2697</v>
      </c>
      <c r="C1425" s="84">
        <v>1325</v>
      </c>
      <c r="D1425" s="102">
        <v>0.98477215001041452</v>
      </c>
      <c r="E1425" s="79">
        <v>7.7648256025509704E-2</v>
      </c>
      <c r="F1425" s="79">
        <v>0.843341015208526</v>
      </c>
      <c r="G1425" s="79">
        <v>0.99362338620020496</v>
      </c>
      <c r="H1425" s="79">
        <v>1</v>
      </c>
      <c r="I1425" s="102">
        <v>1.0155139170715572</v>
      </c>
      <c r="J1425" s="79">
        <v>8.0504517695136404E-2</v>
      </c>
      <c r="K1425" s="79">
        <v>0.84834610452958603</v>
      </c>
      <c r="L1425" s="79">
        <v>0.95881128018530504</v>
      </c>
      <c r="M1425" s="79">
        <v>1</v>
      </c>
      <c r="N1425" s="102">
        <v>1.1235548041778467</v>
      </c>
      <c r="O1425" s="79">
        <v>7.8449595877412695E-2</v>
      </c>
      <c r="P1425" s="79">
        <v>0.13754402184507999</v>
      </c>
      <c r="Q1425" s="79">
        <v>0.22395731831047599</v>
      </c>
      <c r="R1425" s="79">
        <v>1</v>
      </c>
      <c r="S1425" s="102">
        <v>1.2064329527382203</v>
      </c>
      <c r="T1425" s="79">
        <v>7.8924995409372797E-2</v>
      </c>
      <c r="U1425" s="79">
        <v>1.7416162410167298E-2</v>
      </c>
      <c r="V1425" s="79">
        <v>4.4166136411412302E-2</v>
      </c>
      <c r="W1425" s="79">
        <v>1</v>
      </c>
    </row>
    <row r="1426" spans="2:23" x14ac:dyDescent="0.2">
      <c r="B1426" t="s">
        <v>2698</v>
      </c>
      <c r="C1426" s="84">
        <v>1325</v>
      </c>
      <c r="D1426" s="102">
        <v>1.0505314075361618</v>
      </c>
      <c r="E1426" s="79">
        <v>8.7382387128472502E-2</v>
      </c>
      <c r="F1426" s="79">
        <v>0.572656998720107</v>
      </c>
      <c r="G1426" s="79">
        <v>0.93281728622651605</v>
      </c>
      <c r="H1426" s="79">
        <v>1</v>
      </c>
      <c r="I1426" s="102">
        <v>1.0050039661416506</v>
      </c>
      <c r="J1426" s="79">
        <v>9.0499697249489003E-2</v>
      </c>
      <c r="K1426" s="79">
        <v>0.95601518061906698</v>
      </c>
      <c r="L1426" s="79">
        <v>0.99421745281696505</v>
      </c>
      <c r="M1426" s="79">
        <v>1</v>
      </c>
      <c r="N1426" s="102">
        <v>1.0765994550842992</v>
      </c>
      <c r="O1426" s="79">
        <v>8.77679329320257E-2</v>
      </c>
      <c r="P1426" s="79">
        <v>0.40038247076711297</v>
      </c>
      <c r="Q1426" s="79">
        <v>0.51695724503009899</v>
      </c>
      <c r="R1426" s="79">
        <v>1</v>
      </c>
      <c r="S1426" s="102">
        <v>1.2211296370068558</v>
      </c>
      <c r="T1426" s="79">
        <v>8.8186016878359794E-2</v>
      </c>
      <c r="U1426" s="79">
        <v>2.3488311429061201E-2</v>
      </c>
      <c r="V1426" s="79">
        <v>5.61201686330461E-2</v>
      </c>
      <c r="W1426" s="79">
        <v>1</v>
      </c>
    </row>
    <row r="1427" spans="2:23" x14ac:dyDescent="0.2">
      <c r="B1427" t="s">
        <v>2699</v>
      </c>
      <c r="C1427" s="84">
        <v>1325</v>
      </c>
      <c r="D1427" s="102">
        <v>0.92886055746113849</v>
      </c>
      <c r="E1427" s="79">
        <v>6.8242704537904403E-2</v>
      </c>
      <c r="F1427" s="79">
        <v>0.27952580000946198</v>
      </c>
      <c r="G1427" s="79">
        <v>0.86861170490914397</v>
      </c>
      <c r="H1427" s="79">
        <v>1</v>
      </c>
      <c r="I1427" s="102">
        <v>0.99677180376172458</v>
      </c>
      <c r="J1427" s="79">
        <v>7.0377517790111102E-2</v>
      </c>
      <c r="K1427" s="79">
        <v>0.96335495869019605</v>
      </c>
      <c r="L1427" s="79">
        <v>0.99551534580938295</v>
      </c>
      <c r="M1427" s="79">
        <v>1</v>
      </c>
      <c r="N1427" s="102">
        <v>1.1235630154731659</v>
      </c>
      <c r="O1427" s="79">
        <v>6.8853794734551096E-2</v>
      </c>
      <c r="P1427" s="79">
        <v>9.0634125208568103E-2</v>
      </c>
      <c r="Q1427" s="79">
        <v>0.161908732606974</v>
      </c>
      <c r="R1427" s="79">
        <v>1</v>
      </c>
      <c r="S1427" s="102">
        <v>1.1400530909028972</v>
      </c>
      <c r="T1427" s="79">
        <v>6.9267407475610804E-2</v>
      </c>
      <c r="U1427" s="79">
        <v>5.8450795789264001E-2</v>
      </c>
      <c r="V1427" s="79">
        <v>0.115537512330237</v>
      </c>
      <c r="W1427" s="79">
        <v>1</v>
      </c>
    </row>
    <row r="1428" spans="2:23" x14ac:dyDescent="0.2">
      <c r="B1428" t="s">
        <v>2700</v>
      </c>
      <c r="C1428" s="84">
        <v>1325</v>
      </c>
      <c r="D1428" s="102">
        <v>0.97462267651925516</v>
      </c>
      <c r="E1428" s="79">
        <v>8.7523875781643404E-2</v>
      </c>
      <c r="F1428" s="79">
        <v>0.76899484655356298</v>
      </c>
      <c r="G1428" s="79">
        <v>0.98424328460352195</v>
      </c>
      <c r="H1428" s="79">
        <v>1</v>
      </c>
      <c r="I1428" s="102">
        <v>1.0698980136289107</v>
      </c>
      <c r="J1428" s="79">
        <v>9.0856862810881803E-2</v>
      </c>
      <c r="K1428" s="79">
        <v>0.457104074000039</v>
      </c>
      <c r="L1428" s="79">
        <v>0.79746066051088205</v>
      </c>
      <c r="M1428" s="79">
        <v>1</v>
      </c>
      <c r="N1428" s="102">
        <v>1.1855914095952047</v>
      </c>
      <c r="O1428" s="79">
        <v>8.8464446429102506E-2</v>
      </c>
      <c r="P1428" s="79">
        <v>5.4303403726963698E-2</v>
      </c>
      <c r="Q1428" s="79">
        <v>0.10835096102883</v>
      </c>
      <c r="R1428" s="79">
        <v>1</v>
      </c>
      <c r="S1428" s="102">
        <v>1.2597323802668572</v>
      </c>
      <c r="T1428" s="79">
        <v>8.8928876730215295E-2</v>
      </c>
      <c r="U1428" s="79">
        <v>9.4192860890586101E-3</v>
      </c>
      <c r="V1428" s="79">
        <v>2.69531598561914E-2</v>
      </c>
      <c r="W1428" s="79">
        <v>1</v>
      </c>
    </row>
    <row r="1429" spans="2:23" x14ac:dyDescent="0.2">
      <c r="B1429" t="s">
        <v>2701</v>
      </c>
      <c r="C1429" s="84">
        <v>1325</v>
      </c>
      <c r="D1429" s="102">
        <v>0.92173223370769874</v>
      </c>
      <c r="E1429" s="79">
        <v>6.5587420754050302E-2</v>
      </c>
      <c r="F1429" s="79">
        <v>0.214006346062978</v>
      </c>
      <c r="G1429" s="79">
        <v>0.83918229220065899</v>
      </c>
      <c r="H1429" s="79">
        <v>1</v>
      </c>
      <c r="I1429" s="102">
        <v>0.99631082931517612</v>
      </c>
      <c r="J1429" s="79">
        <v>6.7680988274459605E-2</v>
      </c>
      <c r="K1429" s="79">
        <v>0.95644995237866304</v>
      </c>
      <c r="L1429" s="79">
        <v>0.99421745281696505</v>
      </c>
      <c r="M1429" s="79">
        <v>1</v>
      </c>
      <c r="N1429" s="102">
        <v>1.197599037910124</v>
      </c>
      <c r="O1429" s="79">
        <v>6.6571958738426695E-2</v>
      </c>
      <c r="P1429" s="79">
        <v>6.7561802664999598E-3</v>
      </c>
      <c r="Q1429" s="79">
        <v>2.04740060312181E-2</v>
      </c>
      <c r="R1429" s="79">
        <v>1</v>
      </c>
      <c r="S1429" s="102">
        <v>1.1382540698549548</v>
      </c>
      <c r="T1429" s="79">
        <v>6.6516168202718606E-2</v>
      </c>
      <c r="U1429" s="79">
        <v>5.1555301097157703E-2</v>
      </c>
      <c r="V1429" s="79">
        <v>0.104671022538358</v>
      </c>
      <c r="W1429" s="79">
        <v>1</v>
      </c>
    </row>
    <row r="1430" spans="2:23" x14ac:dyDescent="0.2">
      <c r="B1430" t="s">
        <v>2702</v>
      </c>
      <c r="C1430" s="84">
        <v>1325</v>
      </c>
      <c r="D1430" s="102">
        <v>0.9954290934363752</v>
      </c>
      <c r="E1430" s="79">
        <v>0.102088297909705</v>
      </c>
      <c r="F1430" s="79">
        <v>0.96420559522772198</v>
      </c>
      <c r="G1430" s="79">
        <v>0.99840985319461195</v>
      </c>
      <c r="H1430" s="79">
        <v>1</v>
      </c>
      <c r="I1430" s="102">
        <v>1.0012982702987556</v>
      </c>
      <c r="J1430" s="79">
        <v>0.105545119844924</v>
      </c>
      <c r="K1430" s="79">
        <v>0.99019213849155696</v>
      </c>
      <c r="L1430" s="79">
        <v>0.99725652949149701</v>
      </c>
      <c r="M1430" s="79">
        <v>1</v>
      </c>
      <c r="N1430" s="102">
        <v>1.3237130255933056</v>
      </c>
      <c r="O1430" s="79">
        <v>0.103786370371277</v>
      </c>
      <c r="P1430" s="79">
        <v>6.8903964910634503E-3</v>
      </c>
      <c r="Q1430" s="79">
        <v>2.0769273409006202E-2</v>
      </c>
      <c r="R1430" s="79">
        <v>1</v>
      </c>
      <c r="S1430" s="102">
        <v>1.2032626081448825</v>
      </c>
      <c r="T1430" s="79">
        <v>0.103130243129801</v>
      </c>
      <c r="U1430" s="79">
        <v>7.2780594121734002E-2</v>
      </c>
      <c r="V1430" s="79">
        <v>0.136534137809765</v>
      </c>
      <c r="W1430" s="79">
        <v>1</v>
      </c>
    </row>
    <row r="1431" spans="2:23" x14ac:dyDescent="0.2">
      <c r="B1431" t="s">
        <v>2703</v>
      </c>
      <c r="C1431" s="84">
        <v>1325</v>
      </c>
      <c r="D1431" s="102">
        <v>0.9954290934363752</v>
      </c>
      <c r="E1431" s="79">
        <v>0.102088297909705</v>
      </c>
      <c r="F1431" s="79">
        <v>0.96420559522772198</v>
      </c>
      <c r="G1431" s="79">
        <v>0.99840985319461195</v>
      </c>
      <c r="H1431" s="79">
        <v>1</v>
      </c>
      <c r="I1431" s="102">
        <v>1.0012982702987556</v>
      </c>
      <c r="J1431" s="79">
        <v>0.105545119844924</v>
      </c>
      <c r="K1431" s="79">
        <v>0.99019213849155696</v>
      </c>
      <c r="L1431" s="79">
        <v>0.99725652949149701</v>
      </c>
      <c r="M1431" s="79">
        <v>1</v>
      </c>
      <c r="N1431" s="102">
        <v>1.3237130255933056</v>
      </c>
      <c r="O1431" s="79">
        <v>0.103786370371277</v>
      </c>
      <c r="P1431" s="79">
        <v>6.8903964910634503E-3</v>
      </c>
      <c r="Q1431" s="79">
        <v>2.0769273409006202E-2</v>
      </c>
      <c r="R1431" s="79">
        <v>1</v>
      </c>
      <c r="S1431" s="102">
        <v>1.2032626081448825</v>
      </c>
      <c r="T1431" s="79">
        <v>0.103130243129801</v>
      </c>
      <c r="U1431" s="79">
        <v>7.2780594121734002E-2</v>
      </c>
      <c r="V1431" s="79">
        <v>0.136534137809765</v>
      </c>
      <c r="W1431" s="79">
        <v>1</v>
      </c>
    </row>
    <row r="1432" spans="2:23" x14ac:dyDescent="0.2">
      <c r="B1432" t="s">
        <v>2704</v>
      </c>
      <c r="C1432" s="84">
        <v>1325</v>
      </c>
      <c r="D1432" s="102">
        <v>0.88166287930416554</v>
      </c>
      <c r="E1432" s="79">
        <v>7.3670530618306806E-2</v>
      </c>
      <c r="F1432" s="79">
        <v>8.7343935061903202E-2</v>
      </c>
      <c r="G1432" s="79">
        <v>0.74561034814826599</v>
      </c>
      <c r="H1432" s="79">
        <v>1</v>
      </c>
      <c r="I1432" s="102">
        <v>0.95648558109300397</v>
      </c>
      <c r="J1432" s="79">
        <v>7.6323485580854805E-2</v>
      </c>
      <c r="K1432" s="79">
        <v>0.559955283045382</v>
      </c>
      <c r="L1432" s="79">
        <v>0.85878159627519401</v>
      </c>
      <c r="M1432" s="79">
        <v>1</v>
      </c>
      <c r="N1432" s="102">
        <v>1.2615845698480999</v>
      </c>
      <c r="O1432" s="79">
        <v>7.5173933405146706E-2</v>
      </c>
      <c r="P1432" s="79">
        <v>1.9943093212696199E-3</v>
      </c>
      <c r="Q1432" s="79">
        <v>7.4413215643848798E-3</v>
      </c>
      <c r="R1432" s="79">
        <v>1</v>
      </c>
      <c r="S1432" s="102">
        <v>1.0809645436486979</v>
      </c>
      <c r="T1432" s="79">
        <v>7.4579300699654294E-2</v>
      </c>
      <c r="U1432" s="79">
        <v>0.29652913597062602</v>
      </c>
      <c r="V1432" s="79">
        <v>0.41106412138644899</v>
      </c>
      <c r="W1432" s="79">
        <v>1</v>
      </c>
    </row>
    <row r="1433" spans="2:23" x14ac:dyDescent="0.2">
      <c r="B1433" t="s">
        <v>2705</v>
      </c>
      <c r="C1433" s="84">
        <v>1325</v>
      </c>
      <c r="D1433" s="102">
        <v>0.88166287930416554</v>
      </c>
      <c r="E1433" s="79">
        <v>7.3670530618306806E-2</v>
      </c>
      <c r="F1433" s="79">
        <v>8.7343935061903202E-2</v>
      </c>
      <c r="G1433" s="79">
        <v>0.74561034814826599</v>
      </c>
      <c r="H1433" s="79">
        <v>1</v>
      </c>
      <c r="I1433" s="102">
        <v>0.95648558109300397</v>
      </c>
      <c r="J1433" s="79">
        <v>7.6323485580854805E-2</v>
      </c>
      <c r="K1433" s="79">
        <v>0.559955283045382</v>
      </c>
      <c r="L1433" s="79">
        <v>0.85878159627519401</v>
      </c>
      <c r="M1433" s="79">
        <v>1</v>
      </c>
      <c r="N1433" s="102">
        <v>1.2615845698480999</v>
      </c>
      <c r="O1433" s="79">
        <v>7.5173933405146706E-2</v>
      </c>
      <c r="P1433" s="79">
        <v>1.9943093212696199E-3</v>
      </c>
      <c r="Q1433" s="79">
        <v>7.4413215643848798E-3</v>
      </c>
      <c r="R1433" s="79">
        <v>1</v>
      </c>
      <c r="S1433" s="102">
        <v>1.0809645436486979</v>
      </c>
      <c r="T1433" s="79">
        <v>7.4579300699654294E-2</v>
      </c>
      <c r="U1433" s="79">
        <v>0.29652913597062602</v>
      </c>
      <c r="V1433" s="79">
        <v>0.41106412138644899</v>
      </c>
      <c r="W1433" s="79">
        <v>1</v>
      </c>
    </row>
    <row r="1434" spans="2:23" x14ac:dyDescent="0.2">
      <c r="B1434" t="s">
        <v>2706</v>
      </c>
      <c r="C1434" s="84">
        <v>1325</v>
      </c>
      <c r="D1434" s="102">
        <v>0.97547519821199868</v>
      </c>
      <c r="E1434" s="79">
        <v>0.100300598965179</v>
      </c>
      <c r="F1434" s="79">
        <v>0.80447387796093195</v>
      </c>
      <c r="G1434" s="79">
        <v>0.99362338620020496</v>
      </c>
      <c r="H1434" s="79">
        <v>1</v>
      </c>
      <c r="I1434" s="102">
        <v>1.0380540835973409</v>
      </c>
      <c r="J1434" s="79">
        <v>0.104198476307983</v>
      </c>
      <c r="K1434" s="79">
        <v>0.72002134905021697</v>
      </c>
      <c r="L1434" s="79">
        <v>0.91424734896672399</v>
      </c>
      <c r="M1434" s="79">
        <v>1</v>
      </c>
      <c r="N1434" s="102">
        <v>1.1949359242170721</v>
      </c>
      <c r="O1434" s="79">
        <v>0.101227989039268</v>
      </c>
      <c r="P1434" s="79">
        <v>7.8522939401309999E-2</v>
      </c>
      <c r="Q1434" s="79">
        <v>0.14450136600017399</v>
      </c>
      <c r="R1434" s="79">
        <v>1</v>
      </c>
      <c r="S1434" s="102">
        <v>1.2331584173058123</v>
      </c>
      <c r="T1434" s="79">
        <v>0.101972935094718</v>
      </c>
      <c r="U1434" s="79">
        <v>3.9855978967488E-2</v>
      </c>
      <c r="V1434" s="79">
        <v>8.6117383126179406E-2</v>
      </c>
      <c r="W1434" s="79">
        <v>1</v>
      </c>
    </row>
    <row r="1435" spans="2:23" x14ac:dyDescent="0.2">
      <c r="B1435" t="s">
        <v>2707</v>
      </c>
      <c r="C1435" s="84">
        <v>1325</v>
      </c>
      <c r="D1435" s="102">
        <v>0.97547519821199868</v>
      </c>
      <c r="E1435" s="79">
        <v>0.100300598965179</v>
      </c>
      <c r="F1435" s="79">
        <v>0.80447387796093195</v>
      </c>
      <c r="G1435" s="79">
        <v>0.99362338620020496</v>
      </c>
      <c r="H1435" s="79">
        <v>1</v>
      </c>
      <c r="I1435" s="102">
        <v>1.0380540835973409</v>
      </c>
      <c r="J1435" s="79">
        <v>0.104198476307983</v>
      </c>
      <c r="K1435" s="79">
        <v>0.72002134905021697</v>
      </c>
      <c r="L1435" s="79">
        <v>0.91424734896672399</v>
      </c>
      <c r="M1435" s="79">
        <v>1</v>
      </c>
      <c r="N1435" s="102">
        <v>1.1949359242170721</v>
      </c>
      <c r="O1435" s="79">
        <v>0.101227989039268</v>
      </c>
      <c r="P1435" s="79">
        <v>7.8522939401309999E-2</v>
      </c>
      <c r="Q1435" s="79">
        <v>0.14450136600017399</v>
      </c>
      <c r="R1435" s="79">
        <v>1</v>
      </c>
      <c r="S1435" s="102">
        <v>1.2331584173058123</v>
      </c>
      <c r="T1435" s="79">
        <v>0.101972935094718</v>
      </c>
      <c r="U1435" s="79">
        <v>3.9855978967488E-2</v>
      </c>
      <c r="V1435" s="79">
        <v>8.6117383126179406E-2</v>
      </c>
      <c r="W1435" s="79">
        <v>1</v>
      </c>
    </row>
    <row r="1436" spans="2:23" x14ac:dyDescent="0.2">
      <c r="B1436" t="s">
        <v>2708</v>
      </c>
      <c r="C1436" s="84">
        <v>1325</v>
      </c>
      <c r="D1436" s="102">
        <v>0.86439916408394968</v>
      </c>
      <c r="E1436" s="79">
        <v>7.0464579912407302E-2</v>
      </c>
      <c r="F1436" s="79">
        <v>3.8640196395482398E-2</v>
      </c>
      <c r="G1436" s="79">
        <v>0.66335502824181403</v>
      </c>
      <c r="H1436" s="79">
        <v>1</v>
      </c>
      <c r="I1436" s="102">
        <v>0.99406725407659846</v>
      </c>
      <c r="J1436" s="79">
        <v>7.2740481857446596E-2</v>
      </c>
      <c r="K1436" s="79">
        <v>0.934803097763938</v>
      </c>
      <c r="L1436" s="79">
        <v>0.98647534698174599</v>
      </c>
      <c r="M1436" s="79">
        <v>1</v>
      </c>
      <c r="N1436" s="102">
        <v>1.1782840354398787</v>
      </c>
      <c r="O1436" s="79">
        <v>7.1357058101410298E-2</v>
      </c>
      <c r="P1436" s="79">
        <v>2.1497542641893401E-2</v>
      </c>
      <c r="Q1436" s="79">
        <v>5.1291320049813301E-2</v>
      </c>
      <c r="R1436" s="79">
        <v>1</v>
      </c>
      <c r="S1436" s="102">
        <v>1.1051931971660922</v>
      </c>
      <c r="T1436" s="79">
        <v>7.1346522180717603E-2</v>
      </c>
      <c r="U1436" s="79">
        <v>0.16094733200467001</v>
      </c>
      <c r="V1436" s="79">
        <v>0.25624509437585602</v>
      </c>
      <c r="W1436" s="79">
        <v>1</v>
      </c>
    </row>
    <row r="1437" spans="2:23" x14ac:dyDescent="0.2">
      <c r="B1437" t="s">
        <v>2709</v>
      </c>
      <c r="C1437" s="84">
        <v>1325</v>
      </c>
      <c r="D1437" s="102">
        <v>0.86439916408394968</v>
      </c>
      <c r="E1437" s="79">
        <v>7.0464579912407302E-2</v>
      </c>
      <c r="F1437" s="79">
        <v>3.8640196395482398E-2</v>
      </c>
      <c r="G1437" s="79">
        <v>0.66335502824181403</v>
      </c>
      <c r="H1437" s="79">
        <v>1</v>
      </c>
      <c r="I1437" s="102">
        <v>0.99406725407659846</v>
      </c>
      <c r="J1437" s="79">
        <v>7.2740481857446596E-2</v>
      </c>
      <c r="K1437" s="79">
        <v>0.934803097763938</v>
      </c>
      <c r="L1437" s="79">
        <v>0.98647534698174599</v>
      </c>
      <c r="M1437" s="79">
        <v>1</v>
      </c>
      <c r="N1437" s="102">
        <v>1.1782840354398787</v>
      </c>
      <c r="O1437" s="79">
        <v>7.1357058101410298E-2</v>
      </c>
      <c r="P1437" s="79">
        <v>2.1497542641893401E-2</v>
      </c>
      <c r="Q1437" s="79">
        <v>5.1291320049813301E-2</v>
      </c>
      <c r="R1437" s="79">
        <v>1</v>
      </c>
      <c r="S1437" s="102">
        <v>1.1051931971660922</v>
      </c>
      <c r="T1437" s="79">
        <v>7.1346522180717603E-2</v>
      </c>
      <c r="U1437" s="79">
        <v>0.16094733200467001</v>
      </c>
      <c r="V1437" s="79">
        <v>0.25624509437585602</v>
      </c>
      <c r="W1437" s="79">
        <v>1</v>
      </c>
    </row>
    <row r="1438" spans="2:23" x14ac:dyDescent="0.2">
      <c r="B1438" t="s">
        <v>2712</v>
      </c>
      <c r="C1438" s="84">
        <v>1325</v>
      </c>
      <c r="D1438" s="102">
        <v>0.99788315632082858</v>
      </c>
      <c r="E1438" s="79">
        <v>8.2114212595070804E-2</v>
      </c>
      <c r="F1438" s="79">
        <v>0.97941160998920795</v>
      </c>
      <c r="G1438" s="79">
        <v>0.99840985319461195</v>
      </c>
      <c r="H1438" s="79">
        <v>1</v>
      </c>
      <c r="I1438" s="102">
        <v>1.0203637839348427</v>
      </c>
      <c r="J1438" s="79">
        <v>8.5390520895982494E-2</v>
      </c>
      <c r="K1438" s="79">
        <v>0.81336858972632298</v>
      </c>
      <c r="L1438" s="79">
        <v>0.94632307073928001</v>
      </c>
      <c r="M1438" s="79">
        <v>1</v>
      </c>
      <c r="N1438" s="102">
        <v>1.0405581417190162</v>
      </c>
      <c r="O1438" s="79">
        <v>8.2748661371769394E-2</v>
      </c>
      <c r="P1438" s="79">
        <v>0.63090186775039403</v>
      </c>
      <c r="Q1438" s="79">
        <v>0.73051795213203496</v>
      </c>
      <c r="R1438" s="79">
        <v>1</v>
      </c>
      <c r="S1438" s="102">
        <v>1.0420260311526586</v>
      </c>
      <c r="T1438" s="79">
        <v>8.2915390847698694E-2</v>
      </c>
      <c r="U1438" s="79">
        <v>0.61954650763087205</v>
      </c>
      <c r="V1438" s="79">
        <v>0.70177992348704599</v>
      </c>
      <c r="W1438" s="79">
        <v>1</v>
      </c>
    </row>
    <row r="1439" spans="2:23" x14ac:dyDescent="0.2">
      <c r="B1439" t="s">
        <v>2713</v>
      </c>
      <c r="C1439" s="84">
        <v>1325</v>
      </c>
      <c r="D1439" s="102">
        <v>0.99788315632082858</v>
      </c>
      <c r="E1439" s="79">
        <v>8.2114212595070804E-2</v>
      </c>
      <c r="F1439" s="79">
        <v>0.97941160998920795</v>
      </c>
      <c r="G1439" s="79">
        <v>0.99840985319461195</v>
      </c>
      <c r="H1439" s="79">
        <v>1</v>
      </c>
      <c r="I1439" s="102">
        <v>1.0203637839348427</v>
      </c>
      <c r="J1439" s="79">
        <v>8.5390520895982494E-2</v>
      </c>
      <c r="K1439" s="79">
        <v>0.81336858972632298</v>
      </c>
      <c r="L1439" s="79">
        <v>0.94632307073928001</v>
      </c>
      <c r="M1439" s="79">
        <v>1</v>
      </c>
      <c r="N1439" s="102">
        <v>1.0405581417190162</v>
      </c>
      <c r="O1439" s="79">
        <v>8.2748661371769394E-2</v>
      </c>
      <c r="P1439" s="79">
        <v>0.63090186775039403</v>
      </c>
      <c r="Q1439" s="79">
        <v>0.73051795213203496</v>
      </c>
      <c r="R1439" s="79">
        <v>1</v>
      </c>
      <c r="S1439" s="102">
        <v>1.0420260311526586</v>
      </c>
      <c r="T1439" s="79">
        <v>8.2915390847698694E-2</v>
      </c>
      <c r="U1439" s="79">
        <v>0.61954650763087205</v>
      </c>
      <c r="V1439" s="79">
        <v>0.70177992348704599</v>
      </c>
      <c r="W1439" s="79">
        <v>1</v>
      </c>
    </row>
    <row r="1440" spans="2:23" x14ac:dyDescent="0.2">
      <c r="B1440" t="s">
        <v>2715</v>
      </c>
      <c r="C1440" s="84">
        <v>1325</v>
      </c>
      <c r="D1440" s="102">
        <v>1.0226195239934637</v>
      </c>
      <c r="E1440" s="79">
        <v>8.2334207514950297E-2</v>
      </c>
      <c r="F1440" s="79">
        <v>0.78587799497093003</v>
      </c>
      <c r="G1440" s="79">
        <v>0.988344463507694</v>
      </c>
      <c r="H1440" s="79">
        <v>1</v>
      </c>
      <c r="I1440" s="102">
        <v>1.0546768907075481</v>
      </c>
      <c r="J1440" s="79">
        <v>8.6394258698554799E-2</v>
      </c>
      <c r="K1440" s="79">
        <v>0.53777541395385198</v>
      </c>
      <c r="L1440" s="79">
        <v>0.84586030755601305</v>
      </c>
      <c r="M1440" s="79">
        <v>1</v>
      </c>
      <c r="N1440" s="102">
        <v>1.0737511164671738</v>
      </c>
      <c r="O1440" s="79">
        <v>8.3297593396288797E-2</v>
      </c>
      <c r="P1440" s="79">
        <v>0.39295807234159602</v>
      </c>
      <c r="Q1440" s="79">
        <v>0.50970212446145802</v>
      </c>
      <c r="R1440" s="79">
        <v>1</v>
      </c>
      <c r="S1440" s="102">
        <v>1.181688371401469</v>
      </c>
      <c r="T1440" s="79">
        <v>8.4248557497752397E-2</v>
      </c>
      <c r="U1440" s="79">
        <v>4.7527620334289103E-2</v>
      </c>
      <c r="V1440" s="79">
        <v>9.8065516256133606E-2</v>
      </c>
      <c r="W1440" s="79">
        <v>1</v>
      </c>
    </row>
    <row r="1441" spans="2:23" x14ac:dyDescent="0.2">
      <c r="B1441" t="s">
        <v>2716</v>
      </c>
      <c r="C1441" s="84">
        <v>1325</v>
      </c>
      <c r="D1441" s="102">
        <v>1.0226195239934637</v>
      </c>
      <c r="E1441" s="79">
        <v>8.2334207514950297E-2</v>
      </c>
      <c r="F1441" s="79">
        <v>0.78587799497093003</v>
      </c>
      <c r="G1441" s="79">
        <v>0.988344463507694</v>
      </c>
      <c r="H1441" s="79">
        <v>1</v>
      </c>
      <c r="I1441" s="102">
        <v>1.0546768907075481</v>
      </c>
      <c r="J1441" s="79">
        <v>8.6394258698554799E-2</v>
      </c>
      <c r="K1441" s="79">
        <v>0.53777541395385198</v>
      </c>
      <c r="L1441" s="79">
        <v>0.84586030755601305</v>
      </c>
      <c r="M1441" s="79">
        <v>1</v>
      </c>
      <c r="N1441" s="102">
        <v>1.0737511164671738</v>
      </c>
      <c r="O1441" s="79">
        <v>8.3297593396288797E-2</v>
      </c>
      <c r="P1441" s="79">
        <v>0.39295807234159602</v>
      </c>
      <c r="Q1441" s="79">
        <v>0.50970212446145802</v>
      </c>
      <c r="R1441" s="79">
        <v>1</v>
      </c>
      <c r="S1441" s="102">
        <v>1.181688371401469</v>
      </c>
      <c r="T1441" s="79">
        <v>8.4248557497752397E-2</v>
      </c>
      <c r="U1441" s="79">
        <v>4.7527620334289103E-2</v>
      </c>
      <c r="V1441" s="79">
        <v>9.8065516256133606E-2</v>
      </c>
      <c r="W1441" s="79">
        <v>1</v>
      </c>
    </row>
    <row r="1442" spans="2:23" x14ac:dyDescent="0.2">
      <c r="B1442" t="s">
        <v>2721</v>
      </c>
      <c r="C1442" s="84">
        <v>1325</v>
      </c>
      <c r="D1442" s="102">
        <v>0.9319270692934104</v>
      </c>
      <c r="E1442" s="79">
        <v>0.10328274772469299</v>
      </c>
      <c r="F1442" s="79">
        <v>0.49486015064915401</v>
      </c>
      <c r="G1442" s="79">
        <v>0.91678121217168596</v>
      </c>
      <c r="H1442" s="79">
        <v>1</v>
      </c>
      <c r="I1442" s="102">
        <v>0.92330965634638507</v>
      </c>
      <c r="J1442" s="79">
        <v>0.105612048850785</v>
      </c>
      <c r="K1442" s="79">
        <v>0.44994500673936699</v>
      </c>
      <c r="L1442" s="79">
        <v>0.79746066051088205</v>
      </c>
      <c r="M1442" s="79">
        <v>1</v>
      </c>
      <c r="N1442" s="102">
        <v>1.2056220627420664</v>
      </c>
      <c r="O1442" s="79">
        <v>0.10411117025012501</v>
      </c>
      <c r="P1442" s="79">
        <v>7.2476177653362006E-2</v>
      </c>
      <c r="Q1442" s="79">
        <v>0.13712334734914999</v>
      </c>
      <c r="R1442" s="79">
        <v>1</v>
      </c>
      <c r="S1442" s="102">
        <v>1.0812051540794312</v>
      </c>
      <c r="T1442" s="79">
        <v>0.103968227494615</v>
      </c>
      <c r="U1442" s="79">
        <v>0.45267486343879598</v>
      </c>
      <c r="V1442" s="79">
        <v>0.56886588921759695</v>
      </c>
      <c r="W1442" s="79">
        <v>1</v>
      </c>
    </row>
    <row r="1443" spans="2:23" x14ac:dyDescent="0.2">
      <c r="B1443" t="s">
        <v>2722</v>
      </c>
      <c r="C1443" s="84">
        <v>1325</v>
      </c>
      <c r="D1443" s="102">
        <v>0.91446359854438108</v>
      </c>
      <c r="E1443" s="79">
        <v>0.101746105552663</v>
      </c>
      <c r="F1443" s="79">
        <v>0.37949299507517198</v>
      </c>
      <c r="G1443" s="79">
        <v>0.89461055933914202</v>
      </c>
      <c r="H1443" s="79">
        <v>1</v>
      </c>
      <c r="I1443" s="102">
        <v>0.87592693326732718</v>
      </c>
      <c r="J1443" s="79">
        <v>0.104242291912214</v>
      </c>
      <c r="K1443" s="79">
        <v>0.20379470036950201</v>
      </c>
      <c r="L1443" s="79">
        <v>0.64467710008358303</v>
      </c>
      <c r="M1443" s="79">
        <v>1</v>
      </c>
      <c r="N1443" s="102">
        <v>1.2004189999111199</v>
      </c>
      <c r="O1443" s="79">
        <v>0.102530012059456</v>
      </c>
      <c r="P1443" s="79">
        <v>7.4809402577071304E-2</v>
      </c>
      <c r="Q1443" s="79">
        <v>0.14034011956318801</v>
      </c>
      <c r="R1443" s="79">
        <v>1</v>
      </c>
      <c r="S1443" s="102">
        <v>1.0595396826502095</v>
      </c>
      <c r="T1443" s="79">
        <v>0.10258570181073801</v>
      </c>
      <c r="U1443" s="79">
        <v>0.57291192478997099</v>
      </c>
      <c r="V1443" s="79">
        <v>0.66707610931845296</v>
      </c>
      <c r="W1443" s="79">
        <v>1</v>
      </c>
    </row>
    <row r="1444" spans="2:23" x14ac:dyDescent="0.2">
      <c r="B1444" t="s">
        <v>2723</v>
      </c>
      <c r="C1444" s="84">
        <v>1325</v>
      </c>
      <c r="D1444" s="102">
        <v>0.95073739552747683</v>
      </c>
      <c r="E1444" s="79">
        <v>0.102660320804749</v>
      </c>
      <c r="F1444" s="79">
        <v>0.62266073137815003</v>
      </c>
      <c r="G1444" s="79">
        <v>0.95468997501837705</v>
      </c>
      <c r="H1444" s="79">
        <v>1</v>
      </c>
      <c r="I1444" s="102">
        <v>0.94157498761892722</v>
      </c>
      <c r="J1444" s="79">
        <v>0.105448465128384</v>
      </c>
      <c r="K1444" s="79">
        <v>0.56806255574591702</v>
      </c>
      <c r="L1444" s="79">
        <v>0.85878159627519401</v>
      </c>
      <c r="M1444" s="79">
        <v>1</v>
      </c>
      <c r="N1444" s="102">
        <v>1.1350712143763593</v>
      </c>
      <c r="O1444" s="79">
        <v>0.103213911380724</v>
      </c>
      <c r="P1444" s="79">
        <v>0.21963356929956601</v>
      </c>
      <c r="Q1444" s="79">
        <v>0.32494259073665099</v>
      </c>
      <c r="R1444" s="79">
        <v>1</v>
      </c>
      <c r="S1444" s="102">
        <v>1.0673818734612028</v>
      </c>
      <c r="T1444" s="79">
        <v>0.10318508035136199</v>
      </c>
      <c r="U1444" s="79">
        <v>0.52741327204919897</v>
      </c>
      <c r="V1444" s="79">
        <v>0.62992010866264103</v>
      </c>
      <c r="W1444" s="79">
        <v>1</v>
      </c>
    </row>
    <row r="1445" spans="2:23" x14ac:dyDescent="0.2">
      <c r="B1445" t="s">
        <v>2724</v>
      </c>
      <c r="C1445" s="84">
        <v>1325</v>
      </c>
      <c r="D1445" s="102">
        <v>0.99486237129245958</v>
      </c>
      <c r="E1445" s="79">
        <v>6.9710319521081907E-2</v>
      </c>
      <c r="F1445" s="79">
        <v>0.94109818471729501</v>
      </c>
      <c r="G1445" s="79">
        <v>0.99840985319461195</v>
      </c>
      <c r="H1445" s="79">
        <v>1</v>
      </c>
      <c r="I1445" s="102">
        <v>1.0398693371499941</v>
      </c>
      <c r="J1445" s="79">
        <v>7.1767258091488206E-2</v>
      </c>
      <c r="K1445" s="79">
        <v>0.58592687008678901</v>
      </c>
      <c r="L1445" s="79">
        <v>0.86535319784395903</v>
      </c>
      <c r="M1445" s="79">
        <v>1</v>
      </c>
      <c r="N1445" s="102">
        <v>0.98982342237470533</v>
      </c>
      <c r="O1445" s="79">
        <v>6.9909173844738104E-2</v>
      </c>
      <c r="P1445" s="79">
        <v>0.88367326442300298</v>
      </c>
      <c r="Q1445" s="79">
        <v>0.92079972047371506</v>
      </c>
      <c r="R1445" s="79">
        <v>1</v>
      </c>
      <c r="S1445" s="102">
        <v>1.099325711311598</v>
      </c>
      <c r="T1445" s="79">
        <v>7.0745107340868293E-2</v>
      </c>
      <c r="U1445" s="79">
        <v>0.18071196966122299</v>
      </c>
      <c r="V1445" s="79">
        <v>0.27982273912807298</v>
      </c>
      <c r="W1445" s="79">
        <v>1</v>
      </c>
    </row>
    <row r="1446" spans="2:23" x14ac:dyDescent="0.2">
      <c r="B1446" t="s">
        <v>2725</v>
      </c>
      <c r="C1446" s="84">
        <v>1325</v>
      </c>
      <c r="D1446" s="102">
        <v>1.0581248635218989</v>
      </c>
      <c r="E1446" s="79">
        <v>8.1644309199411194E-2</v>
      </c>
      <c r="F1446" s="79">
        <v>0.48893361416176201</v>
      </c>
      <c r="G1446" s="79">
        <v>0.91678121217168596</v>
      </c>
      <c r="H1446" s="79">
        <v>1</v>
      </c>
      <c r="I1446" s="102">
        <v>1.0478722666830882</v>
      </c>
      <c r="J1446" s="79">
        <v>8.3931454425156399E-2</v>
      </c>
      <c r="K1446" s="79">
        <v>0.57743076236590596</v>
      </c>
      <c r="L1446" s="79">
        <v>0.86249050978055197</v>
      </c>
      <c r="M1446" s="79">
        <v>1</v>
      </c>
      <c r="N1446" s="102">
        <v>0.97783338654126761</v>
      </c>
      <c r="O1446" s="79">
        <v>8.1793870722128598E-2</v>
      </c>
      <c r="P1446" s="79">
        <v>0.78404267801594496</v>
      </c>
      <c r="Q1446" s="79">
        <v>0.85412752190290098</v>
      </c>
      <c r="R1446" s="79">
        <v>1</v>
      </c>
      <c r="S1446" s="102">
        <v>1.0645376315063086</v>
      </c>
      <c r="T1446" s="79">
        <v>8.22841247250682E-2</v>
      </c>
      <c r="U1446" s="79">
        <v>0.447221014763729</v>
      </c>
      <c r="V1446" s="79">
        <v>0.56323962673456895</v>
      </c>
      <c r="W1446" s="79">
        <v>1</v>
      </c>
    </row>
    <row r="1447" spans="2:23" x14ac:dyDescent="0.2">
      <c r="B1447" t="s">
        <v>2726</v>
      </c>
      <c r="C1447" s="84">
        <v>1325</v>
      </c>
      <c r="D1447" s="102">
        <v>0.97349017615225442</v>
      </c>
      <c r="E1447" s="79">
        <v>9.1593705281985197E-2</v>
      </c>
      <c r="F1447" s="79">
        <v>0.76926688832057999</v>
      </c>
      <c r="G1447" s="79">
        <v>0.98424328460352195</v>
      </c>
      <c r="H1447" s="79">
        <v>1</v>
      </c>
      <c r="I1447" s="102">
        <v>1.0552717381052528</v>
      </c>
      <c r="J1447" s="79">
        <v>9.5590124288435302E-2</v>
      </c>
      <c r="K1447" s="79">
        <v>0.57356977316514601</v>
      </c>
      <c r="L1447" s="79">
        <v>0.86060867647631301</v>
      </c>
      <c r="M1447" s="79">
        <v>1</v>
      </c>
      <c r="N1447" s="102">
        <v>1.0579088037396205</v>
      </c>
      <c r="O1447" s="79">
        <v>9.2436961787229197E-2</v>
      </c>
      <c r="P1447" s="79">
        <v>0.54252427290411998</v>
      </c>
      <c r="Q1447" s="79">
        <v>0.65551791604820198</v>
      </c>
      <c r="R1447" s="79">
        <v>1</v>
      </c>
      <c r="S1447" s="102">
        <v>1.228415214523332</v>
      </c>
      <c r="T1447" s="79">
        <v>9.3681015018702005E-2</v>
      </c>
      <c r="U1447" s="79">
        <v>2.8090884317727001E-2</v>
      </c>
      <c r="V1447" s="79">
        <v>6.5485159309135302E-2</v>
      </c>
      <c r="W1447" s="79">
        <v>1</v>
      </c>
    </row>
    <row r="1448" spans="2:23" x14ac:dyDescent="0.2">
      <c r="B1448" t="s">
        <v>2727</v>
      </c>
      <c r="C1448" s="84">
        <v>1325</v>
      </c>
      <c r="D1448" s="102">
        <v>1.0426674345357936</v>
      </c>
      <c r="E1448" s="79">
        <v>7.4968249225392997E-2</v>
      </c>
      <c r="F1448" s="79">
        <v>0.57730001294668498</v>
      </c>
      <c r="G1448" s="79">
        <v>0.93493902670333096</v>
      </c>
      <c r="H1448" s="79">
        <v>1</v>
      </c>
      <c r="I1448" s="102">
        <v>1.0307380556501868</v>
      </c>
      <c r="J1448" s="79">
        <v>7.7297166862160996E-2</v>
      </c>
      <c r="K1448" s="79">
        <v>0.69530088152394898</v>
      </c>
      <c r="L1448" s="79">
        <v>0.90186806531513797</v>
      </c>
      <c r="M1448" s="79">
        <v>1</v>
      </c>
      <c r="N1448" s="102">
        <v>1.1094661897896589</v>
      </c>
      <c r="O1448" s="79">
        <v>7.55054362971294E-2</v>
      </c>
      <c r="P1448" s="79">
        <v>0.16888926138503901</v>
      </c>
      <c r="Q1448" s="79">
        <v>0.26392842138953498</v>
      </c>
      <c r="R1448" s="79">
        <v>1</v>
      </c>
      <c r="S1448" s="102">
        <v>1.0963239438853976</v>
      </c>
      <c r="T1448" s="79">
        <v>7.6332212165360194E-2</v>
      </c>
      <c r="U1448" s="79">
        <v>0.22829233277418401</v>
      </c>
      <c r="V1448" s="79">
        <v>0.33570070461759399</v>
      </c>
      <c r="W1448" s="79">
        <v>1</v>
      </c>
    </row>
    <row r="1449" spans="2:23" x14ac:dyDescent="0.2">
      <c r="B1449" t="s">
        <v>2728</v>
      </c>
      <c r="C1449" s="84">
        <v>1325</v>
      </c>
      <c r="D1449" s="102">
        <v>0.97096022607568433</v>
      </c>
      <c r="E1449" s="79">
        <v>7.4037306173307699E-2</v>
      </c>
      <c r="F1449" s="79">
        <v>0.69060105929195503</v>
      </c>
      <c r="G1449" s="79">
        <v>0.96831418681398196</v>
      </c>
      <c r="H1449" s="79">
        <v>1</v>
      </c>
      <c r="I1449" s="102">
        <v>1.1074772725026472</v>
      </c>
      <c r="J1449" s="79">
        <v>7.6590998007188396E-2</v>
      </c>
      <c r="K1449" s="79">
        <v>0.18257936402651301</v>
      </c>
      <c r="L1449" s="79">
        <v>0.61981852236655899</v>
      </c>
      <c r="M1449" s="79">
        <v>1</v>
      </c>
      <c r="N1449" s="102">
        <v>1.0911103932196233</v>
      </c>
      <c r="O1449" s="79">
        <v>7.4471506141117097E-2</v>
      </c>
      <c r="P1449" s="79">
        <v>0.24165408716652201</v>
      </c>
      <c r="Q1449" s="79">
        <v>0.35168558733684602</v>
      </c>
      <c r="R1449" s="79">
        <v>1</v>
      </c>
      <c r="S1449" s="102">
        <v>1.2321883012179748</v>
      </c>
      <c r="T1449" s="79">
        <v>7.5451941592716801E-2</v>
      </c>
      <c r="U1449" s="79">
        <v>5.6537568425485797E-3</v>
      </c>
      <c r="V1449" s="79">
        <v>1.7801977864827699E-2</v>
      </c>
      <c r="W1449" s="79">
        <v>1</v>
      </c>
    </row>
    <row r="1450" spans="2:23" x14ac:dyDescent="0.2">
      <c r="B1450" t="s">
        <v>2729</v>
      </c>
      <c r="C1450" s="84">
        <v>1325</v>
      </c>
      <c r="D1450" s="102">
        <v>1.0025976051082612</v>
      </c>
      <c r="E1450" s="79">
        <v>6.7436758520630996E-2</v>
      </c>
      <c r="F1450" s="79">
        <v>0.96931359981470899</v>
      </c>
      <c r="G1450" s="79">
        <v>0.99840985319461195</v>
      </c>
      <c r="H1450" s="79">
        <v>1</v>
      </c>
      <c r="I1450" s="102">
        <v>1.0935573909539953</v>
      </c>
      <c r="J1450" s="79">
        <v>6.9644250409170994E-2</v>
      </c>
      <c r="K1450" s="79">
        <v>0.19907752482478899</v>
      </c>
      <c r="L1450" s="79">
        <v>0.64163197767429703</v>
      </c>
      <c r="M1450" s="79">
        <v>1</v>
      </c>
      <c r="N1450" s="102">
        <v>1.0564168856876672</v>
      </c>
      <c r="O1450" s="79">
        <v>6.7806256945191698E-2</v>
      </c>
      <c r="P1450" s="79">
        <v>0.418280852563018</v>
      </c>
      <c r="Q1450" s="79">
        <v>0.53517202737292502</v>
      </c>
      <c r="R1450" s="79">
        <v>1</v>
      </c>
      <c r="S1450" s="102">
        <v>1.1311189090670344</v>
      </c>
      <c r="T1450" s="79">
        <v>6.8281066635024396E-2</v>
      </c>
      <c r="U1450" s="79">
        <v>7.1166394945367306E-2</v>
      </c>
      <c r="V1450" s="79">
        <v>0.13409997000828899</v>
      </c>
      <c r="W1450" s="79">
        <v>1</v>
      </c>
    </row>
    <row r="1451" spans="2:23" x14ac:dyDescent="0.2">
      <c r="B1451" t="s">
        <v>2730</v>
      </c>
      <c r="C1451" s="84">
        <v>1325</v>
      </c>
      <c r="D1451" s="102">
        <v>0.99525985522204474</v>
      </c>
      <c r="E1451" s="79">
        <v>7.4716622047657999E-2</v>
      </c>
      <c r="F1451" s="79">
        <v>0.94929472398013404</v>
      </c>
      <c r="G1451" s="79">
        <v>0.99840985319461195</v>
      </c>
      <c r="H1451" s="79">
        <v>1</v>
      </c>
      <c r="I1451" s="102">
        <v>1.0975085601579215</v>
      </c>
      <c r="J1451" s="79">
        <v>7.7536621008285303E-2</v>
      </c>
      <c r="K1451" s="79">
        <v>0.23014574980180599</v>
      </c>
      <c r="L1451" s="79">
        <v>0.66141104862732303</v>
      </c>
      <c r="M1451" s="79">
        <v>1</v>
      </c>
      <c r="N1451" s="102">
        <v>1.1430682004222437</v>
      </c>
      <c r="O1451" s="79">
        <v>7.5685154064896495E-2</v>
      </c>
      <c r="P1451" s="79">
        <v>7.7271644242781795E-2</v>
      </c>
      <c r="Q1451" s="79">
        <v>0.14352869007376401</v>
      </c>
      <c r="R1451" s="79">
        <v>1</v>
      </c>
      <c r="S1451" s="102">
        <v>1.1215639565004629</v>
      </c>
      <c r="T1451" s="79">
        <v>7.5936673872023699E-2</v>
      </c>
      <c r="U1451" s="79">
        <v>0.13084285784617</v>
      </c>
      <c r="V1451" s="79">
        <v>0.21858757513946001</v>
      </c>
      <c r="W1451" s="79">
        <v>1</v>
      </c>
    </row>
    <row r="1452" spans="2:23" x14ac:dyDescent="0.2">
      <c r="B1452" t="s">
        <v>2732</v>
      </c>
      <c r="C1452" s="84">
        <v>1325</v>
      </c>
      <c r="D1452" s="102">
        <v>1.0970960218888706</v>
      </c>
      <c r="E1452" s="79">
        <v>9.9704600755372796E-2</v>
      </c>
      <c r="F1452" s="79">
        <v>0.35267531814043401</v>
      </c>
      <c r="G1452" s="79">
        <v>0.89461055933914202</v>
      </c>
      <c r="H1452" s="79">
        <v>1</v>
      </c>
      <c r="I1452" s="102">
        <v>1.1110003905865962</v>
      </c>
      <c r="J1452" s="79">
        <v>0.10469376448221</v>
      </c>
      <c r="K1452" s="79">
        <v>0.31469622785319601</v>
      </c>
      <c r="L1452" s="79">
        <v>0.71364847387324504</v>
      </c>
      <c r="M1452" s="79">
        <v>1</v>
      </c>
      <c r="N1452" s="102">
        <v>1.0003825787585563</v>
      </c>
      <c r="O1452" s="79">
        <v>0.100290418824966</v>
      </c>
      <c r="P1452" s="79">
        <v>0.99695689207898597</v>
      </c>
      <c r="Q1452" s="79">
        <v>0.99754576206840095</v>
      </c>
      <c r="R1452" s="79">
        <v>1</v>
      </c>
      <c r="S1452" s="102">
        <v>1.0450464124297871</v>
      </c>
      <c r="T1452" s="79">
        <v>0.10198383047845801</v>
      </c>
      <c r="U1452" s="79">
        <v>0.66571088674716505</v>
      </c>
      <c r="V1452" s="79">
        <v>0.73562572873430998</v>
      </c>
      <c r="W1452" s="79">
        <v>1</v>
      </c>
    </row>
    <row r="1453" spans="2:23" x14ac:dyDescent="0.2">
      <c r="B1453" t="s">
        <v>2734</v>
      </c>
      <c r="C1453" s="84">
        <v>1325</v>
      </c>
      <c r="D1453" s="102">
        <v>1.0373397100056081</v>
      </c>
      <c r="E1453" s="79">
        <v>8.8400228732246899E-2</v>
      </c>
      <c r="F1453" s="79">
        <v>0.67836244380199495</v>
      </c>
      <c r="G1453" s="79">
        <v>0.96670198527320195</v>
      </c>
      <c r="H1453" s="79">
        <v>1</v>
      </c>
      <c r="I1453" s="102">
        <v>1.0616035550487362</v>
      </c>
      <c r="J1453" s="79">
        <v>9.1211833637732997E-2</v>
      </c>
      <c r="K1453" s="79">
        <v>0.51220801426079399</v>
      </c>
      <c r="L1453" s="79">
        <v>0.82746883238231095</v>
      </c>
      <c r="M1453" s="79">
        <v>1</v>
      </c>
      <c r="N1453" s="102">
        <v>1.0395035050485952</v>
      </c>
      <c r="O1453" s="79">
        <v>8.9084967814747604E-2</v>
      </c>
      <c r="P1453" s="79">
        <v>0.66363381136605304</v>
      </c>
      <c r="Q1453" s="79">
        <v>0.75856658330235804</v>
      </c>
      <c r="R1453" s="79">
        <v>1</v>
      </c>
      <c r="S1453" s="102">
        <v>1.0098270571847503</v>
      </c>
      <c r="T1453" s="79">
        <v>8.9764180746410405E-2</v>
      </c>
      <c r="U1453" s="79">
        <v>0.91324852636153198</v>
      </c>
      <c r="V1453" s="79">
        <v>0.93988031813878203</v>
      </c>
      <c r="W1453" s="79">
        <v>1</v>
      </c>
    </row>
    <row r="1454" spans="2:23" x14ac:dyDescent="0.2">
      <c r="B1454" t="s">
        <v>2735</v>
      </c>
      <c r="C1454" s="84">
        <v>1325</v>
      </c>
      <c r="D1454" s="102">
        <v>0.9079707218717793</v>
      </c>
      <c r="E1454" s="79">
        <v>0.105878527618887</v>
      </c>
      <c r="F1454" s="79">
        <v>0.36185857477085598</v>
      </c>
      <c r="G1454" s="79">
        <v>0.89461055933914202</v>
      </c>
      <c r="H1454" s="79">
        <v>1</v>
      </c>
      <c r="I1454" s="102">
        <v>0.93628042771053555</v>
      </c>
      <c r="J1454" s="79">
        <v>0.10831231818520901</v>
      </c>
      <c r="K1454" s="79">
        <v>0.54327102644370995</v>
      </c>
      <c r="L1454" s="79">
        <v>0.85027603254876005</v>
      </c>
      <c r="M1454" s="79">
        <v>1</v>
      </c>
      <c r="N1454" s="102">
        <v>1.1834664453752701</v>
      </c>
      <c r="O1454" s="79">
        <v>0.106495702354759</v>
      </c>
      <c r="P1454" s="79">
        <v>0.113710469901958</v>
      </c>
      <c r="Q1454" s="79">
        <v>0.19285849851541001</v>
      </c>
      <c r="R1454" s="79">
        <v>1</v>
      </c>
      <c r="S1454" s="102">
        <v>1.1455251749099609</v>
      </c>
      <c r="T1454" s="79">
        <v>0.10679205813142199</v>
      </c>
      <c r="U1454" s="79">
        <v>0.20329427264094099</v>
      </c>
      <c r="V1454" s="79">
        <v>0.30422305464112598</v>
      </c>
      <c r="W1454" s="79">
        <v>1</v>
      </c>
    </row>
    <row r="1455" spans="2:23" x14ac:dyDescent="0.2">
      <c r="B1455" t="s">
        <v>2736</v>
      </c>
      <c r="C1455" s="84">
        <v>1325</v>
      </c>
      <c r="D1455" s="102">
        <v>1.0108303301430475</v>
      </c>
      <c r="E1455" s="79">
        <v>6.6981609562511799E-2</v>
      </c>
      <c r="F1455" s="79">
        <v>0.87223376489369597</v>
      </c>
      <c r="G1455" s="79">
        <v>0.99362338620020496</v>
      </c>
      <c r="H1455" s="79">
        <v>1</v>
      </c>
      <c r="I1455" s="102">
        <v>1.1142756602651904</v>
      </c>
      <c r="J1455" s="79">
        <v>6.9004850436276993E-2</v>
      </c>
      <c r="K1455" s="79">
        <v>0.116864371033088</v>
      </c>
      <c r="L1455" s="79">
        <v>0.54991179036125304</v>
      </c>
      <c r="M1455" s="79">
        <v>1</v>
      </c>
      <c r="N1455" s="102">
        <v>1.0752208132903056</v>
      </c>
      <c r="O1455" s="79">
        <v>6.7176062873338202E-2</v>
      </c>
      <c r="P1455" s="79">
        <v>0.28030196695075299</v>
      </c>
      <c r="Q1455" s="79">
        <v>0.392131231823729</v>
      </c>
      <c r="R1455" s="79">
        <v>1</v>
      </c>
      <c r="S1455" s="102">
        <v>1.1086673796461584</v>
      </c>
      <c r="T1455" s="79">
        <v>6.7677263187075801E-2</v>
      </c>
      <c r="U1455" s="79">
        <v>0.12744012230940299</v>
      </c>
      <c r="V1455" s="79">
        <v>0.21438288698324601</v>
      </c>
      <c r="W1455" s="79">
        <v>1</v>
      </c>
    </row>
    <row r="1456" spans="2:23" x14ac:dyDescent="0.2">
      <c r="B1456" t="s">
        <v>2738</v>
      </c>
      <c r="C1456" s="84">
        <v>1325</v>
      </c>
      <c r="D1456" s="102">
        <v>1.0722964163588906</v>
      </c>
      <c r="E1456" s="79">
        <v>7.1651373718652003E-2</v>
      </c>
      <c r="F1456" s="79">
        <v>0.32995888012936903</v>
      </c>
      <c r="G1456" s="79">
        <v>0.88730162874475904</v>
      </c>
      <c r="H1456" s="79">
        <v>1</v>
      </c>
      <c r="I1456" s="102">
        <v>0.99712364296950018</v>
      </c>
      <c r="J1456" s="79">
        <v>7.3560598107023506E-2</v>
      </c>
      <c r="K1456" s="79">
        <v>0.96876424789590898</v>
      </c>
      <c r="L1456" s="79">
        <v>0.99551534580938295</v>
      </c>
      <c r="M1456" s="79">
        <v>1</v>
      </c>
      <c r="N1456" s="102">
        <v>1.0146855387878033</v>
      </c>
      <c r="O1456" s="79">
        <v>7.1814023847146399E-2</v>
      </c>
      <c r="P1456" s="79">
        <v>0.83912955058484495</v>
      </c>
      <c r="Q1456" s="79">
        <v>0.89121345372459404</v>
      </c>
      <c r="R1456" s="79">
        <v>1</v>
      </c>
      <c r="S1456" s="102">
        <v>1.1105872248429949</v>
      </c>
      <c r="T1456" s="79">
        <v>7.2304074649505598E-2</v>
      </c>
      <c r="U1456" s="79">
        <v>0.14687348816972601</v>
      </c>
      <c r="V1456" s="79">
        <v>0.24084678596137399</v>
      </c>
      <c r="W1456" s="79">
        <v>1</v>
      </c>
    </row>
    <row r="1457" spans="2:23" x14ac:dyDescent="0.2">
      <c r="B1457" t="s">
        <v>2739</v>
      </c>
      <c r="C1457" s="84">
        <v>1325</v>
      </c>
      <c r="D1457" s="102">
        <v>1.0005187274050649</v>
      </c>
      <c r="E1457" s="79">
        <v>7.4946058400544996E-2</v>
      </c>
      <c r="F1457" s="79">
        <v>0.99447904285914102</v>
      </c>
      <c r="G1457" s="79">
        <v>0.99962502278478604</v>
      </c>
      <c r="H1457" s="79">
        <v>1</v>
      </c>
      <c r="I1457" s="102">
        <v>1.0829479704523308</v>
      </c>
      <c r="J1457" s="79">
        <v>7.7713614973086903E-2</v>
      </c>
      <c r="K1457" s="79">
        <v>0.30517822668551398</v>
      </c>
      <c r="L1457" s="79">
        <v>0.712776365212754</v>
      </c>
      <c r="M1457" s="79">
        <v>1</v>
      </c>
      <c r="N1457" s="102">
        <v>1.1425901458273744</v>
      </c>
      <c r="O1457" s="79">
        <v>7.5869531176540606E-2</v>
      </c>
      <c r="P1457" s="79">
        <v>7.8929095381273004E-2</v>
      </c>
      <c r="Q1457" s="79">
        <v>0.144803895301584</v>
      </c>
      <c r="R1457" s="79">
        <v>1</v>
      </c>
      <c r="S1457" s="102">
        <v>1.1289854472440679</v>
      </c>
      <c r="T1457" s="79">
        <v>7.6198989294988501E-2</v>
      </c>
      <c r="U1457" s="79">
        <v>0.111353438881202</v>
      </c>
      <c r="V1457" s="79">
        <v>0.19208954790631</v>
      </c>
      <c r="W1457" s="79">
        <v>1</v>
      </c>
    </row>
    <row r="1458" spans="2:23" x14ac:dyDescent="0.2">
      <c r="B1458" t="s">
        <v>2747</v>
      </c>
      <c r="C1458" s="84">
        <v>1325</v>
      </c>
      <c r="D1458" s="102">
        <v>1.0629171824215691</v>
      </c>
      <c r="E1458" s="79">
        <v>8.8556679350805106E-2</v>
      </c>
      <c r="F1458" s="79">
        <v>0.49081164937490401</v>
      </c>
      <c r="G1458" s="79">
        <v>0.91678121217168596</v>
      </c>
      <c r="H1458" s="79">
        <v>1</v>
      </c>
      <c r="I1458" s="102">
        <v>1.1297302330726791</v>
      </c>
      <c r="J1458" s="79">
        <v>9.03520058557023E-2</v>
      </c>
      <c r="K1458" s="79">
        <v>0.17700297347993499</v>
      </c>
      <c r="L1458" s="79">
        <v>0.61396896490869202</v>
      </c>
      <c r="M1458" s="79">
        <v>1</v>
      </c>
      <c r="N1458" s="102">
        <v>1.0513948447401025</v>
      </c>
      <c r="O1458" s="79">
        <v>8.7530503440734805E-2</v>
      </c>
      <c r="P1458" s="79">
        <v>0.56693304681346801</v>
      </c>
      <c r="Q1458" s="79">
        <v>0.67759328106604599</v>
      </c>
      <c r="R1458" s="79">
        <v>1</v>
      </c>
      <c r="S1458" s="102">
        <v>1.2785713135376877</v>
      </c>
      <c r="T1458" s="79">
        <v>8.9525736913786097E-2</v>
      </c>
      <c r="U1458" s="79">
        <v>6.0520896897225604E-3</v>
      </c>
      <c r="V1458" s="79">
        <v>1.8776996216831501E-2</v>
      </c>
      <c r="W1458" s="79">
        <v>1</v>
      </c>
    </row>
    <row r="1459" spans="2:23" x14ac:dyDescent="0.2">
      <c r="B1459" t="s">
        <v>3878</v>
      </c>
      <c r="C1459" s="84">
        <v>1325</v>
      </c>
      <c r="D1459" s="102">
        <v>0.84998734813082633</v>
      </c>
      <c r="E1459" s="79">
        <v>0.101391208145218</v>
      </c>
      <c r="F1459" s="79">
        <v>0.108926581275833</v>
      </c>
      <c r="G1459" s="79">
        <v>0.80938271582532695</v>
      </c>
      <c r="H1459" s="79">
        <v>1</v>
      </c>
      <c r="I1459" s="102">
        <v>0.95714844165505175</v>
      </c>
      <c r="J1459" s="79">
        <v>0.104094418839129</v>
      </c>
      <c r="K1459" s="79">
        <v>0.67394423108344603</v>
      </c>
      <c r="L1459" s="79">
        <v>0.89192306832449797</v>
      </c>
      <c r="M1459" s="79">
        <v>1</v>
      </c>
      <c r="N1459" s="102">
        <v>1.0687617539109304</v>
      </c>
      <c r="O1459" s="79">
        <v>0.10175022958536301</v>
      </c>
      <c r="P1459" s="79">
        <v>0.51338988141345199</v>
      </c>
      <c r="Q1459" s="79">
        <v>0.62838327970692798</v>
      </c>
      <c r="R1459" s="79">
        <v>1</v>
      </c>
      <c r="S1459" s="102">
        <v>1.1427458904110299</v>
      </c>
      <c r="T1459" s="79">
        <v>0.103822559028865</v>
      </c>
      <c r="U1459" s="79">
        <v>0.19871806582308399</v>
      </c>
      <c r="V1459" s="79">
        <v>0.29933684766185498</v>
      </c>
      <c r="W1459" s="79">
        <v>1</v>
      </c>
    </row>
    <row r="1460" spans="2:23" x14ac:dyDescent="0.2">
      <c r="B1460" t="s">
        <v>2753</v>
      </c>
      <c r="C1460" s="84">
        <v>1325</v>
      </c>
      <c r="D1460" s="102">
        <v>1.0247354068037884</v>
      </c>
      <c r="E1460" s="79">
        <v>0.10239773666462899</v>
      </c>
      <c r="F1460" s="79">
        <v>0.81139804662627901</v>
      </c>
      <c r="G1460" s="79">
        <v>0.99362338620020496</v>
      </c>
      <c r="H1460" s="79">
        <v>1</v>
      </c>
      <c r="I1460" s="102">
        <v>1.0100284970531104</v>
      </c>
      <c r="J1460" s="79">
        <v>0.106754398573294</v>
      </c>
      <c r="K1460" s="79">
        <v>0.92552860632885503</v>
      </c>
      <c r="L1460" s="79">
        <v>0.98193837767293402</v>
      </c>
      <c r="M1460" s="79">
        <v>1</v>
      </c>
      <c r="N1460" s="102">
        <v>1.0684483962592386</v>
      </c>
      <c r="O1460" s="79">
        <v>0.102862354824981</v>
      </c>
      <c r="P1460" s="79">
        <v>0.51980150887070597</v>
      </c>
      <c r="Q1460" s="79">
        <v>0.63348471656617</v>
      </c>
      <c r="R1460" s="79">
        <v>1</v>
      </c>
      <c r="S1460" s="102">
        <v>1.2114966540397816</v>
      </c>
      <c r="T1460" s="79">
        <v>0.10430515329828299</v>
      </c>
      <c r="U1460" s="79">
        <v>6.5859755378154694E-2</v>
      </c>
      <c r="V1460" s="79">
        <v>0.12620636381288899</v>
      </c>
      <c r="W1460" s="79">
        <v>1</v>
      </c>
    </row>
    <row r="1461" spans="2:23" x14ac:dyDescent="0.2">
      <c r="B1461" t="s">
        <v>2755</v>
      </c>
      <c r="C1461" s="84">
        <v>1325</v>
      </c>
      <c r="D1461" s="102">
        <v>0.9546546735095639</v>
      </c>
      <c r="E1461" s="79">
        <v>7.2543209724426003E-2</v>
      </c>
      <c r="F1461" s="79">
        <v>0.52237024548348399</v>
      </c>
      <c r="G1461" s="79">
        <v>0.91901439037128496</v>
      </c>
      <c r="H1461" s="79">
        <v>1</v>
      </c>
      <c r="I1461" s="102">
        <v>1.1418983759398598</v>
      </c>
      <c r="J1461" s="79">
        <v>7.5024807264619006E-2</v>
      </c>
      <c r="K1461" s="79">
        <v>7.6953427138139394E-2</v>
      </c>
      <c r="L1461" s="79">
        <v>0.46226633181563198</v>
      </c>
      <c r="M1461" s="79">
        <v>1</v>
      </c>
      <c r="N1461" s="102">
        <v>1.1271910588936724</v>
      </c>
      <c r="O1461" s="79">
        <v>7.2794634800869604E-2</v>
      </c>
      <c r="P1461" s="79">
        <v>0.100022018034088</v>
      </c>
      <c r="Q1461" s="79">
        <v>0.17413905298021101</v>
      </c>
      <c r="R1461" s="79">
        <v>1</v>
      </c>
      <c r="S1461" s="102">
        <v>1.1650072583183979</v>
      </c>
      <c r="T1461" s="79">
        <v>7.3595969323901694E-2</v>
      </c>
      <c r="U1461" s="79">
        <v>3.7966791992221603E-2</v>
      </c>
      <c r="V1461" s="79">
        <v>8.3202775724221703E-2</v>
      </c>
      <c r="W1461" s="79">
        <v>1</v>
      </c>
    </row>
    <row r="1462" spans="2:23" x14ac:dyDescent="0.2">
      <c r="B1462" t="s">
        <v>2756</v>
      </c>
      <c r="C1462" s="84">
        <v>1325</v>
      </c>
      <c r="D1462" s="102">
        <v>1.0722286317395344</v>
      </c>
      <c r="E1462" s="79">
        <v>7.7936656644872301E-2</v>
      </c>
      <c r="F1462" s="79">
        <v>0.37088306557579898</v>
      </c>
      <c r="G1462" s="79">
        <v>0.89461055933914202</v>
      </c>
      <c r="H1462" s="79">
        <v>1</v>
      </c>
      <c r="I1462" s="102">
        <v>1.1194017955609714</v>
      </c>
      <c r="J1462" s="79">
        <v>7.9502094499911094E-2</v>
      </c>
      <c r="K1462" s="79">
        <v>0.15596885157326901</v>
      </c>
      <c r="L1462" s="79">
        <v>0.59601477595142704</v>
      </c>
      <c r="M1462" s="79">
        <v>1</v>
      </c>
      <c r="N1462" s="102">
        <v>1.1283403729635333</v>
      </c>
      <c r="O1462" s="79">
        <v>7.7729843358344194E-2</v>
      </c>
      <c r="P1462" s="79">
        <v>0.120320483209583</v>
      </c>
      <c r="Q1462" s="79">
        <v>0.20100877569727199</v>
      </c>
      <c r="R1462" s="79">
        <v>1</v>
      </c>
      <c r="S1462" s="102">
        <v>1.0241274146436996</v>
      </c>
      <c r="T1462" s="79">
        <v>7.8216831483937405E-2</v>
      </c>
      <c r="U1462" s="79">
        <v>0.76051403126669104</v>
      </c>
      <c r="V1462" s="79">
        <v>0.81642000568173301</v>
      </c>
      <c r="W1462" s="79">
        <v>1</v>
      </c>
    </row>
    <row r="1463" spans="2:23" x14ac:dyDescent="0.2">
      <c r="B1463" t="s">
        <v>2518</v>
      </c>
      <c r="C1463" s="84">
        <v>1325</v>
      </c>
      <c r="D1463" s="102">
        <v>0.94417957194709168</v>
      </c>
      <c r="E1463" s="79">
        <v>0.104013302450554</v>
      </c>
      <c r="F1463" s="79">
        <v>0.580793151261635</v>
      </c>
      <c r="G1463" s="79">
        <v>0.93785493309554202</v>
      </c>
      <c r="H1463" s="79">
        <v>1</v>
      </c>
      <c r="I1463" s="102">
        <v>1.0863632069168043</v>
      </c>
      <c r="J1463" s="79">
        <v>0.108127263666358</v>
      </c>
      <c r="K1463" s="79">
        <v>0.443620580045616</v>
      </c>
      <c r="L1463" s="79">
        <v>0.79355149165498795</v>
      </c>
      <c r="M1463" s="79">
        <v>1</v>
      </c>
      <c r="N1463" s="102">
        <v>1.231075495072331</v>
      </c>
      <c r="O1463" s="79">
        <v>0.105543249138247</v>
      </c>
      <c r="P1463" s="79">
        <v>4.8873158772444997E-2</v>
      </c>
      <c r="Q1463" s="79">
        <v>9.8914134958807395E-2</v>
      </c>
      <c r="R1463" s="79">
        <v>1</v>
      </c>
      <c r="S1463" s="102">
        <v>1.1661277559497334</v>
      </c>
      <c r="T1463" s="79">
        <v>0.10499743853981799</v>
      </c>
      <c r="U1463" s="79">
        <v>0.14326578552547301</v>
      </c>
      <c r="V1463" s="79">
        <v>0.23539499581004</v>
      </c>
      <c r="W1463" s="79">
        <v>1</v>
      </c>
    </row>
    <row r="1464" spans="2:23" x14ac:dyDescent="0.2">
      <c r="B1464" t="s">
        <v>2765</v>
      </c>
      <c r="C1464" s="84">
        <v>1273</v>
      </c>
      <c r="D1464" s="102">
        <v>0.91768785024135502</v>
      </c>
      <c r="E1464" s="79">
        <v>0.102608773472408</v>
      </c>
      <c r="F1464" s="79">
        <v>0.40251349537644099</v>
      </c>
      <c r="G1464" s="79">
        <v>0.89461055933914202</v>
      </c>
      <c r="H1464" s="79">
        <v>1</v>
      </c>
      <c r="I1464" s="102">
        <v>1.0586683382037501</v>
      </c>
      <c r="J1464" s="79">
        <v>0.105997340073522</v>
      </c>
      <c r="K1464" s="79">
        <v>0.59067302608830596</v>
      </c>
      <c r="L1464" s="79">
        <v>0.86707114921454997</v>
      </c>
      <c r="M1464" s="79">
        <v>1</v>
      </c>
      <c r="N1464" s="102">
        <v>1.0949972337822387</v>
      </c>
      <c r="O1464" s="79">
        <v>0.10241934726081001</v>
      </c>
      <c r="P1464" s="79">
        <v>0.37557388383191498</v>
      </c>
      <c r="Q1464" s="79">
        <v>0.49281344632940699</v>
      </c>
      <c r="R1464" s="79">
        <v>1</v>
      </c>
      <c r="S1464" s="102">
        <v>1.1425343412303903</v>
      </c>
      <c r="T1464" s="79">
        <v>0.102177456756749</v>
      </c>
      <c r="U1464" s="79">
        <v>0.192201891357379</v>
      </c>
      <c r="V1464" s="79">
        <v>0.292271098706822</v>
      </c>
      <c r="W1464" s="79">
        <v>1</v>
      </c>
    </row>
    <row r="1465" spans="2:23" x14ac:dyDescent="0.2">
      <c r="B1465" t="s">
        <v>2769</v>
      </c>
      <c r="C1465" s="84">
        <v>1325</v>
      </c>
      <c r="D1465" s="102">
        <v>1.0890428786483215</v>
      </c>
      <c r="E1465" s="79">
        <v>8.9898658482007496E-2</v>
      </c>
      <c r="F1465" s="79">
        <v>0.34270327094109398</v>
      </c>
      <c r="G1465" s="79">
        <v>0.89176550072843797</v>
      </c>
      <c r="H1465" s="79">
        <v>1</v>
      </c>
      <c r="I1465" s="102">
        <v>1.0527501384926339</v>
      </c>
      <c r="J1465" s="79">
        <v>9.2375983421509295E-2</v>
      </c>
      <c r="K1465" s="79">
        <v>0.57787882443974403</v>
      </c>
      <c r="L1465" s="79">
        <v>0.86249050978055197</v>
      </c>
      <c r="M1465" s="79">
        <v>1</v>
      </c>
      <c r="N1465" s="102">
        <v>1.0431509018072094</v>
      </c>
      <c r="O1465" s="79">
        <v>8.9813787625298597E-2</v>
      </c>
      <c r="P1465" s="79">
        <v>0.63808962159919302</v>
      </c>
      <c r="Q1465" s="79">
        <v>0.73732866233904004</v>
      </c>
      <c r="R1465" s="79">
        <v>1</v>
      </c>
      <c r="S1465" s="102">
        <v>1.0434212963091141</v>
      </c>
      <c r="T1465" s="79">
        <v>9.0233679360293695E-2</v>
      </c>
      <c r="U1465" s="79">
        <v>0.637601490286823</v>
      </c>
      <c r="V1465" s="79">
        <v>0.71378756886191097</v>
      </c>
      <c r="W1465" s="79">
        <v>1</v>
      </c>
    </row>
    <row r="1466" spans="2:23" x14ac:dyDescent="0.2">
      <c r="B1466" t="s">
        <v>2771</v>
      </c>
      <c r="C1466" s="84">
        <v>1325</v>
      </c>
      <c r="D1466" s="102">
        <v>1.0731261604323779</v>
      </c>
      <c r="E1466" s="79">
        <v>9.3314484456366004E-2</v>
      </c>
      <c r="F1466" s="79">
        <v>0.44945464164111798</v>
      </c>
      <c r="G1466" s="79">
        <v>0.90900414379806505</v>
      </c>
      <c r="H1466" s="79">
        <v>1</v>
      </c>
      <c r="I1466" s="102">
        <v>1.1586266796793221</v>
      </c>
      <c r="J1466" s="79">
        <v>9.5705645566731695E-2</v>
      </c>
      <c r="K1466" s="79">
        <v>0.12394613986083899</v>
      </c>
      <c r="L1466" s="79">
        <v>0.55552266356551805</v>
      </c>
      <c r="M1466" s="79">
        <v>1</v>
      </c>
      <c r="N1466" s="102">
        <v>1.0314985471671534</v>
      </c>
      <c r="O1466" s="79">
        <v>9.3306922739748097E-2</v>
      </c>
      <c r="P1466" s="79">
        <v>0.73960808302469305</v>
      </c>
      <c r="Q1466" s="79">
        <v>0.82652747760068701</v>
      </c>
      <c r="R1466" s="79">
        <v>1</v>
      </c>
      <c r="S1466" s="102">
        <v>1.0650502790395775</v>
      </c>
      <c r="T1466" s="79">
        <v>9.3377569190686099E-2</v>
      </c>
      <c r="U1466" s="79">
        <v>0.49972918268465499</v>
      </c>
      <c r="V1466" s="79">
        <v>0.60683959531742404</v>
      </c>
      <c r="W1466" s="79">
        <v>1</v>
      </c>
    </row>
    <row r="1467" spans="2:23" x14ac:dyDescent="0.2">
      <c r="B1467" t="s">
        <v>2773</v>
      </c>
      <c r="C1467" s="84">
        <v>1325</v>
      </c>
      <c r="D1467" s="102">
        <v>1.0384873866595261</v>
      </c>
      <c r="E1467" s="79">
        <v>8.7330167056291305E-2</v>
      </c>
      <c r="F1467" s="79">
        <v>0.66542031098444698</v>
      </c>
      <c r="G1467" s="79">
        <v>0.96329994356686</v>
      </c>
      <c r="H1467" s="79">
        <v>1</v>
      </c>
      <c r="I1467" s="102">
        <v>1.1701879224843146</v>
      </c>
      <c r="J1467" s="79">
        <v>8.9961242976080893E-2</v>
      </c>
      <c r="K1467" s="79">
        <v>8.0633362380909096E-2</v>
      </c>
      <c r="L1467" s="79">
        <v>0.47759760794846201</v>
      </c>
      <c r="M1467" s="79">
        <v>1</v>
      </c>
      <c r="N1467" s="102">
        <v>1.0277270805589802</v>
      </c>
      <c r="O1467" s="79">
        <v>8.7518023136475095E-2</v>
      </c>
      <c r="P1467" s="79">
        <v>0.75465827337449498</v>
      </c>
      <c r="Q1467" s="79">
        <v>0.83282808801068098</v>
      </c>
      <c r="R1467" s="79">
        <v>1</v>
      </c>
      <c r="S1467" s="102">
        <v>1.0536002916278893</v>
      </c>
      <c r="T1467" s="79">
        <v>8.7365928127497494E-2</v>
      </c>
      <c r="U1467" s="79">
        <v>0.55008188739361996</v>
      </c>
      <c r="V1467" s="79">
        <v>0.64891275574149898</v>
      </c>
      <c r="W1467" s="79">
        <v>1</v>
      </c>
    </row>
    <row r="1468" spans="2:23" x14ac:dyDescent="0.2">
      <c r="B1468" t="s">
        <v>2779</v>
      </c>
      <c r="C1468" s="84">
        <v>1325</v>
      </c>
      <c r="D1468" s="102">
        <v>0.92367916018446039</v>
      </c>
      <c r="E1468" s="79">
        <v>6.1541876949926799E-2</v>
      </c>
      <c r="F1468" s="79">
        <v>0.19704233318710199</v>
      </c>
      <c r="G1468" s="79">
        <v>0.83003013605610498</v>
      </c>
      <c r="H1468" s="79">
        <v>1</v>
      </c>
      <c r="I1468" s="102">
        <v>0.95254284408776191</v>
      </c>
      <c r="J1468" s="79">
        <v>6.2584217297119396E-2</v>
      </c>
      <c r="K1468" s="79">
        <v>0.43723178201019403</v>
      </c>
      <c r="L1468" s="79">
        <v>0.78893272642295398</v>
      </c>
      <c r="M1468" s="79">
        <v>1</v>
      </c>
      <c r="N1468" s="102">
        <v>1.1087064428383848</v>
      </c>
      <c r="O1468" s="79">
        <v>6.1508739758056E-2</v>
      </c>
      <c r="P1468" s="79">
        <v>9.34032780447967E-2</v>
      </c>
      <c r="Q1468" s="79">
        <v>0.16516195512305401</v>
      </c>
      <c r="R1468" s="79">
        <v>1</v>
      </c>
      <c r="S1468" s="102">
        <v>1.2815668035020074</v>
      </c>
      <c r="T1468" s="79">
        <v>6.3373459412192495E-2</v>
      </c>
      <c r="U1468" s="79">
        <v>9.0544429741162895E-5</v>
      </c>
      <c r="V1468" s="79">
        <v>6.6979154577087303E-4</v>
      </c>
      <c r="W1468" s="79">
        <v>0.15338226398152999</v>
      </c>
    </row>
    <row r="1469" spans="2:23" x14ac:dyDescent="0.2">
      <c r="B1469" t="s">
        <v>2782</v>
      </c>
      <c r="C1469" s="84">
        <v>1325</v>
      </c>
      <c r="D1469" s="102">
        <v>0.91170424317376619</v>
      </c>
      <c r="E1469" s="79">
        <v>9.9949574614814504E-2</v>
      </c>
      <c r="F1469" s="79">
        <v>0.35503731630836499</v>
      </c>
      <c r="G1469" s="79">
        <v>0.89461055933914202</v>
      </c>
      <c r="H1469" s="79">
        <v>1</v>
      </c>
      <c r="I1469" s="102">
        <v>0.98044517617954208</v>
      </c>
      <c r="J1469" s="79">
        <v>0.100645109418323</v>
      </c>
      <c r="K1469" s="79">
        <v>0.84443824145103996</v>
      </c>
      <c r="L1469" s="79">
        <v>0.95812349699803201</v>
      </c>
      <c r="M1469" s="79">
        <v>1</v>
      </c>
      <c r="N1469" s="102">
        <v>1.0599565021462378</v>
      </c>
      <c r="O1469" s="79">
        <v>9.8738344543494797E-2</v>
      </c>
      <c r="P1469" s="79">
        <v>0.55537909728191304</v>
      </c>
      <c r="Q1469" s="79">
        <v>0.66629758554926399</v>
      </c>
      <c r="R1469" s="79">
        <v>1</v>
      </c>
      <c r="S1469" s="102">
        <v>1.3750594421654705</v>
      </c>
      <c r="T1469" s="79">
        <v>0.101679404362213</v>
      </c>
      <c r="U1469" s="79">
        <v>1.73404423515414E-3</v>
      </c>
      <c r="V1469" s="79">
        <v>6.9939784151216997E-3</v>
      </c>
      <c r="W1469" s="79">
        <v>1</v>
      </c>
    </row>
    <row r="1470" spans="2:23" x14ac:dyDescent="0.2">
      <c r="B1470" t="s">
        <v>2796</v>
      </c>
      <c r="C1470" s="84">
        <v>1325</v>
      </c>
      <c r="D1470" s="102">
        <v>0.92506724905213678</v>
      </c>
      <c r="E1470" s="79">
        <v>0.103450333879575</v>
      </c>
      <c r="F1470" s="79">
        <v>0.45150369904391302</v>
      </c>
      <c r="G1470" s="79">
        <v>0.90900414379806505</v>
      </c>
      <c r="H1470" s="79">
        <v>1</v>
      </c>
      <c r="I1470" s="102">
        <v>0.80280431217579862</v>
      </c>
      <c r="J1470" s="79">
        <v>0.104110096669526</v>
      </c>
      <c r="K1470" s="79">
        <v>3.4881539098608E-2</v>
      </c>
      <c r="L1470" s="79">
        <v>0.358117134745709</v>
      </c>
      <c r="M1470" s="79">
        <v>1</v>
      </c>
      <c r="N1470" s="102">
        <v>1.07230972694073</v>
      </c>
      <c r="O1470" s="79">
        <v>0.10205528350859901</v>
      </c>
      <c r="P1470" s="79">
        <v>0.493918667648716</v>
      </c>
      <c r="Q1470" s="79">
        <v>0.61058583907678798</v>
      </c>
      <c r="R1470" s="79">
        <v>1</v>
      </c>
      <c r="S1470" s="102">
        <v>1.1773467997088338</v>
      </c>
      <c r="T1470" s="79">
        <v>0.104566457531876</v>
      </c>
      <c r="U1470" s="79">
        <v>0.118444364082342</v>
      </c>
      <c r="V1470" s="79">
        <v>0.201450554975389</v>
      </c>
      <c r="W1470" s="79">
        <v>1</v>
      </c>
    </row>
    <row r="1471" spans="2:23" x14ac:dyDescent="0.2">
      <c r="B1471" t="s">
        <v>2802</v>
      </c>
      <c r="C1471" s="84">
        <v>1325</v>
      </c>
      <c r="D1471" s="102">
        <v>1.1723357292998244</v>
      </c>
      <c r="E1471" s="79">
        <v>0.106496149455649</v>
      </c>
      <c r="F1471" s="79">
        <v>0.13543876628566701</v>
      </c>
      <c r="G1471" s="79">
        <v>0.80938271582532695</v>
      </c>
      <c r="H1471" s="79">
        <v>1</v>
      </c>
      <c r="I1471" s="102">
        <v>1.2471694715592296</v>
      </c>
      <c r="J1471" s="79">
        <v>0.10776856973115</v>
      </c>
      <c r="K1471" s="79">
        <v>4.0408827218582001E-2</v>
      </c>
      <c r="L1471" s="79">
        <v>0.37791856411061397</v>
      </c>
      <c r="M1471" s="79">
        <v>1</v>
      </c>
      <c r="N1471" s="102">
        <v>1.1214327969227282</v>
      </c>
      <c r="O1471" s="79">
        <v>0.104602021199959</v>
      </c>
      <c r="P1471" s="79">
        <v>0.27323219694708101</v>
      </c>
      <c r="Q1471" s="79">
        <v>0.38667948339879299</v>
      </c>
      <c r="R1471" s="79">
        <v>1</v>
      </c>
      <c r="S1471" s="102">
        <v>1.2667779089944584</v>
      </c>
      <c r="T1471" s="79">
        <v>0.10724495108446</v>
      </c>
      <c r="U1471" s="79">
        <v>2.7453126186994799E-2</v>
      </c>
      <c r="V1471" s="79">
        <v>6.4234248288355195E-2</v>
      </c>
      <c r="W1471" s="79">
        <v>1</v>
      </c>
    </row>
    <row r="1472" spans="2:23" x14ac:dyDescent="0.2">
      <c r="B1472" t="s">
        <v>2540</v>
      </c>
      <c r="C1472" s="84">
        <v>1325</v>
      </c>
      <c r="D1472" s="102">
        <v>0.95712266212002528</v>
      </c>
      <c r="E1472" s="79">
        <v>0.102729407617622</v>
      </c>
      <c r="F1472" s="79">
        <v>0.66967525838765296</v>
      </c>
      <c r="G1472" s="79">
        <v>0.96329994356686</v>
      </c>
      <c r="H1472" s="79">
        <v>1</v>
      </c>
      <c r="I1472" s="102">
        <v>0.82482107704562402</v>
      </c>
      <c r="J1472" s="79">
        <v>0.103228280132919</v>
      </c>
      <c r="K1472" s="79">
        <v>6.2089058706431402E-2</v>
      </c>
      <c r="L1472" s="79">
        <v>0.43157979590679002</v>
      </c>
      <c r="M1472" s="79">
        <v>1</v>
      </c>
      <c r="N1472" s="102">
        <v>0.96861803165184068</v>
      </c>
      <c r="O1472" s="79">
        <v>0.100882414562684</v>
      </c>
      <c r="P1472" s="79">
        <v>0.75195668833826201</v>
      </c>
      <c r="Q1472" s="79">
        <v>0.83092930857470004</v>
      </c>
      <c r="R1472" s="79">
        <v>1</v>
      </c>
      <c r="S1472" s="102">
        <v>1.0677628428557724</v>
      </c>
      <c r="T1472" s="79">
        <v>0.10241346555759399</v>
      </c>
      <c r="U1472" s="79">
        <v>0.522039041193185</v>
      </c>
      <c r="V1472" s="79">
        <v>0.62541310875619205</v>
      </c>
      <c r="W1472" s="79">
        <v>1</v>
      </c>
    </row>
    <row r="1473" spans="2:23" x14ac:dyDescent="0.2">
      <c r="B1473" t="s">
        <v>2804</v>
      </c>
      <c r="C1473" s="84">
        <v>1325</v>
      </c>
      <c r="D1473" s="102">
        <v>1.1723357292998244</v>
      </c>
      <c r="E1473" s="79">
        <v>0.106496149455649</v>
      </c>
      <c r="F1473" s="79">
        <v>0.13543876628566701</v>
      </c>
      <c r="G1473" s="79">
        <v>0.80938271582532695</v>
      </c>
      <c r="H1473" s="79">
        <v>1</v>
      </c>
      <c r="I1473" s="102">
        <v>1.2471694715592296</v>
      </c>
      <c r="J1473" s="79">
        <v>0.10776856973115</v>
      </c>
      <c r="K1473" s="79">
        <v>4.0408827218582001E-2</v>
      </c>
      <c r="L1473" s="79">
        <v>0.37791856411061397</v>
      </c>
      <c r="M1473" s="79">
        <v>1</v>
      </c>
      <c r="N1473" s="102">
        <v>1.1214327969227282</v>
      </c>
      <c r="O1473" s="79">
        <v>0.104602021199959</v>
      </c>
      <c r="P1473" s="79">
        <v>0.27323219694708101</v>
      </c>
      <c r="Q1473" s="79">
        <v>0.38667948339879299</v>
      </c>
      <c r="R1473" s="79">
        <v>1</v>
      </c>
      <c r="S1473" s="102">
        <v>1.2667779089944584</v>
      </c>
      <c r="T1473" s="79">
        <v>0.10724495108446</v>
      </c>
      <c r="U1473" s="79">
        <v>2.7453126186994799E-2</v>
      </c>
      <c r="V1473" s="79">
        <v>6.4234248288355195E-2</v>
      </c>
      <c r="W1473" s="79">
        <v>1</v>
      </c>
    </row>
    <row r="1474" spans="2:23" x14ac:dyDescent="0.2">
      <c r="B1474" t="s">
        <v>2542</v>
      </c>
      <c r="C1474" s="84">
        <v>1337</v>
      </c>
      <c r="D1474" s="102">
        <v>0.95712266212002528</v>
      </c>
      <c r="E1474" s="79">
        <v>0.102729407617622</v>
      </c>
      <c r="F1474" s="79">
        <v>0.66967525838765296</v>
      </c>
      <c r="G1474" s="79">
        <v>0.96329994356686</v>
      </c>
      <c r="H1474" s="79">
        <v>1</v>
      </c>
      <c r="I1474" s="102">
        <v>0.82482107704562402</v>
      </c>
      <c r="J1474" s="79">
        <v>0.103228280132919</v>
      </c>
      <c r="K1474" s="79">
        <v>6.2089058706431402E-2</v>
      </c>
      <c r="L1474" s="79">
        <v>0.43157979590679002</v>
      </c>
      <c r="M1474" s="79">
        <v>1</v>
      </c>
      <c r="N1474" s="102">
        <v>0.96861803165184068</v>
      </c>
      <c r="O1474" s="79">
        <v>0.100882414562684</v>
      </c>
      <c r="P1474" s="79">
        <v>0.75195668833826201</v>
      </c>
      <c r="Q1474" s="79">
        <v>0.83092930857470004</v>
      </c>
      <c r="R1474" s="79">
        <v>1</v>
      </c>
      <c r="S1474" s="102">
        <v>1.0677628428557724</v>
      </c>
      <c r="T1474" s="79">
        <v>0.10241346555759399</v>
      </c>
      <c r="U1474" s="79">
        <v>0.522039041193185</v>
      </c>
      <c r="V1474" s="79">
        <v>0.62541310875619205</v>
      </c>
      <c r="W1474" s="79">
        <v>1</v>
      </c>
    </row>
    <row r="1475" spans="2:23" x14ac:dyDescent="0.2">
      <c r="B1475" t="s">
        <v>2809</v>
      </c>
      <c r="C1475" s="84">
        <v>1325</v>
      </c>
      <c r="D1475" s="102">
        <v>1.0163088672899872</v>
      </c>
      <c r="E1475" s="79">
        <v>0.10790142698899501</v>
      </c>
      <c r="F1475" s="79">
        <v>0.88082243658755599</v>
      </c>
      <c r="G1475" s="79">
        <v>0.99362338620020496</v>
      </c>
      <c r="H1475" s="79">
        <v>1</v>
      </c>
      <c r="I1475" s="102">
        <v>1.2562076784729801</v>
      </c>
      <c r="J1475" s="79">
        <v>0.11025933321859301</v>
      </c>
      <c r="K1475" s="79">
        <v>3.8570908321127001E-2</v>
      </c>
      <c r="L1475" s="79">
        <v>0.37551217641373102</v>
      </c>
      <c r="M1475" s="79">
        <v>1</v>
      </c>
      <c r="N1475" s="102">
        <v>1.322319513168204</v>
      </c>
      <c r="O1475" s="79">
        <v>0.109642480986333</v>
      </c>
      <c r="P1475" s="79">
        <v>1.08290477075126E-2</v>
      </c>
      <c r="Q1475" s="79">
        <v>2.9587752929881202E-2</v>
      </c>
      <c r="R1475" s="79">
        <v>1</v>
      </c>
      <c r="S1475" s="102">
        <v>1.185805757812453</v>
      </c>
      <c r="T1475" s="79">
        <v>0.108560141036742</v>
      </c>
      <c r="U1475" s="79">
        <v>0.116451361473426</v>
      </c>
      <c r="V1475" s="79">
        <v>0.198859482193532</v>
      </c>
      <c r="W1475" s="79">
        <v>1</v>
      </c>
    </row>
    <row r="1476" spans="2:23" x14ac:dyDescent="0.2">
      <c r="B1476" t="s">
        <v>2822</v>
      </c>
      <c r="C1476" s="84">
        <v>1325</v>
      </c>
      <c r="D1476" s="102">
        <v>1.195074323842531</v>
      </c>
      <c r="E1476" s="79">
        <v>8.7803706980985205E-2</v>
      </c>
      <c r="F1476" s="79">
        <v>4.2394926196989001E-2</v>
      </c>
      <c r="G1476" s="79">
        <v>0.67784404055428704</v>
      </c>
      <c r="H1476" s="79">
        <v>1</v>
      </c>
      <c r="I1476" s="102">
        <v>0.88253403960732046</v>
      </c>
      <c r="J1476" s="79">
        <v>8.8277888837232199E-2</v>
      </c>
      <c r="K1476" s="79">
        <v>0.156920064978947</v>
      </c>
      <c r="L1476" s="79">
        <v>0.59601477595142704</v>
      </c>
      <c r="M1476" s="79">
        <v>1</v>
      </c>
      <c r="N1476" s="102">
        <v>1.0450276405065413</v>
      </c>
      <c r="O1476" s="79">
        <v>8.6786871371624996E-2</v>
      </c>
      <c r="P1476" s="79">
        <v>0.61181213457866501</v>
      </c>
      <c r="Q1476" s="79">
        <v>0.71279900686125097</v>
      </c>
      <c r="R1476" s="79">
        <v>1</v>
      </c>
      <c r="S1476" s="102">
        <v>1.1716759071090281</v>
      </c>
      <c r="T1476" s="79">
        <v>8.7057024442210001E-2</v>
      </c>
      <c r="U1476" s="79">
        <v>6.8774157319505702E-2</v>
      </c>
      <c r="V1476" s="79">
        <v>0.130420628024882</v>
      </c>
      <c r="W1476" s="79">
        <v>1</v>
      </c>
    </row>
    <row r="1477" spans="2:23" x14ac:dyDescent="0.2">
      <c r="B1477" t="s">
        <v>2823</v>
      </c>
      <c r="C1477" s="84">
        <v>1325</v>
      </c>
      <c r="D1477" s="102">
        <v>0.94728124966976712</v>
      </c>
      <c r="E1477" s="79">
        <v>9.5609967235523993E-2</v>
      </c>
      <c r="F1477" s="79">
        <v>0.57108099138424895</v>
      </c>
      <c r="G1477" s="79">
        <v>0.93281728622651605</v>
      </c>
      <c r="H1477" s="79">
        <v>1</v>
      </c>
      <c r="I1477" s="102">
        <v>0.81188503572641413</v>
      </c>
      <c r="J1477" s="79">
        <v>9.7343858432583294E-2</v>
      </c>
      <c r="K1477" s="79">
        <v>3.2287850841740101E-2</v>
      </c>
      <c r="L1477" s="79">
        <v>0.34116449862822301</v>
      </c>
      <c r="M1477" s="79">
        <v>1</v>
      </c>
      <c r="N1477" s="102">
        <v>0.99055681524288086</v>
      </c>
      <c r="O1477" s="79">
        <v>9.5378315755111007E-2</v>
      </c>
      <c r="P1477" s="79">
        <v>0.92075866955154095</v>
      </c>
      <c r="Q1477" s="79">
        <v>0.94675515209494299</v>
      </c>
      <c r="R1477" s="79">
        <v>1</v>
      </c>
      <c r="S1477" s="102">
        <v>1.0622100920162787</v>
      </c>
      <c r="T1477" s="79">
        <v>9.65226187280082E-2</v>
      </c>
      <c r="U1477" s="79">
        <v>0.53180044575879304</v>
      </c>
      <c r="V1477" s="79">
        <v>0.63352317518663503</v>
      </c>
      <c r="W1477" s="79">
        <v>1</v>
      </c>
    </row>
    <row r="1478" spans="2:23" x14ac:dyDescent="0.2">
      <c r="B1478" t="s">
        <v>2830</v>
      </c>
      <c r="C1478" s="84">
        <v>1325</v>
      </c>
      <c r="D1478" s="102">
        <v>1.2224680582063245</v>
      </c>
      <c r="E1478" s="79">
        <v>0.104356100707655</v>
      </c>
      <c r="F1478" s="79">
        <v>5.4245760357412902E-2</v>
      </c>
      <c r="G1478" s="79">
        <v>0.71234355073998001</v>
      </c>
      <c r="H1478" s="79">
        <v>1</v>
      </c>
      <c r="I1478" s="102">
        <v>0.81479853434550231</v>
      </c>
      <c r="J1478" s="79">
        <v>0.105088384151148</v>
      </c>
      <c r="K1478" s="79">
        <v>5.1298683182572802E-2</v>
      </c>
      <c r="L1478" s="79">
        <v>0.40662098777829397</v>
      </c>
      <c r="M1478" s="79">
        <v>1</v>
      </c>
      <c r="N1478" s="102">
        <v>1.1458962572604856</v>
      </c>
      <c r="O1478" s="79">
        <v>0.10362315348510701</v>
      </c>
      <c r="P1478" s="79">
        <v>0.188760922581554</v>
      </c>
      <c r="Q1478" s="79">
        <v>0.28703860220211203</v>
      </c>
      <c r="R1478" s="79">
        <v>1</v>
      </c>
      <c r="S1478" s="102">
        <v>1.3505277694395688</v>
      </c>
      <c r="T1478" s="79">
        <v>0.104536588745829</v>
      </c>
      <c r="U1478" s="79">
        <v>4.0460608908120203E-3</v>
      </c>
      <c r="V1478" s="79">
        <v>1.3626296518957399E-2</v>
      </c>
      <c r="W1478" s="79">
        <v>1</v>
      </c>
    </row>
    <row r="1479" spans="2:23" x14ac:dyDescent="0.2">
      <c r="B1479" t="s">
        <v>2831</v>
      </c>
      <c r="C1479" s="84">
        <v>1325</v>
      </c>
      <c r="D1479" s="102">
        <v>1.0999718738961537</v>
      </c>
      <c r="E1479" s="79">
        <v>8.3020642190966401E-2</v>
      </c>
      <c r="F1479" s="79">
        <v>0.25108338197269198</v>
      </c>
      <c r="G1479" s="79">
        <v>0.85990749347533801</v>
      </c>
      <c r="H1479" s="79">
        <v>1</v>
      </c>
      <c r="I1479" s="102">
        <v>0.80569418594789366</v>
      </c>
      <c r="J1479" s="79">
        <v>8.4654013654627505E-2</v>
      </c>
      <c r="K1479" s="79">
        <v>1.07055734844024E-2</v>
      </c>
      <c r="L1479" s="79">
        <v>0.19712219002801801</v>
      </c>
      <c r="M1479" s="79">
        <v>1</v>
      </c>
      <c r="N1479" s="102">
        <v>1.0271270738617766</v>
      </c>
      <c r="O1479" s="79">
        <v>8.2653939230679402E-2</v>
      </c>
      <c r="P1479" s="79">
        <v>0.74606828833574401</v>
      </c>
      <c r="Q1479" s="79">
        <v>0.82820424668463299</v>
      </c>
      <c r="R1479" s="79">
        <v>1</v>
      </c>
      <c r="S1479" s="102">
        <v>1.1480453387136109</v>
      </c>
      <c r="T1479" s="79">
        <v>8.32445824315549E-2</v>
      </c>
      <c r="U1479" s="79">
        <v>9.721743350756E-2</v>
      </c>
      <c r="V1479" s="79">
        <v>0.171369752717801</v>
      </c>
      <c r="W1479" s="79">
        <v>1</v>
      </c>
    </row>
    <row r="1480" spans="2:23" x14ac:dyDescent="0.2">
      <c r="B1480" t="s">
        <v>2832</v>
      </c>
      <c r="C1480" s="84">
        <v>1325</v>
      </c>
      <c r="D1480" s="102">
        <v>1.1280745824695946</v>
      </c>
      <c r="E1480" s="79">
        <v>8.6609258792717303E-2</v>
      </c>
      <c r="F1480" s="79">
        <v>0.16408965210082199</v>
      </c>
      <c r="G1480" s="79">
        <v>0.81796927009920195</v>
      </c>
      <c r="H1480" s="79">
        <v>1</v>
      </c>
      <c r="I1480" s="102">
        <v>0.78511107729309915</v>
      </c>
      <c r="J1480" s="79">
        <v>8.8033286091462298E-2</v>
      </c>
      <c r="K1480" s="79">
        <v>5.9929684333274499E-3</v>
      </c>
      <c r="L1480" s="79">
        <v>0.14713171776893799</v>
      </c>
      <c r="M1480" s="79">
        <v>1</v>
      </c>
      <c r="N1480" s="102">
        <v>1.0121856283617392</v>
      </c>
      <c r="O1480" s="79">
        <v>8.6220318245009905E-2</v>
      </c>
      <c r="P1480" s="79">
        <v>0.88828303535331499</v>
      </c>
      <c r="Q1480" s="79">
        <v>0.92486260718409097</v>
      </c>
      <c r="R1480" s="79">
        <v>1</v>
      </c>
      <c r="S1480" s="102">
        <v>1.0440272622034701</v>
      </c>
      <c r="T1480" s="79">
        <v>8.6356913703039606E-2</v>
      </c>
      <c r="U1480" s="79">
        <v>0.61783239114048505</v>
      </c>
      <c r="V1480" s="79">
        <v>0.70177992348704599</v>
      </c>
      <c r="W1480" s="79">
        <v>1</v>
      </c>
    </row>
    <row r="1481" spans="2:23" x14ac:dyDescent="0.2">
      <c r="B1481" t="s">
        <v>2833</v>
      </c>
      <c r="C1481" s="84">
        <v>1325</v>
      </c>
      <c r="D1481" s="102">
        <v>1.1206862238523165</v>
      </c>
      <c r="E1481" s="79">
        <v>8.22233666614514E-2</v>
      </c>
      <c r="F1481" s="79">
        <v>0.16582263362721</v>
      </c>
      <c r="G1481" s="79">
        <v>0.81796927009920195</v>
      </c>
      <c r="H1481" s="79">
        <v>1</v>
      </c>
      <c r="I1481" s="102">
        <v>0.78404589320004148</v>
      </c>
      <c r="J1481" s="79">
        <v>8.4115710672071506E-2</v>
      </c>
      <c r="K1481" s="79">
        <v>3.82434708072811E-3</v>
      </c>
      <c r="L1481" s="79">
        <v>0.14083573814681299</v>
      </c>
      <c r="M1481" s="79">
        <v>1</v>
      </c>
      <c r="N1481" s="102">
        <v>1.0178473423451131</v>
      </c>
      <c r="O1481" s="79">
        <v>8.1908739322603494E-2</v>
      </c>
      <c r="P1481" s="79">
        <v>0.82901000883123699</v>
      </c>
      <c r="Q1481" s="79">
        <v>0.88267941857958299</v>
      </c>
      <c r="R1481" s="79">
        <v>1</v>
      </c>
      <c r="S1481" s="102">
        <v>1.0807902474514697</v>
      </c>
      <c r="T1481" s="79">
        <v>8.2297692080245705E-2</v>
      </c>
      <c r="U1481" s="79">
        <v>0.34514814675317201</v>
      </c>
      <c r="V1481" s="79">
        <v>0.46293029342824499</v>
      </c>
      <c r="W1481" s="79">
        <v>1</v>
      </c>
    </row>
    <row r="1482" spans="2:23" x14ac:dyDescent="0.2">
      <c r="B1482" t="s">
        <v>2836</v>
      </c>
      <c r="C1482" s="84">
        <v>1325</v>
      </c>
      <c r="D1482" s="102">
        <v>1.0538640235422745</v>
      </c>
      <c r="E1482" s="79">
        <v>9.9746203603542305E-2</v>
      </c>
      <c r="F1482" s="79">
        <v>0.598909600324255</v>
      </c>
      <c r="G1482" s="79">
        <v>0.94340566501007395</v>
      </c>
      <c r="H1482" s="79">
        <v>1</v>
      </c>
      <c r="I1482" s="102">
        <v>0.95282300309988899</v>
      </c>
      <c r="J1482" s="79">
        <v>0.101510207945908</v>
      </c>
      <c r="K1482" s="79">
        <v>0.63402342881991802</v>
      </c>
      <c r="L1482" s="79">
        <v>0.87748013759880805</v>
      </c>
      <c r="M1482" s="79">
        <v>1</v>
      </c>
      <c r="N1482" s="102">
        <v>0.99523914319616724</v>
      </c>
      <c r="O1482" s="79">
        <v>9.9832573790670398E-2</v>
      </c>
      <c r="P1482" s="79">
        <v>0.96187381039328201</v>
      </c>
      <c r="Q1482" s="79">
        <v>0.97162446917484802</v>
      </c>
      <c r="R1482" s="79">
        <v>1</v>
      </c>
      <c r="S1482" s="102">
        <v>1.0984246686118275</v>
      </c>
      <c r="T1482" s="79">
        <v>0.101431466303139</v>
      </c>
      <c r="U1482" s="79">
        <v>0.354694546182311</v>
      </c>
      <c r="V1482" s="79">
        <v>0.471997298690365</v>
      </c>
      <c r="W1482" s="79">
        <v>1</v>
      </c>
    </row>
    <row r="1483" spans="2:23" x14ac:dyDescent="0.2">
      <c r="B1483" t="s">
        <v>2839</v>
      </c>
      <c r="C1483" s="84">
        <v>1325</v>
      </c>
      <c r="D1483" s="102">
        <v>1.0538640235422745</v>
      </c>
      <c r="E1483" s="79">
        <v>9.9746203603542305E-2</v>
      </c>
      <c r="F1483" s="79">
        <v>0.598909600324255</v>
      </c>
      <c r="G1483" s="79">
        <v>0.94340566501007395</v>
      </c>
      <c r="H1483" s="79">
        <v>1</v>
      </c>
      <c r="I1483" s="102">
        <v>0.95282300309988899</v>
      </c>
      <c r="J1483" s="79">
        <v>0.101510207945908</v>
      </c>
      <c r="K1483" s="79">
        <v>0.63402342881991802</v>
      </c>
      <c r="L1483" s="79">
        <v>0.87748013759880805</v>
      </c>
      <c r="M1483" s="79">
        <v>1</v>
      </c>
      <c r="N1483" s="102">
        <v>0.99523914319616724</v>
      </c>
      <c r="O1483" s="79">
        <v>9.9832573790670398E-2</v>
      </c>
      <c r="P1483" s="79">
        <v>0.96187381039328201</v>
      </c>
      <c r="Q1483" s="79">
        <v>0.97162446917484802</v>
      </c>
      <c r="R1483" s="79">
        <v>1</v>
      </c>
      <c r="S1483" s="102">
        <v>1.0984246686118275</v>
      </c>
      <c r="T1483" s="79">
        <v>0.101431466303139</v>
      </c>
      <c r="U1483" s="79">
        <v>0.354694546182311</v>
      </c>
      <c r="V1483" s="79">
        <v>0.471997298690365</v>
      </c>
      <c r="W1483" s="79">
        <v>1</v>
      </c>
    </row>
    <row r="1484" spans="2:23" x14ac:dyDescent="0.2">
      <c r="B1484" t="s">
        <v>2841</v>
      </c>
      <c r="C1484" s="84">
        <v>1325</v>
      </c>
      <c r="D1484" s="102">
        <v>1.0027586505115589</v>
      </c>
      <c r="E1484" s="79">
        <v>0.101805485383722</v>
      </c>
      <c r="F1484" s="79">
        <v>0.97841190990562898</v>
      </c>
      <c r="G1484" s="79">
        <v>0.99840985319461195</v>
      </c>
      <c r="H1484" s="79">
        <v>1</v>
      </c>
      <c r="I1484" s="102">
        <v>0.9122728292147898</v>
      </c>
      <c r="J1484" s="79">
        <v>0.10367861924463199</v>
      </c>
      <c r="K1484" s="79">
        <v>0.37584146378767302</v>
      </c>
      <c r="L1484" s="79">
        <v>0.75612407354447997</v>
      </c>
      <c r="M1484" s="79">
        <v>1</v>
      </c>
      <c r="N1484" s="102">
        <v>1.0097327008990431</v>
      </c>
      <c r="O1484" s="79">
        <v>0.10196916527483001</v>
      </c>
      <c r="P1484" s="79">
        <v>0.92432594609708996</v>
      </c>
      <c r="Q1484" s="79">
        <v>0.94897463799301196</v>
      </c>
      <c r="R1484" s="79">
        <v>1</v>
      </c>
      <c r="S1484" s="102">
        <v>1.0881773220226933</v>
      </c>
      <c r="T1484" s="79">
        <v>0.10382848997635601</v>
      </c>
      <c r="U1484" s="79">
        <v>0.41571268647281201</v>
      </c>
      <c r="V1484" s="79">
        <v>0.53228820172709301</v>
      </c>
      <c r="W1484" s="79">
        <v>1</v>
      </c>
    </row>
    <row r="1485" spans="2:23" x14ac:dyDescent="0.2">
      <c r="B1485" t="s">
        <v>2844</v>
      </c>
      <c r="C1485" s="84">
        <v>1325</v>
      </c>
      <c r="D1485" s="102">
        <v>1.0606960357197495</v>
      </c>
      <c r="E1485" s="79">
        <v>5.7553753169763501E-2</v>
      </c>
      <c r="F1485" s="79">
        <v>0.30591499509547199</v>
      </c>
      <c r="G1485" s="79">
        <v>0.88192109714078004</v>
      </c>
      <c r="H1485" s="79">
        <v>1</v>
      </c>
      <c r="I1485" s="102">
        <v>0.95098695535150535</v>
      </c>
      <c r="J1485" s="79">
        <v>5.8604587432778799E-2</v>
      </c>
      <c r="K1485" s="79">
        <v>0.391154479582485</v>
      </c>
      <c r="L1485" s="79">
        <v>0.76088358311707605</v>
      </c>
      <c r="M1485" s="79">
        <v>1</v>
      </c>
      <c r="N1485" s="102">
        <v>0.98125862463132296</v>
      </c>
      <c r="O1485" s="79">
        <v>5.7359714676420002E-2</v>
      </c>
      <c r="P1485" s="79">
        <v>0.74152491637583995</v>
      </c>
      <c r="Q1485" s="79">
        <v>0.82652747760068701</v>
      </c>
      <c r="R1485" s="79">
        <v>1</v>
      </c>
      <c r="S1485" s="102">
        <v>1.0897145212035972</v>
      </c>
      <c r="T1485" s="79">
        <v>5.8046889979138899E-2</v>
      </c>
      <c r="U1485" s="79">
        <v>0.13884401989446299</v>
      </c>
      <c r="V1485" s="79">
        <v>0.22901827624266799</v>
      </c>
      <c r="W1485" s="79">
        <v>1</v>
      </c>
    </row>
    <row r="1486" spans="2:23" x14ac:dyDescent="0.2">
      <c r="B1486" t="s">
        <v>2845</v>
      </c>
      <c r="C1486" s="84">
        <v>1325</v>
      </c>
      <c r="D1486" s="102">
        <v>1.0710555891142617</v>
      </c>
      <c r="E1486" s="79">
        <v>6.0774508568059403E-2</v>
      </c>
      <c r="F1486" s="79">
        <v>0.25868775606039801</v>
      </c>
      <c r="G1486" s="79">
        <v>0.85990749347533801</v>
      </c>
      <c r="H1486" s="79">
        <v>1</v>
      </c>
      <c r="I1486" s="102">
        <v>0.96529580305283291</v>
      </c>
      <c r="J1486" s="79">
        <v>6.1647430941672597E-2</v>
      </c>
      <c r="K1486" s="79">
        <v>0.56668077411654005</v>
      </c>
      <c r="L1486" s="79">
        <v>0.85878159627519401</v>
      </c>
      <c r="M1486" s="79">
        <v>1</v>
      </c>
      <c r="N1486" s="102">
        <v>0.97231105699701026</v>
      </c>
      <c r="O1486" s="79">
        <v>6.0361954040696601E-2</v>
      </c>
      <c r="P1486" s="79">
        <v>0.64179859241309201</v>
      </c>
      <c r="Q1486" s="79">
        <v>0.73959647316175403</v>
      </c>
      <c r="R1486" s="79">
        <v>1</v>
      </c>
      <c r="S1486" s="102">
        <v>1.0809473793760265</v>
      </c>
      <c r="T1486" s="79">
        <v>6.1118134664337499E-2</v>
      </c>
      <c r="U1486" s="79">
        <v>0.202817956043504</v>
      </c>
      <c r="V1486" s="79">
        <v>0.303778618512552</v>
      </c>
      <c r="W1486" s="79">
        <v>1</v>
      </c>
    </row>
    <row r="1487" spans="2:23" x14ac:dyDescent="0.2">
      <c r="B1487" t="s">
        <v>2846</v>
      </c>
      <c r="C1487" s="84">
        <v>1325</v>
      </c>
      <c r="D1487" s="102">
        <v>1.0710555891142617</v>
      </c>
      <c r="E1487" s="79">
        <v>6.0774508568059403E-2</v>
      </c>
      <c r="F1487" s="79">
        <v>0.25868775606039801</v>
      </c>
      <c r="G1487" s="79">
        <v>0.85990749347533801</v>
      </c>
      <c r="H1487" s="79">
        <v>1</v>
      </c>
      <c r="I1487" s="102">
        <v>0.96529580305283291</v>
      </c>
      <c r="J1487" s="79">
        <v>6.1647430941672597E-2</v>
      </c>
      <c r="K1487" s="79">
        <v>0.56668077411654005</v>
      </c>
      <c r="L1487" s="79">
        <v>0.85878159627519401</v>
      </c>
      <c r="M1487" s="79">
        <v>1</v>
      </c>
      <c r="N1487" s="102">
        <v>0.97231105699701026</v>
      </c>
      <c r="O1487" s="79">
        <v>6.0361954040696601E-2</v>
      </c>
      <c r="P1487" s="79">
        <v>0.64179859241309201</v>
      </c>
      <c r="Q1487" s="79">
        <v>0.73959647316175403</v>
      </c>
      <c r="R1487" s="79">
        <v>1</v>
      </c>
      <c r="S1487" s="102">
        <v>1.0809473793760265</v>
      </c>
      <c r="T1487" s="79">
        <v>6.1118134664337499E-2</v>
      </c>
      <c r="U1487" s="79">
        <v>0.202817956043504</v>
      </c>
      <c r="V1487" s="79">
        <v>0.303778618512552</v>
      </c>
      <c r="W1487" s="79">
        <v>1</v>
      </c>
    </row>
    <row r="1488" spans="2:23" x14ac:dyDescent="0.2">
      <c r="B1488" t="s">
        <v>2848</v>
      </c>
      <c r="C1488" s="84">
        <v>1325</v>
      </c>
      <c r="D1488" s="102">
        <v>1.0466414294267952</v>
      </c>
      <c r="E1488" s="79">
        <v>6.3055641535834803E-2</v>
      </c>
      <c r="F1488" s="79">
        <v>0.46970745709164102</v>
      </c>
      <c r="G1488" s="79">
        <v>0.91151047511105199</v>
      </c>
      <c r="H1488" s="79">
        <v>1</v>
      </c>
      <c r="I1488" s="102">
        <v>0.95822905467272823</v>
      </c>
      <c r="J1488" s="79">
        <v>6.4043052556194302E-2</v>
      </c>
      <c r="K1488" s="79">
        <v>0.50525382252887396</v>
      </c>
      <c r="L1488" s="79">
        <v>0.82233649204368997</v>
      </c>
      <c r="M1488" s="79">
        <v>1</v>
      </c>
      <c r="N1488" s="102">
        <v>0.95106334741502341</v>
      </c>
      <c r="O1488" s="79">
        <v>6.2717808424581301E-2</v>
      </c>
      <c r="P1488" s="79">
        <v>0.42370746649889601</v>
      </c>
      <c r="Q1488" s="79">
        <v>0.54048226524783904</v>
      </c>
      <c r="R1488" s="79">
        <v>1</v>
      </c>
      <c r="S1488" s="102">
        <v>1.1155591285357747</v>
      </c>
      <c r="T1488" s="79">
        <v>6.3475280096333603E-2</v>
      </c>
      <c r="U1488" s="79">
        <v>8.4923196197035797E-2</v>
      </c>
      <c r="V1488" s="79">
        <v>0.15452190586227599</v>
      </c>
      <c r="W1488" s="79">
        <v>1</v>
      </c>
    </row>
    <row r="1489" spans="2:23" x14ac:dyDescent="0.2">
      <c r="B1489" t="s">
        <v>2850</v>
      </c>
      <c r="C1489" s="84">
        <v>1325</v>
      </c>
      <c r="D1489" s="102">
        <v>1.2719723034161916</v>
      </c>
      <c r="E1489" s="79">
        <v>9.7920501352669803E-2</v>
      </c>
      <c r="F1489" s="79">
        <v>1.40190256036792E-2</v>
      </c>
      <c r="G1489" s="79">
        <v>0.51179689736838596</v>
      </c>
      <c r="H1489" s="79">
        <v>1</v>
      </c>
      <c r="I1489" s="102">
        <v>1.0667493210339443</v>
      </c>
      <c r="J1489" s="79">
        <v>9.7846584421898197E-2</v>
      </c>
      <c r="K1489" s="79">
        <v>0.50900948423436698</v>
      </c>
      <c r="L1489" s="79">
        <v>0.82434231959179505</v>
      </c>
      <c r="M1489" s="79">
        <v>1</v>
      </c>
      <c r="N1489" s="102">
        <v>0.8441773410530744</v>
      </c>
      <c r="O1489" s="79">
        <v>9.5042270736828804E-2</v>
      </c>
      <c r="P1489" s="79">
        <v>7.4702298980722101E-2</v>
      </c>
      <c r="Q1489" s="79">
        <v>0.140294561500381</v>
      </c>
      <c r="R1489" s="79">
        <v>1</v>
      </c>
      <c r="S1489" s="102">
        <v>1.3062473824162744</v>
      </c>
      <c r="T1489" s="79">
        <v>9.6878116691861402E-2</v>
      </c>
      <c r="U1489" s="79">
        <v>5.82139109034404E-3</v>
      </c>
      <c r="V1489" s="79">
        <v>1.8261919457486699E-2</v>
      </c>
      <c r="W1489" s="79">
        <v>1</v>
      </c>
    </row>
    <row r="1490" spans="2:23" x14ac:dyDescent="0.2">
      <c r="B1490" t="s">
        <v>2852</v>
      </c>
      <c r="C1490" s="84">
        <v>1325</v>
      </c>
      <c r="D1490" s="102">
        <v>1.0446959502458824</v>
      </c>
      <c r="E1490" s="79">
        <v>6.4264254550036495E-2</v>
      </c>
      <c r="F1490" s="79">
        <v>0.49624641827570798</v>
      </c>
      <c r="G1490" s="79">
        <v>0.91678121217168596</v>
      </c>
      <c r="H1490" s="79">
        <v>1</v>
      </c>
      <c r="I1490" s="102">
        <v>0.93095940365984897</v>
      </c>
      <c r="J1490" s="79">
        <v>6.5328637646360405E-2</v>
      </c>
      <c r="K1490" s="79">
        <v>0.27348478685598898</v>
      </c>
      <c r="L1490" s="79">
        <v>0.692501089587512</v>
      </c>
      <c r="M1490" s="79">
        <v>1</v>
      </c>
      <c r="N1490" s="102">
        <v>0.95505441850275585</v>
      </c>
      <c r="O1490" s="79">
        <v>6.3935834799504099E-2</v>
      </c>
      <c r="P1490" s="79">
        <v>0.471976219247843</v>
      </c>
      <c r="Q1490" s="79">
        <v>0.58962220900136098</v>
      </c>
      <c r="R1490" s="79">
        <v>1</v>
      </c>
      <c r="S1490" s="102">
        <v>1.0963720794940122</v>
      </c>
      <c r="T1490" s="79">
        <v>6.4644739752969402E-2</v>
      </c>
      <c r="U1490" s="79">
        <v>0.15465924156240499</v>
      </c>
      <c r="V1490" s="79">
        <v>0.249653809565207</v>
      </c>
      <c r="W1490" s="79">
        <v>1</v>
      </c>
    </row>
    <row r="1491" spans="2:23" x14ac:dyDescent="0.2">
      <c r="B1491" t="s">
        <v>2854</v>
      </c>
      <c r="C1491" s="84">
        <v>1325</v>
      </c>
      <c r="D1491" s="102">
        <v>1.0418458891668243</v>
      </c>
      <c r="E1491" s="79">
        <v>6.4209400507719297E-2</v>
      </c>
      <c r="F1491" s="79">
        <v>0.52318543826136699</v>
      </c>
      <c r="G1491" s="79">
        <v>0.91937358134310798</v>
      </c>
      <c r="H1491" s="79">
        <v>1</v>
      </c>
      <c r="I1491" s="102">
        <v>0.93330817919274467</v>
      </c>
      <c r="J1491" s="79">
        <v>6.5270076890690504E-2</v>
      </c>
      <c r="K1491" s="79">
        <v>0.29030640290474402</v>
      </c>
      <c r="L1491" s="79">
        <v>0.70400700579101205</v>
      </c>
      <c r="M1491" s="79">
        <v>1</v>
      </c>
      <c r="N1491" s="102">
        <v>0.95415911037271117</v>
      </c>
      <c r="O1491" s="79">
        <v>6.3857957015948805E-2</v>
      </c>
      <c r="P1491" s="79">
        <v>0.462442113337377</v>
      </c>
      <c r="Q1491" s="79">
        <v>0.58070936989882604</v>
      </c>
      <c r="R1491" s="79">
        <v>1</v>
      </c>
      <c r="S1491" s="102">
        <v>1.0935754422059007</v>
      </c>
      <c r="T1491" s="79">
        <v>6.4594607345830807E-2</v>
      </c>
      <c r="U1491" s="79">
        <v>0.16610445455284201</v>
      </c>
      <c r="V1491" s="79">
        <v>0.262482225757943</v>
      </c>
      <c r="W1491" s="79">
        <v>1</v>
      </c>
    </row>
    <row r="1492" spans="2:23" x14ac:dyDescent="0.2">
      <c r="B1492" t="s">
        <v>2856</v>
      </c>
      <c r="C1492" s="84">
        <v>1325</v>
      </c>
      <c r="D1492" s="102">
        <v>1.0940590373100292</v>
      </c>
      <c r="E1492" s="79">
        <v>7.2650466677134401E-2</v>
      </c>
      <c r="F1492" s="79">
        <v>0.21595404555464101</v>
      </c>
      <c r="G1492" s="79">
        <v>0.84071215771938901</v>
      </c>
      <c r="H1492" s="79">
        <v>1</v>
      </c>
      <c r="I1492" s="102">
        <v>0.89805487327318323</v>
      </c>
      <c r="J1492" s="79">
        <v>7.3543068359865904E-2</v>
      </c>
      <c r="K1492" s="79">
        <v>0.143725782420566</v>
      </c>
      <c r="L1492" s="79">
        <v>0.59040772609061598</v>
      </c>
      <c r="M1492" s="79">
        <v>1</v>
      </c>
      <c r="N1492" s="102">
        <v>0.94337396013679842</v>
      </c>
      <c r="O1492" s="79">
        <v>7.1779326587899497E-2</v>
      </c>
      <c r="P1492" s="79">
        <v>0.41673010035604402</v>
      </c>
      <c r="Q1492" s="79">
        <v>0.53399454614458297</v>
      </c>
      <c r="R1492" s="79">
        <v>1</v>
      </c>
      <c r="S1492" s="102">
        <v>1.0556956200205221</v>
      </c>
      <c r="T1492" s="79">
        <v>7.2597572918701794E-2</v>
      </c>
      <c r="U1492" s="79">
        <v>0.455317048767649</v>
      </c>
      <c r="V1492" s="79">
        <v>0.57041070341710598</v>
      </c>
      <c r="W1492" s="79">
        <v>1</v>
      </c>
    </row>
    <row r="1493" spans="2:23" x14ac:dyDescent="0.2">
      <c r="B1493" t="s">
        <v>3868</v>
      </c>
      <c r="C1493" s="84">
        <v>315</v>
      </c>
      <c r="D1493" s="102">
        <v>1.1749698842431096</v>
      </c>
      <c r="E1493" s="79">
        <v>0.113443173770624</v>
      </c>
      <c r="F1493" s="79">
        <v>0.155214876207113</v>
      </c>
      <c r="G1493" s="79">
        <v>0.80938271582532695</v>
      </c>
      <c r="H1493" s="79">
        <v>1</v>
      </c>
      <c r="I1493" s="102">
        <v>1.1063551758940045</v>
      </c>
      <c r="J1493" s="79">
        <v>0.11881983464561099</v>
      </c>
      <c r="K1493" s="79">
        <v>0.39497832771214503</v>
      </c>
      <c r="L1493" s="79">
        <v>0.76304312491983595</v>
      </c>
      <c r="M1493" s="79">
        <v>1</v>
      </c>
      <c r="N1493" s="102">
        <v>1.0340990624611388</v>
      </c>
      <c r="O1493" s="79">
        <v>0.12807933174104799</v>
      </c>
      <c r="P1493" s="79">
        <v>0.79347920555131801</v>
      </c>
      <c r="Q1493" s="79">
        <v>0.85888420076928595</v>
      </c>
      <c r="R1493" s="79">
        <v>1</v>
      </c>
      <c r="S1493" s="102">
        <v>1.0981752921942174</v>
      </c>
      <c r="T1493" s="79">
        <v>0.12218212698639699</v>
      </c>
      <c r="U1493" s="79">
        <v>0.44339162171424701</v>
      </c>
      <c r="V1493" s="79">
        <v>0.55969106347536102</v>
      </c>
      <c r="W1493" s="79">
        <v>1</v>
      </c>
    </row>
    <row r="1494" spans="2:23" x14ac:dyDescent="0.2">
      <c r="B1494" t="s">
        <v>3867</v>
      </c>
      <c r="C1494" s="84">
        <v>315</v>
      </c>
      <c r="D1494" s="102">
        <v>0.98374511978567125</v>
      </c>
      <c r="E1494" s="79">
        <v>0.115491800209456</v>
      </c>
      <c r="F1494" s="79">
        <v>0.887157943509711</v>
      </c>
      <c r="G1494" s="79">
        <v>0.99362338620020496</v>
      </c>
      <c r="H1494" s="79">
        <v>1</v>
      </c>
      <c r="I1494" s="102">
        <v>0.91973263104807312</v>
      </c>
      <c r="J1494" s="79">
        <v>0.122472901043922</v>
      </c>
      <c r="K1494" s="79">
        <v>0.49448674771915202</v>
      </c>
      <c r="L1494" s="79">
        <v>0.81647470361073005</v>
      </c>
      <c r="M1494" s="79">
        <v>1</v>
      </c>
      <c r="N1494" s="102">
        <v>0.85805619892143992</v>
      </c>
      <c r="O1494" s="79">
        <v>0.133183058474664</v>
      </c>
      <c r="P1494" s="79">
        <v>0.250375377090027</v>
      </c>
      <c r="Q1494" s="79">
        <v>0.36127418125256</v>
      </c>
      <c r="R1494" s="79">
        <v>1</v>
      </c>
      <c r="S1494" s="102">
        <v>0.98657245948880745</v>
      </c>
      <c r="T1494" s="79">
        <v>0.12583614321407</v>
      </c>
      <c r="U1494" s="79">
        <v>0.91444830784245201</v>
      </c>
      <c r="V1494" s="79">
        <v>0.94054367546151396</v>
      </c>
      <c r="W1494" s="79">
        <v>1</v>
      </c>
    </row>
    <row r="1495" spans="2:23" x14ac:dyDescent="0.2">
      <c r="B1495" t="s">
        <v>3858</v>
      </c>
      <c r="C1495" s="84">
        <v>1205</v>
      </c>
      <c r="D1495" s="102">
        <v>0.95775072831370778</v>
      </c>
      <c r="E1495" s="79">
        <v>0.11464049055852001</v>
      </c>
      <c r="F1495" s="79">
        <v>0.70650897038974603</v>
      </c>
      <c r="G1495" s="79">
        <v>0.97144983428590104</v>
      </c>
      <c r="H1495" s="79">
        <v>1</v>
      </c>
      <c r="I1495" s="102">
        <v>1.009834961820065</v>
      </c>
      <c r="J1495" s="79">
        <v>0.120409104503534</v>
      </c>
      <c r="K1495" s="79">
        <v>0.93521887386218305</v>
      </c>
      <c r="L1495" s="79">
        <v>0.98647534698174599</v>
      </c>
      <c r="M1495" s="79">
        <v>1</v>
      </c>
      <c r="N1495" s="102">
        <v>1.0326247968645355</v>
      </c>
      <c r="O1495" s="79">
        <v>0.128863162254306</v>
      </c>
      <c r="P1495" s="79">
        <v>0.80325885824784604</v>
      </c>
      <c r="Q1495" s="79">
        <v>0.86473973694860795</v>
      </c>
      <c r="R1495" s="79">
        <v>1</v>
      </c>
      <c r="S1495" s="102">
        <v>1.2441860644751024</v>
      </c>
      <c r="T1495" s="79">
        <v>0.122892779961596</v>
      </c>
      <c r="U1495" s="79">
        <v>7.5433007419673098E-2</v>
      </c>
      <c r="V1495" s="79">
        <v>0.14053146018097101</v>
      </c>
      <c r="W1495" s="79">
        <v>1</v>
      </c>
    </row>
    <row r="1496" spans="2:23" x14ac:dyDescent="0.2">
      <c r="B1496" t="s">
        <v>3866</v>
      </c>
      <c r="C1496" s="84">
        <v>315</v>
      </c>
      <c r="D1496" s="102">
        <v>1.0535077923419536</v>
      </c>
      <c r="E1496" s="79">
        <v>0.110794648365678</v>
      </c>
      <c r="F1496" s="79">
        <v>0.63802059970200697</v>
      </c>
      <c r="G1496" s="79">
        <v>0.95767440062337605</v>
      </c>
      <c r="H1496" s="79">
        <v>1</v>
      </c>
      <c r="I1496" s="102">
        <v>0.98613958108398203</v>
      </c>
      <c r="J1496" s="79">
        <v>0.11656246795127601</v>
      </c>
      <c r="K1496" s="79">
        <v>0.90468787922435101</v>
      </c>
      <c r="L1496" s="79">
        <v>0.98168469912841005</v>
      </c>
      <c r="M1496" s="79">
        <v>1</v>
      </c>
      <c r="N1496" s="102">
        <v>0.96203721870360082</v>
      </c>
      <c r="O1496" s="79">
        <v>0.12512160782329099</v>
      </c>
      <c r="P1496" s="79">
        <v>0.757081009519182</v>
      </c>
      <c r="Q1496" s="79">
        <v>0.83333023399967199</v>
      </c>
      <c r="R1496" s="79">
        <v>1</v>
      </c>
      <c r="S1496" s="102">
        <v>1.0690847445416254</v>
      </c>
      <c r="T1496" s="79">
        <v>0.11850869347613401</v>
      </c>
      <c r="U1496" s="79">
        <v>0.57296088492228403</v>
      </c>
      <c r="V1496" s="79">
        <v>0.66707610931845296</v>
      </c>
      <c r="W1496" s="79">
        <v>1</v>
      </c>
    </row>
    <row r="1497" spans="2:23" x14ac:dyDescent="0.2">
      <c r="B1497" t="s">
        <v>3865</v>
      </c>
      <c r="C1497" s="84">
        <v>315</v>
      </c>
      <c r="D1497" s="102">
        <v>1.1898822535373563</v>
      </c>
      <c r="E1497" s="79">
        <v>0.111464511673348</v>
      </c>
      <c r="F1497" s="79">
        <v>0.118824096555397</v>
      </c>
      <c r="G1497" s="79">
        <v>0.80938271582532695</v>
      </c>
      <c r="H1497" s="79">
        <v>1</v>
      </c>
      <c r="I1497" s="102">
        <v>1.0387612450551176</v>
      </c>
      <c r="J1497" s="79">
        <v>0.11642415143268001</v>
      </c>
      <c r="K1497" s="79">
        <v>0.74393948507313201</v>
      </c>
      <c r="L1497" s="79">
        <v>0.91967633960533601</v>
      </c>
      <c r="M1497" s="79">
        <v>1</v>
      </c>
      <c r="N1497" s="102">
        <v>0.98146421134776107</v>
      </c>
      <c r="O1497" s="79">
        <v>0.124721395610586</v>
      </c>
      <c r="P1497" s="79">
        <v>0.88075500129797002</v>
      </c>
      <c r="Q1497" s="79">
        <v>0.92041886008560203</v>
      </c>
      <c r="R1497" s="79">
        <v>1</v>
      </c>
      <c r="S1497" s="102">
        <v>1.3581838652936902</v>
      </c>
      <c r="T1497" s="79">
        <v>0.121794120311617</v>
      </c>
      <c r="U1497" s="79">
        <v>1.19487217742548E-2</v>
      </c>
      <c r="V1497" s="79">
        <v>3.2334080967392403E-2</v>
      </c>
      <c r="W1497" s="79">
        <v>1</v>
      </c>
    </row>
    <row r="1498" spans="2:23" x14ac:dyDescent="0.2">
      <c r="B1498" t="s">
        <v>3864</v>
      </c>
      <c r="C1498" s="84">
        <v>315</v>
      </c>
      <c r="D1498" s="102">
        <v>1.1775240954318567</v>
      </c>
      <c r="E1498" s="79">
        <v>0.112733225128495</v>
      </c>
      <c r="F1498" s="79">
        <v>0.14718017784034201</v>
      </c>
      <c r="G1498" s="79">
        <v>0.80938271582532695</v>
      </c>
      <c r="H1498" s="79">
        <v>1</v>
      </c>
      <c r="I1498" s="102">
        <v>1.1427850152384085</v>
      </c>
      <c r="J1498" s="79">
        <v>0.11857118500969099</v>
      </c>
      <c r="K1498" s="79">
        <v>0.26031860736227902</v>
      </c>
      <c r="L1498" s="79">
        <v>0.68025543872958705</v>
      </c>
      <c r="M1498" s="79">
        <v>1</v>
      </c>
      <c r="N1498" s="102">
        <v>1.0241578403308669</v>
      </c>
      <c r="O1498" s="79">
        <v>0.12607477937075301</v>
      </c>
      <c r="P1498" s="79">
        <v>0.84982847921484606</v>
      </c>
      <c r="Q1498" s="79">
        <v>0.89761607204827498</v>
      </c>
      <c r="R1498" s="79">
        <v>1</v>
      </c>
      <c r="S1498" s="102">
        <v>1.1930599161278956</v>
      </c>
      <c r="T1498" s="79">
        <v>0.121019206177175</v>
      </c>
      <c r="U1498" s="79">
        <v>0.14466897391319</v>
      </c>
      <c r="V1498" s="79">
        <v>0.237470195551302</v>
      </c>
      <c r="W1498" s="79">
        <v>1</v>
      </c>
    </row>
    <row r="1499" spans="2:23" x14ac:dyDescent="0.2">
      <c r="B1499" t="s">
        <v>3863</v>
      </c>
      <c r="C1499" s="84">
        <v>315</v>
      </c>
      <c r="D1499" s="102">
        <v>1.0702066764379328</v>
      </c>
      <c r="E1499" s="79">
        <v>0.10927327401553701</v>
      </c>
      <c r="F1499" s="79">
        <v>0.53464127761741798</v>
      </c>
      <c r="G1499" s="79">
        <v>0.92176676956083303</v>
      </c>
      <c r="H1499" s="79">
        <v>1</v>
      </c>
      <c r="I1499" s="102">
        <v>0.97394298830061843</v>
      </c>
      <c r="J1499" s="79">
        <v>0.115335647505262</v>
      </c>
      <c r="K1499" s="79">
        <v>0.81893194331917196</v>
      </c>
      <c r="L1499" s="79">
        <v>0.94953505269177096</v>
      </c>
      <c r="M1499" s="79">
        <v>1</v>
      </c>
      <c r="N1499" s="102">
        <v>0.96957464874134991</v>
      </c>
      <c r="O1499" s="79">
        <v>0.12379389057734901</v>
      </c>
      <c r="P1499" s="79">
        <v>0.80290385195522496</v>
      </c>
      <c r="Q1499" s="79">
        <v>0.86473973694860795</v>
      </c>
      <c r="R1499" s="79">
        <v>1</v>
      </c>
      <c r="S1499" s="102">
        <v>1.1450416327995012</v>
      </c>
      <c r="T1499" s="79">
        <v>0.118424767251288</v>
      </c>
      <c r="U1499" s="79">
        <v>0.25275301089004898</v>
      </c>
      <c r="V1499" s="79">
        <v>0.36254326879571802</v>
      </c>
      <c r="W1499" s="79">
        <v>1</v>
      </c>
    </row>
    <row r="1500" spans="2:23" x14ac:dyDescent="0.2">
      <c r="B1500" t="s">
        <v>3862</v>
      </c>
      <c r="C1500" s="84">
        <v>315</v>
      </c>
      <c r="D1500" s="102">
        <v>1.1577375975745334</v>
      </c>
      <c r="E1500" s="79">
        <v>0.11445806617636201</v>
      </c>
      <c r="F1500" s="79">
        <v>0.200663678155346</v>
      </c>
      <c r="G1500" s="79">
        <v>0.83003013605610498</v>
      </c>
      <c r="H1500" s="79">
        <v>1</v>
      </c>
      <c r="I1500" s="102">
        <v>1.1165575178572957</v>
      </c>
      <c r="J1500" s="79">
        <v>0.120874069389247</v>
      </c>
      <c r="K1500" s="79">
        <v>0.36171142539764001</v>
      </c>
      <c r="L1500" s="79">
        <v>0.74593451887386297</v>
      </c>
      <c r="M1500" s="79">
        <v>1</v>
      </c>
      <c r="N1500" s="102">
        <v>0.91464227557734457</v>
      </c>
      <c r="O1500" s="79">
        <v>0.128962091286353</v>
      </c>
      <c r="P1500" s="79">
        <v>0.489032395374423</v>
      </c>
      <c r="Q1500" s="79">
        <v>0.60601380963004603</v>
      </c>
      <c r="R1500" s="79">
        <v>1</v>
      </c>
      <c r="S1500" s="102">
        <v>1.2294752509334872</v>
      </c>
      <c r="T1500" s="79">
        <v>0.12374396699734901</v>
      </c>
      <c r="U1500" s="79">
        <v>9.5023290825346801E-2</v>
      </c>
      <c r="V1500" s="79">
        <v>0.168731084547314</v>
      </c>
      <c r="W1500" s="79">
        <v>1</v>
      </c>
    </row>
    <row r="1501" spans="2:23" x14ac:dyDescent="0.2">
      <c r="B1501" t="s">
        <v>3861</v>
      </c>
      <c r="C1501" s="84">
        <v>1171</v>
      </c>
      <c r="D1501" s="102">
        <v>1.1727949872272287</v>
      </c>
      <c r="E1501" s="79">
        <v>0.111170111813989</v>
      </c>
      <c r="F1501" s="79">
        <v>0.15164456786427299</v>
      </c>
      <c r="G1501" s="79">
        <v>0.80938271582532695</v>
      </c>
      <c r="H1501" s="79">
        <v>1</v>
      </c>
      <c r="I1501" s="102">
        <v>1.048988887167589</v>
      </c>
      <c r="J1501" s="79">
        <v>0.11622265529593399</v>
      </c>
      <c r="K1501" s="79">
        <v>0.68069892089098905</v>
      </c>
      <c r="L1501" s="79">
        <v>0.8940422852919</v>
      </c>
      <c r="M1501" s="79">
        <v>1</v>
      </c>
      <c r="N1501" s="102">
        <v>0.87980987641112307</v>
      </c>
      <c r="O1501" s="79">
        <v>0.125302105464311</v>
      </c>
      <c r="P1501" s="79">
        <v>0.306816058050489</v>
      </c>
      <c r="Q1501" s="79">
        <v>0.42152992890310498</v>
      </c>
      <c r="R1501" s="79">
        <v>1</v>
      </c>
      <c r="S1501" s="102">
        <v>1.2290377156188574</v>
      </c>
      <c r="T1501" s="79">
        <v>0.119303994321995</v>
      </c>
      <c r="U1501" s="79">
        <v>8.3876756204731395E-2</v>
      </c>
      <c r="V1501" s="79">
        <v>0.153276402384914</v>
      </c>
      <c r="W1501" s="79">
        <v>1</v>
      </c>
    </row>
    <row r="1502" spans="2:23" x14ac:dyDescent="0.2">
      <c r="B1502" t="s">
        <v>3860</v>
      </c>
      <c r="C1502" s="84">
        <v>373</v>
      </c>
      <c r="D1502" s="102">
        <v>1.1662437679376596</v>
      </c>
      <c r="E1502" s="79">
        <v>0.115167730227576</v>
      </c>
      <c r="F1502" s="79">
        <v>0.181764943135755</v>
      </c>
      <c r="G1502" s="79">
        <v>0.83003013605610498</v>
      </c>
      <c r="H1502" s="79">
        <v>1</v>
      </c>
      <c r="I1502" s="102">
        <v>1.1766629505412902</v>
      </c>
      <c r="J1502" s="79">
        <v>0.121051235323186</v>
      </c>
      <c r="K1502" s="79">
        <v>0.178976267160423</v>
      </c>
      <c r="L1502" s="79">
        <v>0.61549445076584797</v>
      </c>
      <c r="M1502" s="79">
        <v>1</v>
      </c>
      <c r="N1502" s="102">
        <v>0.88611068771303314</v>
      </c>
      <c r="O1502" s="79">
        <v>0.12889803445335199</v>
      </c>
      <c r="P1502" s="79">
        <v>0.34821630235167</v>
      </c>
      <c r="Q1502" s="79">
        <v>0.46483720739458501</v>
      </c>
      <c r="R1502" s="79">
        <v>1</v>
      </c>
      <c r="S1502" s="102">
        <v>1.1458974405339069</v>
      </c>
      <c r="T1502" s="79">
        <v>0.12159909855227501</v>
      </c>
      <c r="U1502" s="79">
        <v>0.26272381830395197</v>
      </c>
      <c r="V1502" s="79">
        <v>0.37274216767746599</v>
      </c>
      <c r="W1502" s="79">
        <v>1</v>
      </c>
    </row>
    <row r="1503" spans="2:23" x14ac:dyDescent="0.2">
      <c r="B1503" t="s">
        <v>3859</v>
      </c>
      <c r="C1503" s="84">
        <v>1152</v>
      </c>
      <c r="D1503" s="102">
        <v>1.0239431160065271</v>
      </c>
      <c r="E1503" s="79">
        <v>0.11168190288050001</v>
      </c>
      <c r="F1503" s="79">
        <v>0.83221593374352199</v>
      </c>
      <c r="G1503" s="79">
        <v>0.99362338620020496</v>
      </c>
      <c r="H1503" s="79">
        <v>1</v>
      </c>
      <c r="I1503" s="102">
        <v>0.81327378933266936</v>
      </c>
      <c r="J1503" s="79">
        <v>0.11998419219442701</v>
      </c>
      <c r="K1503" s="79">
        <v>8.4956824354851301E-2</v>
      </c>
      <c r="L1503" s="79">
        <v>0.48713190240675902</v>
      </c>
      <c r="M1503" s="79">
        <v>1</v>
      </c>
      <c r="N1503" s="102">
        <v>0.8329000217968785</v>
      </c>
      <c r="O1503" s="79">
        <v>0.127207764971208</v>
      </c>
      <c r="P1503" s="79">
        <v>0.15061949509181199</v>
      </c>
      <c r="Q1503" s="79">
        <v>0.24044368136264699</v>
      </c>
      <c r="R1503" s="79">
        <v>1</v>
      </c>
      <c r="S1503" s="102">
        <v>0.99948611033694224</v>
      </c>
      <c r="T1503" s="79">
        <v>0.120596535261105</v>
      </c>
      <c r="U1503" s="79">
        <v>0.99659916617664401</v>
      </c>
      <c r="V1503" s="79">
        <v>0.99836723093035795</v>
      </c>
      <c r="W1503" s="79">
        <v>1</v>
      </c>
    </row>
    <row r="1504" spans="2:23" x14ac:dyDescent="0.2">
      <c r="B1504" t="s">
        <v>3321</v>
      </c>
      <c r="C1504" s="84">
        <v>5034</v>
      </c>
      <c r="D1504" s="102">
        <v>-2.4218461692235099E-2</v>
      </c>
      <c r="E1504" s="79">
        <v>2.8959434227961999E-2</v>
      </c>
      <c r="F1504" s="79">
        <v>0.403161423782183</v>
      </c>
      <c r="G1504" s="79">
        <v>0.89461055933914202</v>
      </c>
      <c r="H1504" s="79">
        <v>1</v>
      </c>
      <c r="I1504" s="102">
        <v>2.25222055784303E-2</v>
      </c>
      <c r="J1504" s="79">
        <v>2.97707149886942E-2</v>
      </c>
      <c r="K1504" s="79">
        <v>0.44948730229075501</v>
      </c>
      <c r="L1504" s="79">
        <v>0.79746066051088205</v>
      </c>
      <c r="M1504" s="79">
        <v>1</v>
      </c>
      <c r="N1504" s="102">
        <v>8.2219584283509103E-2</v>
      </c>
      <c r="O1504" s="79">
        <v>2.9351755268493099E-2</v>
      </c>
      <c r="P1504" s="79">
        <v>5.17452512228583E-3</v>
      </c>
      <c r="Q1504" s="79">
        <v>1.6476777363068001E-2</v>
      </c>
      <c r="R1504" s="79">
        <v>1</v>
      </c>
      <c r="S1504" s="102">
        <v>5.32798820680793E-2</v>
      </c>
      <c r="T1504" s="79">
        <v>2.96372767185678E-2</v>
      </c>
      <c r="U1504" s="79">
        <v>7.2475132240514606E-2</v>
      </c>
      <c r="V1504" s="79">
        <v>0.136414304461591</v>
      </c>
      <c r="W1504" s="79">
        <v>1</v>
      </c>
    </row>
    <row r="1505" spans="2:23" x14ac:dyDescent="0.2">
      <c r="B1505" t="s">
        <v>3873</v>
      </c>
      <c r="C1505" s="84">
        <v>1157</v>
      </c>
      <c r="D1505" s="102">
        <v>1.0046508837248331</v>
      </c>
      <c r="E1505" s="79">
        <v>7.4856637125906997E-2</v>
      </c>
      <c r="F1505" s="79">
        <v>0.95057357377289897</v>
      </c>
      <c r="G1505" s="79">
        <v>0.99840985319461195</v>
      </c>
      <c r="H1505" s="79">
        <v>1</v>
      </c>
      <c r="I1505" s="102">
        <v>0.95455927623061121</v>
      </c>
      <c r="J1505" s="79">
        <v>7.7083891730971202E-2</v>
      </c>
      <c r="K1505" s="79">
        <v>0.54630202302229902</v>
      </c>
      <c r="L1505" s="79">
        <v>0.85058421599244005</v>
      </c>
      <c r="M1505" s="79">
        <v>1</v>
      </c>
      <c r="N1505" s="102">
        <v>1.2797628752134653</v>
      </c>
      <c r="O1505" s="79">
        <v>7.6688820651096001E-2</v>
      </c>
      <c r="P1505" s="79">
        <v>1.29733781776133E-3</v>
      </c>
      <c r="Q1505" s="79">
        <v>5.4034855273728602E-3</v>
      </c>
      <c r="R1505" s="79">
        <v>1</v>
      </c>
      <c r="S1505" s="102">
        <v>1.150925878937979</v>
      </c>
      <c r="T1505" s="79">
        <v>7.56884613450719E-2</v>
      </c>
      <c r="U1505" s="79">
        <v>6.3286237320138494E-2</v>
      </c>
      <c r="V1505" s="79">
        <v>0.122566544129688</v>
      </c>
      <c r="W1505" s="79">
        <v>1</v>
      </c>
    </row>
    <row r="1506" spans="2:23" x14ac:dyDescent="0.2">
      <c r="B1506" t="s">
        <v>3872</v>
      </c>
      <c r="C1506" s="84">
        <v>315</v>
      </c>
      <c r="D1506" s="102">
        <v>0.77732729058883976</v>
      </c>
      <c r="E1506" s="79">
        <v>0.114088209550209</v>
      </c>
      <c r="F1506" s="79">
        <v>2.7252200680728401E-2</v>
      </c>
      <c r="G1506" s="79">
        <v>0.59730976775552003</v>
      </c>
      <c r="H1506" s="79">
        <v>1</v>
      </c>
      <c r="I1506" s="102">
        <v>1.0417549064196865</v>
      </c>
      <c r="J1506" s="79">
        <v>0.12056639258696</v>
      </c>
      <c r="K1506" s="79">
        <v>0.73439296359188999</v>
      </c>
      <c r="L1506" s="79">
        <v>0.91967633960533601</v>
      </c>
      <c r="M1506" s="79">
        <v>1</v>
      </c>
      <c r="N1506" s="102">
        <v>1.0124931668760291</v>
      </c>
      <c r="O1506" s="79">
        <v>0.13333132669331699</v>
      </c>
      <c r="P1506" s="79">
        <v>0.92580847860357496</v>
      </c>
      <c r="Q1506" s="79">
        <v>0.94934598229688605</v>
      </c>
      <c r="R1506" s="79">
        <v>1</v>
      </c>
      <c r="S1506" s="102">
        <v>1.0194897314187978</v>
      </c>
      <c r="T1506" s="79">
        <v>0.116173764130886</v>
      </c>
      <c r="U1506" s="79">
        <v>0.86803912409688699</v>
      </c>
      <c r="V1506" s="79">
        <v>0.90545460358382202</v>
      </c>
      <c r="W1506" s="79">
        <v>1</v>
      </c>
    </row>
    <row r="1507" spans="2:23" x14ac:dyDescent="0.2">
      <c r="B1507" t="s">
        <v>3320</v>
      </c>
      <c r="C1507" s="84">
        <v>5033</v>
      </c>
      <c r="D1507" s="102">
        <v>-5.3498705825544999E-3</v>
      </c>
      <c r="E1507" s="79">
        <v>2.9293517040446498E-2</v>
      </c>
      <c r="F1507" s="79">
        <v>0.85512017774990701</v>
      </c>
      <c r="G1507" s="79">
        <v>0.99362338620020496</v>
      </c>
      <c r="H1507" s="79">
        <v>1</v>
      </c>
      <c r="I1507" s="102">
        <v>2.61516059217261E-2</v>
      </c>
      <c r="J1507" s="79">
        <v>3.0055122992335401E-2</v>
      </c>
      <c r="K1507" s="79">
        <v>0.384411181269324</v>
      </c>
      <c r="L1507" s="79">
        <v>0.75782823609722505</v>
      </c>
      <c r="M1507" s="79">
        <v>1</v>
      </c>
      <c r="N1507" s="102">
        <v>6.6138260316898997E-2</v>
      </c>
      <c r="O1507" s="79">
        <v>2.9625707842060499E-2</v>
      </c>
      <c r="P1507" s="79">
        <v>2.5770645289523799E-2</v>
      </c>
      <c r="Q1507" s="79">
        <v>5.9314501522355102E-2</v>
      </c>
      <c r="R1507" s="79">
        <v>1</v>
      </c>
      <c r="S1507" s="102">
        <v>7.8953193097022895E-2</v>
      </c>
      <c r="T1507" s="79">
        <v>2.9920104568932002E-2</v>
      </c>
      <c r="U1507" s="79">
        <v>8.4308974452233908E-3</v>
      </c>
      <c r="V1507" s="79">
        <v>2.4709239225274099E-2</v>
      </c>
      <c r="W1507" s="79">
        <v>1</v>
      </c>
    </row>
    <row r="1508" spans="2:23" x14ac:dyDescent="0.2">
      <c r="B1508" t="s">
        <v>3871</v>
      </c>
      <c r="C1508" s="84">
        <v>315</v>
      </c>
      <c r="D1508" s="102">
        <v>0.96222496214092035</v>
      </c>
      <c r="E1508" s="79">
        <v>6.9780064534477798E-2</v>
      </c>
      <c r="F1508" s="79">
        <v>0.58106213813097496</v>
      </c>
      <c r="G1508" s="79">
        <v>0.93785493309554202</v>
      </c>
      <c r="H1508" s="79">
        <v>1</v>
      </c>
      <c r="I1508" s="102">
        <v>1.0619149876215692</v>
      </c>
      <c r="J1508" s="79">
        <v>7.2905617330380396E-2</v>
      </c>
      <c r="K1508" s="79">
        <v>0.409942351097972</v>
      </c>
      <c r="L1508" s="79">
        <v>0.77250777393894599</v>
      </c>
      <c r="M1508" s="79">
        <v>1</v>
      </c>
      <c r="N1508" s="102">
        <v>1.3015421901288258</v>
      </c>
      <c r="O1508" s="79">
        <v>7.2585548290967597E-2</v>
      </c>
      <c r="P1508" s="79">
        <v>2.8244977522534599E-4</v>
      </c>
      <c r="Q1508" s="79">
        <v>1.6002338435844E-3</v>
      </c>
      <c r="R1508" s="79">
        <v>0.47846991923173599</v>
      </c>
      <c r="S1508" s="102">
        <v>1.1670162282623151</v>
      </c>
      <c r="T1508" s="79">
        <v>7.1908875984539697E-2</v>
      </c>
      <c r="U1508" s="79">
        <v>3.1724811653484598E-2</v>
      </c>
      <c r="V1508" s="79">
        <v>7.2428343586257299E-2</v>
      </c>
      <c r="W1508" s="79">
        <v>1</v>
      </c>
    </row>
    <row r="1509" spans="2:23" x14ac:dyDescent="0.2">
      <c r="B1509" t="s">
        <v>3870</v>
      </c>
      <c r="C1509" s="84">
        <v>315</v>
      </c>
      <c r="D1509" s="102">
        <v>0.83445066475269114</v>
      </c>
      <c r="E1509" s="79">
        <v>0.104194156691582</v>
      </c>
      <c r="F1509" s="79">
        <v>8.2393257808614201E-2</v>
      </c>
      <c r="G1509" s="79">
        <v>0.74241584429676799</v>
      </c>
      <c r="H1509" s="79">
        <v>1</v>
      </c>
      <c r="I1509" s="102">
        <v>1.0329944623171912</v>
      </c>
      <c r="J1509" s="79">
        <v>0.11188718692671699</v>
      </c>
      <c r="K1509" s="79">
        <v>0.77171678703630797</v>
      </c>
      <c r="L1509" s="79">
        <v>0.92861868293626904</v>
      </c>
      <c r="M1509" s="79">
        <v>1</v>
      </c>
      <c r="N1509" s="102">
        <v>1.0067761777833744</v>
      </c>
      <c r="O1509" s="79">
        <v>0.118124638632201</v>
      </c>
      <c r="P1509" s="79">
        <v>0.95440885112503404</v>
      </c>
      <c r="Q1509" s="79">
        <v>0.96812490647054406</v>
      </c>
      <c r="R1509" s="79">
        <v>1</v>
      </c>
      <c r="S1509" s="102">
        <v>1.1004915916000717</v>
      </c>
      <c r="T1509" s="79">
        <v>0.109053601743306</v>
      </c>
      <c r="U1509" s="79">
        <v>0.37990431233599897</v>
      </c>
      <c r="V1509" s="79">
        <v>0.49772459790965401</v>
      </c>
      <c r="W1509" s="79">
        <v>1</v>
      </c>
    </row>
    <row r="1510" spans="2:23" x14ac:dyDescent="0.2">
      <c r="B1510" t="s">
        <v>3318</v>
      </c>
      <c r="C1510" s="84">
        <v>5033</v>
      </c>
      <c r="D1510" s="102">
        <v>-4.0185442224619202E-3</v>
      </c>
      <c r="E1510" s="79">
        <v>2.8874575833954599E-2</v>
      </c>
      <c r="F1510" s="79">
        <v>0.88933797894932998</v>
      </c>
      <c r="G1510" s="79">
        <v>0.99362338620020496</v>
      </c>
      <c r="H1510" s="79">
        <v>1</v>
      </c>
      <c r="I1510" s="102">
        <v>-8.6051498863845902E-3</v>
      </c>
      <c r="J1510" s="79">
        <v>2.9641239546620402E-2</v>
      </c>
      <c r="K1510" s="79">
        <v>0.77163037621846298</v>
      </c>
      <c r="L1510" s="79">
        <v>0.92861868293626904</v>
      </c>
      <c r="M1510" s="79">
        <v>1</v>
      </c>
      <c r="N1510" s="102">
        <v>4.4134328815253102E-2</v>
      </c>
      <c r="O1510" s="79">
        <v>2.9286532410181799E-2</v>
      </c>
      <c r="P1510" s="79">
        <v>0.132082351867613</v>
      </c>
      <c r="Q1510" s="79">
        <v>0.21701988754969601</v>
      </c>
      <c r="R1510" s="79">
        <v>1</v>
      </c>
      <c r="S1510" s="102">
        <v>6.8636796017276305E-2</v>
      </c>
      <c r="T1510" s="79">
        <v>2.9515644265373401E-2</v>
      </c>
      <c r="U1510" s="79">
        <v>2.02202267251844E-2</v>
      </c>
      <c r="V1510" s="79">
        <v>4.9356000104412601E-2</v>
      </c>
      <c r="W1510" s="79">
        <v>1</v>
      </c>
    </row>
    <row r="1511" spans="2:23" x14ac:dyDescent="0.2">
      <c r="B1511" t="s">
        <v>3869</v>
      </c>
      <c r="C1511" s="84">
        <v>315</v>
      </c>
      <c r="D1511" s="102">
        <v>1.0719915911413505</v>
      </c>
      <c r="E1511" s="79">
        <v>7.7765743390600994E-2</v>
      </c>
      <c r="F1511" s="79">
        <v>0.37135186237344497</v>
      </c>
      <c r="G1511" s="79">
        <v>0.89461055933914202</v>
      </c>
      <c r="H1511" s="79">
        <v>1</v>
      </c>
      <c r="I1511" s="102">
        <v>0.99207950784865373</v>
      </c>
      <c r="J1511" s="79">
        <v>8.0956972436772495E-2</v>
      </c>
      <c r="K1511" s="79">
        <v>0.921753364043013</v>
      </c>
      <c r="L1511" s="79">
        <v>0.98193837767293402</v>
      </c>
      <c r="M1511" s="79">
        <v>1</v>
      </c>
      <c r="N1511" s="102">
        <v>1.1460910474615</v>
      </c>
      <c r="O1511" s="79">
        <v>7.9070525241053902E-2</v>
      </c>
      <c r="P1511" s="79">
        <v>8.4617750339895298E-2</v>
      </c>
      <c r="Q1511" s="79">
        <v>0.15315045199382901</v>
      </c>
      <c r="R1511" s="79">
        <v>1</v>
      </c>
      <c r="S1511" s="102">
        <v>1.1107549040686404</v>
      </c>
      <c r="T1511" s="79">
        <v>7.9001422896587695E-2</v>
      </c>
      <c r="U1511" s="79">
        <v>0.18365182550826001</v>
      </c>
      <c r="V1511" s="79">
        <v>0.28308115778980197</v>
      </c>
      <c r="W1511" s="79">
        <v>1</v>
      </c>
    </row>
    <row r="1512" spans="2:23" x14ac:dyDescent="0.2">
      <c r="B1512" t="s">
        <v>3319</v>
      </c>
      <c r="C1512" s="84">
        <v>5036</v>
      </c>
      <c r="D1512" s="102">
        <v>5.4583304049060097E-3</v>
      </c>
      <c r="E1512" s="79">
        <v>2.91558744570602E-2</v>
      </c>
      <c r="F1512" s="79">
        <v>0.85152677394756904</v>
      </c>
      <c r="G1512" s="79">
        <v>0.99362338620020496</v>
      </c>
      <c r="H1512" s="79">
        <v>1</v>
      </c>
      <c r="I1512" s="102">
        <v>2.26257735584365E-2</v>
      </c>
      <c r="J1512" s="79">
        <v>2.99143436362906E-2</v>
      </c>
      <c r="K1512" s="79">
        <v>0.449588932439897</v>
      </c>
      <c r="L1512" s="79">
        <v>0.79746066051088205</v>
      </c>
      <c r="M1512" s="79">
        <v>1</v>
      </c>
      <c r="N1512" s="102">
        <v>4.9570677920837303E-2</v>
      </c>
      <c r="O1512" s="79">
        <v>2.9513141782568399E-2</v>
      </c>
      <c r="P1512" s="79">
        <v>9.3295377053968301E-2</v>
      </c>
      <c r="Q1512" s="79">
        <v>0.16514354099208201</v>
      </c>
      <c r="R1512" s="79">
        <v>1</v>
      </c>
      <c r="S1512" s="102">
        <v>2.7656488357604099E-2</v>
      </c>
      <c r="T1512" s="79">
        <v>2.9862531918338101E-2</v>
      </c>
      <c r="U1512" s="79">
        <v>0.35457081701898602</v>
      </c>
      <c r="V1512" s="79">
        <v>0.471997298690365</v>
      </c>
      <c r="W1512" s="79">
        <v>1</v>
      </c>
    </row>
    <row r="1513" spans="2:23" x14ac:dyDescent="0.2">
      <c r="B1513" t="s">
        <v>3857</v>
      </c>
      <c r="C1513" s="84">
        <v>1208</v>
      </c>
      <c r="D1513" s="102">
        <v>1.0326978504011721</v>
      </c>
      <c r="E1513" s="79">
        <v>6.76925847298325E-2</v>
      </c>
      <c r="F1513" s="79">
        <v>0.63456932021133405</v>
      </c>
      <c r="G1513" s="79">
        <v>0.95767440062337605</v>
      </c>
      <c r="H1513" s="79">
        <v>1</v>
      </c>
      <c r="I1513" s="102">
        <v>1.1104753865842816</v>
      </c>
      <c r="J1513" s="79">
        <v>7.1636911176469406E-2</v>
      </c>
      <c r="K1513" s="79">
        <v>0.14353080115151001</v>
      </c>
      <c r="L1513" s="79">
        <v>0.59040772609061598</v>
      </c>
      <c r="M1513" s="79">
        <v>1</v>
      </c>
      <c r="N1513" s="102">
        <v>1.1274378170069939</v>
      </c>
      <c r="O1513" s="79">
        <v>6.9902747538027096E-2</v>
      </c>
      <c r="P1513" s="79">
        <v>8.6176378959843494E-2</v>
      </c>
      <c r="Q1513" s="79">
        <v>0.15535614538560599</v>
      </c>
      <c r="R1513" s="79">
        <v>1</v>
      </c>
      <c r="S1513" s="102">
        <v>1.1423991153780519</v>
      </c>
      <c r="T1513" s="79">
        <v>7.0623161208798094E-2</v>
      </c>
      <c r="U1513" s="79">
        <v>5.9418599101967798E-2</v>
      </c>
      <c r="V1513" s="79">
        <v>0.116904886038018</v>
      </c>
      <c r="W1513" s="79">
        <v>1</v>
      </c>
    </row>
    <row r="1514" spans="2:23" x14ac:dyDescent="0.2">
      <c r="B1514" t="s">
        <v>3856</v>
      </c>
      <c r="C1514" s="84">
        <v>232</v>
      </c>
      <c r="D1514" s="102">
        <v>0.97020019990448092</v>
      </c>
      <c r="E1514" s="79">
        <v>0.10805712604015</v>
      </c>
      <c r="F1514" s="79">
        <v>0.77949992815458302</v>
      </c>
      <c r="G1514" s="79">
        <v>0.98707149633086799</v>
      </c>
      <c r="H1514" s="79">
        <v>1</v>
      </c>
      <c r="I1514" s="102">
        <v>1.0133812122973607</v>
      </c>
      <c r="J1514" s="79">
        <v>0.109899566658006</v>
      </c>
      <c r="K1514" s="79">
        <v>0.90372975910896003</v>
      </c>
      <c r="L1514" s="79">
        <v>0.98168469912841005</v>
      </c>
      <c r="M1514" s="79">
        <v>1</v>
      </c>
      <c r="N1514" s="102">
        <v>0.980695803789981</v>
      </c>
      <c r="O1514" s="79">
        <v>0.115778437701265</v>
      </c>
      <c r="P1514" s="79">
        <v>0.866296693224476</v>
      </c>
      <c r="Q1514" s="79">
        <v>0.911494781566623</v>
      </c>
      <c r="R1514" s="79">
        <v>1</v>
      </c>
      <c r="S1514" s="102">
        <v>1.1590037486654519</v>
      </c>
      <c r="T1514" s="79">
        <v>0.11385865480495699</v>
      </c>
      <c r="U1514" s="79">
        <v>0.194975538988374</v>
      </c>
      <c r="V1514" s="79">
        <v>0.29542805281422702</v>
      </c>
      <c r="W1514" s="79">
        <v>1</v>
      </c>
    </row>
    <row r="1515" spans="2:23" x14ac:dyDescent="0.2">
      <c r="B1515" t="s">
        <v>3317</v>
      </c>
      <c r="C1515" s="84">
        <v>5036</v>
      </c>
      <c r="D1515" s="102">
        <v>-8.2016491208299E-2</v>
      </c>
      <c r="E1515" s="79">
        <v>8.3990753167591997E-2</v>
      </c>
      <c r="F1515" s="79">
        <v>0.33085161592312901</v>
      </c>
      <c r="G1515" s="79">
        <v>0.887497895560034</v>
      </c>
      <c r="H1515" s="79">
        <v>1</v>
      </c>
      <c r="I1515" s="102">
        <v>1.0376117970085801E-2</v>
      </c>
      <c r="J1515" s="79">
        <v>8.7188588601509104E-2</v>
      </c>
      <c r="K1515" s="79">
        <v>0.90547506429895297</v>
      </c>
      <c r="L1515" s="79">
        <v>0.98168469912841005</v>
      </c>
      <c r="M1515" s="79">
        <v>1</v>
      </c>
      <c r="N1515" s="102">
        <v>9.5749521942361596E-2</v>
      </c>
      <c r="O1515" s="79">
        <v>9.3562747489867204E-2</v>
      </c>
      <c r="P1515" s="79">
        <v>0.30826130816957897</v>
      </c>
      <c r="Q1515" s="79">
        <v>0.42317233066391202</v>
      </c>
      <c r="R1515" s="79">
        <v>1</v>
      </c>
      <c r="S1515" s="102">
        <v>6.9196944257054194E-2</v>
      </c>
      <c r="T1515" s="79">
        <v>9.26554202114626E-2</v>
      </c>
      <c r="U1515" s="79">
        <v>0.45668309655941097</v>
      </c>
      <c r="V1515" s="79">
        <v>0.57093812957316803</v>
      </c>
      <c r="W1515" s="79">
        <v>1</v>
      </c>
    </row>
    <row r="1516" spans="2:23" x14ac:dyDescent="0.2">
      <c r="B1516" t="s">
        <v>3316</v>
      </c>
      <c r="C1516" s="84">
        <v>283</v>
      </c>
      <c r="D1516" s="102">
        <v>4.0063174176569502E-2</v>
      </c>
      <c r="E1516" s="79">
        <v>8.6777865077082503E-2</v>
      </c>
      <c r="F1516" s="79">
        <v>0.64517898896183301</v>
      </c>
      <c r="G1516" s="79">
        <v>0.95767440062337605</v>
      </c>
      <c r="H1516" s="79">
        <v>1</v>
      </c>
      <c r="I1516" s="102">
        <v>8.9923639807314507E-3</v>
      </c>
      <c r="J1516" s="79">
        <v>8.7121946248326795E-2</v>
      </c>
      <c r="K1516" s="79">
        <v>0.91796990653897503</v>
      </c>
      <c r="L1516" s="79">
        <v>0.98193837767293402</v>
      </c>
      <c r="M1516" s="79">
        <v>1</v>
      </c>
      <c r="N1516" s="102">
        <v>3.8308529775439297E-2</v>
      </c>
      <c r="O1516" s="79">
        <v>9.4764898095333006E-2</v>
      </c>
      <c r="P1516" s="79">
        <v>0.68677464282222001</v>
      </c>
      <c r="Q1516" s="79">
        <v>0.77819146818785301</v>
      </c>
      <c r="R1516" s="79">
        <v>1</v>
      </c>
      <c r="S1516" s="102">
        <v>-3.0088927041998701E-2</v>
      </c>
      <c r="T1516" s="79">
        <v>9.7099784824847005E-2</v>
      </c>
      <c r="U1516" s="79">
        <v>0.757210980982986</v>
      </c>
      <c r="V1516" s="79">
        <v>0.81338960163930096</v>
      </c>
      <c r="W1516" s="79">
        <v>1</v>
      </c>
    </row>
    <row r="1517" spans="2:23" x14ac:dyDescent="0.2">
      <c r="B1517" t="s">
        <v>3315</v>
      </c>
      <c r="C1517" s="84">
        <v>5039</v>
      </c>
      <c r="D1517" s="102">
        <v>7.6219033046144996E-2</v>
      </c>
      <c r="E1517" s="79">
        <v>8.0644761950806207E-2</v>
      </c>
      <c r="F1517" s="79">
        <v>0.34656174887750202</v>
      </c>
      <c r="G1517" s="79">
        <v>0.89461055933914202</v>
      </c>
      <c r="H1517" s="79">
        <v>1</v>
      </c>
      <c r="I1517" s="102">
        <v>-2.2281842113080199E-3</v>
      </c>
      <c r="J1517" s="79">
        <v>8.3698462461813894E-2</v>
      </c>
      <c r="K1517" s="79">
        <v>0.97880731571229795</v>
      </c>
      <c r="L1517" s="79">
        <v>0.99629532610271199</v>
      </c>
      <c r="M1517" s="79">
        <v>1</v>
      </c>
      <c r="N1517" s="102">
        <v>0.19585960383805301</v>
      </c>
      <c r="O1517" s="79">
        <v>8.8364979465234E-2</v>
      </c>
      <c r="P1517" s="79">
        <v>2.86089062049114E-2</v>
      </c>
      <c r="Q1517" s="79">
        <v>6.4921561920394694E-2</v>
      </c>
      <c r="R1517" s="79">
        <v>1</v>
      </c>
      <c r="S1517" s="102">
        <v>2.22084522552949E-2</v>
      </c>
      <c r="T1517" s="79">
        <v>8.9131045203328096E-2</v>
      </c>
      <c r="U1517" s="79">
        <v>0.80367280036243105</v>
      </c>
      <c r="V1517" s="79">
        <v>0.85248699049089405</v>
      </c>
      <c r="W1517" s="79">
        <v>1</v>
      </c>
    </row>
    <row r="1518" spans="2:23" x14ac:dyDescent="0.2">
      <c r="B1518" t="s">
        <v>3306</v>
      </c>
      <c r="C1518" s="84">
        <v>5039</v>
      </c>
      <c r="D1518" s="102">
        <v>-0.13332290199799199</v>
      </c>
      <c r="E1518" s="79">
        <v>8.4872537218586605E-2</v>
      </c>
      <c r="F1518" s="79">
        <v>0.118942635754076</v>
      </c>
      <c r="G1518" s="79">
        <v>0.80938271582532695</v>
      </c>
      <c r="H1518" s="79">
        <v>1</v>
      </c>
      <c r="I1518" s="102">
        <v>3.06686071630007E-2</v>
      </c>
      <c r="J1518" s="79">
        <v>8.5951271718003194E-2</v>
      </c>
      <c r="K1518" s="79">
        <v>0.72187938769587801</v>
      </c>
      <c r="L1518" s="79">
        <v>0.91531712781198904</v>
      </c>
      <c r="M1518" s="79">
        <v>1</v>
      </c>
      <c r="N1518" s="102">
        <v>6.1043178062729297E-2</v>
      </c>
      <c r="O1518" s="79">
        <v>9.3435886353503694E-2</v>
      </c>
      <c r="P1518" s="79">
        <v>0.51484819788578096</v>
      </c>
      <c r="Q1518" s="79">
        <v>0.62955525838117998</v>
      </c>
      <c r="R1518" s="79">
        <v>1</v>
      </c>
      <c r="S1518" s="102">
        <v>0.114330132765809</v>
      </c>
      <c r="T1518" s="79">
        <v>9.52934252447903E-2</v>
      </c>
      <c r="U1518" s="79">
        <v>0.23267364738739099</v>
      </c>
      <c r="V1518" s="79">
        <v>0.34125468283484001</v>
      </c>
      <c r="W1518" s="79">
        <v>1</v>
      </c>
    </row>
    <row r="1519" spans="2:23" x14ac:dyDescent="0.2">
      <c r="B1519" t="s">
        <v>3314</v>
      </c>
      <c r="C1519" s="84">
        <v>5039</v>
      </c>
      <c r="D1519" s="102">
        <v>-5.5699846364779697E-2</v>
      </c>
      <c r="E1519" s="79">
        <v>8.3805388911001394E-2</v>
      </c>
      <c r="F1519" s="79">
        <v>0.50760421988081195</v>
      </c>
      <c r="G1519" s="79">
        <v>0.91752655785263504</v>
      </c>
      <c r="H1519" s="79">
        <v>1</v>
      </c>
      <c r="I1519" s="102">
        <v>-7.9197218825223306E-2</v>
      </c>
      <c r="J1519" s="79">
        <v>8.6498910503510301E-2</v>
      </c>
      <c r="K1519" s="79">
        <v>0.36178333866710399</v>
      </c>
      <c r="L1519" s="79">
        <v>0.74593451887386297</v>
      </c>
      <c r="M1519" s="79">
        <v>1</v>
      </c>
      <c r="N1519" s="102">
        <v>0.13486000270939999</v>
      </c>
      <c r="O1519" s="79">
        <v>9.2729755700707905E-2</v>
      </c>
      <c r="P1519" s="79">
        <v>0.14855430042527401</v>
      </c>
      <c r="Q1519" s="79">
        <v>0.238080402006068</v>
      </c>
      <c r="R1519" s="79">
        <v>1</v>
      </c>
      <c r="S1519" s="102">
        <v>8.0161932526679094E-2</v>
      </c>
      <c r="T1519" s="79">
        <v>9.2169906835403395E-2</v>
      </c>
      <c r="U1519" s="79">
        <v>0.38625000111278401</v>
      </c>
      <c r="V1519" s="79">
        <v>0.50509957948006801</v>
      </c>
      <c r="W1519" s="79">
        <v>1</v>
      </c>
    </row>
    <row r="1520" spans="2:23" x14ac:dyDescent="0.2">
      <c r="B1520" t="s">
        <v>3313</v>
      </c>
      <c r="C1520" s="84">
        <v>5039</v>
      </c>
      <c r="D1520" s="102">
        <v>-0.106032508803915</v>
      </c>
      <c r="E1520" s="79">
        <v>8.3216485145362701E-2</v>
      </c>
      <c r="F1520" s="79">
        <v>0.205454336761724</v>
      </c>
      <c r="G1520" s="79">
        <v>0.83262187193959702</v>
      </c>
      <c r="H1520" s="79">
        <v>1</v>
      </c>
      <c r="I1520" s="102">
        <v>-1.81515518457873E-2</v>
      </c>
      <c r="J1520" s="79">
        <v>8.5444809074224498E-2</v>
      </c>
      <c r="K1520" s="79">
        <v>0.83214306990526699</v>
      </c>
      <c r="L1520" s="79">
        <v>0.95504766966092303</v>
      </c>
      <c r="M1520" s="79">
        <v>1</v>
      </c>
      <c r="N1520" s="102">
        <v>1.7880809245622301E-2</v>
      </c>
      <c r="O1520" s="79">
        <v>9.2513911276125502E-2</v>
      </c>
      <c r="P1520" s="79">
        <v>0.84708024877070198</v>
      </c>
      <c r="Q1520" s="79">
        <v>0.89693606404287296</v>
      </c>
      <c r="R1520" s="79">
        <v>1</v>
      </c>
      <c r="S1520" s="102">
        <v>2.3950716713201699E-2</v>
      </c>
      <c r="T1520" s="79">
        <v>9.3882973332451602E-2</v>
      </c>
      <c r="U1520" s="79">
        <v>0.79913285789329003</v>
      </c>
      <c r="V1520" s="79">
        <v>0.849799787364239</v>
      </c>
      <c r="W1520" s="79">
        <v>1</v>
      </c>
    </row>
    <row r="1521" spans="2:23" x14ac:dyDescent="0.2">
      <c r="B1521" t="s">
        <v>3312</v>
      </c>
      <c r="C1521" s="84">
        <v>5039</v>
      </c>
      <c r="D1521" s="102">
        <v>-0.119039954330686</v>
      </c>
      <c r="E1521" s="79">
        <v>8.4365048810283297E-2</v>
      </c>
      <c r="F1521" s="79">
        <v>0.16092350818964901</v>
      </c>
      <c r="G1521" s="79">
        <v>0.81672751857704495</v>
      </c>
      <c r="H1521" s="79">
        <v>1</v>
      </c>
      <c r="I1521" s="102">
        <v>-9.7003055195075294E-2</v>
      </c>
      <c r="J1521" s="79">
        <v>8.4700258572964801E-2</v>
      </c>
      <c r="K1521" s="79">
        <v>0.25446422131262197</v>
      </c>
      <c r="L1521" s="79">
        <v>0.68025543872958705</v>
      </c>
      <c r="M1521" s="79">
        <v>1</v>
      </c>
      <c r="N1521" s="102">
        <v>0.146755356342571</v>
      </c>
      <c r="O1521" s="79">
        <v>9.1419761376377306E-2</v>
      </c>
      <c r="P1521" s="79">
        <v>0.11117279305354701</v>
      </c>
      <c r="Q1521" s="79">
        <v>0.189737110384369</v>
      </c>
      <c r="R1521" s="79">
        <v>1</v>
      </c>
      <c r="S1521" s="102">
        <v>6.0054935806277299E-2</v>
      </c>
      <c r="T1521" s="79">
        <v>9.4152452535075107E-2</v>
      </c>
      <c r="U1521" s="79">
        <v>0.52488615858912702</v>
      </c>
      <c r="V1521" s="79">
        <v>0.62837961318019897</v>
      </c>
      <c r="W1521" s="79">
        <v>1</v>
      </c>
    </row>
    <row r="1522" spans="2:23" x14ac:dyDescent="0.2">
      <c r="B1522" t="s">
        <v>3311</v>
      </c>
      <c r="C1522" s="84">
        <v>5039</v>
      </c>
      <c r="D1522" s="102">
        <v>-9.2287785601084596E-2</v>
      </c>
      <c r="E1522" s="79">
        <v>8.6524147968713605E-2</v>
      </c>
      <c r="F1522" s="79">
        <v>0.28837126148615799</v>
      </c>
      <c r="G1522" s="79">
        <v>0.86861170490914397</v>
      </c>
      <c r="H1522" s="79">
        <v>1</v>
      </c>
      <c r="I1522" s="102">
        <v>-8.3148605562508599E-3</v>
      </c>
      <c r="J1522" s="79">
        <v>8.7278090710694395E-2</v>
      </c>
      <c r="K1522" s="79">
        <v>0.92427344966931102</v>
      </c>
      <c r="L1522" s="79">
        <v>0.98193837767293402</v>
      </c>
      <c r="M1522" s="79">
        <v>1</v>
      </c>
      <c r="N1522" s="102">
        <v>0.12361459526643399</v>
      </c>
      <c r="O1522" s="79">
        <v>9.4073060834831995E-2</v>
      </c>
      <c r="P1522" s="79">
        <v>0.19145578675602501</v>
      </c>
      <c r="Q1522" s="79">
        <v>0.29009490408292199</v>
      </c>
      <c r="R1522" s="79">
        <v>1</v>
      </c>
      <c r="S1522" s="102">
        <v>8.0111047074117397E-2</v>
      </c>
      <c r="T1522" s="79">
        <v>9.64801461474116E-2</v>
      </c>
      <c r="U1522" s="79">
        <v>0.40811341975746301</v>
      </c>
      <c r="V1522" s="79">
        <v>0.52573698332254204</v>
      </c>
      <c r="W1522" s="79">
        <v>1</v>
      </c>
    </row>
    <row r="1523" spans="2:23" x14ac:dyDescent="0.2">
      <c r="B1523" t="s">
        <v>3310</v>
      </c>
      <c r="C1523" s="84">
        <v>5039</v>
      </c>
      <c r="D1523" s="102">
        <v>-4.0062410622277098E-2</v>
      </c>
      <c r="E1523" s="79">
        <v>8.5235555688726303E-2</v>
      </c>
      <c r="F1523" s="79">
        <v>0.639223211758428</v>
      </c>
      <c r="G1523" s="79">
        <v>0.95767440062337605</v>
      </c>
      <c r="H1523" s="79">
        <v>1</v>
      </c>
      <c r="I1523" s="102">
        <v>-1.3609162815193299E-2</v>
      </c>
      <c r="J1523" s="79">
        <v>8.5570984782466705E-2</v>
      </c>
      <c r="K1523" s="79">
        <v>0.87391435606586099</v>
      </c>
      <c r="L1523" s="79">
        <v>0.97184003146923903</v>
      </c>
      <c r="M1523" s="79">
        <v>1</v>
      </c>
      <c r="N1523" s="102">
        <v>9.1724247727991495E-2</v>
      </c>
      <c r="O1523" s="79">
        <v>9.2759159915024203E-2</v>
      </c>
      <c r="P1523" s="79">
        <v>0.32479808834407298</v>
      </c>
      <c r="Q1523" s="79">
        <v>0.44087176414652202</v>
      </c>
      <c r="R1523" s="79">
        <v>1</v>
      </c>
      <c r="S1523" s="102">
        <v>2.6349236809744301E-2</v>
      </c>
      <c r="T1523" s="79">
        <v>9.5385312767977001E-2</v>
      </c>
      <c r="U1523" s="79">
        <v>0.78285531001025299</v>
      </c>
      <c r="V1523" s="79">
        <v>0.83669204741789804</v>
      </c>
      <c r="W1523" s="79">
        <v>1</v>
      </c>
    </row>
    <row r="1524" spans="2:23" x14ac:dyDescent="0.2">
      <c r="B1524" t="s">
        <v>3309</v>
      </c>
      <c r="C1524" s="84">
        <v>5039</v>
      </c>
      <c r="D1524" s="102">
        <v>-5.9621781510578502E-2</v>
      </c>
      <c r="E1524" s="79">
        <v>8.6974731695654298E-2</v>
      </c>
      <c r="F1524" s="79">
        <v>0.49439176374420601</v>
      </c>
      <c r="G1524" s="79">
        <v>0.91678121217168596</v>
      </c>
      <c r="H1524" s="79">
        <v>1</v>
      </c>
      <c r="I1524" s="102">
        <v>-8.9786533772209201E-2</v>
      </c>
      <c r="J1524" s="79">
        <v>8.7021626412493003E-2</v>
      </c>
      <c r="K1524" s="79">
        <v>0.30432503461443999</v>
      </c>
      <c r="L1524" s="79">
        <v>0.71268811732717496</v>
      </c>
      <c r="M1524" s="79">
        <v>1</v>
      </c>
      <c r="N1524" s="102">
        <v>9.8244172370381203E-2</v>
      </c>
      <c r="O1524" s="79">
        <v>9.4713470784289794E-2</v>
      </c>
      <c r="P1524" s="79">
        <v>0.30176386800773403</v>
      </c>
      <c r="Q1524" s="79">
        <v>0.41695594812814102</v>
      </c>
      <c r="R1524" s="79">
        <v>1</v>
      </c>
      <c r="S1524" s="102">
        <v>2.3399274928966401E-2</v>
      </c>
      <c r="T1524" s="79">
        <v>9.7443624207796203E-2</v>
      </c>
      <c r="U1524" s="79">
        <v>0.81065222600436904</v>
      </c>
      <c r="V1524" s="79">
        <v>0.85881480353433504</v>
      </c>
      <c r="W1524" s="79">
        <v>1</v>
      </c>
    </row>
    <row r="1525" spans="2:23" x14ac:dyDescent="0.2">
      <c r="B1525" t="s">
        <v>3308</v>
      </c>
      <c r="C1525" s="84">
        <v>5039</v>
      </c>
      <c r="D1525" s="102">
        <v>-7.8209851065961705E-2</v>
      </c>
      <c r="E1525" s="79">
        <v>8.7159359838386602E-2</v>
      </c>
      <c r="F1525" s="79">
        <v>0.37140728027161102</v>
      </c>
      <c r="G1525" s="79">
        <v>0.89461055933914202</v>
      </c>
      <c r="H1525" s="79">
        <v>1</v>
      </c>
      <c r="I1525" s="102">
        <v>-5.0396700128862298E-2</v>
      </c>
      <c r="J1525" s="79">
        <v>8.7818213740595896E-2</v>
      </c>
      <c r="K1525" s="79">
        <v>0.56717330864408699</v>
      </c>
      <c r="L1525" s="79">
        <v>0.85878159627519401</v>
      </c>
      <c r="M1525" s="79">
        <v>1</v>
      </c>
      <c r="N1525" s="102">
        <v>8.96422197386295E-3</v>
      </c>
      <c r="O1525" s="79">
        <v>9.5520166303621604E-2</v>
      </c>
      <c r="P1525" s="79">
        <v>0.92539335034957304</v>
      </c>
      <c r="Q1525" s="79">
        <v>0.94934598229688605</v>
      </c>
      <c r="R1525" s="79">
        <v>1</v>
      </c>
      <c r="S1525" s="102">
        <v>-1.3967884253663999E-2</v>
      </c>
      <c r="T1525" s="79">
        <v>9.7841615540863999E-2</v>
      </c>
      <c r="U1525" s="79">
        <v>0.88672729262479899</v>
      </c>
      <c r="V1525" s="79">
        <v>0.91816383478386898</v>
      </c>
      <c r="W1525" s="79">
        <v>1</v>
      </c>
    </row>
    <row r="1526" spans="2:23" x14ac:dyDescent="0.2">
      <c r="B1526" t="s">
        <v>3307</v>
      </c>
      <c r="C1526" s="84">
        <v>5039</v>
      </c>
      <c r="D1526" s="102">
        <v>4.5621677022322799E-3</v>
      </c>
      <c r="E1526" s="79">
        <v>8.4655703234379695E-2</v>
      </c>
      <c r="F1526" s="79">
        <v>0.95711483024239197</v>
      </c>
      <c r="G1526" s="79">
        <v>0.99840985319461195</v>
      </c>
      <c r="H1526" s="79">
        <v>1</v>
      </c>
      <c r="I1526" s="102">
        <v>-3.8071675868448701E-2</v>
      </c>
      <c r="J1526" s="79">
        <v>8.4844751689934106E-2</v>
      </c>
      <c r="K1526" s="79">
        <v>0.65446959401318205</v>
      </c>
      <c r="L1526" s="79">
        <v>0.88374695918109603</v>
      </c>
      <c r="M1526" s="79">
        <v>1</v>
      </c>
      <c r="N1526" s="102">
        <v>-5.6551289837745199E-3</v>
      </c>
      <c r="O1526" s="79">
        <v>9.2427297015766102E-2</v>
      </c>
      <c r="P1526" s="79">
        <v>0.95131747184230597</v>
      </c>
      <c r="Q1526" s="79">
        <v>0.96614616145135901</v>
      </c>
      <c r="R1526" s="79">
        <v>1</v>
      </c>
      <c r="S1526" s="102">
        <v>6.5215275039825105E-2</v>
      </c>
      <c r="T1526" s="79">
        <v>9.4484817952132497E-2</v>
      </c>
      <c r="U1526" s="79">
        <v>0.49143475232859601</v>
      </c>
      <c r="V1526" s="79">
        <v>0.60020942353615103</v>
      </c>
      <c r="W1526" s="79">
        <v>1</v>
      </c>
    </row>
    <row r="1527" spans="2:23" x14ac:dyDescent="0.2">
      <c r="B1527" t="s">
        <v>3333</v>
      </c>
      <c r="C1527" s="84">
        <v>5035</v>
      </c>
      <c r="D1527" s="102">
        <v>-3.9243668461616298E-3</v>
      </c>
      <c r="E1527" s="79">
        <v>2.9441383474484498E-2</v>
      </c>
      <c r="F1527" s="79">
        <v>0.893984195550932</v>
      </c>
      <c r="G1527" s="79">
        <v>0.99362338620020496</v>
      </c>
      <c r="H1527" s="79">
        <v>1</v>
      </c>
      <c r="I1527" s="102">
        <v>4.9462621747799099E-2</v>
      </c>
      <c r="J1527" s="79">
        <v>3.0181242431755399E-2</v>
      </c>
      <c r="K1527" s="79">
        <v>0.101514028349332</v>
      </c>
      <c r="L1527" s="79">
        <v>0.52523970051870705</v>
      </c>
      <c r="M1527" s="79">
        <v>1</v>
      </c>
      <c r="N1527" s="102">
        <v>5.5912950016275297E-2</v>
      </c>
      <c r="O1527" s="79">
        <v>2.9801814915851502E-2</v>
      </c>
      <c r="P1527" s="79">
        <v>6.0879941904237303E-2</v>
      </c>
      <c r="Q1527" s="79">
        <v>0.11964109232688901</v>
      </c>
      <c r="R1527" s="79">
        <v>1</v>
      </c>
      <c r="S1527" s="102">
        <v>7.18628188027714E-2</v>
      </c>
      <c r="T1527" s="79">
        <v>3.0041711264084701E-2</v>
      </c>
      <c r="U1527" s="79">
        <v>1.6931130252840501E-2</v>
      </c>
      <c r="V1527" s="79">
        <v>4.3129826538814697E-2</v>
      </c>
      <c r="W1527" s="79">
        <v>1</v>
      </c>
    </row>
    <row r="1528" spans="2:23" x14ac:dyDescent="0.2">
      <c r="B1528" t="s">
        <v>3332</v>
      </c>
      <c r="C1528" s="84">
        <v>5032</v>
      </c>
      <c r="D1528" s="102">
        <v>1.5476099547254501E-2</v>
      </c>
      <c r="E1528" s="79">
        <v>2.91861770674176E-2</v>
      </c>
      <c r="F1528" s="79">
        <v>0.59603454630922803</v>
      </c>
      <c r="G1528" s="79">
        <v>0.94340566501007395</v>
      </c>
      <c r="H1528" s="79">
        <v>1</v>
      </c>
      <c r="I1528" s="102">
        <v>4.7149738549811301E-3</v>
      </c>
      <c r="J1528" s="79">
        <v>2.99323804123812E-2</v>
      </c>
      <c r="K1528" s="79">
        <v>0.87486110616966495</v>
      </c>
      <c r="L1528" s="79">
        <v>0.97184003146923903</v>
      </c>
      <c r="M1528" s="79">
        <v>1</v>
      </c>
      <c r="N1528" s="102">
        <v>2.0881788142729799E-2</v>
      </c>
      <c r="O1528" s="79">
        <v>2.9499426705847698E-2</v>
      </c>
      <c r="P1528" s="79">
        <v>0.47916376084990397</v>
      </c>
      <c r="Q1528" s="79">
        <v>0.596840743293925</v>
      </c>
      <c r="R1528" s="79">
        <v>1</v>
      </c>
      <c r="S1528" s="102">
        <v>6.8660190855232006E-2</v>
      </c>
      <c r="T1528" s="79">
        <v>2.9855160385146198E-2</v>
      </c>
      <c r="U1528" s="79">
        <v>2.1633596443185101E-2</v>
      </c>
      <c r="V1528" s="79">
        <v>5.2278619650150598E-2</v>
      </c>
      <c r="W1528" s="79">
        <v>1</v>
      </c>
    </row>
    <row r="1529" spans="2:23" x14ac:dyDescent="0.2">
      <c r="B1529" t="s">
        <v>3331</v>
      </c>
      <c r="C1529" s="84">
        <v>3125</v>
      </c>
      <c r="D1529" s="102">
        <v>2.4230502264852499E-2</v>
      </c>
      <c r="E1529" s="79">
        <v>2.9388148539742E-2</v>
      </c>
      <c r="F1529" s="79">
        <v>0.40982155080148602</v>
      </c>
      <c r="G1529" s="79">
        <v>0.89561567502544503</v>
      </c>
      <c r="H1529" s="79">
        <v>1</v>
      </c>
      <c r="I1529" s="102">
        <v>-1.43684181700408E-2</v>
      </c>
      <c r="J1529" s="79">
        <v>3.0139769000248201E-2</v>
      </c>
      <c r="K1529" s="79">
        <v>0.63364469040837001</v>
      </c>
      <c r="L1529" s="79">
        <v>0.87748013759880805</v>
      </c>
      <c r="M1529" s="79">
        <v>1</v>
      </c>
      <c r="N1529" s="102">
        <v>4.8157253023027903E-2</v>
      </c>
      <c r="O1529" s="79">
        <v>2.9677618744184901E-2</v>
      </c>
      <c r="P1529" s="79">
        <v>0.104922220735902</v>
      </c>
      <c r="Q1529" s="79">
        <v>0.18101239744085901</v>
      </c>
      <c r="R1529" s="79">
        <v>1</v>
      </c>
      <c r="S1529" s="102">
        <v>6.4310929998265307E-2</v>
      </c>
      <c r="T1529" s="79">
        <v>3.00654131826701E-2</v>
      </c>
      <c r="U1529" s="79">
        <v>3.2637246777608098E-2</v>
      </c>
      <c r="V1529" s="79">
        <v>7.3815081497020194E-2</v>
      </c>
      <c r="W1529" s="79">
        <v>1</v>
      </c>
    </row>
    <row r="1530" spans="2:23" x14ac:dyDescent="0.2">
      <c r="B1530" t="s">
        <v>3875</v>
      </c>
      <c r="C1530" s="84">
        <v>1102</v>
      </c>
      <c r="D1530" s="102">
        <v>1.0416088526093583</v>
      </c>
      <c r="E1530" s="79">
        <v>0.10661505313494</v>
      </c>
      <c r="F1530" s="79">
        <v>0.70218628814517703</v>
      </c>
      <c r="G1530" s="79">
        <v>0.96986661987494405</v>
      </c>
      <c r="H1530" s="79">
        <v>1</v>
      </c>
      <c r="I1530" s="102">
        <v>1.0402509015327179</v>
      </c>
      <c r="J1530" s="79">
        <v>0.112397027967753</v>
      </c>
      <c r="K1530" s="79">
        <v>0.72551773970544697</v>
      </c>
      <c r="L1530" s="79">
        <v>0.91650041093290602</v>
      </c>
      <c r="M1530" s="79">
        <v>1</v>
      </c>
      <c r="N1530" s="102">
        <v>1.131778281855224</v>
      </c>
      <c r="O1530" s="79">
        <v>0.107934016863829</v>
      </c>
      <c r="P1530" s="79">
        <v>0.25142076000604502</v>
      </c>
      <c r="Q1530" s="79">
        <v>0.36247384463850202</v>
      </c>
      <c r="R1530" s="79">
        <v>1</v>
      </c>
      <c r="S1530" s="102">
        <v>1.2149484060481577</v>
      </c>
      <c r="T1530" s="79">
        <v>0.10953905689309899</v>
      </c>
      <c r="U1530" s="79">
        <v>7.5492106708786103E-2</v>
      </c>
      <c r="V1530" s="79">
        <v>0.14053146018097101</v>
      </c>
      <c r="W1530" s="79">
        <v>1</v>
      </c>
    </row>
    <row r="1531" spans="2:23" x14ac:dyDescent="0.2">
      <c r="B1531" t="s">
        <v>3301</v>
      </c>
      <c r="C1531" s="84">
        <v>5039</v>
      </c>
      <c r="D1531" s="102">
        <v>2.6497531768842398E-3</v>
      </c>
      <c r="E1531" s="79">
        <v>2.9377710692996401E-2</v>
      </c>
      <c r="F1531" s="79">
        <v>0.92814668528145305</v>
      </c>
      <c r="G1531" s="79">
        <v>0.99840985319461195</v>
      </c>
      <c r="H1531" s="79">
        <v>1</v>
      </c>
      <c r="I1531" s="102">
        <v>-2.29282862265308E-2</v>
      </c>
      <c r="J1531" s="79">
        <v>3.0122347811213899E-2</v>
      </c>
      <c r="K1531" s="79">
        <v>0.44670604300981898</v>
      </c>
      <c r="L1531" s="79">
        <v>0.79654740721961403</v>
      </c>
      <c r="M1531" s="79">
        <v>1</v>
      </c>
      <c r="N1531" s="102">
        <v>-2.9584703761372198E-3</v>
      </c>
      <c r="O1531" s="79">
        <v>2.9700323686459001E-2</v>
      </c>
      <c r="P1531" s="79">
        <v>0.92067032533316095</v>
      </c>
      <c r="Q1531" s="79">
        <v>0.94675515209494299</v>
      </c>
      <c r="R1531" s="79">
        <v>1</v>
      </c>
      <c r="S1531" s="102">
        <v>2.10827133810867E-2</v>
      </c>
      <c r="T1531" s="79">
        <v>3.01264705382281E-2</v>
      </c>
      <c r="U1531" s="79">
        <v>0.48418544936139302</v>
      </c>
      <c r="V1531" s="79">
        <v>0.59552486622929601</v>
      </c>
      <c r="W1531" s="79">
        <v>1</v>
      </c>
    </row>
    <row r="1532" spans="2:23" x14ac:dyDescent="0.2">
      <c r="B1532" t="s">
        <v>3305</v>
      </c>
      <c r="C1532" s="84">
        <v>5039</v>
      </c>
      <c r="D1532" s="102">
        <v>4.32125275956056E-2</v>
      </c>
      <c r="E1532" s="79">
        <v>2.9081195314772899E-2</v>
      </c>
      <c r="F1532" s="79">
        <v>0.13757034318012201</v>
      </c>
      <c r="G1532" s="79">
        <v>0.80938271582532695</v>
      </c>
      <c r="H1532" s="79">
        <v>1</v>
      </c>
      <c r="I1532" s="102">
        <v>3.1618510486510501E-2</v>
      </c>
      <c r="J1532" s="79">
        <v>2.98990621798957E-2</v>
      </c>
      <c r="K1532" s="79">
        <v>0.29049639731282001</v>
      </c>
      <c r="L1532" s="79">
        <v>0.70400700579101205</v>
      </c>
      <c r="M1532" s="79">
        <v>1</v>
      </c>
      <c r="N1532" s="102">
        <v>-7.3398845864852298E-3</v>
      </c>
      <c r="O1532" s="79">
        <v>2.9717285988341099E-2</v>
      </c>
      <c r="P1532" s="79">
        <v>0.80495821364516795</v>
      </c>
      <c r="Q1532" s="79">
        <v>0.864927244206671</v>
      </c>
      <c r="R1532" s="79">
        <v>1</v>
      </c>
      <c r="S1532" s="102">
        <v>2.2231189683995699E-2</v>
      </c>
      <c r="T1532" s="79">
        <v>2.98269710004938E-2</v>
      </c>
      <c r="U1532" s="79">
        <v>0.45621967050584999</v>
      </c>
      <c r="V1532" s="79">
        <v>0.57078000135665397</v>
      </c>
      <c r="W1532" s="79">
        <v>1</v>
      </c>
    </row>
    <row r="1533" spans="2:23" x14ac:dyDescent="0.2">
      <c r="B1533" t="s">
        <v>3300</v>
      </c>
      <c r="C1533" s="84">
        <v>5039</v>
      </c>
      <c r="D1533" s="102">
        <v>-1.0506871357832299E-2</v>
      </c>
      <c r="E1533" s="79">
        <v>2.9082795349824799E-2</v>
      </c>
      <c r="F1533" s="79">
        <v>0.717958249622488</v>
      </c>
      <c r="G1533" s="79">
        <v>0.97160036230239</v>
      </c>
      <c r="H1533" s="79">
        <v>1</v>
      </c>
      <c r="I1533" s="102">
        <v>4.02337590239467E-2</v>
      </c>
      <c r="J1533" s="79">
        <v>2.98011179815332E-2</v>
      </c>
      <c r="K1533" s="79">
        <v>0.17724789894978399</v>
      </c>
      <c r="L1533" s="79">
        <v>0.61396896490869202</v>
      </c>
      <c r="M1533" s="79">
        <v>1</v>
      </c>
      <c r="N1533" s="102">
        <v>4.6412294956982798E-2</v>
      </c>
      <c r="O1533" s="79">
        <v>2.93280616219425E-2</v>
      </c>
      <c r="P1533" s="79">
        <v>0.113796061035026</v>
      </c>
      <c r="Q1533" s="79">
        <v>0.19285849851541001</v>
      </c>
      <c r="R1533" s="79">
        <v>1</v>
      </c>
      <c r="S1533" s="102">
        <v>5.3825000778921099E-2</v>
      </c>
      <c r="T1533" s="79">
        <v>2.97783802827521E-2</v>
      </c>
      <c r="U1533" s="79">
        <v>7.0933332987906703E-2</v>
      </c>
      <c r="V1533" s="79">
        <v>0.13380965042484899</v>
      </c>
      <c r="W1533" s="79">
        <v>1</v>
      </c>
    </row>
    <row r="1534" spans="2:23" x14ac:dyDescent="0.2">
      <c r="B1534" t="s">
        <v>3304</v>
      </c>
      <c r="C1534" s="84">
        <v>5039</v>
      </c>
      <c r="D1534" s="102">
        <v>-3.6567930674589903E-2</v>
      </c>
      <c r="E1534" s="79">
        <v>2.89275738877382E-2</v>
      </c>
      <c r="F1534" s="79">
        <v>0.206435174861057</v>
      </c>
      <c r="G1534" s="79">
        <v>0.83262187193959702</v>
      </c>
      <c r="H1534" s="79">
        <v>1</v>
      </c>
      <c r="I1534" s="102">
        <v>1.75718335455258E-2</v>
      </c>
      <c r="J1534" s="79">
        <v>2.97412092622431E-2</v>
      </c>
      <c r="K1534" s="79">
        <v>0.55474974028865598</v>
      </c>
      <c r="L1534" s="79">
        <v>0.85665092073745097</v>
      </c>
      <c r="M1534" s="79">
        <v>1</v>
      </c>
      <c r="N1534" s="102">
        <v>3.2033108526362597E-2</v>
      </c>
      <c r="O1534" s="79">
        <v>2.9501062136383101E-2</v>
      </c>
      <c r="P1534" s="79">
        <v>0.27777324012493199</v>
      </c>
      <c r="Q1534" s="79">
        <v>0.38984910420185198</v>
      </c>
      <c r="R1534" s="79">
        <v>1</v>
      </c>
      <c r="S1534" s="102">
        <v>9.5684542666229999E-2</v>
      </c>
      <c r="T1534" s="79">
        <v>2.949104719561E-2</v>
      </c>
      <c r="U1534" s="79">
        <v>1.2095400698446501E-3</v>
      </c>
      <c r="V1534" s="79">
        <v>5.2136409117476802E-3</v>
      </c>
      <c r="W1534" s="79">
        <v>1</v>
      </c>
    </row>
    <row r="1535" spans="2:23" x14ac:dyDescent="0.2">
      <c r="B1535" t="s">
        <v>3855</v>
      </c>
      <c r="C1535" s="84">
        <v>552</v>
      </c>
      <c r="D1535" s="102">
        <v>1.0727108557008076</v>
      </c>
      <c r="E1535" s="79">
        <v>8.42985053689147E-2</v>
      </c>
      <c r="F1535" s="79">
        <v>0.40505684711518403</v>
      </c>
      <c r="G1535" s="79">
        <v>0.89461055933914202</v>
      </c>
      <c r="H1535" s="79">
        <v>1</v>
      </c>
      <c r="I1535" s="102">
        <v>1.1337908218432702</v>
      </c>
      <c r="J1535" s="79">
        <v>8.7479182798130703E-2</v>
      </c>
      <c r="K1535" s="79">
        <v>0.15117604727105899</v>
      </c>
      <c r="L1535" s="79">
        <v>0.59418149437859402</v>
      </c>
      <c r="M1535" s="79">
        <v>1</v>
      </c>
      <c r="N1535" s="102">
        <v>1.1554731172415147</v>
      </c>
      <c r="O1535" s="79">
        <v>8.5401450422870895E-2</v>
      </c>
      <c r="P1535" s="79">
        <v>9.0622240631698103E-2</v>
      </c>
      <c r="Q1535" s="79">
        <v>0.161908732606974</v>
      </c>
      <c r="R1535" s="79">
        <v>1</v>
      </c>
      <c r="S1535" s="102">
        <v>1.0407886243767372</v>
      </c>
      <c r="T1535" s="79">
        <v>8.6776549325278299E-2</v>
      </c>
      <c r="U1535" s="79">
        <v>0.645007552531908</v>
      </c>
      <c r="V1535" s="79">
        <v>0.718371330696287</v>
      </c>
      <c r="W1535" s="79">
        <v>1</v>
      </c>
    </row>
    <row r="1536" spans="2:23" x14ac:dyDescent="0.2">
      <c r="B1536" t="s">
        <v>3299</v>
      </c>
      <c r="C1536" s="84">
        <v>5039</v>
      </c>
      <c r="D1536" s="102">
        <v>5.8195537873822003E-4</v>
      </c>
      <c r="E1536" s="79">
        <v>2.9375736172553402E-2</v>
      </c>
      <c r="F1536" s="79">
        <v>0.98419768523642703</v>
      </c>
      <c r="G1536" s="79">
        <v>0.99881358178002599</v>
      </c>
      <c r="H1536" s="79">
        <v>1</v>
      </c>
      <c r="I1536" s="102">
        <v>7.8012429431468001E-3</v>
      </c>
      <c r="J1536" s="79">
        <v>3.01281766501869E-2</v>
      </c>
      <c r="K1536" s="79">
        <v>0.79573026264494995</v>
      </c>
      <c r="L1536" s="79">
        <v>0.93608823952815601</v>
      </c>
      <c r="M1536" s="79">
        <v>1</v>
      </c>
      <c r="N1536" s="102">
        <v>2.71808486443247E-3</v>
      </c>
      <c r="O1536" s="79">
        <v>2.9732320849211E-2</v>
      </c>
      <c r="P1536" s="79">
        <v>0.92717539862062204</v>
      </c>
      <c r="Q1536" s="79">
        <v>0.950172489572495</v>
      </c>
      <c r="R1536" s="79">
        <v>1</v>
      </c>
      <c r="S1536" s="102">
        <v>-1.58475787875446E-2</v>
      </c>
      <c r="T1536" s="79">
        <v>3.0103500418361101E-2</v>
      </c>
      <c r="U1536" s="79">
        <v>0.598683831255576</v>
      </c>
      <c r="V1536" s="79">
        <v>0.68710732394779495</v>
      </c>
      <c r="W1536" s="79">
        <v>1</v>
      </c>
    </row>
    <row r="1537" spans="2:23" x14ac:dyDescent="0.2">
      <c r="B1537" t="s">
        <v>3303</v>
      </c>
      <c r="C1537" s="84">
        <v>5039</v>
      </c>
      <c r="D1537" s="102">
        <v>1.5547345590012101E-2</v>
      </c>
      <c r="E1537" s="79">
        <v>2.9108850309656299E-2</v>
      </c>
      <c r="F1537" s="79">
        <v>0.593363956461193</v>
      </c>
      <c r="G1537" s="79">
        <v>0.94227602598436699</v>
      </c>
      <c r="H1537" s="79">
        <v>1</v>
      </c>
      <c r="I1537" s="102">
        <v>3.88050054369358E-3</v>
      </c>
      <c r="J1537" s="79">
        <v>2.9953365579194199E-2</v>
      </c>
      <c r="K1537" s="79">
        <v>0.896943050519312</v>
      </c>
      <c r="L1537" s="79">
        <v>0.98103349543168095</v>
      </c>
      <c r="M1537" s="79">
        <v>1</v>
      </c>
      <c r="N1537" s="102">
        <v>6.07309448977792E-2</v>
      </c>
      <c r="O1537" s="79">
        <v>2.97134481471668E-2</v>
      </c>
      <c r="P1537" s="79">
        <v>4.1182031520291998E-2</v>
      </c>
      <c r="Q1537" s="79">
        <v>8.6232832379944002E-2</v>
      </c>
      <c r="R1537" s="79">
        <v>1</v>
      </c>
      <c r="S1537" s="102">
        <v>4.9943370472793999E-2</v>
      </c>
      <c r="T1537" s="79">
        <v>2.9785887983118198E-2</v>
      </c>
      <c r="U1537" s="79">
        <v>9.3852623854054698E-2</v>
      </c>
      <c r="V1537" s="79">
        <v>0.16700246303442101</v>
      </c>
      <c r="W1537" s="79">
        <v>1</v>
      </c>
    </row>
    <row r="1538" spans="2:23" x14ac:dyDescent="0.2">
      <c r="B1538" t="s">
        <v>3302</v>
      </c>
      <c r="C1538" s="84">
        <v>5039</v>
      </c>
      <c r="D1538" s="102">
        <v>-0.105269366470537</v>
      </c>
      <c r="E1538" s="79">
        <v>9.5536287885681095E-2</v>
      </c>
      <c r="F1538" s="79">
        <v>0.272778677470771</v>
      </c>
      <c r="G1538" s="79">
        <v>0.86858473615692899</v>
      </c>
      <c r="H1538" s="79">
        <v>1</v>
      </c>
      <c r="I1538" s="102">
        <v>-4.18805529879328E-2</v>
      </c>
      <c r="J1538" s="79">
        <v>9.1071575908038396E-2</v>
      </c>
      <c r="K1538" s="79">
        <v>0.64643579410833396</v>
      </c>
      <c r="L1538" s="79">
        <v>0.88366898281914796</v>
      </c>
      <c r="M1538" s="79">
        <v>1</v>
      </c>
      <c r="N1538" s="102">
        <v>0.14671548699797901</v>
      </c>
      <c r="O1538" s="79">
        <v>9.2147437710977206E-2</v>
      </c>
      <c r="P1538" s="79">
        <v>0.11394605046115799</v>
      </c>
      <c r="Q1538" s="79">
        <v>0.19285849851541001</v>
      </c>
      <c r="R1538" s="79">
        <v>1</v>
      </c>
      <c r="S1538" s="102">
        <v>-2.8292877915641501E-2</v>
      </c>
      <c r="T1538" s="79">
        <v>9.0457065872100603E-2</v>
      </c>
      <c r="U1538" s="79">
        <v>0.75498558312846398</v>
      </c>
      <c r="V1538" s="79">
        <v>0.81202893829817002</v>
      </c>
      <c r="W1538" s="79">
        <v>1</v>
      </c>
    </row>
    <row r="1539" spans="2:23" x14ac:dyDescent="0.2">
      <c r="B1539" t="s">
        <v>3837</v>
      </c>
      <c r="C1539" s="84">
        <v>5025</v>
      </c>
      <c r="D1539" s="102">
        <v>0.77920001881752421</v>
      </c>
      <c r="E1539" s="79">
        <v>0.14841798895967101</v>
      </c>
      <c r="F1539" s="79">
        <v>9.2767020014701607E-2</v>
      </c>
      <c r="G1539" s="79">
        <v>0.76285112575196401</v>
      </c>
      <c r="H1539" s="79">
        <v>1</v>
      </c>
      <c r="I1539" s="102">
        <v>0.86057565764024324</v>
      </c>
      <c r="J1539" s="79">
        <v>0.151391737421219</v>
      </c>
      <c r="K1539" s="79">
        <v>0.32128407849756202</v>
      </c>
      <c r="L1539" s="79">
        <v>0.71493966280838095</v>
      </c>
      <c r="M1539" s="79">
        <v>1</v>
      </c>
      <c r="N1539" s="102">
        <v>1.0851662833823228</v>
      </c>
      <c r="O1539" s="79">
        <v>0.150584736017185</v>
      </c>
      <c r="P1539" s="79">
        <v>0.58728654935123803</v>
      </c>
      <c r="Q1539" s="79">
        <v>0.69214128823879795</v>
      </c>
      <c r="R1539" s="79">
        <v>1</v>
      </c>
      <c r="S1539" s="102">
        <v>1.1877066470669158</v>
      </c>
      <c r="T1539" s="79">
        <v>0.15890910557690099</v>
      </c>
      <c r="U1539" s="79">
        <v>0.27901601288260902</v>
      </c>
      <c r="V1539" s="79">
        <v>0.39191801477872301</v>
      </c>
      <c r="W1539" s="79">
        <v>1</v>
      </c>
    </row>
    <row r="1540" spans="2:23" x14ac:dyDescent="0.2">
      <c r="B1540" t="s">
        <v>3852</v>
      </c>
      <c r="C1540" s="84">
        <v>1209</v>
      </c>
      <c r="D1540" s="102">
        <v>1.0620826792287776</v>
      </c>
      <c r="E1540" s="79">
        <v>0.14118244619113399</v>
      </c>
      <c r="F1540" s="79">
        <v>0.66965346052686803</v>
      </c>
      <c r="G1540" s="79">
        <v>0.96329994356686</v>
      </c>
      <c r="H1540" s="79">
        <v>1</v>
      </c>
      <c r="I1540" s="102">
        <v>0.88896090940636807</v>
      </c>
      <c r="J1540" s="79">
        <v>0.14404626981617399</v>
      </c>
      <c r="K1540" s="79">
        <v>0.41386410757479403</v>
      </c>
      <c r="L1540" s="79">
        <v>0.77457601124515996</v>
      </c>
      <c r="M1540" s="79">
        <v>1</v>
      </c>
      <c r="N1540" s="102">
        <v>0.87251136691521658</v>
      </c>
      <c r="O1540" s="79">
        <v>0.14511670551495601</v>
      </c>
      <c r="P1540" s="79">
        <v>0.34732398705954198</v>
      </c>
      <c r="Q1540" s="79">
        <v>0.46437792744977402</v>
      </c>
      <c r="R1540" s="79">
        <v>1</v>
      </c>
      <c r="S1540" s="102">
        <v>1.0052274450766383</v>
      </c>
      <c r="T1540" s="79">
        <v>0.151575766643196</v>
      </c>
      <c r="U1540" s="79">
        <v>0.97256016657784305</v>
      </c>
      <c r="V1540" s="79">
        <v>0.98183943720770195</v>
      </c>
      <c r="W1540" s="79">
        <v>1</v>
      </c>
    </row>
    <row r="1541" spans="2:23" x14ac:dyDescent="0.2">
      <c r="B1541" t="s">
        <v>3298</v>
      </c>
      <c r="C1541" s="84">
        <v>5039</v>
      </c>
      <c r="D1541" s="102">
        <v>9.8177270134841094E-2</v>
      </c>
      <c r="E1541" s="79">
        <v>6.8097180077962699E-2</v>
      </c>
      <c r="F1541" s="79">
        <v>0.15086578725043201</v>
      </c>
      <c r="G1541" s="79">
        <v>0.80938271582532695</v>
      </c>
      <c r="H1541" s="79">
        <v>1</v>
      </c>
      <c r="I1541" s="102">
        <v>5.2624739584885602E-2</v>
      </c>
      <c r="J1541" s="79">
        <v>6.9833334764892493E-2</v>
      </c>
      <c r="K1541" s="79">
        <v>0.451932985493674</v>
      </c>
      <c r="L1541" s="79">
        <v>0.79746066051088205</v>
      </c>
      <c r="M1541" s="79">
        <v>1</v>
      </c>
      <c r="N1541" s="102">
        <v>1.0958523796250799E-2</v>
      </c>
      <c r="O1541" s="79">
        <v>6.9939569231442497E-2</v>
      </c>
      <c r="P1541" s="79">
        <v>0.87564965719295895</v>
      </c>
      <c r="Q1541" s="79">
        <v>0.91621403291221304</v>
      </c>
      <c r="R1541" s="79">
        <v>1</v>
      </c>
      <c r="S1541" s="102">
        <v>8.7144880018831E-2</v>
      </c>
      <c r="T1541" s="79">
        <v>7.4606567148121194E-2</v>
      </c>
      <c r="U1541" s="79">
        <v>0.244081374560808</v>
      </c>
      <c r="V1541" s="79">
        <v>0.35369875834560199</v>
      </c>
      <c r="W1541" s="79">
        <v>1</v>
      </c>
    </row>
    <row r="1542" spans="2:23" x14ac:dyDescent="0.2">
      <c r="B1542" t="s">
        <v>3877</v>
      </c>
      <c r="C1542" s="84">
        <v>1104</v>
      </c>
      <c r="D1542" s="102">
        <v>1.0453342287168028</v>
      </c>
      <c r="E1542" s="79">
        <v>9.9951097749374093E-2</v>
      </c>
      <c r="F1542" s="79">
        <v>0.65734364605514595</v>
      </c>
      <c r="G1542" s="79">
        <v>0.95805425431636804</v>
      </c>
      <c r="H1542" s="79">
        <v>1</v>
      </c>
      <c r="I1542" s="102">
        <v>1.1713066388274136</v>
      </c>
      <c r="J1542" s="79">
        <v>0.102759864200654</v>
      </c>
      <c r="K1542" s="79">
        <v>0.12386969009037101</v>
      </c>
      <c r="L1542" s="79">
        <v>0.55552266356551805</v>
      </c>
      <c r="M1542" s="79">
        <v>1</v>
      </c>
      <c r="N1542" s="102">
        <v>0.99361467998050845</v>
      </c>
      <c r="O1542" s="79">
        <v>9.9718992843670806E-2</v>
      </c>
      <c r="P1542" s="79">
        <v>0.94878036321923798</v>
      </c>
      <c r="Q1542" s="79">
        <v>0.96414753166970002</v>
      </c>
      <c r="R1542" s="79">
        <v>1</v>
      </c>
      <c r="S1542" s="102">
        <v>1.2977809912755238</v>
      </c>
      <c r="T1542" s="79">
        <v>0.101116187857121</v>
      </c>
      <c r="U1542" s="79">
        <v>9.9435606418455807E-3</v>
      </c>
      <c r="V1542" s="79">
        <v>2.8167879142619399E-2</v>
      </c>
      <c r="W1542" s="79">
        <v>1</v>
      </c>
    </row>
    <row r="1543" spans="2:23" x14ac:dyDescent="0.2">
      <c r="B1543" t="s">
        <v>3334</v>
      </c>
      <c r="C1543" s="84">
        <v>5036</v>
      </c>
      <c r="D1543" s="102">
        <v>1.6591058648727099E-2</v>
      </c>
      <c r="E1543" s="79">
        <v>2.8609878089666099E-2</v>
      </c>
      <c r="F1543" s="79">
        <v>0.56207989554827698</v>
      </c>
      <c r="G1543" s="79">
        <v>0.93167796111031398</v>
      </c>
      <c r="H1543" s="79">
        <v>1</v>
      </c>
      <c r="I1543" s="102">
        <v>1.6568685203124399E-2</v>
      </c>
      <c r="J1543" s="79">
        <v>2.89473474801351E-2</v>
      </c>
      <c r="K1543" s="79">
        <v>0.56716993180316699</v>
      </c>
      <c r="L1543" s="79">
        <v>0.85878159627519401</v>
      </c>
      <c r="M1543" s="79">
        <v>1</v>
      </c>
      <c r="N1543" s="102">
        <v>-1.80061185238298E-2</v>
      </c>
      <c r="O1543" s="79">
        <v>2.8433297943939499E-2</v>
      </c>
      <c r="P1543" s="79">
        <v>0.52666658745613204</v>
      </c>
      <c r="Q1543" s="79">
        <v>0.63909254953487704</v>
      </c>
      <c r="R1543" s="79">
        <v>1</v>
      </c>
      <c r="S1543" s="102">
        <v>2.49684910431139E-2</v>
      </c>
      <c r="T1543" s="79">
        <v>2.8842558213183499E-2</v>
      </c>
      <c r="U1543" s="79">
        <v>0.386828270328201</v>
      </c>
      <c r="V1543" s="79">
        <v>0.50523291436852202</v>
      </c>
      <c r="W1543" s="79">
        <v>1</v>
      </c>
    </row>
    <row r="1544" spans="2:23" x14ac:dyDescent="0.2">
      <c r="B1544" t="s">
        <v>3876</v>
      </c>
      <c r="C1544" s="84">
        <v>345</v>
      </c>
      <c r="D1544" s="102">
        <v>1.0453182132246011</v>
      </c>
      <c r="E1544" s="79">
        <v>9.5885188628955995E-2</v>
      </c>
      <c r="F1544" s="79">
        <v>0.64391385983180305</v>
      </c>
      <c r="G1544" s="79">
        <v>0.95767440062337605</v>
      </c>
      <c r="H1544" s="79">
        <v>1</v>
      </c>
      <c r="I1544" s="102">
        <v>1.0908298952012561</v>
      </c>
      <c r="J1544" s="79">
        <v>9.9193057259968104E-2</v>
      </c>
      <c r="K1544" s="79">
        <v>0.38077984100157902</v>
      </c>
      <c r="L1544" s="79">
        <v>0.75782823609722505</v>
      </c>
      <c r="M1544" s="79">
        <v>1</v>
      </c>
      <c r="N1544" s="102">
        <v>1.0518221939253449</v>
      </c>
      <c r="O1544" s="79">
        <v>9.6036925440293297E-2</v>
      </c>
      <c r="P1544" s="79">
        <v>0.59882555520038006</v>
      </c>
      <c r="Q1544" s="79">
        <v>0.70007625293957498</v>
      </c>
      <c r="R1544" s="79">
        <v>1</v>
      </c>
      <c r="S1544" s="102">
        <v>1.3192177067829807</v>
      </c>
      <c r="T1544" s="79">
        <v>9.8172708728825206E-2</v>
      </c>
      <c r="U1544" s="79">
        <v>4.7731952800909496E-3</v>
      </c>
      <c r="V1544" s="79">
        <v>1.54015101037601E-2</v>
      </c>
      <c r="W1544" s="79">
        <v>1</v>
      </c>
    </row>
    <row r="1545" spans="2:23" x14ac:dyDescent="0.2">
      <c r="B1545" t="s">
        <v>3335</v>
      </c>
      <c r="C1545" s="84">
        <v>5036</v>
      </c>
      <c r="D1545" s="102">
        <v>3.0453139594693898E-3</v>
      </c>
      <c r="E1545" s="79">
        <v>2.8393874304401299E-2</v>
      </c>
      <c r="F1545" s="79">
        <v>0.914605548378565</v>
      </c>
      <c r="G1545" s="79">
        <v>0.99533029194181499</v>
      </c>
      <c r="H1545" s="79">
        <v>1</v>
      </c>
      <c r="I1545" s="102">
        <v>2.5533721973230301E-2</v>
      </c>
      <c r="J1545" s="79">
        <v>2.8709478654566901E-2</v>
      </c>
      <c r="K1545" s="79">
        <v>0.37396511402056798</v>
      </c>
      <c r="L1545" s="79">
        <v>0.75612407354447997</v>
      </c>
      <c r="M1545" s="79">
        <v>1</v>
      </c>
      <c r="N1545" s="102">
        <v>6.6301914534298304E-2</v>
      </c>
      <c r="O1545" s="79">
        <v>2.8220787987212999E-2</v>
      </c>
      <c r="P1545" s="79">
        <v>1.89548531461275E-2</v>
      </c>
      <c r="Q1545" s="79">
        <v>4.6603078707605203E-2</v>
      </c>
      <c r="R1545" s="79">
        <v>1</v>
      </c>
      <c r="S1545" s="102">
        <v>5.7793827754449099E-2</v>
      </c>
      <c r="T1545" s="79">
        <v>2.8564255337413101E-2</v>
      </c>
      <c r="U1545" s="79">
        <v>4.32522269715373E-2</v>
      </c>
      <c r="V1545" s="79">
        <v>9.1130935932567395E-2</v>
      </c>
      <c r="W1545" s="79">
        <v>1</v>
      </c>
    </row>
    <row r="1546" spans="2:23" x14ac:dyDescent="0.2">
      <c r="B1546" t="s">
        <v>3322</v>
      </c>
      <c r="C1546" s="84">
        <v>5035</v>
      </c>
      <c r="D1546" s="102">
        <v>-4.24591656921929E-2</v>
      </c>
      <c r="E1546" s="79">
        <v>2.8398577616496602E-2</v>
      </c>
      <c r="F1546" s="79">
        <v>0.135138320677056</v>
      </c>
      <c r="G1546" s="79">
        <v>0.80938271582532695</v>
      </c>
      <c r="H1546" s="79">
        <v>1</v>
      </c>
      <c r="I1546" s="102">
        <v>-5.7603401833086598E-2</v>
      </c>
      <c r="J1546" s="79">
        <v>2.8794687981863201E-2</v>
      </c>
      <c r="K1546" s="79">
        <v>4.5661976369246203E-2</v>
      </c>
      <c r="L1546" s="79">
        <v>0.40078439362436802</v>
      </c>
      <c r="M1546" s="79">
        <v>1</v>
      </c>
      <c r="N1546" s="102">
        <v>1.8220630740690202E-2</v>
      </c>
      <c r="O1546" s="79">
        <v>2.85208153235878E-2</v>
      </c>
      <c r="P1546" s="79">
        <v>0.52303362068894099</v>
      </c>
      <c r="Q1546" s="79">
        <v>0.63559465813993299</v>
      </c>
      <c r="R1546" s="79">
        <v>1</v>
      </c>
      <c r="S1546" s="102">
        <v>-3.3469356515549803E-2</v>
      </c>
      <c r="T1546" s="79">
        <v>2.8602113661338701E-2</v>
      </c>
      <c r="U1546" s="79">
        <v>0.24215829909907699</v>
      </c>
      <c r="V1546" s="79">
        <v>0.35241938030398301</v>
      </c>
      <c r="W1546" s="79">
        <v>1</v>
      </c>
    </row>
    <row r="1547" spans="2:23" x14ac:dyDescent="0.2">
      <c r="B1547" t="s">
        <v>3874</v>
      </c>
      <c r="C1547" s="84">
        <v>391</v>
      </c>
      <c r="D1547" s="102">
        <v>0.874687916489851</v>
      </c>
      <c r="E1547" s="79">
        <v>0.10512542824330801</v>
      </c>
      <c r="F1547" s="79">
        <v>0.20280393828966101</v>
      </c>
      <c r="G1547" s="79">
        <v>0.83003013605610498</v>
      </c>
      <c r="H1547" s="79">
        <v>1</v>
      </c>
      <c r="I1547" s="102">
        <v>1.0006522234249535</v>
      </c>
      <c r="J1547" s="79">
        <v>0.108059249541845</v>
      </c>
      <c r="K1547" s="79">
        <v>0.99518573179008196</v>
      </c>
      <c r="L1547" s="79">
        <v>0.99763484948745695</v>
      </c>
      <c r="M1547" s="79">
        <v>1</v>
      </c>
      <c r="N1547" s="102">
        <v>1.0575384692348524</v>
      </c>
      <c r="O1547" s="79">
        <v>0.10577621229016999</v>
      </c>
      <c r="P1547" s="79">
        <v>0.59688157650601303</v>
      </c>
      <c r="Q1547" s="79">
        <v>0.69828549074667601</v>
      </c>
      <c r="R1547" s="79">
        <v>1</v>
      </c>
      <c r="S1547" s="102">
        <v>1.11540881412805</v>
      </c>
      <c r="T1547" s="79">
        <v>0.108196511313973</v>
      </c>
      <c r="U1547" s="79">
        <v>0.31274992512155297</v>
      </c>
      <c r="V1547" s="79">
        <v>0.42829294515433403</v>
      </c>
      <c r="W1547" s="79">
        <v>1</v>
      </c>
    </row>
    <row r="1548" spans="2:23" x14ac:dyDescent="0.2">
      <c r="B1548" t="s">
        <v>3327</v>
      </c>
      <c r="C1548" s="84">
        <v>5033</v>
      </c>
      <c r="D1548" s="102">
        <v>-5.5635979382217702E-3</v>
      </c>
      <c r="E1548" s="79">
        <v>2.8812729533452201E-2</v>
      </c>
      <c r="F1548" s="79">
        <v>0.84691755513370204</v>
      </c>
      <c r="G1548" s="79">
        <v>0.99362338620020496</v>
      </c>
      <c r="H1548" s="79">
        <v>1</v>
      </c>
      <c r="I1548" s="102">
        <v>-5.3969438860725699E-3</v>
      </c>
      <c r="J1548" s="79">
        <v>2.95472087443748E-2</v>
      </c>
      <c r="K1548" s="79">
        <v>0.85510001089769405</v>
      </c>
      <c r="L1548" s="79">
        <v>0.96184556338691496</v>
      </c>
      <c r="M1548" s="79">
        <v>1</v>
      </c>
      <c r="N1548" s="102">
        <v>5.77287812331021E-2</v>
      </c>
      <c r="O1548" s="79">
        <v>2.9114153819471401E-2</v>
      </c>
      <c r="P1548" s="79">
        <v>4.7614567729379401E-2</v>
      </c>
      <c r="Q1548" s="79">
        <v>9.7414345088851106E-2</v>
      </c>
      <c r="R1548" s="79">
        <v>1</v>
      </c>
      <c r="S1548" s="102">
        <v>0.113483061870257</v>
      </c>
      <c r="T1548" s="79">
        <v>2.9348419757888398E-2</v>
      </c>
      <c r="U1548" s="79">
        <v>1.16302980112411E-4</v>
      </c>
      <c r="V1548" s="79">
        <v>7.9438767650291404E-4</v>
      </c>
      <c r="W1548" s="79">
        <v>0.197017248310424</v>
      </c>
    </row>
    <row r="1549" spans="2:23" x14ac:dyDescent="0.2">
      <c r="B1549" t="s">
        <v>3323</v>
      </c>
      <c r="C1549" s="84">
        <v>5032</v>
      </c>
      <c r="D1549" s="102">
        <v>-3.8867638886798698E-3</v>
      </c>
      <c r="E1549" s="79">
        <v>2.92468577043811E-2</v>
      </c>
      <c r="F1549" s="79">
        <v>0.89429879622015895</v>
      </c>
      <c r="G1549" s="79">
        <v>0.99362338620020496</v>
      </c>
      <c r="H1549" s="79">
        <v>1</v>
      </c>
      <c r="I1549" s="102">
        <v>5.8433420780955097E-3</v>
      </c>
      <c r="J1549" s="79">
        <v>3.00373862059535E-2</v>
      </c>
      <c r="K1549" s="79">
        <v>0.84578956336641198</v>
      </c>
      <c r="L1549" s="79">
        <v>0.95866825390514199</v>
      </c>
      <c r="M1549" s="79">
        <v>1</v>
      </c>
      <c r="N1549" s="102">
        <v>5.2933696079592897E-2</v>
      </c>
      <c r="O1549" s="79">
        <v>2.97850216614329E-2</v>
      </c>
      <c r="P1549" s="79">
        <v>7.5789529794008006E-2</v>
      </c>
      <c r="Q1549" s="79">
        <v>0.14155177890964701</v>
      </c>
      <c r="R1549" s="79">
        <v>1</v>
      </c>
      <c r="S1549" s="102">
        <v>3.3691863447335997E-2</v>
      </c>
      <c r="T1549" s="79">
        <v>2.99685791239892E-2</v>
      </c>
      <c r="U1549" s="79">
        <v>0.26113883175215002</v>
      </c>
      <c r="V1549" s="79">
        <v>0.37135199567801702</v>
      </c>
      <c r="W1549" s="79">
        <v>1</v>
      </c>
    </row>
    <row r="1550" spans="2:23" x14ac:dyDescent="0.2">
      <c r="B1550" t="s">
        <v>3330</v>
      </c>
      <c r="C1550" s="84">
        <v>5030</v>
      </c>
      <c r="D1550" s="102">
        <v>6.9724459355929497E-2</v>
      </c>
      <c r="E1550" s="79">
        <v>8.1973066080027399E-2</v>
      </c>
      <c r="F1550" s="79">
        <v>0.396370915397674</v>
      </c>
      <c r="G1550" s="79">
        <v>0.89461055933914202</v>
      </c>
      <c r="H1550" s="79">
        <v>1</v>
      </c>
      <c r="I1550" s="102">
        <v>-5.1276587593810999E-2</v>
      </c>
      <c r="J1550" s="79">
        <v>8.5220329575418294E-2</v>
      </c>
      <c r="K1550" s="79">
        <v>0.548292577069045</v>
      </c>
      <c r="L1550" s="79">
        <v>0.85211708766510297</v>
      </c>
      <c r="M1550" s="79">
        <v>1</v>
      </c>
      <c r="N1550" s="102">
        <v>6.4683115958896295E-2</v>
      </c>
      <c r="O1550" s="79">
        <v>8.7477165258239203E-2</v>
      </c>
      <c r="P1550" s="79">
        <v>0.46083033219896302</v>
      </c>
      <c r="Q1550" s="79">
        <v>0.57954460485897796</v>
      </c>
      <c r="R1550" s="79">
        <v>1</v>
      </c>
      <c r="S1550" s="102">
        <v>-9.7923440232261906E-4</v>
      </c>
      <c r="T1550" s="79">
        <v>8.8148904665001804E-2</v>
      </c>
      <c r="U1550" s="79">
        <v>0.99115159732809199</v>
      </c>
      <c r="V1550" s="79">
        <v>0.99408573467956696</v>
      </c>
      <c r="W1550" s="79">
        <v>1</v>
      </c>
    </row>
    <row r="1551" spans="2:23" x14ac:dyDescent="0.2">
      <c r="B1551" t="s">
        <v>3326</v>
      </c>
      <c r="C1551" s="84">
        <v>5033</v>
      </c>
      <c r="D1551" s="102">
        <v>-1.02062236580033E-5</v>
      </c>
      <c r="E1551" s="79">
        <v>2.6489166215435699E-3</v>
      </c>
      <c r="F1551" s="79">
        <v>0.997785915241718</v>
      </c>
      <c r="G1551" s="79">
        <v>0.99962502278478604</v>
      </c>
      <c r="H1551" s="79">
        <v>1</v>
      </c>
      <c r="I1551" s="102">
        <v>-1.0116940228193899E-2</v>
      </c>
      <c r="J1551" s="79">
        <v>2.9921239941771999E-2</v>
      </c>
      <c r="K1551" s="79">
        <v>0.97682295766327099</v>
      </c>
      <c r="L1551" s="79">
        <v>0.99629532610271199</v>
      </c>
      <c r="M1551" s="79">
        <v>1</v>
      </c>
      <c r="N1551" s="102">
        <v>0.122679869079611</v>
      </c>
      <c r="O1551" s="79">
        <v>6.6968465931693505E-2</v>
      </c>
      <c r="P1551" s="79">
        <v>9.5148200224487001E-2</v>
      </c>
      <c r="Q1551" s="79">
        <v>0.167722217669387</v>
      </c>
      <c r="R1551" s="79">
        <v>1</v>
      </c>
      <c r="S1551" s="102">
        <v>0.22742063682440999</v>
      </c>
      <c r="T1551" s="79">
        <v>8.6386869808895705E-2</v>
      </c>
      <c r="U1551" s="79">
        <v>1.2145075532053601E-2</v>
      </c>
      <c r="V1551" s="79">
        <v>3.2708677188074402E-2</v>
      </c>
      <c r="W1551" s="79">
        <v>1</v>
      </c>
    </row>
    <row r="1552" spans="2:23" x14ac:dyDescent="0.2">
      <c r="B1552" t="s">
        <v>3329</v>
      </c>
      <c r="C1552" s="84">
        <v>3235</v>
      </c>
      <c r="D1552" s="102">
        <v>4.2560778984608296E-3</v>
      </c>
      <c r="E1552" s="79">
        <v>2.93889472634438E-2</v>
      </c>
      <c r="F1552" s="79">
        <v>0.88487836412428</v>
      </c>
      <c r="G1552" s="79">
        <v>0.99362338620020496</v>
      </c>
      <c r="H1552" s="79">
        <v>1</v>
      </c>
      <c r="I1552" s="102">
        <v>3.1253281905637101E-2</v>
      </c>
      <c r="J1552" s="79">
        <v>3.0126304780699598E-2</v>
      </c>
      <c r="K1552" s="79">
        <v>0.29975695273979902</v>
      </c>
      <c r="L1552" s="79">
        <v>0.70600202719357597</v>
      </c>
      <c r="M1552" s="79">
        <v>1</v>
      </c>
      <c r="N1552" s="102">
        <v>4.5520498794477199E-2</v>
      </c>
      <c r="O1552" s="79">
        <v>2.9684763194545501E-2</v>
      </c>
      <c r="P1552" s="79">
        <v>0.12542856403774399</v>
      </c>
      <c r="Q1552" s="79">
        <v>0.208105766385836</v>
      </c>
      <c r="R1552" s="79">
        <v>1</v>
      </c>
      <c r="S1552" s="102">
        <v>5.8775655336616002E-2</v>
      </c>
      <c r="T1552" s="79">
        <v>3.0092791379887501E-2</v>
      </c>
      <c r="U1552" s="79">
        <v>5.1037112020046398E-2</v>
      </c>
      <c r="V1552" s="79">
        <v>0.104039552060119</v>
      </c>
      <c r="W1552" s="79">
        <v>1</v>
      </c>
    </row>
    <row r="1553" spans="2:23" x14ac:dyDescent="0.2">
      <c r="B1553" t="s">
        <v>3325</v>
      </c>
      <c r="C1553" s="84">
        <v>5032</v>
      </c>
      <c r="D1553" s="102">
        <v>7.8729952917096797E-3</v>
      </c>
      <c r="E1553" s="79">
        <v>2.9088535315234601E-2</v>
      </c>
      <c r="F1553" s="79">
        <v>0.78670232144625996</v>
      </c>
      <c r="G1553" s="79">
        <v>0.988344463507694</v>
      </c>
      <c r="H1553" s="79">
        <v>1</v>
      </c>
      <c r="I1553" s="102">
        <v>4.30380456465599E-2</v>
      </c>
      <c r="J1553" s="79">
        <v>2.9848389343517901E-2</v>
      </c>
      <c r="K1553" s="79">
        <v>0.149596437608432</v>
      </c>
      <c r="L1553" s="79">
        <v>0.592867466146905</v>
      </c>
      <c r="M1553" s="79">
        <v>1</v>
      </c>
      <c r="N1553" s="102">
        <v>6.68950925005726E-2</v>
      </c>
      <c r="O1553" s="79">
        <v>2.9598900285379998E-2</v>
      </c>
      <c r="P1553" s="79">
        <v>2.3996731697638201E-2</v>
      </c>
      <c r="Q1553" s="79">
        <v>5.6147049027346803E-2</v>
      </c>
      <c r="R1553" s="79">
        <v>1</v>
      </c>
      <c r="S1553" s="102">
        <v>8.7558862131490098E-2</v>
      </c>
      <c r="T1553" s="79">
        <v>2.97083930958442E-2</v>
      </c>
      <c r="U1553" s="79">
        <v>3.2686627899431199E-3</v>
      </c>
      <c r="V1553" s="79">
        <v>1.15356557628409E-2</v>
      </c>
      <c r="W1553" s="79">
        <v>1</v>
      </c>
    </row>
    <row r="1554" spans="2:23" x14ac:dyDescent="0.2">
      <c r="B1554" t="s">
        <v>3328</v>
      </c>
      <c r="C1554" s="84">
        <v>5031</v>
      </c>
      <c r="D1554" s="102">
        <v>-2.0823983550066899E-2</v>
      </c>
      <c r="E1554" s="79">
        <v>2.9102374954322802E-2</v>
      </c>
      <c r="F1554" s="79">
        <v>0.47441621241265403</v>
      </c>
      <c r="G1554" s="79">
        <v>0.91151047511105199</v>
      </c>
      <c r="H1554" s="79">
        <v>1</v>
      </c>
      <c r="I1554" s="102">
        <v>-4.0291503776397697E-3</v>
      </c>
      <c r="J1554" s="79">
        <v>2.9884053676067501E-2</v>
      </c>
      <c r="K1554" s="79">
        <v>0.89277227741799303</v>
      </c>
      <c r="L1554" s="79">
        <v>0.98103349543168095</v>
      </c>
      <c r="M1554" s="79">
        <v>1</v>
      </c>
      <c r="N1554" s="102">
        <v>2.4733043918834501E-2</v>
      </c>
      <c r="O1554" s="79">
        <v>2.9318318820156199E-2</v>
      </c>
      <c r="P1554" s="79">
        <v>0.39906557614622401</v>
      </c>
      <c r="Q1554" s="79">
        <v>0.51564995117597501</v>
      </c>
      <c r="R1554" s="79">
        <v>1</v>
      </c>
      <c r="S1554" s="102">
        <v>9.9507105750578306E-2</v>
      </c>
      <c r="T1554" s="79">
        <v>2.9762511523923101E-2</v>
      </c>
      <c r="U1554" s="79">
        <v>8.5349570057521396E-4</v>
      </c>
      <c r="V1554" s="79">
        <v>3.9720376834461897E-3</v>
      </c>
      <c r="W1554" s="79">
        <v>1</v>
      </c>
    </row>
    <row r="1555" spans="2:23" x14ac:dyDescent="0.2">
      <c r="B1555" t="s">
        <v>3324</v>
      </c>
      <c r="C1555" s="84">
        <v>5034</v>
      </c>
      <c r="D1555" s="102">
        <v>2.04487235039452E-2</v>
      </c>
      <c r="E1555" s="79">
        <v>2.9017396995501599E-2</v>
      </c>
      <c r="F1555" s="79">
        <v>0.48112972672952498</v>
      </c>
      <c r="G1555" s="79">
        <v>0.91474046810304799</v>
      </c>
      <c r="H1555" s="79">
        <v>1</v>
      </c>
      <c r="I1555" s="102">
        <v>2.6241064613738398E-2</v>
      </c>
      <c r="J1555" s="79">
        <v>2.98391640195181E-2</v>
      </c>
      <c r="K1555" s="79">
        <v>0.37935076262418499</v>
      </c>
      <c r="L1555" s="79">
        <v>0.75782823609722505</v>
      </c>
      <c r="M1555" s="79">
        <v>1</v>
      </c>
      <c r="N1555" s="102">
        <v>0.10036615280178</v>
      </c>
      <c r="O1555" s="79">
        <v>2.94788860689414E-2</v>
      </c>
      <c r="P1555" s="79">
        <v>6.8422776649979401E-4</v>
      </c>
      <c r="Q1555" s="79">
        <v>3.2392976441692799E-3</v>
      </c>
      <c r="R1555" s="79">
        <v>1</v>
      </c>
      <c r="S1555" s="102">
        <v>5.6925141903417797E-2</v>
      </c>
      <c r="T1555" s="79">
        <v>2.96738456250621E-2</v>
      </c>
      <c r="U1555" s="79">
        <v>5.5301556127446201E-2</v>
      </c>
      <c r="V1555" s="79">
        <v>0.11112791943047901</v>
      </c>
      <c r="W1555" s="79">
        <v>1</v>
      </c>
    </row>
    <row r="1556" spans="2:23" x14ac:dyDescent="0.2">
      <c r="B1556" t="s">
        <v>3284</v>
      </c>
      <c r="C1556" s="84">
        <v>2673</v>
      </c>
      <c r="D1556" s="102">
        <v>4.6502516571182199E-2</v>
      </c>
      <c r="E1556" s="79">
        <v>2.94897730274057E-2</v>
      </c>
      <c r="F1556" s="79">
        <v>0.115084033369245</v>
      </c>
      <c r="G1556" s="79">
        <v>0.80938271582532695</v>
      </c>
      <c r="H1556" s="79">
        <v>1</v>
      </c>
      <c r="I1556" s="102">
        <v>3.7582720669021498E-2</v>
      </c>
      <c r="J1556" s="79">
        <v>3.0256749074784602E-2</v>
      </c>
      <c r="K1556" s="79">
        <v>0.21443485814442301</v>
      </c>
      <c r="L1556" s="79">
        <v>0.65135527590725595</v>
      </c>
      <c r="M1556" s="79">
        <v>1</v>
      </c>
      <c r="N1556" s="102">
        <v>4.9999002924677398E-2</v>
      </c>
      <c r="O1556" s="79">
        <v>2.9817633268377899E-2</v>
      </c>
      <c r="P1556" s="79">
        <v>9.3838627058974694E-2</v>
      </c>
      <c r="Q1556" s="79">
        <v>0.165758742688116</v>
      </c>
      <c r="R1556" s="79">
        <v>1</v>
      </c>
      <c r="S1556" s="102">
        <v>7.1399291577562696E-2</v>
      </c>
      <c r="T1556" s="79">
        <v>3.0203994570167099E-2</v>
      </c>
      <c r="U1556" s="79">
        <v>1.8243861390895899E-2</v>
      </c>
      <c r="V1556" s="79">
        <v>4.57787882701126E-2</v>
      </c>
      <c r="W1556" s="79">
        <v>1</v>
      </c>
    </row>
    <row r="1557" spans="2:23" x14ac:dyDescent="0.2">
      <c r="B1557" t="s">
        <v>3281</v>
      </c>
      <c r="C1557" s="84">
        <v>1910</v>
      </c>
      <c r="D1557" s="102">
        <v>-2.27426409896236E-2</v>
      </c>
      <c r="E1557" s="79">
        <v>2.9323291536407201E-2</v>
      </c>
      <c r="F1557" s="79">
        <v>0.43814920202652702</v>
      </c>
      <c r="G1557" s="79">
        <v>0.90581448957043498</v>
      </c>
      <c r="H1557" s="79">
        <v>1</v>
      </c>
      <c r="I1557" s="102">
        <v>-3.3482033768255599E-2</v>
      </c>
      <c r="J1557" s="79">
        <v>3.00706698752214E-2</v>
      </c>
      <c r="K1557" s="79">
        <v>0.265741191131531</v>
      </c>
      <c r="L1557" s="79">
        <v>0.68382629307189902</v>
      </c>
      <c r="M1557" s="79">
        <v>1</v>
      </c>
      <c r="N1557" s="102">
        <v>2.0911045327378999E-2</v>
      </c>
      <c r="O1557" s="79">
        <v>2.9822409387366501E-2</v>
      </c>
      <c r="P1557" s="79">
        <v>0.48332321111943999</v>
      </c>
      <c r="Q1557" s="79">
        <v>0.60069663949840901</v>
      </c>
      <c r="R1557" s="79">
        <v>1</v>
      </c>
      <c r="S1557" s="102">
        <v>7.5755886040617004E-2</v>
      </c>
      <c r="T1557" s="79">
        <v>2.9975818260547599E-2</v>
      </c>
      <c r="U1557" s="79">
        <v>1.1625449253266199E-2</v>
      </c>
      <c r="V1557" s="79">
        <v>3.17637274758596E-2</v>
      </c>
      <c r="W1557" s="79">
        <v>1</v>
      </c>
    </row>
    <row r="1558" spans="2:23" x14ac:dyDescent="0.2">
      <c r="B1558" t="s">
        <v>3283</v>
      </c>
      <c r="C1558" s="84">
        <v>2328</v>
      </c>
      <c r="D1558" s="102">
        <v>-4.71850204427735E-2</v>
      </c>
      <c r="E1558" s="79">
        <v>2.92823914372956E-2</v>
      </c>
      <c r="F1558" s="79">
        <v>0.107362644579221</v>
      </c>
      <c r="G1558" s="79">
        <v>0.80938271582532695</v>
      </c>
      <c r="H1558" s="79">
        <v>1</v>
      </c>
      <c r="I1558" s="102">
        <v>6.2591684106604404E-3</v>
      </c>
      <c r="J1558" s="79">
        <v>3.0065487584554001E-2</v>
      </c>
      <c r="K1558" s="79">
        <v>0.83512056097724496</v>
      </c>
      <c r="L1558" s="79">
        <v>0.95558061391045301</v>
      </c>
      <c r="M1558" s="79">
        <v>1</v>
      </c>
      <c r="N1558" s="102">
        <v>5.8403504804344197E-2</v>
      </c>
      <c r="O1558" s="79">
        <v>2.9578390193430799E-2</v>
      </c>
      <c r="P1558" s="79">
        <v>4.8552819424035699E-2</v>
      </c>
      <c r="Q1558" s="79">
        <v>9.8714706310509104E-2</v>
      </c>
      <c r="R1558" s="79">
        <v>1</v>
      </c>
      <c r="S1558" s="102">
        <v>3.2943277870767597E-2</v>
      </c>
      <c r="T1558" s="79">
        <v>3.0054529425254099E-2</v>
      </c>
      <c r="U1558" s="79">
        <v>0.27324955153237801</v>
      </c>
      <c r="V1558" s="79">
        <v>0.38509545781684601</v>
      </c>
      <c r="W1558" s="79">
        <v>1</v>
      </c>
    </row>
    <row r="1559" spans="2:23" x14ac:dyDescent="0.2">
      <c r="B1559" t="s">
        <v>3280</v>
      </c>
      <c r="C1559" s="84">
        <v>1972</v>
      </c>
      <c r="D1559" s="102">
        <v>-5.2166612362587197E-2</v>
      </c>
      <c r="E1559" s="79">
        <v>2.9221505520607399E-2</v>
      </c>
      <c r="F1559" s="79">
        <v>7.4480175919757197E-2</v>
      </c>
      <c r="G1559" s="79">
        <v>0.73538141425839998</v>
      </c>
      <c r="H1559" s="79">
        <v>1</v>
      </c>
      <c r="I1559" s="102">
        <v>-1.30435230054224E-2</v>
      </c>
      <c r="J1559" s="79">
        <v>2.9983641934123301E-2</v>
      </c>
      <c r="K1559" s="79">
        <v>0.66362546759551999</v>
      </c>
      <c r="L1559" s="79">
        <v>0.88734337255888895</v>
      </c>
      <c r="M1559" s="79">
        <v>1</v>
      </c>
      <c r="N1559" s="102">
        <v>5.33910444411307E-2</v>
      </c>
      <c r="O1559" s="79">
        <v>2.9631659696343699E-2</v>
      </c>
      <c r="P1559" s="79">
        <v>7.18251169008845E-2</v>
      </c>
      <c r="Q1559" s="79">
        <v>0.13655639509550899</v>
      </c>
      <c r="R1559" s="79">
        <v>1</v>
      </c>
      <c r="S1559" s="102">
        <v>1.30610099687884E-2</v>
      </c>
      <c r="T1559" s="79">
        <v>2.99511269781036E-2</v>
      </c>
      <c r="U1559" s="79">
        <v>0.66285946812044205</v>
      </c>
      <c r="V1559" s="79">
        <v>0.73391107123923505</v>
      </c>
      <c r="W1559" s="79">
        <v>1</v>
      </c>
    </row>
    <row r="1560" spans="2:23" x14ac:dyDescent="0.2">
      <c r="B1560" t="s">
        <v>3282</v>
      </c>
      <c r="C1560" s="84">
        <v>2633</v>
      </c>
      <c r="D1560" s="102">
        <v>4.3273790979106797E-3</v>
      </c>
      <c r="E1560" s="79">
        <v>5.63621389025699E-2</v>
      </c>
      <c r="F1560" s="79">
        <v>0.93884047917896396</v>
      </c>
      <c r="G1560" s="79">
        <v>0.99840985319461195</v>
      </c>
      <c r="H1560" s="79">
        <v>1</v>
      </c>
      <c r="I1560" s="102">
        <v>6.31015267590323E-2</v>
      </c>
      <c r="J1560" s="79">
        <v>5.0878633596007097E-2</v>
      </c>
      <c r="K1560" s="79">
        <v>0.21565424982810799</v>
      </c>
      <c r="L1560" s="79">
        <v>0.65149810376204198</v>
      </c>
      <c r="M1560" s="79">
        <v>1</v>
      </c>
      <c r="N1560" s="102">
        <v>-3.4357945576159399E-2</v>
      </c>
      <c r="O1560" s="79">
        <v>5.6289674221180898E-2</v>
      </c>
      <c r="P1560" s="79">
        <v>0.54197722268425397</v>
      </c>
      <c r="Q1560" s="79">
        <v>0.65532435062607197</v>
      </c>
      <c r="R1560" s="79">
        <v>1</v>
      </c>
      <c r="S1560" s="102">
        <v>-1.1161828899072699E-3</v>
      </c>
      <c r="T1560" s="79">
        <v>5.3146118141033101E-2</v>
      </c>
      <c r="U1560" s="79">
        <v>0.98325498185821003</v>
      </c>
      <c r="V1560" s="79">
        <v>0.99085897636395504</v>
      </c>
      <c r="W1560" s="79">
        <v>1</v>
      </c>
    </row>
    <row r="1561" spans="2:23" x14ac:dyDescent="0.2">
      <c r="B1561" t="s">
        <v>3286</v>
      </c>
      <c r="C1561" s="84">
        <v>2360</v>
      </c>
      <c r="D1561" s="102">
        <v>-0.17339644271662299</v>
      </c>
      <c r="E1561" s="79">
        <v>7.1239986035796801E-2</v>
      </c>
      <c r="F1561" s="79">
        <v>2.0097713796921698E-2</v>
      </c>
      <c r="G1561" s="79">
        <v>0.56979784415816803</v>
      </c>
      <c r="H1561" s="79">
        <v>1</v>
      </c>
      <c r="I1561" s="102">
        <v>0.166171954940046</v>
      </c>
      <c r="J1561" s="79">
        <v>8.2236526117770395E-2</v>
      </c>
      <c r="K1561" s="79">
        <v>4.5272911443123502E-2</v>
      </c>
      <c r="L1561" s="79">
        <v>0.39943912492005801</v>
      </c>
      <c r="M1561" s="79">
        <v>1</v>
      </c>
      <c r="N1561" s="102">
        <v>-5.0475553903612497E-2</v>
      </c>
      <c r="O1561" s="79">
        <v>9.50060758871938E-2</v>
      </c>
      <c r="P1561" s="79">
        <v>0.596150088978043</v>
      </c>
      <c r="Q1561" s="79">
        <v>0.69824139541517505</v>
      </c>
      <c r="R1561" s="79">
        <v>1</v>
      </c>
      <c r="S1561" s="102">
        <v>6.7097703553705895E-2</v>
      </c>
      <c r="T1561" s="79">
        <v>8.4797987328328495E-2</v>
      </c>
      <c r="U1561" s="79">
        <v>0.43089360818334799</v>
      </c>
      <c r="V1561" s="79">
        <v>0.54758722600344401</v>
      </c>
      <c r="W1561" s="79">
        <v>1</v>
      </c>
    </row>
    <row r="1562" spans="2:23" x14ac:dyDescent="0.2">
      <c r="B1562" t="s">
        <v>3287</v>
      </c>
      <c r="C1562" s="84">
        <v>2360</v>
      </c>
      <c r="D1562" s="102">
        <v>3.97383497322212E-3</v>
      </c>
      <c r="E1562" s="79">
        <v>7.9647778305945702E-2</v>
      </c>
      <c r="F1562" s="79">
        <v>0.96028011241521805</v>
      </c>
      <c r="G1562" s="79">
        <v>0.99840985319461195</v>
      </c>
      <c r="H1562" s="79">
        <v>1</v>
      </c>
      <c r="I1562" s="102">
        <v>-2.8190182322274399E-2</v>
      </c>
      <c r="J1562" s="79">
        <v>8.5603578712991596E-2</v>
      </c>
      <c r="K1562" s="79">
        <v>0.74242006384362402</v>
      </c>
      <c r="L1562" s="79">
        <v>0.91967633960533601</v>
      </c>
      <c r="M1562" s="79">
        <v>1</v>
      </c>
      <c r="N1562" s="102">
        <v>8.0040231573529699E-2</v>
      </c>
      <c r="O1562" s="79">
        <v>9.8421981616663407E-2</v>
      </c>
      <c r="P1562" s="79">
        <v>0.41748401393256801</v>
      </c>
      <c r="Q1562" s="79">
        <v>0.53455625064381695</v>
      </c>
      <c r="R1562" s="79">
        <v>1</v>
      </c>
      <c r="S1562" s="102">
        <v>-6.2538517067422403E-2</v>
      </c>
      <c r="T1562" s="79">
        <v>9.0418972545352097E-2</v>
      </c>
      <c r="U1562" s="79">
        <v>0.49031751374452398</v>
      </c>
      <c r="V1562" s="79">
        <v>0.59927696124330698</v>
      </c>
      <c r="W1562" s="79">
        <v>1</v>
      </c>
    </row>
    <row r="1563" spans="2:23" x14ac:dyDescent="0.2">
      <c r="B1563" t="s">
        <v>3288</v>
      </c>
      <c r="C1563" s="84">
        <v>2673</v>
      </c>
      <c r="D1563" s="102">
        <v>1.7822466008251001E-3</v>
      </c>
      <c r="E1563" s="79">
        <v>2.9618160359173699E-2</v>
      </c>
      <c r="F1563" s="79">
        <v>0.95202717261145298</v>
      </c>
      <c r="G1563" s="79">
        <v>0.99840985319461195</v>
      </c>
      <c r="H1563" s="79">
        <v>1</v>
      </c>
      <c r="I1563" s="102">
        <v>3.04350343294576E-2</v>
      </c>
      <c r="J1563" s="79">
        <v>3.0366944369937799E-2</v>
      </c>
      <c r="K1563" s="79">
        <v>0.31643144599586798</v>
      </c>
      <c r="L1563" s="79">
        <v>0.71421187504967798</v>
      </c>
      <c r="M1563" s="79">
        <v>1</v>
      </c>
      <c r="N1563" s="102">
        <v>-7.6843251554225304E-3</v>
      </c>
      <c r="O1563" s="79">
        <v>2.99768167795238E-2</v>
      </c>
      <c r="P1563" s="79">
        <v>0.79773088902412803</v>
      </c>
      <c r="Q1563" s="79">
        <v>0.86183426403499597</v>
      </c>
      <c r="R1563" s="79">
        <v>1</v>
      </c>
      <c r="S1563" s="102">
        <v>3.7584463773850899E-2</v>
      </c>
      <c r="T1563" s="79">
        <v>3.03230363190433E-2</v>
      </c>
      <c r="U1563" s="79">
        <v>0.21541960946768801</v>
      </c>
      <c r="V1563" s="79">
        <v>0.31982543246123002</v>
      </c>
      <c r="W1563" s="79">
        <v>1</v>
      </c>
    </row>
    <row r="1564" spans="2:23" x14ac:dyDescent="0.2">
      <c r="B1564" t="s">
        <v>3285</v>
      </c>
      <c r="C1564" s="84">
        <v>2673</v>
      </c>
      <c r="D1564" s="102">
        <v>-4.3337824417283002E-3</v>
      </c>
      <c r="E1564" s="79">
        <v>2.90153639213835E-2</v>
      </c>
      <c r="F1564" s="79">
        <v>0.88129375938782095</v>
      </c>
      <c r="G1564" s="79">
        <v>0.99362338620020496</v>
      </c>
      <c r="H1564" s="79">
        <v>1</v>
      </c>
      <c r="I1564" s="102">
        <v>1.1231528731245201E-2</v>
      </c>
      <c r="J1564" s="79">
        <v>2.9830096124309102E-2</v>
      </c>
      <c r="K1564" s="79">
        <v>0.70659974885131505</v>
      </c>
      <c r="L1564" s="79">
        <v>0.90817903987414805</v>
      </c>
      <c r="M1564" s="79">
        <v>1</v>
      </c>
      <c r="N1564" s="102">
        <v>2.9233122218448999E-2</v>
      </c>
      <c r="O1564" s="79">
        <v>2.96145979951528E-2</v>
      </c>
      <c r="P1564" s="79">
        <v>0.32378396878023202</v>
      </c>
      <c r="Q1564" s="79">
        <v>0.44020067665627099</v>
      </c>
      <c r="R1564" s="79">
        <v>1</v>
      </c>
      <c r="S1564" s="102">
        <v>6.3882449360142896E-2</v>
      </c>
      <c r="T1564" s="79">
        <v>2.96634211136532E-2</v>
      </c>
      <c r="U1564" s="79">
        <v>3.1475791155334797E-2</v>
      </c>
      <c r="V1564" s="79">
        <v>7.1956801912465798E-2</v>
      </c>
      <c r="W1564" s="79">
        <v>1</v>
      </c>
    </row>
    <row r="1565" spans="2:23" x14ac:dyDescent="0.2">
      <c r="B1565" t="s">
        <v>3844</v>
      </c>
      <c r="C1565" s="84">
        <v>335</v>
      </c>
      <c r="D1565" s="102">
        <v>1.1035990895965639</v>
      </c>
      <c r="E1565" s="79">
        <v>9.6312153824092001E-2</v>
      </c>
      <c r="F1565" s="79">
        <v>0.30606537161395703</v>
      </c>
      <c r="G1565" s="79">
        <v>0.88192109714078004</v>
      </c>
      <c r="H1565" s="79">
        <v>1</v>
      </c>
      <c r="I1565" s="102">
        <v>1.0796446907850399</v>
      </c>
      <c r="J1565" s="79">
        <v>9.9700540313567801E-2</v>
      </c>
      <c r="K1565" s="79">
        <v>0.44211793021585399</v>
      </c>
      <c r="L1565" s="79">
        <v>0.792097226457534</v>
      </c>
      <c r="M1565" s="79">
        <v>1</v>
      </c>
      <c r="N1565" s="102">
        <v>1.0358321824924666</v>
      </c>
      <c r="O1565" s="79">
        <v>9.7902949159978103E-2</v>
      </c>
      <c r="P1565" s="79">
        <v>0.71915205761376699</v>
      </c>
      <c r="Q1565" s="79">
        <v>0.81108094913297002</v>
      </c>
      <c r="R1565" s="79">
        <v>1</v>
      </c>
      <c r="S1565" s="102">
        <v>1.2825013337919309</v>
      </c>
      <c r="T1565" s="79">
        <v>0.101141550732742</v>
      </c>
      <c r="U1565" s="79">
        <v>1.3892123455664099E-2</v>
      </c>
      <c r="V1565" s="79">
        <v>3.6372885832913399E-2</v>
      </c>
      <c r="W1565" s="79">
        <v>1</v>
      </c>
    </row>
    <row r="1566" spans="2:23" x14ac:dyDescent="0.2">
      <c r="B1566" t="s">
        <v>3297</v>
      </c>
      <c r="C1566" s="84">
        <v>5039</v>
      </c>
      <c r="D1566" s="102">
        <v>0.107230782580458</v>
      </c>
      <c r="E1566" s="79">
        <v>0.100735930897165</v>
      </c>
      <c r="F1566" s="79">
        <v>0.28970815423474999</v>
      </c>
      <c r="G1566" s="79">
        <v>0.86861170490914397</v>
      </c>
      <c r="H1566" s="79">
        <v>1</v>
      </c>
      <c r="I1566" s="102">
        <v>3.8562514298960203E-2</v>
      </c>
      <c r="J1566" s="79">
        <v>9.7929390869854596E-2</v>
      </c>
      <c r="K1566" s="79">
        <v>0.69459122749451097</v>
      </c>
      <c r="L1566" s="79">
        <v>0.901637961207434</v>
      </c>
      <c r="M1566" s="79">
        <v>1</v>
      </c>
      <c r="N1566" s="102">
        <v>-0.127306610759431</v>
      </c>
      <c r="O1566" s="79">
        <v>0.115685957342634</v>
      </c>
      <c r="P1566" s="79">
        <v>0.273807482435516</v>
      </c>
      <c r="Q1566" s="79">
        <v>0.38684726876210501</v>
      </c>
      <c r="R1566" s="79">
        <v>1</v>
      </c>
      <c r="S1566" s="102">
        <v>1.3706678719319E-2</v>
      </c>
      <c r="T1566" s="79">
        <v>9.4259741305598499E-2</v>
      </c>
      <c r="U1566" s="79">
        <v>0.88467972647496096</v>
      </c>
      <c r="V1566" s="79">
        <v>0.91709759810100699</v>
      </c>
      <c r="W1566" s="79">
        <v>1</v>
      </c>
    </row>
    <row r="1567" spans="2:23" x14ac:dyDescent="0.2">
      <c r="B1567" t="s">
        <v>3292</v>
      </c>
      <c r="C1567" s="84">
        <v>5039</v>
      </c>
      <c r="D1567" s="102">
        <v>0.16502225742705401</v>
      </c>
      <c r="E1567" s="79">
        <v>9.6552046916357506E-2</v>
      </c>
      <c r="F1567" s="79">
        <v>9.0586779458880703E-2</v>
      </c>
      <c r="G1567" s="79">
        <v>0.75593105617410805</v>
      </c>
      <c r="H1567" s="79">
        <v>1</v>
      </c>
      <c r="I1567" s="102">
        <v>-5.6405498663196503E-2</v>
      </c>
      <c r="J1567" s="79">
        <v>9.2697841733365205E-2</v>
      </c>
      <c r="K1567" s="79">
        <v>0.54433991142448401</v>
      </c>
      <c r="L1567" s="79">
        <v>0.85041882730688301</v>
      </c>
      <c r="M1567" s="79">
        <v>1</v>
      </c>
      <c r="N1567" s="102">
        <v>-0.33927476078772101</v>
      </c>
      <c r="O1567" s="79">
        <v>9.3946236365248195E-2</v>
      </c>
      <c r="P1567" s="79">
        <v>1.6550409071346701E-3</v>
      </c>
      <c r="Q1567" s="79">
        <v>6.5644532205651404E-3</v>
      </c>
      <c r="R1567" s="79">
        <v>1</v>
      </c>
      <c r="S1567" s="102">
        <v>-0.145307894347562</v>
      </c>
      <c r="T1567" s="79">
        <v>8.93374251310078E-2</v>
      </c>
      <c r="U1567" s="79">
        <v>0.10706724902911401</v>
      </c>
      <c r="V1567" s="79">
        <v>0.185272802828884</v>
      </c>
      <c r="W1567" s="79">
        <v>1</v>
      </c>
    </row>
    <row r="1568" spans="2:23" x14ac:dyDescent="0.2">
      <c r="B1568" t="s">
        <v>3289</v>
      </c>
      <c r="C1568" s="84">
        <v>2673</v>
      </c>
      <c r="D1568" s="102">
        <v>1.9948892651127599E-2</v>
      </c>
      <c r="E1568" s="79">
        <v>0.103603067844145</v>
      </c>
      <c r="F1568" s="79">
        <v>0.84770492399318498</v>
      </c>
      <c r="G1568" s="79">
        <v>0.99362338620020496</v>
      </c>
      <c r="H1568" s="79">
        <v>1</v>
      </c>
      <c r="I1568" s="102">
        <v>-5.3933679408431398E-2</v>
      </c>
      <c r="J1568" s="79">
        <v>0.100158128983436</v>
      </c>
      <c r="K1568" s="79">
        <v>0.59145076622003201</v>
      </c>
      <c r="L1568" s="79">
        <v>0.86712758935434098</v>
      </c>
      <c r="M1568" s="79">
        <v>1</v>
      </c>
      <c r="N1568" s="102">
        <v>0.15969886553005699</v>
      </c>
      <c r="O1568" s="79">
        <v>0.117936115144888</v>
      </c>
      <c r="P1568" s="79">
        <v>0.178783138790124</v>
      </c>
      <c r="Q1568" s="79">
        <v>0.27658323023787201</v>
      </c>
      <c r="R1568" s="79">
        <v>1</v>
      </c>
      <c r="S1568" s="102">
        <v>8.1092959977698206E-2</v>
      </c>
      <c r="T1568" s="79">
        <v>9.6135969066876104E-2</v>
      </c>
      <c r="U1568" s="79">
        <v>0.40096920340903203</v>
      </c>
      <c r="V1568" s="79">
        <v>0.51850521417931295</v>
      </c>
      <c r="W1568" s="79">
        <v>1</v>
      </c>
    </row>
    <row r="1569" spans="2:23" x14ac:dyDescent="0.2">
      <c r="B1569" t="s">
        <v>3290</v>
      </c>
      <c r="C1569" s="84">
        <v>2360</v>
      </c>
      <c r="D1569" s="102">
        <v>-1.6559913563811101E-2</v>
      </c>
      <c r="E1569" s="79">
        <v>0.105922001181508</v>
      </c>
      <c r="F1569" s="79">
        <v>0.87608628279297096</v>
      </c>
      <c r="G1569" s="79">
        <v>0.99362338620020496</v>
      </c>
      <c r="H1569" s="79">
        <v>1</v>
      </c>
      <c r="I1569" s="102">
        <v>8.2578543564212098E-2</v>
      </c>
      <c r="J1569" s="79">
        <v>0.101832039208388</v>
      </c>
      <c r="K1569" s="79">
        <v>0.41947640756464499</v>
      </c>
      <c r="L1569" s="79">
        <v>0.77720045244242597</v>
      </c>
      <c r="M1569" s="79">
        <v>1</v>
      </c>
      <c r="N1569" s="102">
        <v>-0.16956276166261999</v>
      </c>
      <c r="O1569" s="79">
        <v>0.11975218729025799</v>
      </c>
      <c r="P1569" s="79">
        <v>0.16021793913259499</v>
      </c>
      <c r="Q1569" s="79">
        <v>0.252473664084294</v>
      </c>
      <c r="R1569" s="79">
        <v>1</v>
      </c>
      <c r="S1569" s="102">
        <v>0.16484316954940001</v>
      </c>
      <c r="T1569" s="79">
        <v>9.7016611928632798E-2</v>
      </c>
      <c r="U1569" s="79">
        <v>9.2449902507256404E-2</v>
      </c>
      <c r="V1569" s="79">
        <v>0.16532630719830399</v>
      </c>
      <c r="W1569" s="79">
        <v>1</v>
      </c>
    </row>
    <row r="1570" spans="2:23" x14ac:dyDescent="0.2">
      <c r="B1570" t="s">
        <v>3839</v>
      </c>
      <c r="C1570" s="84">
        <v>1115</v>
      </c>
      <c r="D1570" s="102">
        <v>1.0373562300913093</v>
      </c>
      <c r="E1570" s="79">
        <v>0.116649062437583</v>
      </c>
      <c r="F1570" s="79">
        <v>0.75321123497458198</v>
      </c>
      <c r="G1570" s="79">
        <v>0.98006352001698205</v>
      </c>
      <c r="H1570" s="79">
        <v>1</v>
      </c>
      <c r="I1570" s="102">
        <v>1.0520370826972241</v>
      </c>
      <c r="J1570" s="79">
        <v>0.11343595221065</v>
      </c>
      <c r="K1570" s="79">
        <v>0.65473189879378901</v>
      </c>
      <c r="L1570" s="79">
        <v>0.88374695918109603</v>
      </c>
      <c r="M1570" s="79">
        <v>1</v>
      </c>
      <c r="N1570" s="102">
        <v>0.87071719780169965</v>
      </c>
      <c r="O1570" s="79">
        <v>0.119935423117964</v>
      </c>
      <c r="P1570" s="79">
        <v>0.24838887398683701</v>
      </c>
      <c r="Q1570" s="79">
        <v>0.35871334401850102</v>
      </c>
      <c r="R1570" s="79">
        <v>1</v>
      </c>
      <c r="S1570" s="102">
        <v>0.9438255062070483</v>
      </c>
      <c r="T1570" s="79">
        <v>0.113663495719945</v>
      </c>
      <c r="U1570" s="79">
        <v>0.611003509122934</v>
      </c>
      <c r="V1570" s="79">
        <v>0.69699659559208804</v>
      </c>
      <c r="W1570" s="79">
        <v>1</v>
      </c>
    </row>
    <row r="1571" spans="2:23" x14ac:dyDescent="0.2">
      <c r="B1571" t="s">
        <v>3838</v>
      </c>
      <c r="C1571" s="84">
        <v>910</v>
      </c>
      <c r="D1571" s="102">
        <v>0.95966268331664484</v>
      </c>
      <c r="E1571" s="79">
        <v>0.121757227095737</v>
      </c>
      <c r="F1571" s="79">
        <v>0.73524259331205</v>
      </c>
      <c r="G1571" s="79">
        <v>0.97725225651372905</v>
      </c>
      <c r="H1571" s="79">
        <v>1</v>
      </c>
      <c r="I1571" s="102">
        <v>1.0239903845165701</v>
      </c>
      <c r="J1571" s="79">
        <v>0.118736470955072</v>
      </c>
      <c r="K1571" s="79">
        <v>0.841745098348334</v>
      </c>
      <c r="L1571" s="79">
        <v>0.95812349699803201</v>
      </c>
      <c r="M1571" s="79">
        <v>1</v>
      </c>
      <c r="N1571" s="102">
        <v>1.0058061855090705</v>
      </c>
      <c r="O1571" s="79">
        <v>0.12513649414018299</v>
      </c>
      <c r="P1571" s="79">
        <v>0.96309932406238696</v>
      </c>
      <c r="Q1571" s="79">
        <v>0.97214079829143796</v>
      </c>
      <c r="R1571" s="79">
        <v>1</v>
      </c>
      <c r="S1571" s="102">
        <v>1.2145800515820344</v>
      </c>
      <c r="T1571" s="79">
        <v>0.12082424355662801</v>
      </c>
      <c r="U1571" s="79">
        <v>0.107630507958247</v>
      </c>
      <c r="V1571" s="79">
        <v>0.18604702089925601</v>
      </c>
      <c r="W1571" s="79">
        <v>1</v>
      </c>
    </row>
    <row r="1572" spans="2:23" x14ac:dyDescent="0.2">
      <c r="B1572" t="s">
        <v>3840</v>
      </c>
      <c r="C1572" s="84">
        <v>1151</v>
      </c>
      <c r="D1572" s="102">
        <v>1.0463671204144211</v>
      </c>
      <c r="E1572" s="79">
        <v>0.123009215599838</v>
      </c>
      <c r="F1572" s="79">
        <v>0.71252842313986897</v>
      </c>
      <c r="G1572" s="79">
        <v>0.97160036230239</v>
      </c>
      <c r="H1572" s="79">
        <v>1</v>
      </c>
      <c r="I1572" s="102">
        <v>1.0219059975443368</v>
      </c>
      <c r="J1572" s="79">
        <v>0.118309026181044</v>
      </c>
      <c r="K1572" s="79">
        <v>0.85467229706710302</v>
      </c>
      <c r="L1572" s="79">
        <v>0.96184556338691496</v>
      </c>
      <c r="M1572" s="79">
        <v>1</v>
      </c>
      <c r="N1572" s="102">
        <v>1.0828266756503129</v>
      </c>
      <c r="O1572" s="79">
        <v>0.12398730201520899</v>
      </c>
      <c r="P1572" s="79">
        <v>0.52100376285476602</v>
      </c>
      <c r="Q1572" s="79">
        <v>0.634493439450736</v>
      </c>
      <c r="R1572" s="79">
        <v>1</v>
      </c>
      <c r="S1572" s="102">
        <v>0.99985389446467565</v>
      </c>
      <c r="T1572" s="79">
        <v>0.119880943671044</v>
      </c>
      <c r="U1572" s="79">
        <v>0.99902750315914401</v>
      </c>
      <c r="V1572" s="79">
        <v>0.99902750315914401</v>
      </c>
      <c r="W1572" s="79">
        <v>1</v>
      </c>
    </row>
    <row r="1573" spans="2:23" x14ac:dyDescent="0.2">
      <c r="B1573" t="s">
        <v>3841</v>
      </c>
      <c r="C1573" s="84">
        <v>232</v>
      </c>
      <c r="D1573" s="102">
        <v>0.90425141760139904</v>
      </c>
      <c r="E1573" s="79">
        <v>0.12274232615472</v>
      </c>
      <c r="F1573" s="79">
        <v>0.41222013396105101</v>
      </c>
      <c r="G1573" s="79">
        <v>0.89561567502544503</v>
      </c>
      <c r="H1573" s="79">
        <v>1</v>
      </c>
      <c r="I1573" s="102">
        <v>1.1776874499398911</v>
      </c>
      <c r="J1573" s="79">
        <v>0.12033029806639201</v>
      </c>
      <c r="K1573" s="79">
        <v>0.17408378401098901</v>
      </c>
      <c r="L1573" s="79">
        <v>0.61396896490869202</v>
      </c>
      <c r="M1573" s="79">
        <v>1</v>
      </c>
      <c r="N1573" s="102">
        <v>1.0169810336973828</v>
      </c>
      <c r="O1573" s="79">
        <v>0.124629954965745</v>
      </c>
      <c r="P1573" s="79">
        <v>0.89252671555299701</v>
      </c>
      <c r="Q1573" s="79">
        <v>0.92648730085814202</v>
      </c>
      <c r="R1573" s="79">
        <v>1</v>
      </c>
      <c r="S1573" s="102">
        <v>1.2866919466465214</v>
      </c>
      <c r="T1573" s="79">
        <v>0.121554334288779</v>
      </c>
      <c r="U1573" s="79">
        <v>3.8101585900970597E-2</v>
      </c>
      <c r="V1573" s="79">
        <v>8.3390292656646298E-2</v>
      </c>
      <c r="W1573" s="79">
        <v>1</v>
      </c>
    </row>
    <row r="1574" spans="2:23" x14ac:dyDescent="0.2">
      <c r="B1574" t="s">
        <v>3842</v>
      </c>
      <c r="C1574" s="84">
        <v>335</v>
      </c>
      <c r="D1574" s="102">
        <v>0.82560987940473429</v>
      </c>
      <c r="E1574" s="79">
        <v>0.12848395054319001</v>
      </c>
      <c r="F1574" s="79">
        <v>0.13583209716073899</v>
      </c>
      <c r="G1574" s="79">
        <v>0.80938271582532695</v>
      </c>
      <c r="H1574" s="79">
        <v>1</v>
      </c>
      <c r="I1574" s="102">
        <v>1.1001819843064022</v>
      </c>
      <c r="J1574" s="79">
        <v>0.122843939657772</v>
      </c>
      <c r="K1574" s="79">
        <v>0.43703455649292</v>
      </c>
      <c r="L1574" s="79">
        <v>0.78893272642295398</v>
      </c>
      <c r="M1574" s="79">
        <v>1</v>
      </c>
      <c r="N1574" s="102">
        <v>0.87635286608165841</v>
      </c>
      <c r="O1574" s="79">
        <v>0.12885399555257099</v>
      </c>
      <c r="P1574" s="79">
        <v>0.30568881088045702</v>
      </c>
      <c r="Q1574" s="79">
        <v>0.42066356265759097</v>
      </c>
      <c r="R1574" s="79">
        <v>1</v>
      </c>
      <c r="S1574" s="102">
        <v>0.85925228203013204</v>
      </c>
      <c r="T1574" s="79">
        <v>0.122791343277927</v>
      </c>
      <c r="U1574" s="79">
        <v>0.21669293660605801</v>
      </c>
      <c r="V1574" s="79">
        <v>0.32143418092002002</v>
      </c>
      <c r="W1574" s="79">
        <v>1</v>
      </c>
    </row>
    <row r="1575" spans="2:23" x14ac:dyDescent="0.2">
      <c r="B1575" t="s">
        <v>3843</v>
      </c>
      <c r="C1575" s="84">
        <v>335</v>
      </c>
      <c r="D1575" s="102">
        <v>0.92852373657226883</v>
      </c>
      <c r="E1575" s="79">
        <v>0.123677527876194</v>
      </c>
      <c r="F1575" s="79">
        <v>0.54876051314339502</v>
      </c>
      <c r="G1575" s="79">
        <v>0.929472460128418</v>
      </c>
      <c r="H1575" s="79">
        <v>1</v>
      </c>
      <c r="I1575" s="102">
        <v>1.259887370620157</v>
      </c>
      <c r="J1575" s="79">
        <v>0.12238335719547901</v>
      </c>
      <c r="K1575" s="79">
        <v>5.9067042886606497E-2</v>
      </c>
      <c r="L1575" s="79">
        <v>0.42388828942846402</v>
      </c>
      <c r="M1575" s="79">
        <v>1</v>
      </c>
      <c r="N1575" s="102">
        <v>0.92131540448540694</v>
      </c>
      <c r="O1575" s="79">
        <v>0.12658488902477</v>
      </c>
      <c r="P1575" s="79">
        <v>0.51736396957363495</v>
      </c>
      <c r="Q1575" s="79">
        <v>0.63100066955859502</v>
      </c>
      <c r="R1575" s="79">
        <v>1</v>
      </c>
      <c r="S1575" s="102">
        <v>1.1284288079106595</v>
      </c>
      <c r="T1575" s="79">
        <v>0.120235322569549</v>
      </c>
      <c r="U1575" s="79">
        <v>0.31493797915614702</v>
      </c>
      <c r="V1575" s="79">
        <v>0.42974545663431302</v>
      </c>
      <c r="W1575" s="79">
        <v>1</v>
      </c>
    </row>
    <row r="1576" spans="2:23" x14ac:dyDescent="0.2">
      <c r="B1576" t="s">
        <v>3291</v>
      </c>
      <c r="C1576" s="84">
        <v>2360</v>
      </c>
      <c r="D1576" s="102">
        <v>-1.0785426031017301E-2</v>
      </c>
      <c r="E1576" s="79">
        <v>5.69607707830799E-2</v>
      </c>
      <c r="F1576" s="79">
        <v>0.84994031307783002</v>
      </c>
      <c r="G1576" s="79">
        <v>0.99362338620020496</v>
      </c>
      <c r="H1576" s="79">
        <v>1</v>
      </c>
      <c r="I1576" s="102">
        <v>9.0223675573494699E-2</v>
      </c>
      <c r="J1576" s="79">
        <v>5.5277847654119E-2</v>
      </c>
      <c r="K1576" s="79">
        <v>0.103629174410635</v>
      </c>
      <c r="L1576" s="79">
        <v>0.530355956047177</v>
      </c>
      <c r="M1576" s="79">
        <v>1</v>
      </c>
      <c r="N1576" s="102">
        <v>5.7182305724196802E-2</v>
      </c>
      <c r="O1576" s="79">
        <v>5.7700846454787902E-2</v>
      </c>
      <c r="P1576" s="79">
        <v>0.32243262621378899</v>
      </c>
      <c r="Q1576" s="79">
        <v>0.438715557274023</v>
      </c>
      <c r="R1576" s="79">
        <v>1</v>
      </c>
      <c r="S1576" s="102">
        <v>9.3231278741611801E-2</v>
      </c>
      <c r="T1576" s="79">
        <v>5.5448360577478803E-2</v>
      </c>
      <c r="U1576" s="79">
        <v>9.3663524106787105E-2</v>
      </c>
      <c r="V1576" s="79">
        <v>0.16687610283816301</v>
      </c>
      <c r="W1576" s="79">
        <v>1</v>
      </c>
    </row>
    <row r="1577" spans="2:23" x14ac:dyDescent="0.2">
      <c r="B1577" t="s">
        <v>3293</v>
      </c>
      <c r="C1577" s="84">
        <v>5039</v>
      </c>
      <c r="D1577" s="102">
        <v>-7.0986663352490004E-4</v>
      </c>
      <c r="E1577" s="79">
        <v>2.9380979390459201E-2</v>
      </c>
      <c r="F1577" s="79">
        <v>0.98072845083579296</v>
      </c>
      <c r="G1577" s="79">
        <v>0.99840985319461195</v>
      </c>
      <c r="H1577" s="79">
        <v>1</v>
      </c>
      <c r="I1577" s="102">
        <v>-3.5114437098264901E-3</v>
      </c>
      <c r="J1577" s="79">
        <v>3.01296237019925E-2</v>
      </c>
      <c r="K1577" s="79">
        <v>0.90724072835845804</v>
      </c>
      <c r="L1577" s="79">
        <v>0.98168469912841005</v>
      </c>
      <c r="M1577" s="79">
        <v>1</v>
      </c>
      <c r="N1577" s="102">
        <v>5.29862977480366E-2</v>
      </c>
      <c r="O1577" s="79">
        <v>2.9676999880530901E-2</v>
      </c>
      <c r="P1577" s="79">
        <v>7.4445736147224398E-2</v>
      </c>
      <c r="Q1577" s="79">
        <v>0.14027928479799601</v>
      </c>
      <c r="R1577" s="79">
        <v>1</v>
      </c>
      <c r="S1577" s="102">
        <v>3.7807115996206897E-2</v>
      </c>
      <c r="T1577" s="79">
        <v>3.0102318581837099E-2</v>
      </c>
      <c r="U1577" s="79">
        <v>0.20938085784421301</v>
      </c>
      <c r="V1577" s="79">
        <v>0.31250323628907201</v>
      </c>
      <c r="W1577" s="79">
        <v>1</v>
      </c>
    </row>
    <row r="1578" spans="2:23" x14ac:dyDescent="0.2">
      <c r="B1578" t="s">
        <v>3835</v>
      </c>
      <c r="C1578" s="84">
        <v>5025</v>
      </c>
      <c r="D1578" s="102">
        <v>1.0888330203356871</v>
      </c>
      <c r="E1578" s="79">
        <v>7.9804400782389595E-2</v>
      </c>
      <c r="F1578" s="79">
        <v>0.28622538807411402</v>
      </c>
      <c r="G1578" s="79">
        <v>0.86861170490914397</v>
      </c>
      <c r="H1578" s="79">
        <v>1</v>
      </c>
      <c r="I1578" s="102">
        <v>1.115408300962943</v>
      </c>
      <c r="J1578" s="79">
        <v>8.3965321362732701E-2</v>
      </c>
      <c r="K1578" s="79">
        <v>0.19333329518716499</v>
      </c>
      <c r="L1578" s="79">
        <v>0.63717237752345801</v>
      </c>
      <c r="M1578" s="79">
        <v>1</v>
      </c>
      <c r="N1578" s="102">
        <v>1.0580002791021155</v>
      </c>
      <c r="O1578" s="79">
        <v>8.1348842419326606E-2</v>
      </c>
      <c r="P1578" s="79">
        <v>0.48826442751634802</v>
      </c>
      <c r="Q1578" s="79">
        <v>0.60550508068279196</v>
      </c>
      <c r="R1578" s="79">
        <v>1</v>
      </c>
      <c r="S1578" s="102">
        <v>1.171031848957371</v>
      </c>
      <c r="T1578" s="79">
        <v>8.3184900505615E-2</v>
      </c>
      <c r="U1578" s="79">
        <v>5.7695541754429001E-2</v>
      </c>
      <c r="V1578" s="79">
        <v>0.114445254955507</v>
      </c>
      <c r="W1578" s="79">
        <v>1</v>
      </c>
    </row>
    <row r="1579" spans="2:23" x14ac:dyDescent="0.2">
      <c r="B1579" t="s">
        <v>3294</v>
      </c>
      <c r="C1579" s="84">
        <v>5039</v>
      </c>
      <c r="D1579" s="102">
        <v>-1.8212416841696701E-3</v>
      </c>
      <c r="E1579" s="79">
        <v>2.90853832459874E-2</v>
      </c>
      <c r="F1579" s="79">
        <v>0.95008210737557197</v>
      </c>
      <c r="G1579" s="79">
        <v>0.99840985319461195</v>
      </c>
      <c r="H1579" s="79">
        <v>1</v>
      </c>
      <c r="I1579" s="102">
        <v>-1.45861895375109E-2</v>
      </c>
      <c r="J1579" s="79">
        <v>2.9858859428581401E-2</v>
      </c>
      <c r="K1579" s="79">
        <v>0.62528322453454799</v>
      </c>
      <c r="L1579" s="79">
        <v>0.87748013759880805</v>
      </c>
      <c r="M1579" s="79">
        <v>1</v>
      </c>
      <c r="N1579" s="102">
        <v>4.3526859148196199E-2</v>
      </c>
      <c r="O1579" s="79">
        <v>2.9296839875469501E-2</v>
      </c>
      <c r="P1579" s="79">
        <v>0.13762666373152599</v>
      </c>
      <c r="Q1579" s="79">
        <v>0.22395731831047599</v>
      </c>
      <c r="R1579" s="79">
        <v>1</v>
      </c>
      <c r="S1579" s="102">
        <v>1.0157521657652199E-2</v>
      </c>
      <c r="T1579" s="79">
        <v>2.9864012872072802E-2</v>
      </c>
      <c r="U1579" s="79">
        <v>0.73382236394039901</v>
      </c>
      <c r="V1579" s="79">
        <v>0.79380273596106998</v>
      </c>
      <c r="W1579" s="79">
        <v>1</v>
      </c>
    </row>
    <row r="1580" spans="2:23" x14ac:dyDescent="0.2">
      <c r="B1580" t="s">
        <v>3836</v>
      </c>
      <c r="C1580" s="84">
        <v>1529</v>
      </c>
      <c r="D1580" s="102">
        <v>1.0900210128780481</v>
      </c>
      <c r="E1580" s="79">
        <v>8.2545615555889698E-2</v>
      </c>
      <c r="F1580" s="79">
        <v>0.296376940492936</v>
      </c>
      <c r="G1580" s="79">
        <v>0.87846938063621105</v>
      </c>
      <c r="H1580" s="79">
        <v>1</v>
      </c>
      <c r="I1580" s="102">
        <v>1.0017184281756524</v>
      </c>
      <c r="J1580" s="79">
        <v>8.7298171831827198E-2</v>
      </c>
      <c r="K1580" s="79">
        <v>0.98430846556372298</v>
      </c>
      <c r="L1580" s="79">
        <v>0.99629532610271199</v>
      </c>
      <c r="M1580" s="79">
        <v>1</v>
      </c>
      <c r="N1580" s="102">
        <v>0.99796339338356388</v>
      </c>
      <c r="O1580" s="79">
        <v>8.5194114252389999E-2</v>
      </c>
      <c r="P1580" s="79">
        <v>0.98090855539302302</v>
      </c>
      <c r="Q1580" s="79">
        <v>0.98497871537390702</v>
      </c>
      <c r="R1580" s="79">
        <v>1</v>
      </c>
      <c r="S1580" s="102">
        <v>1.1551039434147699</v>
      </c>
      <c r="T1580" s="79">
        <v>8.6486265111712604E-2</v>
      </c>
      <c r="U1580" s="79">
        <v>9.5473647491786301E-2</v>
      </c>
      <c r="V1580" s="79">
        <v>0.16917610758481799</v>
      </c>
      <c r="W1580" s="79">
        <v>1</v>
      </c>
    </row>
    <row r="1581" spans="2:23" x14ac:dyDescent="0.2">
      <c r="B1581" t="s">
        <v>3295</v>
      </c>
      <c r="C1581" s="84">
        <v>5039</v>
      </c>
      <c r="D1581" s="102">
        <v>-0.13002825571853099</v>
      </c>
      <c r="E1581" s="79">
        <v>7.5056594651452105E-2</v>
      </c>
      <c r="F1581" s="79">
        <v>8.4995374471169505E-2</v>
      </c>
      <c r="G1581" s="79">
        <v>0.74561034814826599</v>
      </c>
      <c r="H1581" s="79">
        <v>1</v>
      </c>
      <c r="I1581" s="102">
        <v>-1.93043184625174E-2</v>
      </c>
      <c r="J1581" s="79">
        <v>7.7200960062692406E-2</v>
      </c>
      <c r="K1581" s="79">
        <v>0.80284326040612797</v>
      </c>
      <c r="L1581" s="79">
        <v>0.94164659117888305</v>
      </c>
      <c r="M1581" s="79">
        <v>1</v>
      </c>
      <c r="N1581" s="102">
        <v>-2.8481757478570801E-2</v>
      </c>
      <c r="O1581" s="79">
        <v>8.08134696114996E-2</v>
      </c>
      <c r="P1581" s="79">
        <v>0.72493861304593799</v>
      </c>
      <c r="Q1581" s="79">
        <v>0.81489449933630997</v>
      </c>
      <c r="R1581" s="79">
        <v>1</v>
      </c>
      <c r="S1581" s="102">
        <v>-9.2776112972247304E-2</v>
      </c>
      <c r="T1581" s="79">
        <v>7.0548029076545199E-2</v>
      </c>
      <c r="U1581" s="79">
        <v>0.19023703947749099</v>
      </c>
      <c r="V1581" s="79">
        <v>0.29073209300411701</v>
      </c>
      <c r="W1581" s="79">
        <v>1</v>
      </c>
    </row>
    <row r="1582" spans="2:23" x14ac:dyDescent="0.2">
      <c r="B1582" t="s">
        <v>3296</v>
      </c>
      <c r="C1582" s="84">
        <v>5039</v>
      </c>
      <c r="D1582" s="102">
        <v>-1.33182213302082E-4</v>
      </c>
      <c r="E1582" s="79">
        <v>3.4362957739056299E-3</v>
      </c>
      <c r="F1582" s="79">
        <v>0.96912868256337403</v>
      </c>
      <c r="G1582" s="79">
        <v>0.99840985319461195</v>
      </c>
      <c r="H1582" s="79">
        <v>1</v>
      </c>
      <c r="I1582" s="102">
        <v>-9.0816995936654201E-6</v>
      </c>
      <c r="J1582" s="79">
        <v>2.50281378981769E-3</v>
      </c>
      <c r="K1582" s="79">
        <v>0.99710901087863102</v>
      </c>
      <c r="L1582" s="79">
        <v>0.99775241884071897</v>
      </c>
      <c r="M1582" s="79">
        <v>1</v>
      </c>
      <c r="N1582" s="102">
        <v>1.3021765602074499E-4</v>
      </c>
      <c r="O1582" s="79">
        <v>4.2289061904622E-3</v>
      </c>
      <c r="P1582" s="79">
        <v>0.97547089962616995</v>
      </c>
      <c r="Q1582" s="79">
        <v>0.98126348216551795</v>
      </c>
      <c r="R1582" s="79">
        <v>1</v>
      </c>
      <c r="S1582" s="102">
        <v>-3.7499373999842902E-4</v>
      </c>
      <c r="T1582" s="79">
        <v>5.4525447980097296E-3</v>
      </c>
      <c r="U1582" s="79">
        <v>0.94524988874506</v>
      </c>
      <c r="V1582" s="79">
        <v>0.96171370062109995</v>
      </c>
      <c r="W1582" s="79">
        <v>1</v>
      </c>
    </row>
    <row r="1583" spans="2:23" x14ac:dyDescent="0.2">
      <c r="B1583" t="s">
        <v>3845</v>
      </c>
      <c r="C1583" s="84">
        <v>335</v>
      </c>
      <c r="D1583" s="102">
        <v>1.0266694994925203</v>
      </c>
      <c r="E1583" s="79">
        <v>9.4555360415486303E-2</v>
      </c>
      <c r="F1583" s="79">
        <v>0.78073896506623797</v>
      </c>
      <c r="G1583" s="79">
        <v>0.98739983714541901</v>
      </c>
      <c r="H1583" s="79">
        <v>1</v>
      </c>
      <c r="I1583" s="102">
        <v>0.90220957401586321</v>
      </c>
      <c r="J1583" s="79">
        <v>9.8637439238197094E-2</v>
      </c>
      <c r="K1583" s="79">
        <v>0.29680936241053502</v>
      </c>
      <c r="L1583" s="79">
        <v>0.70592340946629695</v>
      </c>
      <c r="M1583" s="79">
        <v>1</v>
      </c>
      <c r="N1583" s="102">
        <v>0.96405465787029365</v>
      </c>
      <c r="O1583" s="79">
        <v>9.5460255010845693E-2</v>
      </c>
      <c r="P1583" s="79">
        <v>0.70136243394390996</v>
      </c>
      <c r="Q1583" s="79">
        <v>0.79312948137582295</v>
      </c>
      <c r="R1583" s="79">
        <v>1</v>
      </c>
      <c r="S1583" s="102">
        <v>1.1691232282793844</v>
      </c>
      <c r="T1583" s="79">
        <v>9.69625713946492E-2</v>
      </c>
      <c r="U1583" s="79">
        <v>0.107073243193316</v>
      </c>
      <c r="V1583" s="79">
        <v>0.185272802828884</v>
      </c>
      <c r="W1583" s="79">
        <v>1</v>
      </c>
    </row>
    <row r="1584" spans="2:23" x14ac:dyDescent="0.2">
      <c r="B1584" t="s">
        <v>3846</v>
      </c>
      <c r="C1584" s="84">
        <v>335</v>
      </c>
      <c r="D1584" s="102">
        <v>1.1103565805485882</v>
      </c>
      <c r="E1584" s="79">
        <v>8.40256848991906E-2</v>
      </c>
      <c r="F1584" s="79">
        <v>0.21282904879181599</v>
      </c>
      <c r="G1584" s="79">
        <v>0.83650210824439997</v>
      </c>
      <c r="H1584" s="79">
        <v>1</v>
      </c>
      <c r="I1584" s="102">
        <v>0.98987845472971514</v>
      </c>
      <c r="J1584" s="79">
        <v>8.5402249210801306E-2</v>
      </c>
      <c r="K1584" s="79">
        <v>0.90518028153603403</v>
      </c>
      <c r="L1584" s="79">
        <v>0.98168469912841005</v>
      </c>
      <c r="M1584" s="79">
        <v>1</v>
      </c>
      <c r="N1584" s="102">
        <v>1.0218239740296695</v>
      </c>
      <c r="O1584" s="79">
        <v>8.4048834754261503E-2</v>
      </c>
      <c r="P1584" s="79">
        <v>0.79728265725314895</v>
      </c>
      <c r="Q1584" s="79">
        <v>0.86183426403499597</v>
      </c>
      <c r="R1584" s="79">
        <v>1</v>
      </c>
      <c r="S1584" s="102">
        <v>1.056713258367018</v>
      </c>
      <c r="T1584" s="79">
        <v>8.5303438499461703E-2</v>
      </c>
      <c r="U1584" s="79">
        <v>0.51784389817107401</v>
      </c>
      <c r="V1584" s="79">
        <v>0.62303093998707304</v>
      </c>
      <c r="W1584" s="79">
        <v>1</v>
      </c>
    </row>
    <row r="1585" spans="2:23" x14ac:dyDescent="0.2">
      <c r="B1585" t="s">
        <v>3847</v>
      </c>
      <c r="C1585" s="84">
        <v>335</v>
      </c>
      <c r="D1585" s="102">
        <v>1.1508369873348525</v>
      </c>
      <c r="E1585" s="79">
        <v>9.8858555862467695E-2</v>
      </c>
      <c r="F1585" s="79">
        <v>0.155282988573336</v>
      </c>
      <c r="G1585" s="79">
        <v>0.80938271582532695</v>
      </c>
      <c r="H1585" s="79">
        <v>1</v>
      </c>
      <c r="I1585" s="102">
        <v>1.0005131084807746</v>
      </c>
      <c r="J1585" s="79">
        <v>0.102204841922529</v>
      </c>
      <c r="K1585" s="79">
        <v>0.99599535001530304</v>
      </c>
      <c r="L1585" s="79">
        <v>0.99775241884071897</v>
      </c>
      <c r="M1585" s="79">
        <v>1</v>
      </c>
      <c r="N1585" s="102">
        <v>0.82168319621355246</v>
      </c>
      <c r="O1585" s="79">
        <v>0.100330461389225</v>
      </c>
      <c r="P1585" s="79">
        <v>5.02846307762864E-2</v>
      </c>
      <c r="Q1585" s="79">
        <v>0.101046458523166</v>
      </c>
      <c r="R1585" s="79">
        <v>1</v>
      </c>
      <c r="S1585" s="102">
        <v>0.99039740397715348</v>
      </c>
      <c r="T1585" s="79">
        <v>0.100558388187035</v>
      </c>
      <c r="U1585" s="79">
        <v>0.92355695920785497</v>
      </c>
      <c r="V1585" s="79">
        <v>0.94703722088263098</v>
      </c>
      <c r="W1585" s="79">
        <v>1</v>
      </c>
    </row>
    <row r="1586" spans="2:23" x14ac:dyDescent="0.2">
      <c r="B1586" t="s">
        <v>3848</v>
      </c>
      <c r="C1586" s="84">
        <v>1171</v>
      </c>
      <c r="D1586" s="102">
        <v>1.009187346959781</v>
      </c>
      <c r="E1586" s="79">
        <v>6.9080852285760899E-2</v>
      </c>
      <c r="F1586" s="79">
        <v>0.89467827428093105</v>
      </c>
      <c r="G1586" s="79">
        <v>0.99362338620020496</v>
      </c>
      <c r="H1586" s="79">
        <v>1</v>
      </c>
      <c r="I1586" s="102">
        <v>0.97658374930426273</v>
      </c>
      <c r="J1586" s="79">
        <v>7.1147466465995804E-2</v>
      </c>
      <c r="K1586" s="79">
        <v>0.73910604855584905</v>
      </c>
      <c r="L1586" s="79">
        <v>0.91967633960533601</v>
      </c>
      <c r="M1586" s="79">
        <v>1</v>
      </c>
      <c r="N1586" s="102">
        <v>1.027867968793156</v>
      </c>
      <c r="O1586" s="79">
        <v>7.0022568185918302E-2</v>
      </c>
      <c r="P1586" s="79">
        <v>0.69465857821029597</v>
      </c>
      <c r="Q1586" s="79">
        <v>0.78659868414989398</v>
      </c>
      <c r="R1586" s="79">
        <v>1</v>
      </c>
      <c r="S1586" s="102">
        <v>1.1887241979359982</v>
      </c>
      <c r="T1586" s="79">
        <v>7.1394758683586204E-2</v>
      </c>
      <c r="U1586" s="79">
        <v>1.5457660575630699E-2</v>
      </c>
      <c r="V1586" s="79">
        <v>3.9795253822368398E-2</v>
      </c>
      <c r="W1586" s="79">
        <v>1</v>
      </c>
    </row>
    <row r="1587" spans="2:23" x14ac:dyDescent="0.2">
      <c r="B1587" t="s">
        <v>3279</v>
      </c>
      <c r="C1587" s="84">
        <v>510</v>
      </c>
      <c r="D1587" s="102">
        <v>-9.2101231555826602E-3</v>
      </c>
      <c r="E1587" s="79">
        <v>4.3179118088051201E-2</v>
      </c>
      <c r="F1587" s="79">
        <v>0.83117387190240999</v>
      </c>
      <c r="G1587" s="79">
        <v>0.99362338620020496</v>
      </c>
      <c r="H1587" s="79">
        <v>1</v>
      </c>
      <c r="I1587" s="102">
        <v>-6.3665722750334094E-2</v>
      </c>
      <c r="J1587" s="79">
        <v>4.5446717533290298E-2</v>
      </c>
      <c r="K1587" s="79">
        <v>0.16182788809729301</v>
      </c>
      <c r="L1587" s="79">
        <v>0.60317525388412896</v>
      </c>
      <c r="M1587" s="79">
        <v>1</v>
      </c>
      <c r="N1587" s="102">
        <v>6.9732868515596097E-2</v>
      </c>
      <c r="O1587" s="79">
        <v>4.3154686328433403E-2</v>
      </c>
      <c r="P1587" s="79">
        <v>0.106744628287527</v>
      </c>
      <c r="Q1587" s="79">
        <v>0.18339290093211999</v>
      </c>
      <c r="R1587" s="79">
        <v>1</v>
      </c>
      <c r="S1587" s="102">
        <v>4.7036466003826397E-2</v>
      </c>
      <c r="T1587" s="79">
        <v>4.4373815352107798E-2</v>
      </c>
      <c r="U1587" s="79">
        <v>0.289619851427383</v>
      </c>
      <c r="V1587" s="79">
        <v>0.403467128550976</v>
      </c>
      <c r="W1587" s="79">
        <v>1</v>
      </c>
    </row>
    <row r="1588" spans="2:23" x14ac:dyDescent="0.2">
      <c r="B1588" t="s">
        <v>3849</v>
      </c>
      <c r="C1588" s="84">
        <v>1209</v>
      </c>
      <c r="D1588" s="102">
        <v>1.1980586646241671</v>
      </c>
      <c r="E1588" s="79">
        <v>0.10398569774548699</v>
      </c>
      <c r="F1588" s="79">
        <v>8.2252634875091504E-2</v>
      </c>
      <c r="G1588" s="79">
        <v>0.74241584429676799</v>
      </c>
      <c r="H1588" s="79">
        <v>1</v>
      </c>
      <c r="I1588" s="102">
        <v>1.1429965926809413</v>
      </c>
      <c r="J1588" s="79">
        <v>0.109078677748562</v>
      </c>
      <c r="K1588" s="79">
        <v>0.22046462568553701</v>
      </c>
      <c r="L1588" s="79">
        <v>0.65304481397729397</v>
      </c>
      <c r="M1588" s="79">
        <v>1</v>
      </c>
      <c r="N1588" s="102">
        <v>1.0307785445495283</v>
      </c>
      <c r="O1588" s="79">
        <v>0.104335859566717</v>
      </c>
      <c r="P1588" s="79">
        <v>0.77139842872847797</v>
      </c>
      <c r="Q1588" s="79">
        <v>0.84469873191082201</v>
      </c>
      <c r="R1588" s="79">
        <v>1</v>
      </c>
      <c r="S1588" s="102">
        <v>1.0575227237412048</v>
      </c>
      <c r="T1588" s="79">
        <v>0.104226210574106</v>
      </c>
      <c r="U1588" s="79">
        <v>0.59153509276287597</v>
      </c>
      <c r="V1588" s="79">
        <v>0.68225342490349306</v>
      </c>
      <c r="W1588" s="79">
        <v>1</v>
      </c>
    </row>
    <row r="1589" spans="2:23" x14ac:dyDescent="0.2">
      <c r="B1589" t="s">
        <v>3850</v>
      </c>
      <c r="C1589" s="84">
        <v>1209</v>
      </c>
      <c r="D1589" s="102">
        <v>1.0902779455296889</v>
      </c>
      <c r="E1589" s="79">
        <v>9.9613930619202304E-2</v>
      </c>
      <c r="F1589" s="79">
        <v>0.385571492863993</v>
      </c>
      <c r="G1589" s="79">
        <v>0.89461055933914202</v>
      </c>
      <c r="H1589" s="79">
        <v>1</v>
      </c>
      <c r="I1589" s="102">
        <v>1.1433695833431452</v>
      </c>
      <c r="J1589" s="79">
        <v>0.10556082637683301</v>
      </c>
      <c r="K1589" s="79">
        <v>0.20436340185648399</v>
      </c>
      <c r="L1589" s="79">
        <v>0.64467710008358303</v>
      </c>
      <c r="M1589" s="79">
        <v>1</v>
      </c>
      <c r="N1589" s="102">
        <v>1.0860163993349956</v>
      </c>
      <c r="O1589" s="79">
        <v>0.100814798731117</v>
      </c>
      <c r="P1589" s="79">
        <v>0.41307508627855699</v>
      </c>
      <c r="Q1589" s="79">
        <v>0.52971173062518995</v>
      </c>
      <c r="R1589" s="79">
        <v>1</v>
      </c>
      <c r="S1589" s="102">
        <v>1.0768222413559811</v>
      </c>
      <c r="T1589" s="79">
        <v>0.102167328813626</v>
      </c>
      <c r="U1589" s="79">
        <v>0.46879423823262001</v>
      </c>
      <c r="V1589" s="79">
        <v>0.58178567001176396</v>
      </c>
      <c r="W1589" s="79">
        <v>1</v>
      </c>
    </row>
    <row r="1590" spans="2:23" x14ac:dyDescent="0.2">
      <c r="B1590" t="s">
        <v>3851</v>
      </c>
      <c r="C1590" s="84">
        <v>1209</v>
      </c>
      <c r="D1590" s="102">
        <v>1.003401379071152</v>
      </c>
      <c r="E1590" s="79">
        <v>8.9270801148403495E-2</v>
      </c>
      <c r="F1590" s="79">
        <v>0.96965805657204895</v>
      </c>
      <c r="G1590" s="79">
        <v>0.99840985319461195</v>
      </c>
      <c r="H1590" s="79">
        <v>1</v>
      </c>
      <c r="I1590" s="102">
        <v>1.0441138894132713</v>
      </c>
      <c r="J1590" s="79">
        <v>9.4080635539692495E-2</v>
      </c>
      <c r="K1590" s="79">
        <v>0.646344379676977</v>
      </c>
      <c r="L1590" s="79">
        <v>0.88366898281914796</v>
      </c>
      <c r="M1590" s="79">
        <v>1</v>
      </c>
      <c r="N1590" s="102">
        <v>1.0199805763952057</v>
      </c>
      <c r="O1590" s="79">
        <v>9.0904768203640296E-2</v>
      </c>
      <c r="P1590" s="79">
        <v>0.82771758241002102</v>
      </c>
      <c r="Q1590" s="79">
        <v>0.88185760037897798</v>
      </c>
      <c r="R1590" s="79">
        <v>1</v>
      </c>
      <c r="S1590" s="102">
        <v>1.1390505735566152</v>
      </c>
      <c r="T1590" s="79">
        <v>9.2219248418543204E-2</v>
      </c>
      <c r="U1590" s="79">
        <v>0.15800901727543101</v>
      </c>
      <c r="V1590" s="79">
        <v>0.25329588603740899</v>
      </c>
      <c r="W1590" s="79">
        <v>1</v>
      </c>
    </row>
    <row r="1591" spans="2:23" x14ac:dyDescent="0.2">
      <c r="B1591" t="s">
        <v>3277</v>
      </c>
      <c r="C1591" s="84">
        <v>2425</v>
      </c>
      <c r="D1591" s="102">
        <v>6.8007315470139796E-4</v>
      </c>
      <c r="E1591" s="79">
        <v>5.8300156465356301E-2</v>
      </c>
      <c r="F1591" s="79">
        <v>0.99070018079100697</v>
      </c>
      <c r="G1591" s="79">
        <v>0.99962502278478604</v>
      </c>
      <c r="H1591" s="79">
        <v>1</v>
      </c>
      <c r="I1591" s="102">
        <v>-4.4309212846581597E-2</v>
      </c>
      <c r="J1591" s="79">
        <v>6.0697949934032901E-2</v>
      </c>
      <c r="K1591" s="79">
        <v>0.46591254379654301</v>
      </c>
      <c r="L1591" s="79">
        <v>0.799032058493933</v>
      </c>
      <c r="M1591" s="79">
        <v>1</v>
      </c>
      <c r="N1591" s="102">
        <v>6.4106596647744998E-2</v>
      </c>
      <c r="O1591" s="79">
        <v>5.6418992224513298E-2</v>
      </c>
      <c r="P1591" s="79">
        <v>0.25680273787774699</v>
      </c>
      <c r="Q1591" s="79">
        <v>0.36866426946178299</v>
      </c>
      <c r="R1591" s="79">
        <v>1</v>
      </c>
      <c r="S1591" s="102">
        <v>-3.9776520350787298E-3</v>
      </c>
      <c r="T1591" s="79">
        <v>5.52325982262609E-2</v>
      </c>
      <c r="U1591" s="79">
        <v>0.94263260377927804</v>
      </c>
      <c r="V1591" s="79">
        <v>0.96078196799163496</v>
      </c>
      <c r="W1591" s="79">
        <v>1</v>
      </c>
    </row>
    <row r="1592" spans="2:23" x14ac:dyDescent="0.2">
      <c r="B1592" t="s">
        <v>3278</v>
      </c>
      <c r="C1592" s="84">
        <v>179</v>
      </c>
      <c r="D1592" s="102">
        <v>-1.43191579367209E-2</v>
      </c>
      <c r="E1592" s="79">
        <v>5.97509895970669E-2</v>
      </c>
      <c r="F1592" s="79">
        <v>0.810764847347894</v>
      </c>
      <c r="G1592" s="79">
        <v>0.99362338620020496</v>
      </c>
      <c r="H1592" s="79">
        <v>1</v>
      </c>
      <c r="I1592" s="102">
        <v>3.89841283238095E-2</v>
      </c>
      <c r="J1592" s="79">
        <v>6.1936480707699797E-2</v>
      </c>
      <c r="K1592" s="79">
        <v>0.52953710879207105</v>
      </c>
      <c r="L1592" s="79">
        <v>0.83928457814281798</v>
      </c>
      <c r="M1592" s="79">
        <v>1</v>
      </c>
      <c r="N1592" s="102">
        <v>3.0405295759770901E-2</v>
      </c>
      <c r="O1592" s="79">
        <v>5.9255779650814001E-2</v>
      </c>
      <c r="P1592" s="79">
        <v>0.60823451638404902</v>
      </c>
      <c r="Q1592" s="79">
        <v>0.70911856211602098</v>
      </c>
      <c r="R1592" s="79">
        <v>1</v>
      </c>
      <c r="S1592" s="102">
        <v>0.112488432198838</v>
      </c>
      <c r="T1592" s="79">
        <v>5.6799383685337199E-2</v>
      </c>
      <c r="U1592" s="79">
        <v>4.8538717469535697E-2</v>
      </c>
      <c r="V1592" s="79">
        <v>9.9666166537446602E-2</v>
      </c>
      <c r="W1592" s="79">
        <v>1</v>
      </c>
    </row>
    <row r="1593" spans="2:23" x14ac:dyDescent="0.2">
      <c r="B1593" t="s">
        <v>2562</v>
      </c>
      <c r="C1593" s="84">
        <v>1288</v>
      </c>
      <c r="D1593" s="102">
        <v>0.90317949637498218</v>
      </c>
      <c r="E1593" s="79">
        <v>7.2346754929365195E-2</v>
      </c>
      <c r="F1593" s="79">
        <v>0.15925497266705699</v>
      </c>
      <c r="G1593" s="79">
        <v>0.81672751857704495</v>
      </c>
      <c r="H1593" s="79">
        <v>1</v>
      </c>
      <c r="I1593" s="102">
        <v>0.93961143986749429</v>
      </c>
      <c r="J1593" s="79">
        <v>7.37672148524115E-2</v>
      </c>
      <c r="K1593" s="79">
        <v>0.39844732485269302</v>
      </c>
      <c r="L1593" s="79">
        <v>0.76356901891713402</v>
      </c>
      <c r="M1593" s="79">
        <v>1</v>
      </c>
      <c r="N1593" s="102">
        <v>1.0307798297061241</v>
      </c>
      <c r="O1593" s="79">
        <v>7.22307465257606E-2</v>
      </c>
      <c r="P1593" s="79">
        <v>0.67470070374468605</v>
      </c>
      <c r="Q1593" s="79">
        <v>0.76810684955880304</v>
      </c>
      <c r="R1593" s="79">
        <v>1</v>
      </c>
      <c r="S1593" s="102">
        <v>1.1732110610945095</v>
      </c>
      <c r="T1593" s="79">
        <v>7.3962383173332494E-2</v>
      </c>
      <c r="U1593" s="79">
        <v>3.0787599599544802E-2</v>
      </c>
      <c r="V1593" s="79">
        <v>7.0669639189198996E-2</v>
      </c>
      <c r="W1593" s="79">
        <v>1</v>
      </c>
    </row>
    <row r="1594" spans="2:23" x14ac:dyDescent="0.2">
      <c r="B1594" t="s">
        <v>3272</v>
      </c>
      <c r="C1594" s="84">
        <v>559</v>
      </c>
      <c r="D1594" s="102">
        <v>-5.4466234868459203E-2</v>
      </c>
      <c r="E1594" s="79">
        <v>7.1406185366407998E-2</v>
      </c>
      <c r="F1594" s="79">
        <v>0.44664754928005701</v>
      </c>
      <c r="G1594" s="79">
        <v>0.90830846156112399</v>
      </c>
      <c r="H1594" s="79">
        <v>1</v>
      </c>
      <c r="I1594" s="102">
        <v>-4.9484262878224002E-2</v>
      </c>
      <c r="J1594" s="79">
        <v>7.1142468322254501E-2</v>
      </c>
      <c r="K1594" s="79">
        <v>0.487577043628035</v>
      </c>
      <c r="L1594" s="79">
        <v>0.81294833849005099</v>
      </c>
      <c r="M1594" s="79">
        <v>1</v>
      </c>
      <c r="N1594" s="102">
        <v>1.54795168748262E-3</v>
      </c>
      <c r="O1594" s="79">
        <v>8.1119978893501393E-2</v>
      </c>
      <c r="P1594" s="79">
        <v>0.98479607443835504</v>
      </c>
      <c r="Q1594" s="79">
        <v>0.98771139733485702</v>
      </c>
      <c r="R1594" s="79">
        <v>1</v>
      </c>
      <c r="S1594" s="102">
        <v>3.3391611074387803E-2</v>
      </c>
      <c r="T1594" s="79">
        <v>7.0828364590352105E-2</v>
      </c>
      <c r="U1594" s="79">
        <v>0.63794237264281795</v>
      </c>
      <c r="V1594" s="79">
        <v>0.71378756886191097</v>
      </c>
      <c r="W1594" s="79">
        <v>1</v>
      </c>
    </row>
    <row r="1595" spans="2:23" x14ac:dyDescent="0.2">
      <c r="B1595" t="s">
        <v>3273</v>
      </c>
      <c r="C1595" s="84">
        <v>491</v>
      </c>
      <c r="D1595" s="102">
        <v>-0.13374328233636301</v>
      </c>
      <c r="E1595" s="79">
        <v>9.5392842288605801E-3</v>
      </c>
      <c r="F1595" s="79">
        <v>6.9781343115387796E-3</v>
      </c>
      <c r="G1595" s="79">
        <v>0.38801325087508498</v>
      </c>
      <c r="H1595" s="79">
        <v>1</v>
      </c>
      <c r="I1595" s="102">
        <v>-0.18533099095986599</v>
      </c>
      <c r="J1595" s="79">
        <v>1.10780787736684E-2</v>
      </c>
      <c r="K1595" s="79">
        <v>4.1419044080247304E-3</v>
      </c>
      <c r="L1595" s="79">
        <v>0.141434127611064</v>
      </c>
      <c r="M1595" s="79">
        <v>1</v>
      </c>
      <c r="N1595" s="102">
        <v>-1.8381722825525099E-2</v>
      </c>
      <c r="O1595" s="79">
        <v>6.8670212892000607E-2</v>
      </c>
      <c r="P1595" s="79">
        <v>0.79261285305851703</v>
      </c>
      <c r="Q1595" s="79">
        <v>0.85849499557616904</v>
      </c>
      <c r="R1595" s="79">
        <v>1</v>
      </c>
      <c r="S1595" s="102">
        <v>-0.107870895847326</v>
      </c>
      <c r="T1595" s="79">
        <v>6.0039087436254499E-3</v>
      </c>
      <c r="U1595" s="79">
        <v>3.1620800199221202E-3</v>
      </c>
      <c r="V1595" s="79">
        <v>1.11828049138791E-2</v>
      </c>
      <c r="W1595" s="79">
        <v>1</v>
      </c>
    </row>
    <row r="1596" spans="2:23" x14ac:dyDescent="0.2">
      <c r="B1596" t="s">
        <v>3853</v>
      </c>
      <c r="C1596" s="84">
        <v>552</v>
      </c>
      <c r="D1596" s="102">
        <v>1.2365525000946338</v>
      </c>
      <c r="E1596" s="79">
        <v>9.1856035748821896E-2</v>
      </c>
      <c r="F1596" s="79">
        <v>2.0804028463363499E-2</v>
      </c>
      <c r="G1596" s="79">
        <v>0.56979784415816803</v>
      </c>
      <c r="H1596" s="79">
        <v>1</v>
      </c>
      <c r="I1596" s="102">
        <v>0.85842214002948747</v>
      </c>
      <c r="J1596" s="79">
        <v>9.3789660702306807E-2</v>
      </c>
      <c r="K1596" s="79">
        <v>0.103593342210568</v>
      </c>
      <c r="L1596" s="79">
        <v>0.530355956047177</v>
      </c>
      <c r="M1596" s="79">
        <v>1</v>
      </c>
      <c r="N1596" s="102">
        <v>1.0161387439676259</v>
      </c>
      <c r="O1596" s="79">
        <v>9.2073029988046201E-2</v>
      </c>
      <c r="P1596" s="79">
        <v>0.86195771885941197</v>
      </c>
      <c r="Q1596" s="79">
        <v>0.909188278796914</v>
      </c>
      <c r="R1596" s="79">
        <v>1</v>
      </c>
      <c r="S1596" s="102">
        <v>1.1368925539604067</v>
      </c>
      <c r="T1596" s="79">
        <v>9.2561868509622294E-2</v>
      </c>
      <c r="U1596" s="79">
        <v>0.16572064267657499</v>
      </c>
      <c r="V1596" s="79">
        <v>0.26236520438702599</v>
      </c>
      <c r="W1596" s="79">
        <v>1</v>
      </c>
    </row>
    <row r="1597" spans="2:23" x14ac:dyDescent="0.2">
      <c r="B1597" t="s">
        <v>3854</v>
      </c>
      <c r="C1597" s="84">
        <v>552</v>
      </c>
      <c r="D1597" s="102">
        <v>0.99133684086426066</v>
      </c>
      <c r="E1597" s="79">
        <v>0.102220635306114</v>
      </c>
      <c r="F1597" s="79">
        <v>0.93216690831021598</v>
      </c>
      <c r="G1597" s="79">
        <v>0.99840985319461195</v>
      </c>
      <c r="H1597" s="79">
        <v>1</v>
      </c>
      <c r="I1597" s="102">
        <v>0.79426349537916952</v>
      </c>
      <c r="J1597" s="79">
        <v>0.10597900060615199</v>
      </c>
      <c r="K1597" s="79">
        <v>2.97464965120325E-2</v>
      </c>
      <c r="L1597" s="79">
        <v>0.33151687560120402</v>
      </c>
      <c r="M1597" s="79">
        <v>1</v>
      </c>
      <c r="N1597" s="102">
        <v>0.97097079930117092</v>
      </c>
      <c r="O1597" s="79">
        <v>0.103921171159553</v>
      </c>
      <c r="P1597" s="79">
        <v>0.77681399726337297</v>
      </c>
      <c r="Q1597" s="79">
        <v>0.84953060772379196</v>
      </c>
      <c r="R1597" s="79">
        <v>1</v>
      </c>
      <c r="S1597" s="102">
        <v>1.0659470373207698</v>
      </c>
      <c r="T1597" s="79">
        <v>0.104786450317052</v>
      </c>
      <c r="U1597" s="79">
        <v>0.54221647375851001</v>
      </c>
      <c r="V1597" s="79">
        <v>0.64276746434353804</v>
      </c>
      <c r="W1597" s="79">
        <v>1</v>
      </c>
    </row>
    <row r="1598" spans="2:23" x14ac:dyDescent="0.2">
      <c r="B1598" t="s">
        <v>3276</v>
      </c>
      <c r="C1598" s="84">
        <v>2747</v>
      </c>
      <c r="D1598" s="102">
        <v>-8.4133828027464792E-3</v>
      </c>
      <c r="E1598" s="79">
        <v>2.9129638501453E-2</v>
      </c>
      <c r="F1598" s="79">
        <v>0.77276480708398898</v>
      </c>
      <c r="G1598" s="79">
        <v>0.98604432830370503</v>
      </c>
      <c r="H1598" s="79">
        <v>1</v>
      </c>
      <c r="I1598" s="102">
        <v>-3.0571286318269501E-2</v>
      </c>
      <c r="J1598" s="79">
        <v>2.9887033474470099E-2</v>
      </c>
      <c r="K1598" s="79">
        <v>0.30656371354296202</v>
      </c>
      <c r="L1598" s="79">
        <v>0.712776365212754</v>
      </c>
      <c r="M1598" s="79">
        <v>1</v>
      </c>
      <c r="N1598" s="102">
        <v>1.7004870303209199E-2</v>
      </c>
      <c r="O1598" s="79">
        <v>2.9624805271231999E-2</v>
      </c>
      <c r="P1598" s="79">
        <v>0.56606972647653697</v>
      </c>
      <c r="Q1598" s="79">
        <v>0.67720488464071604</v>
      </c>
      <c r="R1598" s="79">
        <v>1</v>
      </c>
      <c r="S1598" s="102">
        <v>6.10102437588795E-2</v>
      </c>
      <c r="T1598" s="79">
        <v>2.98135302954886E-2</v>
      </c>
      <c r="U1598" s="79">
        <v>4.0935905825584699E-2</v>
      </c>
      <c r="V1598" s="79">
        <v>8.7503324525656401E-2</v>
      </c>
      <c r="W1598" s="79">
        <v>1</v>
      </c>
    </row>
    <row r="1599" spans="2:23" x14ac:dyDescent="0.2">
      <c r="B1599" t="s">
        <v>3274</v>
      </c>
      <c r="C1599" s="84">
        <v>907</v>
      </c>
      <c r="D1599" s="102">
        <v>9.7902858902924605E-3</v>
      </c>
      <c r="E1599" s="79">
        <v>2.9414742143122102E-2</v>
      </c>
      <c r="F1599" s="79">
        <v>0.73931739440644595</v>
      </c>
      <c r="G1599" s="79">
        <v>0.979098679061011</v>
      </c>
      <c r="H1599" s="79">
        <v>1</v>
      </c>
      <c r="I1599" s="102">
        <v>-2.4944517413158101E-2</v>
      </c>
      <c r="J1599" s="79">
        <v>3.01811047890179E-2</v>
      </c>
      <c r="K1599" s="79">
        <v>0.408690475264811</v>
      </c>
      <c r="L1599" s="79">
        <v>0.77250777393894599</v>
      </c>
      <c r="M1599" s="79">
        <v>1</v>
      </c>
      <c r="N1599" s="102">
        <v>5.0571738807900397E-2</v>
      </c>
      <c r="O1599" s="79">
        <v>2.9800959981686099E-2</v>
      </c>
      <c r="P1599" s="79">
        <v>8.9961931382932001E-2</v>
      </c>
      <c r="Q1599" s="79">
        <v>0.16109462131362201</v>
      </c>
      <c r="R1599" s="80">
        <v>1</v>
      </c>
      <c r="S1599" s="79">
        <v>4.0532189759631597E-2</v>
      </c>
      <c r="T1599" s="79">
        <v>3.0119719622149699E-2</v>
      </c>
      <c r="U1599" s="79">
        <v>0.17865819635556801</v>
      </c>
      <c r="V1599" s="79">
        <v>0.27714925332081702</v>
      </c>
      <c r="W1599" s="79">
        <v>1</v>
      </c>
    </row>
    <row r="1600" spans="2:23" x14ac:dyDescent="0.2">
      <c r="B1600" t="s">
        <v>3275</v>
      </c>
      <c r="C1600" s="84">
        <v>169</v>
      </c>
      <c r="D1600" s="102">
        <v>1.3659524613280301E-2</v>
      </c>
      <c r="E1600" s="79">
        <v>2.91436175189216E-2</v>
      </c>
      <c r="F1600" s="79">
        <v>0.63937137911366104</v>
      </c>
      <c r="G1600" s="79">
        <v>0.95767440062337605</v>
      </c>
      <c r="H1600" s="79">
        <v>1</v>
      </c>
      <c r="I1600" s="102">
        <v>-2.4554761963625198E-2</v>
      </c>
      <c r="J1600" s="79">
        <v>2.9974457175386899E-2</v>
      </c>
      <c r="K1600" s="79">
        <v>0.412840691419469</v>
      </c>
      <c r="L1600" s="79">
        <v>0.773619614230731</v>
      </c>
      <c r="M1600" s="80">
        <v>1</v>
      </c>
      <c r="N1600" s="79">
        <v>4.4516301835375097E-2</v>
      </c>
      <c r="O1600" s="79">
        <v>2.97530783005946E-2</v>
      </c>
      <c r="P1600" s="79">
        <v>0.134865839895808</v>
      </c>
      <c r="Q1600" s="79">
        <v>0.22052387334314499</v>
      </c>
      <c r="R1600" s="80">
        <v>1</v>
      </c>
      <c r="S1600" s="79">
        <v>6.9586507243531298E-2</v>
      </c>
      <c r="T1600" s="79">
        <v>2.9783754741660399E-2</v>
      </c>
      <c r="U1600" s="79">
        <v>1.9634639985095299E-2</v>
      </c>
      <c r="V1600" s="79">
        <v>4.8065144703397997E-2</v>
      </c>
      <c r="W1600" s="79">
        <v>1</v>
      </c>
    </row>
    <row r="1601" spans="2:23" x14ac:dyDescent="0.2">
      <c r="B1601" s="68" t="s">
        <v>3394</v>
      </c>
      <c r="C1601" s="56">
        <v>106</v>
      </c>
      <c r="D1601" s="104">
        <v>-6.2703599999999998E-2</v>
      </c>
      <c r="E1601" s="104">
        <v>0.10788275</v>
      </c>
      <c r="F1601" s="104">
        <v>0.56254367000000005</v>
      </c>
      <c r="G1601" s="104">
        <v>0.93167796111031398</v>
      </c>
      <c r="H1601" s="130">
        <v>1</v>
      </c>
      <c r="I1601" s="79">
        <v>-1.7843941051765198E-2</v>
      </c>
      <c r="J1601" s="79">
        <v>8.9761078506856898E-2</v>
      </c>
      <c r="K1601" s="79">
        <v>0.842862814859209</v>
      </c>
      <c r="L1601" s="79">
        <v>0.95812349699803201</v>
      </c>
      <c r="M1601" s="80">
        <v>1</v>
      </c>
      <c r="N1601" s="79">
        <v>4.1046991363148898E-2</v>
      </c>
      <c r="O1601" s="79">
        <v>9.1412580864294504E-2</v>
      </c>
      <c r="P1601" s="79">
        <v>0.65447029332089002</v>
      </c>
      <c r="Q1601" s="79">
        <v>0.75113324992248498</v>
      </c>
      <c r="R1601" s="80">
        <v>1</v>
      </c>
      <c r="S1601" s="79">
        <v>-8.9637190477763903E-2</v>
      </c>
      <c r="T1601" s="79">
        <v>0.12071566293470599</v>
      </c>
      <c r="U1601" s="79">
        <v>0.45964750985971697</v>
      </c>
      <c r="V1601" s="79">
        <v>0.57379725991330899</v>
      </c>
      <c r="W1601" s="79">
        <v>1</v>
      </c>
    </row>
    <row r="1602" spans="2:23" x14ac:dyDescent="0.2">
      <c r="B1602" s="68" t="s">
        <v>3395</v>
      </c>
      <c r="C1602" s="56">
        <v>106</v>
      </c>
      <c r="D1602" s="104">
        <v>5.0463580000000001E-2</v>
      </c>
      <c r="E1602" s="104">
        <v>0.10500929000000001</v>
      </c>
      <c r="F1602" s="104">
        <v>0.63206046000000005</v>
      </c>
      <c r="G1602" s="104">
        <v>0.957654348434272</v>
      </c>
      <c r="H1602" s="130">
        <v>1</v>
      </c>
      <c r="I1602" s="79">
        <v>1.8955910027909698E-2</v>
      </c>
      <c r="J1602" s="79">
        <v>0.110109907264064</v>
      </c>
      <c r="K1602" s="79">
        <v>0.86369579607229396</v>
      </c>
      <c r="L1602" s="79">
        <v>0.96574302214288199</v>
      </c>
      <c r="M1602" s="80">
        <v>1</v>
      </c>
      <c r="N1602" s="79">
        <v>-0.19909825606426901</v>
      </c>
      <c r="O1602" s="79">
        <v>0.104523072035381</v>
      </c>
      <c r="P1602" s="79">
        <v>5.9926612516482097E-2</v>
      </c>
      <c r="Q1602" s="79">
        <v>0.11804149023595401</v>
      </c>
      <c r="R1602" s="80">
        <v>1</v>
      </c>
      <c r="S1602" s="79">
        <v>-7.9575489163368193E-2</v>
      </c>
      <c r="T1602" s="79">
        <v>0.101105817704691</v>
      </c>
      <c r="U1602" s="79">
        <v>0.43334225645713897</v>
      </c>
      <c r="V1602" s="79">
        <v>0.54987399433587503</v>
      </c>
      <c r="W1602" s="79">
        <v>1</v>
      </c>
    </row>
    <row r="1603" spans="2:23" x14ac:dyDescent="0.2">
      <c r="B1603" t="s">
        <v>324</v>
      </c>
      <c r="C1603" s="78">
        <v>620</v>
      </c>
      <c r="D1603" s="79">
        <v>-1.2330750313005401E-2</v>
      </c>
      <c r="E1603" s="79">
        <v>1.4574873328693399E-2</v>
      </c>
      <c r="F1603" s="79">
        <v>0.39757910904048699</v>
      </c>
      <c r="G1603" s="79">
        <v>0.89461055933914202</v>
      </c>
      <c r="H1603" s="79">
        <v>1</v>
      </c>
      <c r="I1603" s="102">
        <v>3.7279160083005497E-2</v>
      </c>
      <c r="J1603" s="79">
        <v>1.4500247393967E-2</v>
      </c>
      <c r="K1603" s="79">
        <v>1.0172717753766301E-2</v>
      </c>
      <c r="L1603" s="79">
        <v>0.193278136766975</v>
      </c>
      <c r="M1603" s="80">
        <v>1</v>
      </c>
      <c r="N1603" s="81">
        <v>7.1069792789515002E-2</v>
      </c>
      <c r="O1603" s="81">
        <v>1.4362577208883001E-2</v>
      </c>
      <c r="P1603" s="81">
        <v>7.7450736151264697E-7</v>
      </c>
      <c r="Q1603" s="81">
        <v>1.00153852702475E-5</v>
      </c>
      <c r="R1603" s="82">
        <v>1.3120154704024201E-3</v>
      </c>
      <c r="S1603" s="79">
        <v>7.9698404424681998E-2</v>
      </c>
      <c r="T1603" s="79">
        <v>1.4344867109001E-2</v>
      </c>
      <c r="U1603" s="79">
        <v>2.91208343551324E-8</v>
      </c>
      <c r="V1603" s="79">
        <v>1.00674884484886E-6</v>
      </c>
      <c r="W1603" s="79">
        <v>4.9330693397594297E-5</v>
      </c>
    </row>
    <row r="1604" spans="2:23" x14ac:dyDescent="0.2">
      <c r="B1604" t="s">
        <v>1153</v>
      </c>
      <c r="C1604" s="84">
        <v>5022</v>
      </c>
      <c r="D1604" s="102">
        <v>2.0298121387972101E-2</v>
      </c>
      <c r="E1604" s="79">
        <v>1.47764574052093E-2</v>
      </c>
      <c r="F1604" s="79">
        <v>0.169609949679075</v>
      </c>
      <c r="G1604" s="79">
        <v>0.81796927009920195</v>
      </c>
      <c r="H1604" s="79">
        <v>1</v>
      </c>
      <c r="I1604" s="102">
        <v>-5.6277561682172199E-3</v>
      </c>
      <c r="J1604" s="79">
        <v>1.47502214107502E-2</v>
      </c>
      <c r="K1604" s="79">
        <v>0.70282320848901803</v>
      </c>
      <c r="L1604" s="79">
        <v>0.90623303456965298</v>
      </c>
      <c r="M1604" s="79">
        <v>1</v>
      </c>
      <c r="N1604" s="102">
        <v>-3.5922142725758797E-2</v>
      </c>
      <c r="O1604" s="79">
        <v>1.45692970811969E-2</v>
      </c>
      <c r="P1604" s="79">
        <v>1.3715858991514E-2</v>
      </c>
      <c r="Q1604" s="79">
        <v>3.5911383511011898E-2</v>
      </c>
      <c r="R1604" s="80">
        <v>1</v>
      </c>
      <c r="S1604" s="79">
        <v>-4.6675379850397498E-2</v>
      </c>
      <c r="T1604" s="79">
        <v>1.4570873322631401E-2</v>
      </c>
      <c r="U1604" s="79">
        <v>1.36809542369974E-3</v>
      </c>
      <c r="V1604" s="79">
        <v>5.7650588252421897E-3</v>
      </c>
      <c r="W1604" s="79">
        <v>1</v>
      </c>
    </row>
    <row r="1605" spans="2:23" x14ac:dyDescent="0.2">
      <c r="B1605" t="s">
        <v>1154</v>
      </c>
      <c r="C1605" s="84">
        <v>5022</v>
      </c>
      <c r="D1605" s="102">
        <v>5.7564954873817699E-3</v>
      </c>
      <c r="E1605" s="79">
        <v>1.4662508424814201E-2</v>
      </c>
      <c r="F1605" s="79">
        <v>0.694633504717175</v>
      </c>
      <c r="G1605" s="79">
        <v>0.969323693033459</v>
      </c>
      <c r="H1605" s="79">
        <v>1</v>
      </c>
      <c r="I1605" s="102">
        <v>-1.3924684976392101E-2</v>
      </c>
      <c r="J1605" s="79">
        <v>1.45574352532699E-2</v>
      </c>
      <c r="K1605" s="79">
        <v>0.33885389520564502</v>
      </c>
      <c r="L1605" s="79">
        <v>0.73284226760492799</v>
      </c>
      <c r="M1605" s="79">
        <v>1</v>
      </c>
      <c r="N1605" s="102">
        <v>-3.7452570538753102E-2</v>
      </c>
      <c r="O1605" s="79">
        <v>1.4442545486479601E-2</v>
      </c>
      <c r="P1605" s="79">
        <v>9.5390740762222297E-3</v>
      </c>
      <c r="Q1605" s="79">
        <v>2.6842510772625401E-2</v>
      </c>
      <c r="R1605" s="79">
        <v>1</v>
      </c>
      <c r="S1605" s="102">
        <v>-2.36372405573828E-2</v>
      </c>
      <c r="T1605" s="79">
        <v>1.44110711108568E-2</v>
      </c>
      <c r="U1605" s="79">
        <v>0.10103018643192301</v>
      </c>
      <c r="V1605" s="79">
        <v>0.176985662684258</v>
      </c>
      <c r="W1605" s="79">
        <v>1</v>
      </c>
    </row>
    <row r="1606" spans="2:23" x14ac:dyDescent="0.2">
      <c r="B1606" t="s">
        <v>1155</v>
      </c>
      <c r="C1606" s="84">
        <v>5022</v>
      </c>
      <c r="D1606" s="102">
        <v>2.7196685652864198E-3</v>
      </c>
      <c r="E1606" s="79">
        <v>1.46504522590128E-2</v>
      </c>
      <c r="F1606" s="79">
        <v>0.85273757879623702</v>
      </c>
      <c r="G1606" s="79">
        <v>0.99362338620020496</v>
      </c>
      <c r="H1606" s="79">
        <v>1</v>
      </c>
      <c r="I1606" s="102">
        <v>8.0498693973786208E-3</v>
      </c>
      <c r="J1606" s="79">
        <v>1.4512878536336701E-2</v>
      </c>
      <c r="K1606" s="79">
        <v>0.57914780138202104</v>
      </c>
      <c r="L1606" s="79">
        <v>0.86322748372014602</v>
      </c>
      <c r="M1606" s="79">
        <v>1</v>
      </c>
      <c r="N1606" s="102">
        <v>-3.5703267544362802E-2</v>
      </c>
      <c r="O1606" s="79">
        <v>1.4369150170522199E-2</v>
      </c>
      <c r="P1606" s="79">
        <v>1.30018394926341E-2</v>
      </c>
      <c r="Q1606" s="79">
        <v>3.4307034424489402E-2</v>
      </c>
      <c r="R1606" s="79">
        <v>1</v>
      </c>
      <c r="S1606" s="102">
        <v>-2.0344491258335901E-2</v>
      </c>
      <c r="T1606" s="79">
        <v>1.43966857039056E-2</v>
      </c>
      <c r="U1606" s="79">
        <v>0.15768468207761999</v>
      </c>
      <c r="V1606" s="79">
        <v>0.25319227624596002</v>
      </c>
      <c r="W1606" s="79">
        <v>1</v>
      </c>
    </row>
    <row r="1607" spans="2:23" x14ac:dyDescent="0.2">
      <c r="B1607" t="s">
        <v>1156</v>
      </c>
      <c r="C1607" s="84">
        <v>5022</v>
      </c>
      <c r="D1607" s="102">
        <v>-3.41463844902018E-4</v>
      </c>
      <c r="E1607" s="79">
        <v>1.46686211581953E-2</v>
      </c>
      <c r="F1607" s="79">
        <v>0.98142912801684201</v>
      </c>
      <c r="G1607" s="79">
        <v>0.99852308880512297</v>
      </c>
      <c r="H1607" s="79">
        <v>1</v>
      </c>
      <c r="I1607" s="102">
        <v>2.10234754283365E-4</v>
      </c>
      <c r="J1607" s="79">
        <v>1.4545859020022801E-2</v>
      </c>
      <c r="K1607" s="79">
        <v>0.98846903702802003</v>
      </c>
      <c r="L1607" s="79">
        <v>0.99701625429185703</v>
      </c>
      <c r="M1607" s="79">
        <v>1</v>
      </c>
      <c r="N1607" s="102">
        <v>-3.6761793283075203E-2</v>
      </c>
      <c r="O1607" s="79">
        <v>1.44092457901423E-2</v>
      </c>
      <c r="P1607" s="79">
        <v>1.0766422263656801E-2</v>
      </c>
      <c r="Q1607" s="79">
        <v>2.9543081287585399E-2</v>
      </c>
      <c r="R1607" s="79">
        <v>1</v>
      </c>
      <c r="S1607" s="102">
        <v>-2.7493866139984901E-2</v>
      </c>
      <c r="T1607" s="79">
        <v>1.44302275349182E-2</v>
      </c>
      <c r="U1607" s="79">
        <v>5.6805700518800802E-2</v>
      </c>
      <c r="V1607" s="79">
        <v>0.113343765228326</v>
      </c>
      <c r="W1607" s="79">
        <v>1</v>
      </c>
    </row>
    <row r="1608" spans="2:23" x14ac:dyDescent="0.2">
      <c r="B1608" t="s">
        <v>1157</v>
      </c>
      <c r="C1608" s="84">
        <v>5022</v>
      </c>
      <c r="D1608" s="102">
        <v>2.8543939536721599E-2</v>
      </c>
      <c r="E1608" s="79">
        <v>1.4672608778168301E-2</v>
      </c>
      <c r="F1608" s="79">
        <v>5.1788795717994003E-2</v>
      </c>
      <c r="G1608" s="79">
        <v>0.70184175957025496</v>
      </c>
      <c r="H1608" s="79">
        <v>1</v>
      </c>
      <c r="I1608" s="102">
        <v>1.6042773172358402E-2</v>
      </c>
      <c r="J1608" s="79">
        <v>1.4595424368606001E-2</v>
      </c>
      <c r="K1608" s="79">
        <v>0.27175477466229903</v>
      </c>
      <c r="L1608" s="79">
        <v>0.69018379052164103</v>
      </c>
      <c r="M1608" s="79">
        <v>1</v>
      </c>
      <c r="N1608" s="102">
        <v>-1.3427726563098499E-2</v>
      </c>
      <c r="O1608" s="79">
        <v>1.44241374831236E-2</v>
      </c>
      <c r="P1608" s="79">
        <v>0.35194401482195198</v>
      </c>
      <c r="Q1608" s="79">
        <v>0.46833712577249498</v>
      </c>
      <c r="R1608" s="79">
        <v>1</v>
      </c>
      <c r="S1608" s="102">
        <v>-9.5445975294940096E-3</v>
      </c>
      <c r="T1608" s="79">
        <v>1.44403811076194E-2</v>
      </c>
      <c r="U1608" s="79">
        <v>0.50866760883650497</v>
      </c>
      <c r="V1608" s="79">
        <v>0.61460979270259597</v>
      </c>
      <c r="W1608" s="79">
        <v>1</v>
      </c>
    </row>
    <row r="1609" spans="2:23" x14ac:dyDescent="0.2">
      <c r="B1609" t="s">
        <v>1158</v>
      </c>
      <c r="C1609" s="84">
        <v>5022</v>
      </c>
      <c r="D1609" s="102">
        <v>2.4065770320822299E-2</v>
      </c>
      <c r="E1609" s="79">
        <v>1.47792346010458E-2</v>
      </c>
      <c r="F1609" s="79">
        <v>0.103518990798509</v>
      </c>
      <c r="G1609" s="79">
        <v>0.80073593795741704</v>
      </c>
      <c r="H1609" s="79">
        <v>1</v>
      </c>
      <c r="I1609" s="102">
        <v>-7.0531905677690002E-3</v>
      </c>
      <c r="J1609" s="79">
        <v>1.46521216604874E-2</v>
      </c>
      <c r="K1609" s="79">
        <v>0.63027195398943003</v>
      </c>
      <c r="L1609" s="79">
        <v>0.87748013759880805</v>
      </c>
      <c r="M1609" s="79">
        <v>1</v>
      </c>
      <c r="N1609" s="102">
        <v>-2.2469475795159399E-2</v>
      </c>
      <c r="O1609" s="79">
        <v>1.4503003762681E-2</v>
      </c>
      <c r="P1609" s="79">
        <v>0.12137927358032501</v>
      </c>
      <c r="Q1609" s="79">
        <v>0.20238118770274499</v>
      </c>
      <c r="R1609" s="79">
        <v>1</v>
      </c>
      <c r="S1609" s="102">
        <v>-6.7408359802070099E-3</v>
      </c>
      <c r="T1609" s="79">
        <v>1.4512163798698499E-2</v>
      </c>
      <c r="U1609" s="79">
        <v>0.64231482482115099</v>
      </c>
      <c r="V1609" s="79">
        <v>0.71584296924146695</v>
      </c>
      <c r="W1609" s="79">
        <v>1</v>
      </c>
    </row>
    <row r="1610" spans="2:23" x14ac:dyDescent="0.2">
      <c r="B1610" t="s">
        <v>1159</v>
      </c>
      <c r="C1610" s="84">
        <v>5022</v>
      </c>
      <c r="D1610" s="102">
        <v>-2.10713771047835E-3</v>
      </c>
      <c r="E1610" s="79">
        <v>1.47007569247489E-2</v>
      </c>
      <c r="F1610" s="79">
        <v>0.88603161002851805</v>
      </c>
      <c r="G1610" s="79">
        <v>0.99362338620020496</v>
      </c>
      <c r="H1610" s="79">
        <v>1</v>
      </c>
      <c r="I1610" s="102">
        <v>1.4041261209307701E-4</v>
      </c>
      <c r="J1610" s="79">
        <v>1.4574638696210101E-2</v>
      </c>
      <c r="K1610" s="79">
        <v>0.99231369255133794</v>
      </c>
      <c r="L1610" s="79">
        <v>0.99763484948745695</v>
      </c>
      <c r="M1610" s="79">
        <v>1</v>
      </c>
      <c r="N1610" s="102">
        <v>-3.5207183161614301E-2</v>
      </c>
      <c r="O1610" s="79">
        <v>1.4427900111687699E-2</v>
      </c>
      <c r="P1610" s="79">
        <v>1.4716301554332199E-2</v>
      </c>
      <c r="Q1610" s="79">
        <v>3.8118371304340599E-2</v>
      </c>
      <c r="R1610" s="79">
        <v>1</v>
      </c>
      <c r="S1610" s="102">
        <v>-1.9621806700000799E-2</v>
      </c>
      <c r="T1610" s="79">
        <v>1.446221825754E-2</v>
      </c>
      <c r="U1610" s="79">
        <v>0.174923311357914</v>
      </c>
      <c r="V1610" s="79">
        <v>0.27235302338263401</v>
      </c>
      <c r="W1610" s="79">
        <v>1</v>
      </c>
    </row>
    <row r="1611" spans="2:23" x14ac:dyDescent="0.2">
      <c r="B1611" t="s">
        <v>1160</v>
      </c>
      <c r="C1611" s="84">
        <v>5022</v>
      </c>
      <c r="D1611" s="102">
        <v>-7.2094253026404997E-3</v>
      </c>
      <c r="E1611" s="79">
        <v>1.4724992936874201E-2</v>
      </c>
      <c r="F1611" s="79">
        <v>0.62443712651733296</v>
      </c>
      <c r="G1611" s="79">
        <v>0.95468997501837705</v>
      </c>
      <c r="H1611" s="79">
        <v>1</v>
      </c>
      <c r="I1611" s="102">
        <v>-2.61589990564845E-2</v>
      </c>
      <c r="J1611" s="79">
        <v>1.4592325767688E-2</v>
      </c>
      <c r="K1611" s="79">
        <v>7.3095674235403599E-2</v>
      </c>
      <c r="L1611" s="79">
        <v>0.45523555939255</v>
      </c>
      <c r="M1611" s="79">
        <v>1</v>
      </c>
      <c r="N1611" s="102">
        <v>-6.7208222267060701E-3</v>
      </c>
      <c r="O1611" s="79">
        <v>1.44407980282775E-2</v>
      </c>
      <c r="P1611" s="79">
        <v>0.64166383299791496</v>
      </c>
      <c r="Q1611" s="79">
        <v>0.73959647316175403</v>
      </c>
      <c r="R1611" s="79">
        <v>1</v>
      </c>
      <c r="S1611" s="102">
        <v>-3.0795097135365102E-2</v>
      </c>
      <c r="T1611" s="79">
        <v>1.4425192924344001E-2</v>
      </c>
      <c r="U1611" s="79">
        <v>3.28299412044862E-2</v>
      </c>
      <c r="V1611" s="79">
        <v>7.4053156325432301E-2</v>
      </c>
      <c r="W1611" s="79">
        <v>1</v>
      </c>
    </row>
    <row r="1612" spans="2:23" x14ac:dyDescent="0.2">
      <c r="B1612" t="s">
        <v>1161</v>
      </c>
      <c r="C1612" s="84">
        <v>5022</v>
      </c>
      <c r="D1612" s="102">
        <v>2.86518005387673E-2</v>
      </c>
      <c r="E1612" s="79">
        <v>1.46751216866841E-2</v>
      </c>
      <c r="F1612" s="79">
        <v>5.09517691346262E-2</v>
      </c>
      <c r="G1612" s="79">
        <v>0.70184175957025496</v>
      </c>
      <c r="H1612" s="79">
        <v>1</v>
      </c>
      <c r="I1612" s="102">
        <v>-7.0071958785505499E-3</v>
      </c>
      <c r="J1612" s="79">
        <v>1.45225472719567E-2</v>
      </c>
      <c r="K1612" s="79">
        <v>0.62947132967318697</v>
      </c>
      <c r="L1612" s="79">
        <v>0.87748013759880805</v>
      </c>
      <c r="M1612" s="79">
        <v>1</v>
      </c>
      <c r="N1612" s="107">
        <v>-9.4808032359467095E-2</v>
      </c>
      <c r="O1612" s="81">
        <v>1.43070608081136E-2</v>
      </c>
      <c r="P1612" s="81">
        <v>3.8425547595939098E-11</v>
      </c>
      <c r="Q1612" s="81">
        <v>1.5137878518028101E-9</v>
      </c>
      <c r="R1612" s="81">
        <v>6.5092877627520802E-8</v>
      </c>
      <c r="S1612" s="107">
        <v>-6.6691606340468501E-2</v>
      </c>
      <c r="T1612" s="81">
        <v>1.4343284856352201E-2</v>
      </c>
      <c r="U1612" s="81">
        <v>3.42051399185014E-6</v>
      </c>
      <c r="V1612" s="81">
        <v>5.0385658279949003E-5</v>
      </c>
      <c r="W1612" s="81">
        <v>5.7943507021941398E-3</v>
      </c>
    </row>
    <row r="1613" spans="2:23" x14ac:dyDescent="0.2">
      <c r="B1613" t="s">
        <v>1152</v>
      </c>
      <c r="C1613" s="84">
        <v>5022</v>
      </c>
      <c r="D1613" s="102">
        <v>1.6030532031612799E-2</v>
      </c>
      <c r="E1613" s="79">
        <v>1.5207892201123801E-2</v>
      </c>
      <c r="F1613" s="79">
        <v>0.29189887523680602</v>
      </c>
      <c r="G1613" s="79">
        <v>0.87209293589268</v>
      </c>
      <c r="H1613" s="79">
        <v>1</v>
      </c>
      <c r="I1613" s="102">
        <v>-7.9610310968055292E-3</v>
      </c>
      <c r="J1613" s="79">
        <v>1.5081212651309E-2</v>
      </c>
      <c r="K1613" s="79">
        <v>0.59761163481504798</v>
      </c>
      <c r="L1613" s="79">
        <v>0.86877257647115202</v>
      </c>
      <c r="M1613" s="79">
        <v>1</v>
      </c>
      <c r="N1613" s="102">
        <v>-5.3105253243795801E-2</v>
      </c>
      <c r="O1613" s="79">
        <v>1.48614214457889E-2</v>
      </c>
      <c r="P1613" s="79">
        <v>3.5628381116199802E-4</v>
      </c>
      <c r="Q1613" s="79">
        <v>1.9595609613909902E-3</v>
      </c>
      <c r="R1613" s="79">
        <v>0.60354477610842505</v>
      </c>
      <c r="S1613" s="102">
        <v>-4.1033872537251402E-2</v>
      </c>
      <c r="T1613" s="79">
        <v>1.48968520430156E-2</v>
      </c>
      <c r="U1613" s="79">
        <v>5.9021837188319298E-3</v>
      </c>
      <c r="V1613" s="79">
        <v>1.84177281363E-2</v>
      </c>
      <c r="W1613" s="79">
        <v>1</v>
      </c>
    </row>
    <row r="1614" spans="2:23" x14ac:dyDescent="0.2">
      <c r="B1614" t="s">
        <v>2564</v>
      </c>
      <c r="C1614" s="84">
        <v>337</v>
      </c>
      <c r="D1614" s="102">
        <v>1.1758281376153756</v>
      </c>
      <c r="E1614" s="79">
        <v>0.12632387119785299</v>
      </c>
      <c r="F1614" s="79">
        <v>0.199771858627421</v>
      </c>
      <c r="G1614" s="79">
        <v>0.83003013605610498</v>
      </c>
      <c r="H1614" s="79">
        <v>1</v>
      </c>
      <c r="I1614" s="102">
        <v>0.95346459162388397</v>
      </c>
      <c r="J1614" s="79">
        <v>0.112616275304432</v>
      </c>
      <c r="K1614" s="79">
        <v>0.67218962760367995</v>
      </c>
      <c r="L1614" s="79">
        <v>0.890993137058399</v>
      </c>
      <c r="M1614" s="79">
        <v>1</v>
      </c>
      <c r="N1614" s="102">
        <v>0.9680254338583264</v>
      </c>
      <c r="O1614" s="79">
        <v>0.122252788009877</v>
      </c>
      <c r="P1614" s="79">
        <v>0.79037984725646504</v>
      </c>
      <c r="Q1614" s="79">
        <v>0.85723924176993305</v>
      </c>
      <c r="R1614" s="79">
        <v>1</v>
      </c>
      <c r="S1614" s="102">
        <v>1.2498476147308171</v>
      </c>
      <c r="T1614" s="79">
        <v>0.111475285447348</v>
      </c>
      <c r="U1614" s="79">
        <v>4.5431469982808503E-2</v>
      </c>
      <c r="V1614" s="79">
        <v>9.4777375653578494E-2</v>
      </c>
      <c r="W1614" s="79">
        <v>1</v>
      </c>
    </row>
    <row r="1615" spans="2:23" x14ac:dyDescent="0.2">
      <c r="B1615" t="s">
        <v>2565</v>
      </c>
      <c r="C1615" s="84">
        <v>450</v>
      </c>
      <c r="D1615" s="102">
        <v>0.93081733081390983</v>
      </c>
      <c r="E1615" s="79">
        <v>0.100145576261332</v>
      </c>
      <c r="F1615" s="79">
        <v>0.47406536672747102</v>
      </c>
      <c r="G1615" s="79">
        <v>0.91151047511105199</v>
      </c>
      <c r="H1615" s="79">
        <v>1</v>
      </c>
      <c r="I1615" s="102">
        <v>1.0034404691597039</v>
      </c>
      <c r="J1615" s="79">
        <v>0.101390283503021</v>
      </c>
      <c r="K1615" s="79">
        <v>0.97297707713469705</v>
      </c>
      <c r="L1615" s="79">
        <v>0.99629532610271199</v>
      </c>
      <c r="M1615" s="79">
        <v>1</v>
      </c>
      <c r="N1615" s="102">
        <v>1.0989843522566158</v>
      </c>
      <c r="O1615" s="79">
        <v>0.100353080716664</v>
      </c>
      <c r="P1615" s="79">
        <v>0.34693885075285902</v>
      </c>
      <c r="Q1615" s="79">
        <v>0.46422939429332</v>
      </c>
      <c r="R1615" s="79">
        <v>1</v>
      </c>
      <c r="S1615" s="102">
        <v>1.0973769847736623</v>
      </c>
      <c r="T1615" s="79">
        <v>9.8170256388484103E-2</v>
      </c>
      <c r="U1615" s="79">
        <v>0.34386960346233097</v>
      </c>
      <c r="V1615" s="79">
        <v>0.46158090987732903</v>
      </c>
      <c r="W1615" s="79">
        <v>1</v>
      </c>
    </row>
    <row r="1616" spans="2:23" x14ac:dyDescent="0.2">
      <c r="B1616" t="s">
        <v>2566</v>
      </c>
      <c r="C1616" s="84">
        <v>203</v>
      </c>
      <c r="D1616" s="102">
        <v>1.0155353848379469</v>
      </c>
      <c r="E1616" s="79">
        <v>0.173459091971396</v>
      </c>
      <c r="F1616" s="79">
        <v>0.92918230867167595</v>
      </c>
      <c r="G1616" s="79">
        <v>0.99840985319461195</v>
      </c>
      <c r="H1616" s="79">
        <v>1</v>
      </c>
      <c r="I1616" s="102">
        <v>1.1066700564599399</v>
      </c>
      <c r="J1616" s="79">
        <v>0.15239879724611599</v>
      </c>
      <c r="K1616" s="79">
        <v>0.50600702592495805</v>
      </c>
      <c r="L1616" s="79">
        <v>0.82262562563999897</v>
      </c>
      <c r="M1616" s="79">
        <v>1</v>
      </c>
      <c r="N1616" s="102">
        <v>1.1197841772137971</v>
      </c>
      <c r="O1616" s="79">
        <v>0.15597395184600801</v>
      </c>
      <c r="P1616" s="79">
        <v>0.46823630920458797</v>
      </c>
      <c r="Q1616" s="79">
        <v>0.58686241179879295</v>
      </c>
      <c r="R1616" s="79">
        <v>1</v>
      </c>
      <c r="S1616" s="102">
        <v>0.93683090010260817</v>
      </c>
      <c r="T1616" s="79">
        <v>0.161746201838081</v>
      </c>
      <c r="U1616" s="79">
        <v>0.68663550284870001</v>
      </c>
      <c r="V1616" s="79">
        <v>0.75383055205813199</v>
      </c>
      <c r="W1616" s="79">
        <v>1</v>
      </c>
    </row>
    <row r="1617" spans="2:23" x14ac:dyDescent="0.2">
      <c r="B1617" t="s">
        <v>2572</v>
      </c>
      <c r="C1617" s="84">
        <v>271</v>
      </c>
      <c r="D1617" s="102">
        <v>1.0430205657269587</v>
      </c>
      <c r="E1617" s="79">
        <v>0.139548297348281</v>
      </c>
      <c r="F1617" s="79">
        <v>0.76277602720659698</v>
      </c>
      <c r="G1617" s="79">
        <v>0.98333051768739199</v>
      </c>
      <c r="H1617" s="79">
        <v>1</v>
      </c>
      <c r="I1617" s="102">
        <v>0.92524613696812474</v>
      </c>
      <c r="J1617" s="79">
        <v>0.13036536405753901</v>
      </c>
      <c r="K1617" s="79">
        <v>0.55118688035557295</v>
      </c>
      <c r="L1617" s="79">
        <v>0.85324079482284898</v>
      </c>
      <c r="M1617" s="79">
        <v>1</v>
      </c>
      <c r="N1617" s="102">
        <v>0.96711259784989656</v>
      </c>
      <c r="O1617" s="79">
        <v>0.13891082332740801</v>
      </c>
      <c r="P1617" s="79">
        <v>0.80976244739828995</v>
      </c>
      <c r="Q1617" s="79">
        <v>0.86614016446806796</v>
      </c>
      <c r="R1617" s="79">
        <v>1</v>
      </c>
      <c r="S1617" s="102">
        <v>0.93503996437722692</v>
      </c>
      <c r="T1617" s="79">
        <v>0.130807032915669</v>
      </c>
      <c r="U1617" s="79">
        <v>0.60761980665613702</v>
      </c>
      <c r="V1617" s="79">
        <v>0.69407144469015203</v>
      </c>
      <c r="W1617" s="79">
        <v>1</v>
      </c>
    </row>
    <row r="1618" spans="2:23" x14ac:dyDescent="0.2">
      <c r="B1618" t="s">
        <v>2573</v>
      </c>
      <c r="C1618" s="84">
        <v>247</v>
      </c>
      <c r="D1618" s="102">
        <v>0.9620156356365438</v>
      </c>
      <c r="E1618" s="79">
        <v>0.14788703598328101</v>
      </c>
      <c r="F1618" s="79">
        <v>0.79343523929263005</v>
      </c>
      <c r="G1618" s="79">
        <v>0.99158613425276598</v>
      </c>
      <c r="H1618" s="79">
        <v>1</v>
      </c>
      <c r="I1618" s="102">
        <v>0.96991014930270691</v>
      </c>
      <c r="J1618" s="79">
        <v>0.13970780053128401</v>
      </c>
      <c r="K1618" s="79">
        <v>0.82689632105344202</v>
      </c>
      <c r="L1618" s="79">
        <v>0.95225177964957897</v>
      </c>
      <c r="M1618" s="79">
        <v>1</v>
      </c>
      <c r="N1618" s="102">
        <v>1.012529645143972</v>
      </c>
      <c r="O1618" s="79">
        <v>0.141422740040755</v>
      </c>
      <c r="P1618" s="79">
        <v>0.92983959745428202</v>
      </c>
      <c r="Q1618" s="79">
        <v>0.95061921202892796</v>
      </c>
      <c r="R1618" s="79">
        <v>1</v>
      </c>
      <c r="S1618" s="102">
        <v>1.1853500855668702</v>
      </c>
      <c r="T1618" s="79">
        <v>0.134992547150866</v>
      </c>
      <c r="U1618" s="79">
        <v>0.20780955293842299</v>
      </c>
      <c r="V1618" s="79">
        <v>0.31070554517006899</v>
      </c>
      <c r="W1618" s="79">
        <v>1</v>
      </c>
    </row>
    <row r="1619" spans="2:23" x14ac:dyDescent="0.2">
      <c r="B1619" t="s">
        <v>2574</v>
      </c>
      <c r="C1619" s="84">
        <v>571</v>
      </c>
      <c r="D1619" s="102">
        <v>1.0214474655980155</v>
      </c>
      <c r="E1619" s="79">
        <v>9.1526929608006E-2</v>
      </c>
      <c r="F1619" s="79">
        <v>0.81665293669894401</v>
      </c>
      <c r="G1619" s="79">
        <v>0.99362338620020496</v>
      </c>
      <c r="H1619" s="79">
        <v>1</v>
      </c>
      <c r="I1619" s="102">
        <v>0.99258874917956175</v>
      </c>
      <c r="J1619" s="79">
        <v>8.5558581907169806E-2</v>
      </c>
      <c r="K1619" s="79">
        <v>0.93071560463094105</v>
      </c>
      <c r="L1619" s="79">
        <v>0.98539514640300896</v>
      </c>
      <c r="M1619" s="79">
        <v>1</v>
      </c>
      <c r="N1619" s="102">
        <v>1.1793815930758003</v>
      </c>
      <c r="O1619" s="79">
        <v>9.0328152309386706E-2</v>
      </c>
      <c r="P1619" s="79">
        <v>6.7765223294795104E-2</v>
      </c>
      <c r="Q1619" s="79">
        <v>0.129930235912353</v>
      </c>
      <c r="R1619" s="79">
        <v>1</v>
      </c>
      <c r="S1619" s="102">
        <v>1.1745423692609731</v>
      </c>
      <c r="T1619" s="79">
        <v>8.50669580067486E-2</v>
      </c>
      <c r="U1619" s="79">
        <v>5.8597701901934703E-2</v>
      </c>
      <c r="V1619" s="79">
        <v>0.11569289862689699</v>
      </c>
      <c r="W1619" s="79">
        <v>1</v>
      </c>
    </row>
    <row r="1620" spans="2:23" x14ac:dyDescent="0.2">
      <c r="B1620" t="s">
        <v>2576</v>
      </c>
      <c r="C1620" s="84">
        <v>252</v>
      </c>
      <c r="D1620" s="102">
        <v>0.88834099201942629</v>
      </c>
      <c r="E1620" s="79">
        <v>0.14886411556986101</v>
      </c>
      <c r="F1620" s="79">
        <v>0.42640784480498201</v>
      </c>
      <c r="G1620" s="79">
        <v>0.89813936408249395</v>
      </c>
      <c r="H1620" s="79">
        <v>1</v>
      </c>
      <c r="I1620" s="102">
        <v>1.0454893286153293</v>
      </c>
      <c r="J1620" s="79">
        <v>0.13697935069117601</v>
      </c>
      <c r="K1620" s="79">
        <v>0.74536482591699005</v>
      </c>
      <c r="L1620" s="79">
        <v>0.91967633960533601</v>
      </c>
      <c r="M1620" s="79">
        <v>1</v>
      </c>
      <c r="N1620" s="102">
        <v>1.2342434356728704</v>
      </c>
      <c r="O1620" s="79">
        <v>0.13057718193958601</v>
      </c>
      <c r="P1620" s="79">
        <v>0.107015674506253</v>
      </c>
      <c r="Q1620" s="79">
        <v>0.183672292414987</v>
      </c>
      <c r="R1620" s="79">
        <v>1</v>
      </c>
      <c r="S1620" s="102">
        <v>1.0080825485007292</v>
      </c>
      <c r="T1620" s="79">
        <v>0.13085759308234901</v>
      </c>
      <c r="U1620" s="79">
        <v>0.95094690943653304</v>
      </c>
      <c r="V1620" s="79">
        <v>0.96519117111173602</v>
      </c>
      <c r="W1620" s="79">
        <v>1</v>
      </c>
    </row>
    <row r="1621" spans="2:23" x14ac:dyDescent="0.2">
      <c r="B1621" t="s">
        <v>2578</v>
      </c>
      <c r="C1621" s="84">
        <v>560</v>
      </c>
      <c r="D1621" s="102">
        <v>1.0522930240913955</v>
      </c>
      <c r="E1621" s="79">
        <v>9.3504355727795002E-2</v>
      </c>
      <c r="F1621" s="79">
        <v>0.58566715514160195</v>
      </c>
      <c r="G1621" s="79">
        <v>0.93838695059676502</v>
      </c>
      <c r="H1621" s="79">
        <v>1</v>
      </c>
      <c r="I1621" s="102">
        <v>1.0109168994373567</v>
      </c>
      <c r="J1621" s="79">
        <v>8.5639023222213798E-2</v>
      </c>
      <c r="K1621" s="79">
        <v>0.89911059870203203</v>
      </c>
      <c r="L1621" s="79">
        <v>0.98103349543168095</v>
      </c>
      <c r="M1621" s="79">
        <v>1</v>
      </c>
      <c r="N1621" s="102">
        <v>0.97295394502772925</v>
      </c>
      <c r="O1621" s="79">
        <v>8.8333131210024202E-2</v>
      </c>
      <c r="P1621" s="79">
        <v>0.75625742293337095</v>
      </c>
      <c r="Q1621" s="79">
        <v>0.83296493787329695</v>
      </c>
      <c r="R1621" s="79">
        <v>1</v>
      </c>
      <c r="S1621" s="102">
        <v>0.93879079920026731</v>
      </c>
      <c r="T1621" s="79">
        <v>8.7771182466825304E-2</v>
      </c>
      <c r="U1621" s="79">
        <v>0.471753961240373</v>
      </c>
      <c r="V1621" s="79">
        <v>0.584602202151567</v>
      </c>
      <c r="W1621" s="79">
        <v>1</v>
      </c>
    </row>
    <row r="1622" spans="2:23" x14ac:dyDescent="0.2">
      <c r="B1622" t="s">
        <v>2579</v>
      </c>
      <c r="C1622" s="84">
        <v>468</v>
      </c>
      <c r="D1622" s="102">
        <v>1.0894768630441614</v>
      </c>
      <c r="E1622" s="79">
        <v>0.115431001251653</v>
      </c>
      <c r="F1622" s="79">
        <v>0.45783629052459401</v>
      </c>
      <c r="G1622" s="79">
        <v>0.91151047511105199</v>
      </c>
      <c r="H1622" s="79">
        <v>1</v>
      </c>
      <c r="I1622" s="102">
        <v>1.1737924772664712</v>
      </c>
      <c r="J1622" s="79">
        <v>0.113065654155107</v>
      </c>
      <c r="K1622" s="79">
        <v>0.15641594357507199</v>
      </c>
      <c r="L1622" s="79">
        <v>0.59601477595142704</v>
      </c>
      <c r="M1622" s="79">
        <v>1</v>
      </c>
      <c r="N1622" s="102">
        <v>0.89509463194474226</v>
      </c>
      <c r="O1622" s="79">
        <v>0.115668261204092</v>
      </c>
      <c r="P1622" s="79">
        <v>0.33799458902666002</v>
      </c>
      <c r="Q1622" s="79">
        <v>0.454279897601431</v>
      </c>
      <c r="R1622" s="79">
        <v>1</v>
      </c>
      <c r="S1622" s="102">
        <v>1.09441477427187</v>
      </c>
      <c r="T1622" s="79">
        <v>0.11240731078880099</v>
      </c>
      <c r="U1622" s="79">
        <v>0.42219742984213299</v>
      </c>
      <c r="V1622" s="79">
        <v>0.53815082479501397</v>
      </c>
      <c r="W1622" s="79">
        <v>1</v>
      </c>
    </row>
    <row r="1623" spans="2:23" x14ac:dyDescent="0.2">
      <c r="B1623" t="s">
        <v>2580</v>
      </c>
      <c r="C1623" s="84">
        <v>271</v>
      </c>
      <c r="D1623" s="102">
        <v>1.3081648878120653</v>
      </c>
      <c r="E1623" s="79">
        <v>0.14488423818604201</v>
      </c>
      <c r="F1623" s="79">
        <v>6.3729356705133397E-2</v>
      </c>
      <c r="G1623" s="79">
        <v>0.72944277201686503</v>
      </c>
      <c r="H1623" s="79">
        <v>1</v>
      </c>
      <c r="I1623" s="102">
        <v>0.94324134293451811</v>
      </c>
      <c r="J1623" s="79">
        <v>0.14317744791217901</v>
      </c>
      <c r="K1623" s="79">
        <v>0.68318804857529802</v>
      </c>
      <c r="L1623" s="79">
        <v>0.89437446235437001</v>
      </c>
      <c r="M1623" s="79">
        <v>1</v>
      </c>
      <c r="N1623" s="102">
        <v>0.83687247762951988</v>
      </c>
      <c r="O1623" s="79">
        <v>0.14729189421797201</v>
      </c>
      <c r="P1623" s="79">
        <v>0.22664282331118901</v>
      </c>
      <c r="Q1623" s="79">
        <v>0.33414529389830699</v>
      </c>
      <c r="R1623" s="79">
        <v>1</v>
      </c>
      <c r="S1623" s="102">
        <v>1.0621146249570226</v>
      </c>
      <c r="T1623" s="79">
        <v>0.12884906927341899</v>
      </c>
      <c r="U1623" s="79">
        <v>0.64000391261217804</v>
      </c>
      <c r="V1623" s="79">
        <v>0.71514949074210399</v>
      </c>
      <c r="W1623" s="79">
        <v>1</v>
      </c>
    </row>
    <row r="1624" spans="2:23" x14ac:dyDescent="0.2">
      <c r="B1624" t="s">
        <v>1995</v>
      </c>
      <c r="C1624" s="84">
        <v>1766</v>
      </c>
      <c r="D1624" s="102">
        <v>2.9862424288341599E-2</v>
      </c>
      <c r="E1624" s="79">
        <v>2.3913558311026602E-2</v>
      </c>
      <c r="F1624" s="79">
        <v>0.211914364466365</v>
      </c>
      <c r="G1624" s="79">
        <v>0.83484403117679595</v>
      </c>
      <c r="H1624" s="79">
        <v>1</v>
      </c>
      <c r="I1624" s="102">
        <v>5.0092427874361599E-2</v>
      </c>
      <c r="J1624" s="79">
        <v>2.3299468304871201E-2</v>
      </c>
      <c r="K1624" s="79">
        <v>3.1693836335538197E-2</v>
      </c>
      <c r="L1624" s="79">
        <v>0.34116449862822301</v>
      </c>
      <c r="M1624" s="79">
        <v>1</v>
      </c>
      <c r="N1624" s="102">
        <v>4.9934322967549301E-2</v>
      </c>
      <c r="O1624" s="79">
        <v>2.3729417262030799E-2</v>
      </c>
      <c r="P1624" s="79">
        <v>3.5489693962713099E-2</v>
      </c>
      <c r="Q1624" s="79">
        <v>7.6390777093819598E-2</v>
      </c>
      <c r="R1624" s="79">
        <v>1</v>
      </c>
      <c r="S1624" s="102">
        <v>6.5266704583607199E-2</v>
      </c>
      <c r="T1624" s="79">
        <v>2.32676834054583E-2</v>
      </c>
      <c r="U1624" s="79">
        <v>5.0855169381324302E-3</v>
      </c>
      <c r="V1624" s="79">
        <v>1.622385252956E-2</v>
      </c>
      <c r="W1624" s="79">
        <v>1</v>
      </c>
    </row>
    <row r="1625" spans="2:23" x14ac:dyDescent="0.2">
      <c r="B1625" t="s">
        <v>236</v>
      </c>
      <c r="C1625" s="84">
        <v>1766</v>
      </c>
      <c r="D1625" s="102">
        <v>3.6154382973942099E-2</v>
      </c>
      <c r="E1625" s="79">
        <v>2.4050396203944498E-2</v>
      </c>
      <c r="F1625" s="79">
        <v>0.13294773876819299</v>
      </c>
      <c r="G1625" s="79">
        <v>0.80938271582532695</v>
      </c>
      <c r="H1625" s="79">
        <v>1</v>
      </c>
      <c r="I1625" s="102">
        <v>4.8040006198477897E-2</v>
      </c>
      <c r="J1625" s="79">
        <v>2.3457859346770998E-2</v>
      </c>
      <c r="K1625" s="79">
        <v>4.0717868700836601E-2</v>
      </c>
      <c r="L1625" s="79">
        <v>0.37791856411061397</v>
      </c>
      <c r="M1625" s="79">
        <v>1</v>
      </c>
      <c r="N1625" s="102">
        <v>6.2628996246830507E-2</v>
      </c>
      <c r="O1625" s="79">
        <v>2.3896099169194E-2</v>
      </c>
      <c r="P1625" s="79">
        <v>8.8468419383445993E-3</v>
      </c>
      <c r="Q1625" s="79">
        <v>2.5315118654655001E-2</v>
      </c>
      <c r="R1625" s="79">
        <v>1</v>
      </c>
      <c r="S1625" s="107">
        <v>0.103148522568916</v>
      </c>
      <c r="T1625" s="81">
        <v>2.3366933296766899E-2</v>
      </c>
      <c r="U1625" s="81">
        <v>1.07618136469947E-5</v>
      </c>
      <c r="V1625" s="81">
        <v>1.2822623377948199E-4</v>
      </c>
      <c r="W1625" s="81">
        <v>1.8230512318008998E-2</v>
      </c>
    </row>
    <row r="1626" spans="2:23" x14ac:dyDescent="0.2">
      <c r="B1626" t="s">
        <v>235</v>
      </c>
      <c r="C1626" s="84">
        <v>1766</v>
      </c>
      <c r="D1626" s="102">
        <v>3.92114328237735E-4</v>
      </c>
      <c r="E1626" s="79">
        <v>1.45714550253369E-2</v>
      </c>
      <c r="F1626" s="79">
        <v>0.97853282957986498</v>
      </c>
      <c r="G1626" s="79">
        <v>0.99840985319461195</v>
      </c>
      <c r="H1626" s="79">
        <v>1</v>
      </c>
      <c r="I1626" s="102">
        <v>2.1156235206369001E-2</v>
      </c>
      <c r="J1626" s="79">
        <v>1.4496647559093899E-2</v>
      </c>
      <c r="K1626" s="79">
        <v>0.144524958461342</v>
      </c>
      <c r="L1626" s="79">
        <v>0.59040772609061598</v>
      </c>
      <c r="M1626" s="79">
        <v>1</v>
      </c>
      <c r="N1626" s="107">
        <v>8.6182122285658497E-2</v>
      </c>
      <c r="O1626" s="81">
        <v>1.4311221600708701E-2</v>
      </c>
      <c r="P1626" s="81">
        <v>1.85258758371973E-9</v>
      </c>
      <c r="Q1626" s="81">
        <v>4.6840050251062998E-8</v>
      </c>
      <c r="R1626" s="81">
        <v>3.1382833668212201E-6</v>
      </c>
      <c r="S1626" s="107">
        <v>0.103416013985254</v>
      </c>
      <c r="T1626" s="81">
        <v>1.4273965956376901E-2</v>
      </c>
      <c r="U1626" s="81">
        <v>5.0185409837734596E-13</v>
      </c>
      <c r="V1626" s="81">
        <v>1.2144869180731799E-10</v>
      </c>
      <c r="W1626" s="81">
        <v>8.5014084265122402E-10</v>
      </c>
    </row>
    <row r="1627" spans="2:23" x14ac:dyDescent="0.2">
      <c r="B1627" t="s">
        <v>237</v>
      </c>
      <c r="C1627" s="84">
        <v>1766</v>
      </c>
      <c r="D1627" s="102">
        <v>2.7938395879873799E-3</v>
      </c>
      <c r="E1627" s="79">
        <v>1.4579285874495499E-2</v>
      </c>
      <c r="F1627" s="79">
        <v>0.84803964474228499</v>
      </c>
      <c r="G1627" s="79">
        <v>0.99362338620020496</v>
      </c>
      <c r="H1627" s="79">
        <v>1</v>
      </c>
      <c r="I1627" s="102">
        <v>3.2018080640820401E-2</v>
      </c>
      <c r="J1627" s="79">
        <v>1.4497430997536099E-2</v>
      </c>
      <c r="K1627" s="79">
        <v>2.7255655920009E-2</v>
      </c>
      <c r="L1627" s="79">
        <v>0.31408898726867501</v>
      </c>
      <c r="M1627" s="79">
        <v>1</v>
      </c>
      <c r="N1627" s="107">
        <v>8.1849651930483602E-2</v>
      </c>
      <c r="O1627" s="81">
        <v>1.43229774677623E-2</v>
      </c>
      <c r="P1627" s="81">
        <v>1.1678401682723399E-8</v>
      </c>
      <c r="Q1627" s="81">
        <v>2.34383012019888E-7</v>
      </c>
      <c r="R1627" s="81">
        <v>1.9783212450533399E-5</v>
      </c>
      <c r="S1627" s="107">
        <v>0.10458088884673999</v>
      </c>
      <c r="T1627" s="81">
        <v>1.42774052142379E-2</v>
      </c>
      <c r="U1627" s="81">
        <v>2.7993744028749401E-13</v>
      </c>
      <c r="V1627" s="81">
        <v>8.05551938668542E-11</v>
      </c>
      <c r="W1627" s="81">
        <v>4.7421402384701497E-10</v>
      </c>
    </row>
    <row r="1628" spans="2:23" x14ac:dyDescent="0.2">
      <c r="B1628" t="s">
        <v>2581</v>
      </c>
      <c r="C1628" s="84">
        <v>5038</v>
      </c>
      <c r="D1628" s="102">
        <v>1.0128560804830504</v>
      </c>
      <c r="E1628" s="79">
        <v>7.9684955991750697E-2</v>
      </c>
      <c r="F1628" s="79">
        <v>0.87263839130832299</v>
      </c>
      <c r="G1628" s="79">
        <v>0.99362338620020496</v>
      </c>
      <c r="H1628" s="79">
        <v>1</v>
      </c>
      <c r="I1628" s="102">
        <v>1.1305709202547731</v>
      </c>
      <c r="J1628" s="79">
        <v>7.8861309273270605E-2</v>
      </c>
      <c r="K1628" s="79">
        <v>0.11966423463006901</v>
      </c>
      <c r="L1628" s="79">
        <v>0.55552266356551805</v>
      </c>
      <c r="M1628" s="79">
        <v>1</v>
      </c>
      <c r="N1628" s="102">
        <v>1.1375820111486568</v>
      </c>
      <c r="O1628" s="79">
        <v>7.7698925870515301E-2</v>
      </c>
      <c r="P1628" s="79">
        <v>9.7109441315119005E-2</v>
      </c>
      <c r="Q1628" s="79">
        <v>0.17037285006888001</v>
      </c>
      <c r="R1628" s="79">
        <v>1</v>
      </c>
      <c r="S1628" s="102">
        <v>1.2929296432454833</v>
      </c>
      <c r="T1628" s="79">
        <v>7.8963582123940806E-2</v>
      </c>
      <c r="U1628" s="79">
        <v>1.13979158198273E-3</v>
      </c>
      <c r="V1628" s="79">
        <v>5.01275231865726E-3</v>
      </c>
      <c r="W1628" s="79">
        <v>1</v>
      </c>
    </row>
    <row r="1629" spans="2:23" x14ac:dyDescent="0.2">
      <c r="B1629" t="s">
        <v>2582</v>
      </c>
      <c r="C1629" s="84">
        <v>5038</v>
      </c>
      <c r="D1629" s="102">
        <v>1.0548005823563296</v>
      </c>
      <c r="E1629" s="79">
        <v>5.93829760757437E-2</v>
      </c>
      <c r="F1629" s="79">
        <v>0.36895383218193201</v>
      </c>
      <c r="G1629" s="79">
        <v>0.89461055933914202</v>
      </c>
      <c r="H1629" s="79">
        <v>1</v>
      </c>
      <c r="I1629" s="102">
        <v>0.9425205800180031</v>
      </c>
      <c r="J1629" s="79">
        <v>5.8359916416081001E-2</v>
      </c>
      <c r="K1629" s="79">
        <v>0.31041460381835001</v>
      </c>
      <c r="L1629" s="79">
        <v>0.712776365212754</v>
      </c>
      <c r="M1629" s="79">
        <v>1</v>
      </c>
      <c r="N1629" s="102">
        <v>1.1751101345000419</v>
      </c>
      <c r="O1629" s="79">
        <v>5.8205804923978803E-2</v>
      </c>
      <c r="P1629" s="79">
        <v>5.5667818455038603E-3</v>
      </c>
      <c r="Q1629" s="79">
        <v>1.7479229391796001E-2</v>
      </c>
      <c r="R1629" s="79">
        <v>1</v>
      </c>
      <c r="S1629" s="102">
        <v>1.1614767400950188</v>
      </c>
      <c r="T1629" s="79">
        <v>5.8413647039934E-2</v>
      </c>
      <c r="U1629" s="79">
        <v>1.0388431275384E-2</v>
      </c>
      <c r="V1629" s="79">
        <v>2.91357658617558E-2</v>
      </c>
      <c r="W1629" s="79">
        <v>1</v>
      </c>
    </row>
    <row r="1630" spans="2:23" x14ac:dyDescent="0.2">
      <c r="B1630" t="s">
        <v>245</v>
      </c>
      <c r="C1630" s="84">
        <v>1766</v>
      </c>
      <c r="D1630" s="102">
        <v>-4.2844635739065898E-2</v>
      </c>
      <c r="E1630" s="79">
        <v>8.6106985756129698E-2</v>
      </c>
      <c r="F1630" s="79">
        <v>0.61957081617516896</v>
      </c>
      <c r="G1630" s="79">
        <v>0.95363864416447597</v>
      </c>
      <c r="H1630" s="79">
        <v>1</v>
      </c>
      <c r="I1630" s="102">
        <v>9.01471827418866E-2</v>
      </c>
      <c r="J1630" s="79">
        <v>7.5297744542561607E-2</v>
      </c>
      <c r="K1630" s="79">
        <v>0.23323777106944901</v>
      </c>
      <c r="L1630" s="79">
        <v>0.66141104862732303</v>
      </c>
      <c r="M1630" s="79">
        <v>1</v>
      </c>
      <c r="N1630" s="102">
        <v>8.0131883571317702E-2</v>
      </c>
      <c r="O1630" s="79">
        <v>8.5866177961480897E-2</v>
      </c>
      <c r="P1630" s="79">
        <v>0.35230765528137098</v>
      </c>
      <c r="Q1630" s="79">
        <v>0.46845303614336198</v>
      </c>
      <c r="R1630" s="79">
        <v>1</v>
      </c>
      <c r="S1630" s="102">
        <v>0.119498897959217</v>
      </c>
      <c r="T1630" s="79">
        <v>8.2926874321083699E-2</v>
      </c>
      <c r="U1630" s="79">
        <v>0.15181270178578701</v>
      </c>
      <c r="V1630" s="79">
        <v>0.246568280752755</v>
      </c>
      <c r="W1630" s="79">
        <v>1</v>
      </c>
    </row>
    <row r="1631" spans="2:23" x14ac:dyDescent="0.2">
      <c r="B1631" t="s">
        <v>2583</v>
      </c>
      <c r="C1631" s="84">
        <v>5038</v>
      </c>
      <c r="D1631" s="102">
        <v>0.99695817725406544</v>
      </c>
      <c r="E1631" s="79">
        <v>5.1867882094395801E-2</v>
      </c>
      <c r="F1631" s="79">
        <v>0.95316320548067202</v>
      </c>
      <c r="G1631" s="79">
        <v>0.99840985319461195</v>
      </c>
      <c r="H1631" s="79">
        <v>1</v>
      </c>
      <c r="I1631" s="102">
        <v>1.018691312919523</v>
      </c>
      <c r="J1631" s="79">
        <v>5.1537268367893803E-2</v>
      </c>
      <c r="K1631" s="79">
        <v>0.71934982603033804</v>
      </c>
      <c r="L1631" s="79">
        <v>0.91424734896672399</v>
      </c>
      <c r="M1631" s="79">
        <v>1</v>
      </c>
      <c r="N1631" s="102">
        <v>1.1862671932590203</v>
      </c>
      <c r="O1631" s="79">
        <v>5.1115240110610298E-2</v>
      </c>
      <c r="P1631" s="79">
        <v>8.3268372927502998E-4</v>
      </c>
      <c r="Q1631" s="79">
        <v>3.7907576599143398E-3</v>
      </c>
      <c r="R1631" s="79">
        <v>1</v>
      </c>
      <c r="S1631" s="107">
        <v>1.275826099509014</v>
      </c>
      <c r="T1631" s="81">
        <v>5.1723785783262997E-2</v>
      </c>
      <c r="U1631" s="81">
        <v>2.4830823646772299E-6</v>
      </c>
      <c r="V1631" s="81">
        <v>3.8947606720029901E-5</v>
      </c>
      <c r="W1631" s="81">
        <v>4.2063415257632304E-3</v>
      </c>
    </row>
    <row r="1632" spans="2:23" x14ac:dyDescent="0.2">
      <c r="B1632" t="s">
        <v>246</v>
      </c>
      <c r="C1632" s="84">
        <v>1766</v>
      </c>
      <c r="D1632" s="102">
        <v>1.9375907023982199E-2</v>
      </c>
      <c r="E1632" s="79">
        <v>6.1741963044615301E-2</v>
      </c>
      <c r="F1632" s="79">
        <v>0.75392315703653201</v>
      </c>
      <c r="G1632" s="79">
        <v>0.98006352001698205</v>
      </c>
      <c r="H1632" s="79">
        <v>1</v>
      </c>
      <c r="I1632" s="102">
        <v>6.6266393821013E-2</v>
      </c>
      <c r="J1632" s="79">
        <v>6.3718783181768698E-2</v>
      </c>
      <c r="K1632" s="79">
        <v>0.299369272819278</v>
      </c>
      <c r="L1632" s="79">
        <v>0.70600202719357597</v>
      </c>
      <c r="M1632" s="79">
        <v>1</v>
      </c>
      <c r="N1632" s="102">
        <v>-1.4689748077338799E-2</v>
      </c>
      <c r="O1632" s="79">
        <v>6.6197624775262698E-2</v>
      </c>
      <c r="P1632" s="79">
        <v>0.82457001463524504</v>
      </c>
      <c r="Q1632" s="79">
        <v>0.879610582362787</v>
      </c>
      <c r="R1632" s="79">
        <v>1</v>
      </c>
      <c r="S1632" s="102">
        <v>0.14102061632889801</v>
      </c>
      <c r="T1632" s="79">
        <v>6.3910377877566399E-2</v>
      </c>
      <c r="U1632" s="79">
        <v>2.82707975308743E-2</v>
      </c>
      <c r="V1632" s="79">
        <v>6.5693732534020693E-2</v>
      </c>
      <c r="W1632" s="79">
        <v>1</v>
      </c>
    </row>
    <row r="1633" spans="2:23" x14ac:dyDescent="0.2">
      <c r="B1633" t="s">
        <v>2584</v>
      </c>
      <c r="C1633" s="84">
        <v>5038</v>
      </c>
      <c r="D1633" s="102">
        <v>0.94131422918975272</v>
      </c>
      <c r="E1633" s="79">
        <v>7.41028035795534E-2</v>
      </c>
      <c r="F1633" s="79">
        <v>0.41442005387884501</v>
      </c>
      <c r="G1633" s="79">
        <v>0.89561567502544503</v>
      </c>
      <c r="H1633" s="79">
        <v>1</v>
      </c>
      <c r="I1633" s="102">
        <v>1.0926421161820399</v>
      </c>
      <c r="J1633" s="79">
        <v>7.3681613240243596E-2</v>
      </c>
      <c r="K1633" s="79">
        <v>0.22918782309047001</v>
      </c>
      <c r="L1633" s="79">
        <v>0.66141104862732303</v>
      </c>
      <c r="M1633" s="79">
        <v>1</v>
      </c>
      <c r="N1633" s="102">
        <v>1.2199036916422044</v>
      </c>
      <c r="O1633" s="79">
        <v>7.2742756485376106E-2</v>
      </c>
      <c r="P1633" s="79">
        <v>6.2849554094178304E-3</v>
      </c>
      <c r="Q1633" s="79">
        <v>1.9252648216191302E-2</v>
      </c>
      <c r="R1633" s="79">
        <v>1</v>
      </c>
      <c r="S1633" s="102">
        <v>1.3494349656471851</v>
      </c>
      <c r="T1633" s="79">
        <v>7.3859769335224396E-2</v>
      </c>
      <c r="U1633" s="79">
        <v>4.9600970211486102E-5</v>
      </c>
      <c r="V1633" s="79">
        <v>4.21059298469121E-4</v>
      </c>
      <c r="W1633" s="79">
        <v>8.4024043538257501E-2</v>
      </c>
    </row>
    <row r="1634" spans="2:23" x14ac:dyDescent="0.2">
      <c r="B1634" t="s">
        <v>247</v>
      </c>
      <c r="C1634" s="84">
        <v>1766</v>
      </c>
      <c r="D1634" s="102">
        <v>4.7872605919902597E-2</v>
      </c>
      <c r="E1634" s="79">
        <v>0.104062027952288</v>
      </c>
      <c r="F1634" s="79">
        <v>0.646345121125392</v>
      </c>
      <c r="G1634" s="79">
        <v>0.95767440062337605</v>
      </c>
      <c r="H1634" s="79">
        <v>1</v>
      </c>
      <c r="I1634" s="102">
        <v>7.4798650310385503E-2</v>
      </c>
      <c r="J1634" s="79">
        <v>9.6950578494908304E-2</v>
      </c>
      <c r="K1634" s="79">
        <v>0.441964501612572</v>
      </c>
      <c r="L1634" s="79">
        <v>0.792097226457534</v>
      </c>
      <c r="M1634" s="79">
        <v>1</v>
      </c>
      <c r="N1634" s="102">
        <v>-3.7704787266454702E-2</v>
      </c>
      <c r="O1634" s="79">
        <v>9.6020703736001106E-2</v>
      </c>
      <c r="P1634" s="79">
        <v>0.69527846508039104</v>
      </c>
      <c r="Q1634" s="79">
        <v>0.786774695956034</v>
      </c>
      <c r="R1634" s="79">
        <v>1</v>
      </c>
      <c r="S1634" s="102">
        <v>5.4904135976086003E-2</v>
      </c>
      <c r="T1634" s="79">
        <v>9.81541034818917E-2</v>
      </c>
      <c r="U1634" s="79">
        <v>0.57698739805885102</v>
      </c>
      <c r="V1634" s="79">
        <v>0.67090632707359399</v>
      </c>
      <c r="W1634" s="79">
        <v>1</v>
      </c>
    </row>
    <row r="1635" spans="2:23" x14ac:dyDescent="0.2">
      <c r="B1635" t="s">
        <v>2585</v>
      </c>
      <c r="C1635" s="84">
        <v>5038</v>
      </c>
      <c r="D1635" s="102">
        <v>1.002587711334173</v>
      </c>
      <c r="E1635" s="79">
        <v>8.3099213015258994E-2</v>
      </c>
      <c r="F1635" s="79">
        <v>0.97518994850766805</v>
      </c>
      <c r="G1635" s="79">
        <v>0.99840985319461195</v>
      </c>
      <c r="H1635" s="79">
        <v>1</v>
      </c>
      <c r="I1635" s="102">
        <v>1.1547555865513699</v>
      </c>
      <c r="J1635" s="79">
        <v>8.32250358402018E-2</v>
      </c>
      <c r="K1635" s="79">
        <v>8.3824964242420003E-2</v>
      </c>
      <c r="L1635" s="79">
        <v>0.48629962132417598</v>
      </c>
      <c r="M1635" s="79">
        <v>1</v>
      </c>
      <c r="N1635" s="102">
        <v>1.2441274959389523</v>
      </c>
      <c r="O1635" s="79">
        <v>8.20963063124001E-2</v>
      </c>
      <c r="P1635" s="79">
        <v>7.7976043877251398E-3</v>
      </c>
      <c r="Q1635" s="79">
        <v>2.2972420578793701E-2</v>
      </c>
      <c r="R1635" s="79">
        <v>1</v>
      </c>
      <c r="S1635" s="102">
        <v>1.2513318987231277</v>
      </c>
      <c r="T1635" s="79">
        <v>8.2531388021554505E-2</v>
      </c>
      <c r="U1635" s="79">
        <v>6.5947251600782502E-3</v>
      </c>
      <c r="V1635" s="79">
        <v>2.0020545557656901E-2</v>
      </c>
      <c r="W1635" s="79">
        <v>1</v>
      </c>
    </row>
    <row r="1636" spans="2:23" x14ac:dyDescent="0.2">
      <c r="B1636" t="s">
        <v>2586</v>
      </c>
      <c r="C1636" s="84">
        <v>5038</v>
      </c>
      <c r="D1636" s="102">
        <v>1.0132262201800599</v>
      </c>
      <c r="E1636" s="79">
        <v>6.7566958561599402E-2</v>
      </c>
      <c r="F1636" s="79">
        <v>0.84581053782859705</v>
      </c>
      <c r="G1636" s="79">
        <v>0.99362338620020496</v>
      </c>
      <c r="H1636" s="79">
        <v>1</v>
      </c>
      <c r="I1636" s="102">
        <v>1.1243602425019452</v>
      </c>
      <c r="J1636" s="79">
        <v>6.7223977021485401E-2</v>
      </c>
      <c r="K1636" s="79">
        <v>8.1222441107444102E-2</v>
      </c>
      <c r="L1636" s="79">
        <v>0.47941050604881602</v>
      </c>
      <c r="M1636" s="79">
        <v>1</v>
      </c>
      <c r="N1636" s="102">
        <v>1.1660937162773817</v>
      </c>
      <c r="O1636" s="79">
        <v>6.6157788353215397E-2</v>
      </c>
      <c r="P1636" s="79">
        <v>2.0199529435567101E-2</v>
      </c>
      <c r="Q1636" s="79">
        <v>4.88828612340724E-2</v>
      </c>
      <c r="R1636" s="79">
        <v>1</v>
      </c>
      <c r="S1636" s="107">
        <v>1.349238694878431</v>
      </c>
      <c r="T1636" s="81">
        <v>6.7378494456463697E-2</v>
      </c>
      <c r="U1636" s="81">
        <v>8.7630749907756392E-6</v>
      </c>
      <c r="V1636" s="81">
        <v>1.10780962943089E-4</v>
      </c>
      <c r="W1636" s="81">
        <v>1.4844649034373899E-2</v>
      </c>
    </row>
    <row r="1637" spans="2:23" x14ac:dyDescent="0.2">
      <c r="B1637" t="s">
        <v>2587</v>
      </c>
      <c r="C1637" s="84">
        <v>5038</v>
      </c>
      <c r="D1637" s="102">
        <v>1.096920600380177</v>
      </c>
      <c r="E1637" s="79">
        <v>7.2140465149385005E-2</v>
      </c>
      <c r="F1637" s="79">
        <v>0.19973217183431499</v>
      </c>
      <c r="G1637" s="79">
        <v>0.83003013605610498</v>
      </c>
      <c r="H1637" s="79">
        <v>1</v>
      </c>
      <c r="I1637" s="102">
        <v>1.0798157395737549</v>
      </c>
      <c r="J1637" s="79">
        <v>7.2002528327698406E-2</v>
      </c>
      <c r="K1637" s="79">
        <v>0.28619944436050099</v>
      </c>
      <c r="L1637" s="79">
        <v>0.70264037499520104</v>
      </c>
      <c r="M1637" s="79">
        <v>1</v>
      </c>
      <c r="N1637" s="102">
        <v>1.2547340406388223</v>
      </c>
      <c r="O1637" s="79">
        <v>7.0963219792403498E-2</v>
      </c>
      <c r="P1637" s="79">
        <v>1.3849756935111501E-3</v>
      </c>
      <c r="Q1637" s="79">
        <v>5.7082492725832896E-3</v>
      </c>
      <c r="R1637" s="79">
        <v>1</v>
      </c>
      <c r="S1637" s="107">
        <v>1.4008891841201707</v>
      </c>
      <c r="T1637" s="81">
        <v>7.2735749855334403E-2</v>
      </c>
      <c r="U1637" s="81">
        <v>3.5748431736980901E-6</v>
      </c>
      <c r="V1637" s="81">
        <v>5.2205037381418699E-5</v>
      </c>
      <c r="W1637" s="81">
        <v>6.0557843362445598E-3</v>
      </c>
    </row>
    <row r="1638" spans="2:23" x14ac:dyDescent="0.2">
      <c r="B1638" t="s">
        <v>2589</v>
      </c>
      <c r="C1638" s="84">
        <v>5038</v>
      </c>
      <c r="D1638" s="102">
        <v>0.97415475516524896</v>
      </c>
      <c r="E1638" s="79">
        <v>5.8539876956453102E-2</v>
      </c>
      <c r="F1638" s="79">
        <v>0.65465581813569595</v>
      </c>
      <c r="G1638" s="79">
        <v>0.95767440062337605</v>
      </c>
      <c r="H1638" s="79">
        <v>1</v>
      </c>
      <c r="I1638" s="102">
        <v>1.0260060433050981</v>
      </c>
      <c r="J1638" s="79">
        <v>5.8237560320601199E-2</v>
      </c>
      <c r="K1638" s="79">
        <v>0.65932646120176197</v>
      </c>
      <c r="L1638" s="79">
        <v>0.885724841614421</v>
      </c>
      <c r="M1638" s="79">
        <v>1</v>
      </c>
      <c r="N1638" s="102">
        <v>1.2105621279457193</v>
      </c>
      <c r="O1638" s="79">
        <v>5.7765076406215997E-2</v>
      </c>
      <c r="P1638" s="79">
        <v>9.3976732030742901E-4</v>
      </c>
      <c r="Q1638" s="79">
        <v>4.1862601473709703E-3</v>
      </c>
      <c r="R1638" s="79">
        <v>1</v>
      </c>
      <c r="S1638" s="102">
        <v>1.2764225403950651</v>
      </c>
      <c r="T1638" s="79">
        <v>5.8469729274998598E-2</v>
      </c>
      <c r="U1638" s="79">
        <v>2.99103926617149E-5</v>
      </c>
      <c r="V1638" s="79">
        <v>2.9119658143071902E-4</v>
      </c>
      <c r="W1638" s="79">
        <v>5.0668205168944998E-2</v>
      </c>
    </row>
    <row r="1639" spans="2:23" x14ac:dyDescent="0.2">
      <c r="B1639" t="s">
        <v>2590</v>
      </c>
      <c r="C1639" s="84">
        <v>5038</v>
      </c>
      <c r="D1639" s="102">
        <v>0.92773384185475816</v>
      </c>
      <c r="E1639" s="79">
        <v>6.4950325024310807E-2</v>
      </c>
      <c r="F1639" s="79">
        <v>0.24813601215298101</v>
      </c>
      <c r="G1639" s="79">
        <v>0.85990749347533801</v>
      </c>
      <c r="H1639" s="79">
        <v>1</v>
      </c>
      <c r="I1639" s="102">
        <v>1.0536829072678386</v>
      </c>
      <c r="J1639" s="79">
        <v>6.4299445046826498E-2</v>
      </c>
      <c r="K1639" s="79">
        <v>0.41607443297561902</v>
      </c>
      <c r="L1639" s="79">
        <v>0.77457601124515996</v>
      </c>
      <c r="M1639" s="79">
        <v>1</v>
      </c>
      <c r="N1639" s="107">
        <v>1.3176170536531135</v>
      </c>
      <c r="O1639" s="81">
        <v>6.39485603148542E-2</v>
      </c>
      <c r="P1639" s="81">
        <v>1.6088665952469401E-5</v>
      </c>
      <c r="Q1639" s="81">
        <v>1.4574438568707601E-4</v>
      </c>
      <c r="R1639" s="81">
        <v>2.7254200123483199E-2</v>
      </c>
      <c r="S1639" s="102">
        <v>1.2804724041677251</v>
      </c>
      <c r="T1639" s="79">
        <v>6.4390583991755998E-2</v>
      </c>
      <c r="U1639" s="79">
        <v>1.2327399155959601E-4</v>
      </c>
      <c r="V1639" s="79">
        <v>8.3530456680782305E-4</v>
      </c>
      <c r="W1639" s="79">
        <v>0.20882614170195599</v>
      </c>
    </row>
    <row r="1640" spans="2:23" x14ac:dyDescent="0.2">
      <c r="B1640" t="s">
        <v>252</v>
      </c>
      <c r="C1640" s="84">
        <v>1766</v>
      </c>
      <c r="D1640" s="102">
        <v>4.8267679231151502E-2</v>
      </c>
      <c r="E1640" s="79">
        <v>8.2834436359103397E-2</v>
      </c>
      <c r="F1640" s="79">
        <v>0.560967981371427</v>
      </c>
      <c r="G1640" s="79">
        <v>0.93167796111031398</v>
      </c>
      <c r="H1640" s="79">
        <v>1</v>
      </c>
      <c r="I1640" s="102">
        <v>2.6373636306624499E-2</v>
      </c>
      <c r="J1640" s="79">
        <v>7.3177824666606203E-2</v>
      </c>
      <c r="K1640" s="79">
        <v>0.71905146935112296</v>
      </c>
      <c r="L1640" s="79">
        <v>0.91424734896672399</v>
      </c>
      <c r="M1640" s="79">
        <v>1</v>
      </c>
      <c r="N1640" s="102">
        <v>-0.104286068381842</v>
      </c>
      <c r="O1640" s="79">
        <v>7.7869405761641794E-2</v>
      </c>
      <c r="P1640" s="79">
        <v>0.18246617780534299</v>
      </c>
      <c r="Q1640" s="79">
        <v>0.28074269319005601</v>
      </c>
      <c r="R1640" s="79">
        <v>1</v>
      </c>
      <c r="S1640" s="102">
        <v>2.4879150452114199E-2</v>
      </c>
      <c r="T1640" s="79">
        <v>7.75665723037091E-2</v>
      </c>
      <c r="U1640" s="79">
        <v>0.74883662006454499</v>
      </c>
      <c r="V1640" s="79">
        <v>0.80695243917896897</v>
      </c>
      <c r="W1640" s="79">
        <v>1</v>
      </c>
    </row>
    <row r="1641" spans="2:23" x14ac:dyDescent="0.2">
      <c r="B1641" t="s">
        <v>2591</v>
      </c>
      <c r="C1641" s="84">
        <v>5038</v>
      </c>
      <c r="D1641" s="102">
        <v>0.95635807618162438</v>
      </c>
      <c r="E1641" s="79">
        <v>6.8293963422743104E-2</v>
      </c>
      <c r="F1641" s="79">
        <v>0.51350217900529505</v>
      </c>
      <c r="G1641" s="79">
        <v>0.91752655785263504</v>
      </c>
      <c r="H1641" s="79">
        <v>1</v>
      </c>
      <c r="I1641" s="102">
        <v>1.0573940181541126</v>
      </c>
      <c r="J1641" s="79">
        <v>6.7863553395240001E-2</v>
      </c>
      <c r="K1641" s="79">
        <v>0.410879282360679</v>
      </c>
      <c r="L1641" s="79">
        <v>0.77250777393894599</v>
      </c>
      <c r="M1641" s="79">
        <v>1</v>
      </c>
      <c r="N1641" s="102">
        <v>1.1506211482820008</v>
      </c>
      <c r="O1641" s="79">
        <v>6.6991182878540501E-2</v>
      </c>
      <c r="P1641" s="79">
        <v>3.6230219669232198E-2</v>
      </c>
      <c r="Q1641" s="79">
        <v>7.7394693719646093E-2</v>
      </c>
      <c r="R1641" s="79">
        <v>1</v>
      </c>
      <c r="S1641" s="102">
        <v>1.2242698049383522</v>
      </c>
      <c r="T1641" s="79">
        <v>6.7845288056379793E-2</v>
      </c>
      <c r="U1641" s="79">
        <v>2.8595948530126202E-3</v>
      </c>
      <c r="V1641" s="79">
        <v>1.02630374597529E-2</v>
      </c>
      <c r="W1641" s="79">
        <v>1</v>
      </c>
    </row>
    <row r="1642" spans="2:23" x14ac:dyDescent="0.2">
      <c r="B1642" t="s">
        <v>253</v>
      </c>
      <c r="C1642" s="84">
        <v>5047</v>
      </c>
      <c r="D1642" s="102">
        <v>-0.12775266530731599</v>
      </c>
      <c r="E1642" s="79">
        <v>0.11407024775381901</v>
      </c>
      <c r="F1642" s="79">
        <v>0.26578419528957797</v>
      </c>
      <c r="G1642" s="79">
        <v>0.85990749347533801</v>
      </c>
      <c r="H1642" s="79">
        <v>1</v>
      </c>
      <c r="I1642" s="102">
        <v>-4.1766553657240899E-2</v>
      </c>
      <c r="J1642" s="79">
        <v>0.103999557585244</v>
      </c>
      <c r="K1642" s="79">
        <v>0.68900509905866503</v>
      </c>
      <c r="L1642" s="79">
        <v>0.89851781201337899</v>
      </c>
      <c r="M1642" s="79">
        <v>1</v>
      </c>
      <c r="N1642" s="102">
        <v>5.0894189850150998E-2</v>
      </c>
      <c r="O1642" s="79">
        <v>0.113767103597621</v>
      </c>
      <c r="P1642" s="79">
        <v>0.65571875934787704</v>
      </c>
      <c r="Q1642" s="79">
        <v>0.752056586550646</v>
      </c>
      <c r="R1642" s="79">
        <v>1</v>
      </c>
      <c r="S1642" s="102">
        <v>3.6632239733909402E-2</v>
      </c>
      <c r="T1642" s="79">
        <v>9.6005182216133397E-2</v>
      </c>
      <c r="U1642" s="79">
        <v>0.70372605903533603</v>
      </c>
      <c r="V1642" s="79">
        <v>0.76761876626262704</v>
      </c>
      <c r="W1642" s="79">
        <v>1</v>
      </c>
    </row>
    <row r="1643" spans="2:23" x14ac:dyDescent="0.2">
      <c r="B1643" t="s">
        <v>2592</v>
      </c>
      <c r="C1643" s="84">
        <v>5038</v>
      </c>
      <c r="D1643" s="102">
        <v>1.0295841889318333</v>
      </c>
      <c r="E1643" s="79">
        <v>4.60315949444874E-2</v>
      </c>
      <c r="F1643" s="79">
        <v>0.52649220173806399</v>
      </c>
      <c r="G1643" s="79">
        <v>0.92176676956083303</v>
      </c>
      <c r="H1643" s="79">
        <v>1</v>
      </c>
      <c r="I1643" s="102">
        <v>1.0637977352267933</v>
      </c>
      <c r="J1643" s="79">
        <v>4.5755361101232003E-2</v>
      </c>
      <c r="K1643" s="79">
        <v>0.17648702355982901</v>
      </c>
      <c r="L1643" s="79">
        <v>0.61396896490869202</v>
      </c>
      <c r="M1643" s="79">
        <v>1</v>
      </c>
      <c r="N1643" s="107">
        <v>1.2594157476403633</v>
      </c>
      <c r="O1643" s="81">
        <v>4.5406171536069198E-2</v>
      </c>
      <c r="P1643" s="81">
        <v>3.7811061927233201E-7</v>
      </c>
      <c r="Q1643" s="81">
        <v>5.4281304156553397E-6</v>
      </c>
      <c r="R1643" s="81">
        <v>6.4051938904733003E-4</v>
      </c>
      <c r="S1643" s="107">
        <v>1.2865900852036114</v>
      </c>
      <c r="T1643" s="81">
        <v>4.5906497578622397E-2</v>
      </c>
      <c r="U1643" s="81">
        <v>4.0348811506825197E-8</v>
      </c>
      <c r="V1643" s="81">
        <v>1.24274339441022E-6</v>
      </c>
      <c r="W1643" s="81">
        <v>6.8350886692561898E-5</v>
      </c>
    </row>
    <row r="1644" spans="2:23" x14ac:dyDescent="0.2">
      <c r="B1644" t="s">
        <v>2593</v>
      </c>
      <c r="C1644" s="84">
        <v>5038</v>
      </c>
      <c r="D1644" s="102">
        <v>1.0173261790027186</v>
      </c>
      <c r="E1644" s="79">
        <v>8.6261609516153498E-2</v>
      </c>
      <c r="F1644" s="79">
        <v>0.84215635737473205</v>
      </c>
      <c r="G1644" s="79">
        <v>0.99362338620020496</v>
      </c>
      <c r="H1644" s="79">
        <v>1</v>
      </c>
      <c r="I1644" s="102">
        <v>1.0694600319196539</v>
      </c>
      <c r="J1644" s="79">
        <v>8.5594206826836702E-2</v>
      </c>
      <c r="K1644" s="79">
        <v>0.43271099325608298</v>
      </c>
      <c r="L1644" s="79">
        <v>0.787353257693724</v>
      </c>
      <c r="M1644" s="79">
        <v>1</v>
      </c>
      <c r="N1644" s="102">
        <v>1.3359934238308946</v>
      </c>
      <c r="O1644" s="79">
        <v>8.4818769219046394E-2</v>
      </c>
      <c r="P1644" s="79">
        <v>6.3729422918752502E-4</v>
      </c>
      <c r="Q1644" s="79">
        <v>3.1022311041484698E-3</v>
      </c>
      <c r="R1644" s="79">
        <v>1</v>
      </c>
      <c r="S1644" s="102">
        <v>1.2571843936698277</v>
      </c>
      <c r="T1644" s="79">
        <v>8.5543605526494301E-2</v>
      </c>
      <c r="U1644" s="79">
        <v>7.4610858606325497E-3</v>
      </c>
      <c r="V1644" s="79">
        <v>2.22127934058199E-2</v>
      </c>
      <c r="W1644" s="79">
        <v>1</v>
      </c>
    </row>
    <row r="1645" spans="2:23" x14ac:dyDescent="0.2">
      <c r="B1645" t="s">
        <v>2594</v>
      </c>
      <c r="C1645" s="84">
        <v>5038</v>
      </c>
      <c r="D1645" s="102">
        <v>0.94146065152220471</v>
      </c>
      <c r="E1645" s="79">
        <v>6.6927255066934699E-2</v>
      </c>
      <c r="F1645" s="79">
        <v>0.36741938143526898</v>
      </c>
      <c r="G1645" s="79">
        <v>0.89461055933914202</v>
      </c>
      <c r="H1645" s="79">
        <v>1</v>
      </c>
      <c r="I1645" s="102">
        <v>0.96369623855126774</v>
      </c>
      <c r="J1645" s="79">
        <v>6.6387152859336995E-2</v>
      </c>
      <c r="K1645" s="79">
        <v>0.577512041965485</v>
      </c>
      <c r="L1645" s="79">
        <v>0.86249050978055197</v>
      </c>
      <c r="M1645" s="79">
        <v>1</v>
      </c>
      <c r="N1645" s="102">
        <v>1.1581788396541248</v>
      </c>
      <c r="O1645" s="79">
        <v>6.56367176353648E-2</v>
      </c>
      <c r="P1645" s="79">
        <v>2.5266960882331602E-2</v>
      </c>
      <c r="Q1645" s="79">
        <v>5.8313667213446503E-2</v>
      </c>
      <c r="R1645" s="79">
        <v>1</v>
      </c>
      <c r="S1645" s="102">
        <v>1.220266576577359</v>
      </c>
      <c r="T1645" s="79">
        <v>6.6526796256765205E-2</v>
      </c>
      <c r="U1645" s="79">
        <v>2.7686755642420601E-3</v>
      </c>
      <c r="V1645" s="79">
        <v>9.9578267639618898E-3</v>
      </c>
      <c r="W1645" s="79">
        <v>1</v>
      </c>
    </row>
    <row r="1646" spans="2:23" x14ac:dyDescent="0.2">
      <c r="B1646" t="s">
        <v>255</v>
      </c>
      <c r="C1646" s="84">
        <v>5047</v>
      </c>
      <c r="D1646" s="102">
        <v>7.4419620976570705E-2</v>
      </c>
      <c r="E1646" s="79">
        <v>0.11388917220712499</v>
      </c>
      <c r="F1646" s="79">
        <v>0.51520957061082195</v>
      </c>
      <c r="G1646" s="79">
        <v>0.91752655785263504</v>
      </c>
      <c r="H1646" s="79">
        <v>1</v>
      </c>
      <c r="I1646" s="102">
        <v>4.6501921590358999E-2</v>
      </c>
      <c r="J1646" s="79">
        <v>0.105466685907621</v>
      </c>
      <c r="K1646" s="79">
        <v>0.66044818466307997</v>
      </c>
      <c r="L1646" s="79">
        <v>0.88652870429418196</v>
      </c>
      <c r="M1646" s="79">
        <v>1</v>
      </c>
      <c r="N1646" s="102">
        <v>-0.116582673152026</v>
      </c>
      <c r="O1646" s="79">
        <v>9.8764061966657504E-2</v>
      </c>
      <c r="P1646" s="79">
        <v>0.241003100213731</v>
      </c>
      <c r="Q1646" s="79">
        <v>0.35103976935688802</v>
      </c>
      <c r="R1646" s="79">
        <v>1</v>
      </c>
      <c r="S1646" s="102">
        <v>-6.8007490137603696E-2</v>
      </c>
      <c r="T1646" s="79">
        <v>9.5276237784523099E-2</v>
      </c>
      <c r="U1646" s="79">
        <v>0.47727155517644099</v>
      </c>
      <c r="V1646" s="79">
        <v>0.59100732051819505</v>
      </c>
      <c r="W1646" s="79">
        <v>1</v>
      </c>
    </row>
    <row r="1647" spans="2:23" x14ac:dyDescent="0.2">
      <c r="B1647" t="s">
        <v>239</v>
      </c>
      <c r="C1647" s="84">
        <v>1766</v>
      </c>
      <c r="D1647" s="102">
        <v>-2.36881287832038E-2</v>
      </c>
      <c r="E1647" s="79">
        <v>6.2251598330422202E-2</v>
      </c>
      <c r="F1647" s="79">
        <v>0.70382946276784097</v>
      </c>
      <c r="G1647" s="79">
        <v>0.97091784196150099</v>
      </c>
      <c r="H1647" s="79">
        <v>1</v>
      </c>
      <c r="I1647" s="102">
        <v>-3.2270470554325602E-2</v>
      </c>
      <c r="J1647" s="79">
        <v>5.8390513706559601E-2</v>
      </c>
      <c r="K1647" s="79">
        <v>0.580908410744432</v>
      </c>
      <c r="L1647" s="79">
        <v>0.86396738173930498</v>
      </c>
      <c r="M1647" s="79">
        <v>1</v>
      </c>
      <c r="N1647" s="102">
        <v>0.108390993936174</v>
      </c>
      <c r="O1647" s="79">
        <v>6.1424369604639303E-2</v>
      </c>
      <c r="P1647" s="79">
        <v>7.8648323171287199E-2</v>
      </c>
      <c r="Q1647" s="79">
        <v>0.14450136600017399</v>
      </c>
      <c r="R1647" s="79">
        <v>1</v>
      </c>
      <c r="S1647" s="102">
        <v>0.17827168136756999</v>
      </c>
      <c r="T1647" s="79">
        <v>5.8605573209509897E-2</v>
      </c>
      <c r="U1647" s="79">
        <v>2.5601241037282799E-3</v>
      </c>
      <c r="V1647" s="79">
        <v>9.4074842336566294E-3</v>
      </c>
      <c r="W1647" s="79">
        <v>1</v>
      </c>
    </row>
    <row r="1648" spans="2:23" x14ac:dyDescent="0.2">
      <c r="B1648" t="s">
        <v>2595</v>
      </c>
      <c r="C1648" s="84">
        <v>5038</v>
      </c>
      <c r="D1648" s="102">
        <v>0.94352574425235314</v>
      </c>
      <c r="E1648" s="79">
        <v>6.6633484814881599E-2</v>
      </c>
      <c r="F1648" s="79">
        <v>0.38298548240841301</v>
      </c>
      <c r="G1648" s="79">
        <v>0.89461055933914202</v>
      </c>
      <c r="H1648" s="79">
        <v>1</v>
      </c>
      <c r="I1648" s="102">
        <v>1.0690421111230475</v>
      </c>
      <c r="J1648" s="79">
        <v>6.6727471965215904E-2</v>
      </c>
      <c r="K1648" s="79">
        <v>0.31705273319796801</v>
      </c>
      <c r="L1648" s="79">
        <v>0.71421187504967798</v>
      </c>
      <c r="M1648" s="79">
        <v>1</v>
      </c>
      <c r="N1648" s="102">
        <v>1.1134840033218329</v>
      </c>
      <c r="O1648" s="79">
        <v>6.5990020402016097E-2</v>
      </c>
      <c r="P1648" s="79">
        <v>0.10332553625662</v>
      </c>
      <c r="Q1648" s="79">
        <v>0.17943729610134801</v>
      </c>
      <c r="R1648" s="79">
        <v>1</v>
      </c>
      <c r="S1648" s="102">
        <v>1.2662091012738115</v>
      </c>
      <c r="T1648" s="79">
        <v>6.6903398537558195E-2</v>
      </c>
      <c r="U1648" s="79">
        <v>4.1889455583310502E-4</v>
      </c>
      <c r="V1648" s="79">
        <v>2.2743826204528199E-3</v>
      </c>
      <c r="W1648" s="79">
        <v>0.70960737758128001</v>
      </c>
    </row>
    <row r="1649" spans="2:24" x14ac:dyDescent="0.2">
      <c r="B1649" t="s">
        <v>2596</v>
      </c>
      <c r="C1649" s="84">
        <v>5038</v>
      </c>
      <c r="D1649" s="102">
        <v>1.1348744857203759</v>
      </c>
      <c r="E1649" s="79">
        <v>7.5057628530627293E-2</v>
      </c>
      <c r="F1649" s="79">
        <v>9.1860233605221997E-2</v>
      </c>
      <c r="G1649" s="79">
        <v>0.76096109653042898</v>
      </c>
      <c r="H1649" s="79">
        <v>1</v>
      </c>
      <c r="I1649" s="102">
        <v>1.0374497876783297</v>
      </c>
      <c r="J1649" s="79">
        <v>7.4114013243617105E-2</v>
      </c>
      <c r="K1649" s="79">
        <v>0.61984658569292495</v>
      </c>
      <c r="L1649" s="79">
        <v>0.87748013759880805</v>
      </c>
      <c r="M1649" s="79">
        <v>1</v>
      </c>
      <c r="N1649" s="102">
        <v>1.1855372843969467</v>
      </c>
      <c r="O1649" s="79">
        <v>7.3424543116401605E-2</v>
      </c>
      <c r="P1649" s="79">
        <v>2.0450812250354E-2</v>
      </c>
      <c r="Q1649" s="79">
        <v>4.9349965743731697E-2</v>
      </c>
      <c r="R1649" s="79">
        <v>1</v>
      </c>
      <c r="S1649" s="102">
        <v>1.2649489332267279</v>
      </c>
      <c r="T1649" s="79">
        <v>7.3880760898168196E-2</v>
      </c>
      <c r="U1649" s="79">
        <v>1.4665074362582599E-3</v>
      </c>
      <c r="V1649" s="79">
        <v>6.1188758547327396E-3</v>
      </c>
      <c r="W1649" s="79">
        <v>1</v>
      </c>
    </row>
    <row r="1650" spans="2:24" x14ac:dyDescent="0.2">
      <c r="B1650" t="s">
        <v>2597</v>
      </c>
      <c r="C1650" s="84">
        <v>5038</v>
      </c>
      <c r="D1650" s="102">
        <v>1.186055181092418</v>
      </c>
      <c r="E1650" s="79">
        <v>0.102586451593012</v>
      </c>
      <c r="F1650" s="79">
        <v>9.6250874359449498E-2</v>
      </c>
      <c r="G1650" s="79">
        <v>0.769098967758997</v>
      </c>
      <c r="H1650" s="79">
        <v>1</v>
      </c>
      <c r="I1650" s="102">
        <v>1.198768577120654</v>
      </c>
      <c r="J1650" s="79">
        <v>0.102299352036094</v>
      </c>
      <c r="K1650" s="79">
        <v>7.6361473133806299E-2</v>
      </c>
      <c r="L1650" s="79">
        <v>0.46226633181563198</v>
      </c>
      <c r="M1650" s="79">
        <v>1</v>
      </c>
      <c r="N1650" s="102">
        <v>1.3676562808440367</v>
      </c>
      <c r="O1650" s="79">
        <v>0.100505536369884</v>
      </c>
      <c r="P1650" s="79">
        <v>1.8379738430709699E-3</v>
      </c>
      <c r="Q1650" s="79">
        <v>7.0441802944846699E-3</v>
      </c>
      <c r="R1650" s="79">
        <v>1</v>
      </c>
      <c r="S1650" s="102">
        <v>1.2868091008168927</v>
      </c>
      <c r="T1650" s="79">
        <v>0.10159612802212301</v>
      </c>
      <c r="U1650" s="79">
        <v>1.3063284420004E-2</v>
      </c>
      <c r="V1650" s="79">
        <v>3.4522938857233697E-2</v>
      </c>
      <c r="W1650" s="79">
        <v>1</v>
      </c>
    </row>
    <row r="1651" spans="2:24" x14ac:dyDescent="0.2">
      <c r="B1651" t="s">
        <v>2598</v>
      </c>
      <c r="C1651" s="84">
        <v>5038</v>
      </c>
      <c r="D1651" s="102">
        <v>0.92642189006233389</v>
      </c>
      <c r="E1651" s="79">
        <v>4.7536677355197003E-2</v>
      </c>
      <c r="F1651" s="79">
        <v>0.10789708619426901</v>
      </c>
      <c r="G1651" s="79">
        <v>0.80938271582532695</v>
      </c>
      <c r="H1651" s="79">
        <v>1</v>
      </c>
      <c r="I1651" s="102">
        <v>1.0356761267696919</v>
      </c>
      <c r="J1651" s="79">
        <v>4.7028100079986701E-2</v>
      </c>
      <c r="K1651" s="79">
        <v>0.45603341086561699</v>
      </c>
      <c r="L1651" s="79">
        <v>0.79746066051088205</v>
      </c>
      <c r="M1651" s="79">
        <v>1</v>
      </c>
      <c r="N1651" s="102">
        <v>1.2035890435418273</v>
      </c>
      <c r="O1651" s="79">
        <v>4.6815116229440797E-2</v>
      </c>
      <c r="P1651" s="79">
        <v>7.5487215456861707E-5</v>
      </c>
      <c r="Q1651" s="79">
        <v>5.3955840921486803E-4</v>
      </c>
      <c r="R1651" s="79">
        <v>0.127875342983924</v>
      </c>
      <c r="S1651" s="107">
        <v>1.2509076581204237</v>
      </c>
      <c r="T1651" s="81">
        <v>4.7318860150644203E-2</v>
      </c>
      <c r="U1651" s="81">
        <v>2.2332612301946901E-6</v>
      </c>
      <c r="V1651" s="81">
        <v>3.6029947847141002E-5</v>
      </c>
      <c r="W1651" s="81">
        <v>3.7831445239498002E-3</v>
      </c>
    </row>
    <row r="1652" spans="2:24" x14ac:dyDescent="0.2">
      <c r="B1652" t="s">
        <v>242</v>
      </c>
      <c r="C1652" s="84">
        <v>1766</v>
      </c>
      <c r="D1652" s="102">
        <v>-5.0903293741689899E-2</v>
      </c>
      <c r="E1652" s="79">
        <v>7.0922203414957904E-2</v>
      </c>
      <c r="F1652" s="79">
        <v>0.47357345567250902</v>
      </c>
      <c r="G1652" s="79">
        <v>0.91151047511105199</v>
      </c>
      <c r="H1652" s="79">
        <v>1</v>
      </c>
      <c r="I1652" s="102">
        <v>2.2742408317493801E-2</v>
      </c>
      <c r="J1652" s="79">
        <v>6.0659771725107101E-2</v>
      </c>
      <c r="K1652" s="79">
        <v>0.70802836021200599</v>
      </c>
      <c r="L1652" s="79">
        <v>0.909325278392068</v>
      </c>
      <c r="M1652" s="79">
        <v>1</v>
      </c>
      <c r="N1652" s="102">
        <v>9.12249378656525E-2</v>
      </c>
      <c r="O1652" s="79">
        <v>6.0700815470854597E-2</v>
      </c>
      <c r="P1652" s="79">
        <v>0.134092170181182</v>
      </c>
      <c r="Q1652" s="79">
        <v>0.219586492639922</v>
      </c>
      <c r="R1652" s="79">
        <v>1</v>
      </c>
      <c r="S1652" s="102">
        <v>1.77760819626318E-2</v>
      </c>
      <c r="T1652" s="79">
        <v>6.2857008300357495E-2</v>
      </c>
      <c r="U1652" s="79">
        <v>0.77755533142415501</v>
      </c>
      <c r="V1652" s="79">
        <v>0.83207753091125602</v>
      </c>
      <c r="W1652" s="79">
        <v>1</v>
      </c>
    </row>
    <row r="1653" spans="2:24" x14ac:dyDescent="0.2">
      <c r="B1653" t="s">
        <v>2599</v>
      </c>
      <c r="C1653" s="84">
        <v>5038</v>
      </c>
      <c r="D1653" s="102">
        <v>1.0265268406260459</v>
      </c>
      <c r="E1653" s="79">
        <v>8.7639138523517901E-2</v>
      </c>
      <c r="F1653" s="79">
        <v>0.76514027493155801</v>
      </c>
      <c r="G1653" s="79">
        <v>0.98333051768739199</v>
      </c>
      <c r="H1653" s="79">
        <v>1</v>
      </c>
      <c r="I1653" s="102">
        <v>0.94533849619563726</v>
      </c>
      <c r="J1653" s="79">
        <v>8.7720743401240406E-2</v>
      </c>
      <c r="K1653" s="79">
        <v>0.52164695716888598</v>
      </c>
      <c r="L1653" s="79">
        <v>0.83522679153505996</v>
      </c>
      <c r="M1653" s="79">
        <v>1</v>
      </c>
      <c r="N1653" s="102">
        <v>1.2396835700570605</v>
      </c>
      <c r="O1653" s="79">
        <v>8.6191638164930806E-2</v>
      </c>
      <c r="P1653" s="79">
        <v>1.2674996165992001E-2</v>
      </c>
      <c r="Q1653" s="79">
        <v>3.3760131297469298E-2</v>
      </c>
      <c r="R1653" s="79">
        <v>1</v>
      </c>
      <c r="S1653" s="102">
        <v>1.2021147092711391</v>
      </c>
      <c r="T1653" s="79">
        <v>8.7262263696421899E-2</v>
      </c>
      <c r="U1653" s="79">
        <v>3.4898957708038601E-2</v>
      </c>
      <c r="V1653" s="79">
        <v>7.7685721888853296E-2</v>
      </c>
      <c r="W1653" s="79">
        <v>1</v>
      </c>
    </row>
    <row r="1654" spans="2:24" x14ac:dyDescent="0.2">
      <c r="B1654" t="s">
        <v>2600</v>
      </c>
      <c r="C1654" s="84">
        <v>5038</v>
      </c>
      <c r="D1654" s="102">
        <v>1.0484197502327202</v>
      </c>
      <c r="E1654" s="79">
        <v>5.1089715821062899E-2</v>
      </c>
      <c r="F1654" s="79">
        <v>0.35470080807936399</v>
      </c>
      <c r="G1654" s="79">
        <v>0.89461055933914202</v>
      </c>
      <c r="H1654" s="79">
        <v>1</v>
      </c>
      <c r="I1654" s="102">
        <v>1.0665854444237641</v>
      </c>
      <c r="J1654" s="79">
        <v>5.0605453951740001E-2</v>
      </c>
      <c r="K1654" s="79">
        <v>0.20272628360075401</v>
      </c>
      <c r="L1654" s="79">
        <v>0.64310547644134297</v>
      </c>
      <c r="M1654" s="79">
        <v>1</v>
      </c>
      <c r="N1654" s="107">
        <v>1.2442593743060908</v>
      </c>
      <c r="O1654" s="81">
        <v>5.0393296803987297E-2</v>
      </c>
      <c r="P1654" s="81">
        <v>1.4463961418128699E-5</v>
      </c>
      <c r="Q1654" s="81">
        <v>1.34626102430275E-4</v>
      </c>
      <c r="R1654" s="81">
        <v>2.4501950642309998E-2</v>
      </c>
      <c r="S1654" s="107">
        <v>1.3251932279472849</v>
      </c>
      <c r="T1654" s="81">
        <v>5.1064564563303001E-2</v>
      </c>
      <c r="U1654" s="81">
        <v>3.5122687043786699E-8</v>
      </c>
      <c r="V1654" s="81">
        <v>1.1226006009844301E-6</v>
      </c>
      <c r="W1654" s="81">
        <v>5.9497831852174698E-5</v>
      </c>
      <c r="X1654" s="51"/>
    </row>
    <row r="1655" spans="2:24" x14ac:dyDescent="0.2">
      <c r="B1655" t="s">
        <v>243</v>
      </c>
      <c r="C1655" s="84">
        <v>1766</v>
      </c>
      <c r="D1655" s="102">
        <v>-4.8038133468821902E-2</v>
      </c>
      <c r="E1655" s="79">
        <v>5.4374283582445698E-2</v>
      </c>
      <c r="F1655" s="79">
        <v>0.37759913337094297</v>
      </c>
      <c r="G1655" s="79">
        <v>0.89461055933914202</v>
      </c>
      <c r="H1655" s="79">
        <v>1</v>
      </c>
      <c r="I1655" s="102">
        <v>0.162222874075475</v>
      </c>
      <c r="J1655" s="79">
        <v>5.2100155241515102E-2</v>
      </c>
      <c r="K1655" s="79">
        <v>2.0032800619275101E-3</v>
      </c>
      <c r="L1655" s="79">
        <v>0.113986182531366</v>
      </c>
      <c r="M1655" s="79">
        <v>1</v>
      </c>
      <c r="N1655" s="102">
        <v>2.60583647983701E-2</v>
      </c>
      <c r="O1655" s="79">
        <v>5.3585569643001603E-2</v>
      </c>
      <c r="P1655" s="79">
        <v>0.62707292817850502</v>
      </c>
      <c r="Q1655" s="79">
        <v>0.72707839858616496</v>
      </c>
      <c r="R1655" s="79">
        <v>1</v>
      </c>
      <c r="S1655" s="102">
        <v>0.106872570908483</v>
      </c>
      <c r="T1655" s="79">
        <v>5.2214984327228799E-2</v>
      </c>
      <c r="U1655" s="79">
        <v>4.1462076238029499E-2</v>
      </c>
      <c r="V1655" s="79">
        <v>8.8237132094500001E-2</v>
      </c>
      <c r="W1655" s="79">
        <v>1</v>
      </c>
    </row>
    <row r="1656" spans="2:24" x14ac:dyDescent="0.2">
      <c r="B1656" t="s">
        <v>2601</v>
      </c>
      <c r="C1656" s="84">
        <v>5038</v>
      </c>
      <c r="D1656" s="102">
        <v>0.95627386122741032</v>
      </c>
      <c r="E1656" s="79">
        <v>6.4564957241309701E-2</v>
      </c>
      <c r="F1656" s="79">
        <v>0.48862622172294201</v>
      </c>
      <c r="G1656" s="79">
        <v>0.91678121217168596</v>
      </c>
      <c r="H1656" s="79">
        <v>1</v>
      </c>
      <c r="I1656" s="102">
        <v>1.0168286802532536</v>
      </c>
      <c r="J1656" s="79">
        <v>6.4348270332049803E-2</v>
      </c>
      <c r="K1656" s="79">
        <v>0.79536612784620897</v>
      </c>
      <c r="L1656" s="79">
        <v>0.93608823952815601</v>
      </c>
      <c r="M1656" s="79">
        <v>1</v>
      </c>
      <c r="N1656" s="107">
        <v>1.3071609972323517</v>
      </c>
      <c r="O1656" s="81">
        <v>6.3654358005726802E-2</v>
      </c>
      <c r="P1656" s="81">
        <v>2.5763962564729299E-5</v>
      </c>
      <c r="Q1656" s="81">
        <v>2.11864818372094E-4</v>
      </c>
      <c r="R1656" s="81">
        <v>4.3644152584651402E-2</v>
      </c>
      <c r="S1656" s="102">
        <v>1.1639870983643674</v>
      </c>
      <c r="T1656" s="79">
        <v>6.4079247655990698E-2</v>
      </c>
      <c r="U1656" s="79">
        <v>1.78005161045546E-2</v>
      </c>
      <c r="V1656" s="79">
        <v>4.4872134346898102E-2</v>
      </c>
      <c r="W1656" s="79">
        <v>1</v>
      </c>
    </row>
    <row r="1657" spans="2:24" x14ac:dyDescent="0.2">
      <c r="B1657" t="s">
        <v>244</v>
      </c>
      <c r="C1657" s="84">
        <v>1766</v>
      </c>
      <c r="D1657" s="102">
        <v>3.9320747738154797E-2</v>
      </c>
      <c r="E1657" s="79">
        <v>8.4209990498160206E-2</v>
      </c>
      <c r="F1657" s="79">
        <v>0.64119915757705603</v>
      </c>
      <c r="G1657" s="79">
        <v>0.95767440062337605</v>
      </c>
      <c r="H1657" s="79">
        <v>1</v>
      </c>
      <c r="I1657" s="102">
        <v>1.7710359158488401E-2</v>
      </c>
      <c r="J1657" s="79">
        <v>7.1577777954489497E-2</v>
      </c>
      <c r="K1657" s="79">
        <v>0.80490216294393302</v>
      </c>
      <c r="L1657" s="79">
        <v>0.94164659117888305</v>
      </c>
      <c r="M1657" s="79">
        <v>1</v>
      </c>
      <c r="N1657" s="102">
        <v>0.143888233418033</v>
      </c>
      <c r="O1657" s="79">
        <v>7.7711753387960297E-2</v>
      </c>
      <c r="P1657" s="79">
        <v>6.5914885984476798E-2</v>
      </c>
      <c r="Q1657" s="79">
        <v>0.12711047821169799</v>
      </c>
      <c r="R1657" s="79">
        <v>1</v>
      </c>
      <c r="S1657" s="102">
        <v>0.14814310215263399</v>
      </c>
      <c r="T1657" s="79">
        <v>7.1488933551954306E-2</v>
      </c>
      <c r="U1657" s="79">
        <v>3.9843754976133301E-2</v>
      </c>
      <c r="V1657" s="79">
        <v>8.6117383126179406E-2</v>
      </c>
      <c r="W1657" s="79">
        <v>1</v>
      </c>
    </row>
    <row r="1658" spans="2:24" x14ac:dyDescent="0.2">
      <c r="B1658" t="s">
        <v>308</v>
      </c>
      <c r="C1658" s="84">
        <v>372</v>
      </c>
      <c r="D1658" s="102">
        <v>-2.8191735633845199E-6</v>
      </c>
      <c r="E1658" s="79">
        <v>1.36389762991157E-2</v>
      </c>
      <c r="F1658" s="79">
        <v>0.99983508610455496</v>
      </c>
      <c r="G1658" s="79">
        <v>0.99983508610455496</v>
      </c>
      <c r="H1658" s="79">
        <v>1</v>
      </c>
      <c r="I1658" s="102">
        <v>6.8393642218695398E-3</v>
      </c>
      <c r="J1658" s="79">
        <v>1.35740573621791E-2</v>
      </c>
      <c r="K1658" s="79">
        <v>0.61438678766100296</v>
      </c>
      <c r="L1658" s="79">
        <v>0.87455910458575803</v>
      </c>
      <c r="M1658" s="79">
        <v>1</v>
      </c>
      <c r="N1658" s="102">
        <v>8.3813831792887202E-3</v>
      </c>
      <c r="O1658" s="79">
        <v>1.34585489945838E-2</v>
      </c>
      <c r="P1658" s="79">
        <v>0.53347553527963498</v>
      </c>
      <c r="Q1658" s="79">
        <v>0.64642886749907202</v>
      </c>
      <c r="R1658" s="79">
        <v>1</v>
      </c>
      <c r="S1658" s="102">
        <v>9.2151545715660095E-3</v>
      </c>
      <c r="T1658" s="79">
        <v>1.34365731429385E-2</v>
      </c>
      <c r="U1658" s="79">
        <v>0.49285657384781301</v>
      </c>
      <c r="V1658" s="79">
        <v>0.60064678855985298</v>
      </c>
      <c r="W1658" s="79">
        <v>1</v>
      </c>
    </row>
    <row r="1659" spans="2:24" x14ac:dyDescent="0.2">
      <c r="B1659" t="s">
        <v>310</v>
      </c>
      <c r="C1659" s="84">
        <v>366</v>
      </c>
      <c r="D1659" s="102">
        <v>1.95108122133195E-2</v>
      </c>
      <c r="E1659" s="79">
        <v>1.3653641245091899E-2</v>
      </c>
      <c r="F1659" s="79">
        <v>0.15307468253523601</v>
      </c>
      <c r="G1659" s="79">
        <v>0.80938271582532695</v>
      </c>
      <c r="H1659" s="79">
        <v>1</v>
      </c>
      <c r="I1659" s="102">
        <v>8.1994145785085504E-3</v>
      </c>
      <c r="J1659" s="79">
        <v>1.3569139232393701E-2</v>
      </c>
      <c r="K1659" s="79">
        <v>0.54569378115854905</v>
      </c>
      <c r="L1659" s="79">
        <v>0.85041882730688301</v>
      </c>
      <c r="M1659" s="79">
        <v>1</v>
      </c>
      <c r="N1659" s="102">
        <v>1.22267004583601E-2</v>
      </c>
      <c r="O1659" s="79">
        <v>1.34607895663414E-2</v>
      </c>
      <c r="P1659" s="79">
        <v>0.36375560323387901</v>
      </c>
      <c r="Q1659" s="79">
        <v>0.48049007686307299</v>
      </c>
      <c r="R1659" s="79">
        <v>1</v>
      </c>
      <c r="S1659" s="102">
        <v>5.5684099491880301E-3</v>
      </c>
      <c r="T1659" s="79">
        <v>1.3439925058630099E-2</v>
      </c>
      <c r="U1659" s="79">
        <v>0.67865960119216395</v>
      </c>
      <c r="V1659" s="79">
        <v>0.74701063315108895</v>
      </c>
      <c r="W1659" s="79">
        <v>1</v>
      </c>
    </row>
    <row r="1660" spans="2:24" x14ac:dyDescent="0.2">
      <c r="B1660" t="s">
        <v>309</v>
      </c>
      <c r="C1660" s="84">
        <v>366</v>
      </c>
      <c r="D1660" s="102">
        <v>-1.30963554032913E-2</v>
      </c>
      <c r="E1660" s="79">
        <v>1.368681467874E-2</v>
      </c>
      <c r="F1660" s="79">
        <v>0.33868651488331902</v>
      </c>
      <c r="G1660" s="79">
        <v>0.88889892785277203</v>
      </c>
      <c r="H1660" s="79">
        <v>1</v>
      </c>
      <c r="I1660" s="102">
        <v>-1.38142227827379E-2</v>
      </c>
      <c r="J1660" s="79">
        <v>1.36196590568735E-2</v>
      </c>
      <c r="K1660" s="79">
        <v>0.31049866808905502</v>
      </c>
      <c r="L1660" s="79">
        <v>0.712776365212754</v>
      </c>
      <c r="M1660" s="79">
        <v>1</v>
      </c>
      <c r="N1660" s="102">
        <v>-9.5801065371209707E-3</v>
      </c>
      <c r="O1660" s="79">
        <v>1.3506057386520699E-2</v>
      </c>
      <c r="P1660" s="79">
        <v>0.47816118705015098</v>
      </c>
      <c r="Q1660" s="79">
        <v>0.59646910961926103</v>
      </c>
      <c r="R1660" s="79">
        <v>1</v>
      </c>
      <c r="S1660" s="102">
        <v>-5.9091391837328196E-3</v>
      </c>
      <c r="T1660" s="79">
        <v>1.3491571093420701E-2</v>
      </c>
      <c r="U1660" s="79">
        <v>0.66141526675942997</v>
      </c>
      <c r="V1660" s="79">
        <v>0.73375079364143703</v>
      </c>
      <c r="W1660" s="79">
        <v>1</v>
      </c>
    </row>
    <row r="1661" spans="2:24" x14ac:dyDescent="0.2">
      <c r="B1661" t="s">
        <v>311</v>
      </c>
      <c r="C1661" s="84">
        <v>372</v>
      </c>
      <c r="D1661" s="102">
        <v>-1.48663113312112E-3</v>
      </c>
      <c r="E1661" s="79">
        <v>1.35257522542422E-2</v>
      </c>
      <c r="F1661" s="79">
        <v>0.91248445933962197</v>
      </c>
      <c r="G1661" s="79">
        <v>0.99533029194181499</v>
      </c>
      <c r="H1661" s="79">
        <v>1</v>
      </c>
      <c r="I1661" s="102">
        <v>-2.6159359779672799E-2</v>
      </c>
      <c r="J1661" s="79">
        <v>1.34190035957988E-2</v>
      </c>
      <c r="K1661" s="79">
        <v>5.13040583561271E-2</v>
      </c>
      <c r="L1661" s="79">
        <v>0.40662098777829397</v>
      </c>
      <c r="M1661" s="79">
        <v>1</v>
      </c>
      <c r="N1661" s="102">
        <v>1.2415050847589201E-2</v>
      </c>
      <c r="O1661" s="79">
        <v>1.3315760935862401E-2</v>
      </c>
      <c r="P1661" s="79">
        <v>0.351199566667173</v>
      </c>
      <c r="Q1661" s="79">
        <v>0.46820578506191002</v>
      </c>
      <c r="R1661" s="79">
        <v>1</v>
      </c>
      <c r="S1661" s="102">
        <v>-6.0389403562013701E-3</v>
      </c>
      <c r="T1661" s="79">
        <v>1.3295683893847001E-2</v>
      </c>
      <c r="U1661" s="79">
        <v>0.64970352319955305</v>
      </c>
      <c r="V1661" s="79">
        <v>0.72265119389365895</v>
      </c>
      <c r="W1661" s="79">
        <v>1</v>
      </c>
    </row>
    <row r="1662" spans="2:24" x14ac:dyDescent="0.2">
      <c r="B1662" t="s">
        <v>1164</v>
      </c>
      <c r="C1662" s="84">
        <v>5022</v>
      </c>
      <c r="D1662" s="102">
        <v>-8.1697607481269006E-3</v>
      </c>
      <c r="E1662" s="79">
        <v>1.4579554097344001E-2</v>
      </c>
      <c r="F1662" s="79">
        <v>0.57526177541425205</v>
      </c>
      <c r="G1662" s="79">
        <v>0.93419899529636297</v>
      </c>
      <c r="H1662" s="79">
        <v>1</v>
      </c>
      <c r="I1662" s="102">
        <v>7.1260349319416903E-3</v>
      </c>
      <c r="J1662" s="79">
        <v>1.44923613634046E-2</v>
      </c>
      <c r="K1662" s="79">
        <v>0.62294726457657801</v>
      </c>
      <c r="L1662" s="79">
        <v>0.87748013759880805</v>
      </c>
      <c r="M1662" s="79">
        <v>1</v>
      </c>
      <c r="N1662" s="102">
        <v>5.4405631370045199E-2</v>
      </c>
      <c r="O1662" s="79">
        <v>1.4335736788560901E-2</v>
      </c>
      <c r="P1662" s="79">
        <v>1.4940878574233601E-4</v>
      </c>
      <c r="Q1662" s="79">
        <v>9.4439732480416905E-4</v>
      </c>
      <c r="R1662" s="79">
        <v>0.25309848304751698</v>
      </c>
      <c r="S1662" s="102">
        <v>4.7726003783808799E-2</v>
      </c>
      <c r="T1662" s="79">
        <v>1.43534443372678E-2</v>
      </c>
      <c r="U1662" s="79">
        <v>8.9067317583508903E-4</v>
      </c>
      <c r="V1662" s="79">
        <v>4.1000009778930499E-3</v>
      </c>
      <c r="W1662" s="79">
        <v>1</v>
      </c>
    </row>
    <row r="1663" spans="2:24" x14ac:dyDescent="0.2">
      <c r="B1663" t="s">
        <v>1165</v>
      </c>
      <c r="C1663" s="84">
        <v>5022</v>
      </c>
      <c r="D1663" s="102">
        <v>1.15909309519538E-2</v>
      </c>
      <c r="E1663" s="79">
        <v>1.43857982122824E-2</v>
      </c>
      <c r="F1663" s="79">
        <v>0.42044511947454499</v>
      </c>
      <c r="G1663" s="79">
        <v>0.89561567502544503</v>
      </c>
      <c r="H1663" s="79">
        <v>1</v>
      </c>
      <c r="I1663" s="102">
        <v>-9.0607670640018498E-3</v>
      </c>
      <c r="J1663" s="79">
        <v>1.4290043890349199E-2</v>
      </c>
      <c r="K1663" s="79">
        <v>0.52607236744980501</v>
      </c>
      <c r="L1663" s="79">
        <v>0.83741543994435796</v>
      </c>
      <c r="M1663" s="79">
        <v>1</v>
      </c>
      <c r="N1663" s="102">
        <v>3.9863349415421599E-2</v>
      </c>
      <c r="O1663" s="79">
        <v>1.4150718550517E-2</v>
      </c>
      <c r="P1663" s="79">
        <v>4.8672667891490702E-3</v>
      </c>
      <c r="Q1663" s="79">
        <v>1.5675190001556101E-2</v>
      </c>
      <c r="R1663" s="79">
        <v>1</v>
      </c>
      <c r="S1663" s="102">
        <v>4.14135699948458E-2</v>
      </c>
      <c r="T1663" s="79">
        <v>1.4161880105111E-2</v>
      </c>
      <c r="U1663" s="79">
        <v>3.4691325133558702E-3</v>
      </c>
      <c r="V1663" s="79">
        <v>1.20919968675408E-2</v>
      </c>
      <c r="W1663" s="79">
        <v>1</v>
      </c>
    </row>
    <row r="1664" spans="2:24" x14ac:dyDescent="0.2">
      <c r="B1664" t="s">
        <v>1166</v>
      </c>
      <c r="C1664" s="84">
        <v>5022</v>
      </c>
      <c r="D1664" s="102">
        <v>-3.0763468101076001E-3</v>
      </c>
      <c r="E1664" s="79">
        <v>1.4482648014847299E-2</v>
      </c>
      <c r="F1664" s="79">
        <v>0.83179170792697099</v>
      </c>
      <c r="G1664" s="79">
        <v>0.99362338620020496</v>
      </c>
      <c r="H1664" s="79">
        <v>1</v>
      </c>
      <c r="I1664" s="102">
        <v>4.26562802999141E-3</v>
      </c>
      <c r="J1664" s="79">
        <v>1.43756306869417E-2</v>
      </c>
      <c r="K1664" s="79">
        <v>0.76668884068221399</v>
      </c>
      <c r="L1664" s="79">
        <v>0.92801237812330095</v>
      </c>
      <c r="M1664" s="79">
        <v>1</v>
      </c>
      <c r="N1664" s="102">
        <v>4.8722066210582601E-2</v>
      </c>
      <c r="O1664" s="79">
        <v>1.4221302425641701E-2</v>
      </c>
      <c r="P1664" s="79">
        <v>6.1789969932558603E-4</v>
      </c>
      <c r="Q1664" s="79">
        <v>3.0252083545015702E-3</v>
      </c>
      <c r="R1664" s="79">
        <v>1</v>
      </c>
      <c r="S1664" s="102">
        <v>4.8274710944453299E-2</v>
      </c>
      <c r="T1664" s="79">
        <v>1.42393683354777E-2</v>
      </c>
      <c r="U1664" s="79">
        <v>7.0417420389430998E-4</v>
      </c>
      <c r="V1664" s="79">
        <v>3.4179687719110602E-3</v>
      </c>
      <c r="W1664" s="79">
        <v>1</v>
      </c>
    </row>
    <row r="1665" spans="2:23" x14ac:dyDescent="0.2">
      <c r="B1665" t="s">
        <v>1167</v>
      </c>
      <c r="C1665" s="84">
        <v>5022</v>
      </c>
      <c r="D1665" s="102">
        <v>3.4087674822251703E-2</v>
      </c>
      <c r="E1665" s="79">
        <v>1.44128736515987E-2</v>
      </c>
      <c r="F1665" s="79">
        <v>1.80665111287465E-2</v>
      </c>
      <c r="G1665" s="79">
        <v>0.55550077810083998</v>
      </c>
      <c r="H1665" s="79">
        <v>1</v>
      </c>
      <c r="I1665" s="102">
        <v>-7.8689145374197297E-3</v>
      </c>
      <c r="J1665" s="79">
        <v>1.4315654765425199E-2</v>
      </c>
      <c r="K1665" s="79">
        <v>0.58257112892301799</v>
      </c>
      <c r="L1665" s="79">
        <v>0.86416823426642797</v>
      </c>
      <c r="M1665" s="79">
        <v>1</v>
      </c>
      <c r="N1665" s="107">
        <v>6.1218526733979303E-2</v>
      </c>
      <c r="O1665" s="81">
        <v>1.4160883044673001E-2</v>
      </c>
      <c r="P1665" s="81">
        <v>1.5711770264983801E-5</v>
      </c>
      <c r="Q1665" s="81">
        <v>1.4309537004775601E-4</v>
      </c>
      <c r="R1665" s="81">
        <v>2.6615738828882601E-2</v>
      </c>
      <c r="S1665" s="107">
        <v>7.5147546294436193E-2</v>
      </c>
      <c r="T1665" s="81">
        <v>1.41596858189022E-2</v>
      </c>
      <c r="U1665" s="81">
        <v>1.16562841150994E-7</v>
      </c>
      <c r="V1665" s="81">
        <v>2.7424646237470002E-6</v>
      </c>
      <c r="W1665" s="81">
        <v>1.9745745290978401E-4</v>
      </c>
    </row>
    <row r="1666" spans="2:23" x14ac:dyDescent="0.2">
      <c r="B1666" t="s">
        <v>1168</v>
      </c>
      <c r="C1666" s="84">
        <v>5022</v>
      </c>
      <c r="D1666" s="102">
        <v>1.13806096466239E-2</v>
      </c>
      <c r="E1666" s="79">
        <v>1.4482496563974099E-2</v>
      </c>
      <c r="F1666" s="79">
        <v>0.432013867157374</v>
      </c>
      <c r="G1666" s="79">
        <v>0.90238161647915105</v>
      </c>
      <c r="H1666" s="79">
        <v>1</v>
      </c>
      <c r="I1666" s="102">
        <v>6.9025610915304002E-3</v>
      </c>
      <c r="J1666" s="79">
        <v>1.43828638779873E-2</v>
      </c>
      <c r="K1666" s="79">
        <v>0.63131032471534998</v>
      </c>
      <c r="L1666" s="79">
        <v>0.87748013759880805</v>
      </c>
      <c r="M1666" s="79">
        <v>1</v>
      </c>
      <c r="N1666" s="107">
        <v>7.1417385563577698E-2</v>
      </c>
      <c r="O1666" s="81">
        <v>1.4216709146644999E-2</v>
      </c>
      <c r="P1666" s="81">
        <v>5.2664371727144001E-7</v>
      </c>
      <c r="Q1666" s="81">
        <v>7.25312566713674E-6</v>
      </c>
      <c r="R1666" s="81">
        <v>8.9213445705781905E-4</v>
      </c>
      <c r="S1666" s="102">
        <v>5.5494007015769502E-2</v>
      </c>
      <c r="T1666" s="79">
        <v>1.4245842077133201E-2</v>
      </c>
      <c r="U1666" s="79">
        <v>9.9400919808143704E-5</v>
      </c>
      <c r="V1666" s="79">
        <v>7.0921489259737297E-4</v>
      </c>
      <c r="W1666" s="79">
        <v>0.168385158154995</v>
      </c>
    </row>
    <row r="1667" spans="2:23" x14ac:dyDescent="0.2">
      <c r="B1667" t="s">
        <v>1169</v>
      </c>
      <c r="C1667" s="84">
        <v>5022</v>
      </c>
      <c r="D1667" s="102">
        <v>-9.2398237536821196E-3</v>
      </c>
      <c r="E1667" s="79">
        <v>1.4445338630631299E-2</v>
      </c>
      <c r="F1667" s="79">
        <v>0.52243852297966198</v>
      </c>
      <c r="G1667" s="79">
        <v>0.91901439037128496</v>
      </c>
      <c r="H1667" s="79">
        <v>1</v>
      </c>
      <c r="I1667" s="102">
        <v>1.4047858098680199E-2</v>
      </c>
      <c r="J1667" s="79">
        <v>1.43345714783526E-2</v>
      </c>
      <c r="K1667" s="79">
        <v>0.32714029208143902</v>
      </c>
      <c r="L1667" s="79">
        <v>0.718775168334576</v>
      </c>
      <c r="M1667" s="79">
        <v>1</v>
      </c>
      <c r="N1667" s="107">
        <v>6.4838860155727998E-2</v>
      </c>
      <c r="O1667" s="81">
        <v>1.41795683719861E-2</v>
      </c>
      <c r="P1667" s="81">
        <v>4.9452883814316497E-6</v>
      </c>
      <c r="Q1667" s="81">
        <v>5.2939696690683303E-5</v>
      </c>
      <c r="R1667" s="81">
        <v>8.3773185181452194E-3</v>
      </c>
      <c r="S1667" s="102">
        <v>4.3861595787878301E-2</v>
      </c>
      <c r="T1667" s="79">
        <v>1.42113526387261E-2</v>
      </c>
      <c r="U1667" s="79">
        <v>2.0384549978806001E-3</v>
      </c>
      <c r="V1667" s="79">
        <v>7.8798801072499092E-3</v>
      </c>
      <c r="W1667" s="79">
        <v>1</v>
      </c>
    </row>
    <row r="1668" spans="2:23" x14ac:dyDescent="0.2">
      <c r="B1668" t="s">
        <v>1170</v>
      </c>
      <c r="C1668" s="84">
        <v>5022</v>
      </c>
      <c r="D1668" s="102">
        <v>1.38131927480384E-2</v>
      </c>
      <c r="E1668" s="79">
        <v>1.4530994022253199E-2</v>
      </c>
      <c r="F1668" s="79">
        <v>0.34185663334107402</v>
      </c>
      <c r="G1668" s="79">
        <v>0.89093097981504499</v>
      </c>
      <c r="H1668" s="79">
        <v>1</v>
      </c>
      <c r="I1668" s="102">
        <v>1.68540641858008E-2</v>
      </c>
      <c r="J1668" s="79">
        <v>1.44324792882958E-2</v>
      </c>
      <c r="K1668" s="79">
        <v>0.24295505655906099</v>
      </c>
      <c r="L1668" s="79">
        <v>0.67090125731085004</v>
      </c>
      <c r="M1668" s="79">
        <v>1</v>
      </c>
      <c r="N1668" s="102">
        <v>4.2059935953312901E-2</v>
      </c>
      <c r="O1668" s="79">
        <v>1.4289140184907101E-2</v>
      </c>
      <c r="P1668" s="79">
        <v>3.2619764823476299E-3</v>
      </c>
      <c r="Q1668" s="79">
        <v>1.1140701937695299E-2</v>
      </c>
      <c r="R1668" s="79">
        <v>1</v>
      </c>
      <c r="S1668" s="102">
        <v>4.8756764470050701E-2</v>
      </c>
      <c r="T1668" s="79">
        <v>1.4304966379320799E-2</v>
      </c>
      <c r="U1668" s="79">
        <v>6.5921189553616295E-4</v>
      </c>
      <c r="V1668" s="79">
        <v>3.2462353227856399E-3</v>
      </c>
      <c r="W1668" s="79">
        <v>1</v>
      </c>
    </row>
    <row r="1669" spans="2:23" x14ac:dyDescent="0.2">
      <c r="B1669" t="s">
        <v>1171</v>
      </c>
      <c r="C1669" s="84">
        <v>5022</v>
      </c>
      <c r="D1669" s="102">
        <v>-2.20186455539014E-2</v>
      </c>
      <c r="E1669" s="79">
        <v>1.45559224178438E-2</v>
      </c>
      <c r="F1669" s="79">
        <v>0.13042486062265199</v>
      </c>
      <c r="G1669" s="79">
        <v>0.80938271582532695</v>
      </c>
      <c r="H1669" s="79">
        <v>1</v>
      </c>
      <c r="I1669" s="102">
        <v>1.78666957087503E-3</v>
      </c>
      <c r="J1669" s="79">
        <v>1.4473917205721901E-2</v>
      </c>
      <c r="K1669" s="79">
        <v>0.901763572437557</v>
      </c>
      <c r="L1669" s="79">
        <v>0.98168469912841005</v>
      </c>
      <c r="M1669" s="79">
        <v>1</v>
      </c>
      <c r="N1669" s="102">
        <v>3.0875231334306402E-2</v>
      </c>
      <c r="O1669" s="79">
        <v>1.4332333785019E-2</v>
      </c>
      <c r="P1669" s="79">
        <v>3.1273008817539201E-2</v>
      </c>
      <c r="Q1669" s="79">
        <v>6.9522935612744599E-2</v>
      </c>
      <c r="R1669" s="79">
        <v>1</v>
      </c>
      <c r="S1669" s="102">
        <v>5.0899716040301898E-2</v>
      </c>
      <c r="T1669" s="79">
        <v>1.43330023725386E-2</v>
      </c>
      <c r="U1669" s="79">
        <v>3.8724877358662399E-4</v>
      </c>
      <c r="V1669" s="79">
        <v>2.1298682547264301E-3</v>
      </c>
      <c r="W1669" s="79">
        <v>0.65599942245574105</v>
      </c>
    </row>
    <row r="1670" spans="2:23" x14ac:dyDescent="0.2">
      <c r="B1670" t="s">
        <v>1172</v>
      </c>
      <c r="C1670" s="84">
        <v>5022</v>
      </c>
      <c r="D1670" s="102">
        <v>1.39866807120488E-2</v>
      </c>
      <c r="E1670" s="79">
        <v>1.4488218282641499E-2</v>
      </c>
      <c r="F1670" s="79">
        <v>0.33440364812512502</v>
      </c>
      <c r="G1670" s="79">
        <v>0.887497895560034</v>
      </c>
      <c r="H1670" s="79">
        <v>1</v>
      </c>
      <c r="I1670" s="102">
        <v>6.9399759985636199E-3</v>
      </c>
      <c r="J1670" s="79">
        <v>1.4387364385228E-2</v>
      </c>
      <c r="K1670" s="79">
        <v>0.62956941439057701</v>
      </c>
      <c r="L1670" s="79">
        <v>0.87748013759880805</v>
      </c>
      <c r="M1670" s="79">
        <v>1</v>
      </c>
      <c r="N1670" s="102">
        <v>2.98486687610484E-2</v>
      </c>
      <c r="O1670" s="79">
        <v>1.4253715851316099E-2</v>
      </c>
      <c r="P1670" s="79">
        <v>3.63067519875079E-2</v>
      </c>
      <c r="Q1670" s="79">
        <v>7.7460501091735995E-2</v>
      </c>
      <c r="R1670" s="79">
        <v>1</v>
      </c>
      <c r="S1670" s="102">
        <v>5.8284673583904198E-2</v>
      </c>
      <c r="T1670" s="79">
        <v>1.42466998995708E-2</v>
      </c>
      <c r="U1670" s="79">
        <v>4.3677239242733997E-5</v>
      </c>
      <c r="V1670" s="79">
        <v>3.9147747765709697E-4</v>
      </c>
      <c r="W1670" s="79">
        <v>7.3989243277191405E-2</v>
      </c>
    </row>
    <row r="1671" spans="2:23" x14ac:dyDescent="0.2">
      <c r="B1671" t="s">
        <v>1173</v>
      </c>
      <c r="C1671" s="84">
        <v>5022</v>
      </c>
      <c r="D1671" s="102">
        <v>6.4361019772888402E-4</v>
      </c>
      <c r="E1671" s="79">
        <v>1.4617798081405E-2</v>
      </c>
      <c r="F1671" s="79">
        <v>0.96488294776650096</v>
      </c>
      <c r="G1671" s="79">
        <v>0.99840985319461195</v>
      </c>
      <c r="H1671" s="79">
        <v>1</v>
      </c>
      <c r="I1671" s="102">
        <v>7.8295801521727996E-4</v>
      </c>
      <c r="J1671" s="79">
        <v>1.45420047220629E-2</v>
      </c>
      <c r="K1671" s="79">
        <v>0.95706401662924501</v>
      </c>
      <c r="L1671" s="79">
        <v>0.99421745281696505</v>
      </c>
      <c r="M1671" s="79">
        <v>1</v>
      </c>
      <c r="N1671" s="107">
        <v>6.1119256925323801E-2</v>
      </c>
      <c r="O1671" s="81">
        <v>1.43769547251901E-2</v>
      </c>
      <c r="P1671" s="81">
        <v>2.1670831590492401E-5</v>
      </c>
      <c r="Q1671" s="81">
        <v>1.85406003607546E-4</v>
      </c>
      <c r="R1671" s="81">
        <v>3.67103887142941E-2</v>
      </c>
      <c r="S1671" s="107">
        <v>6.5692044940056593E-2</v>
      </c>
      <c r="T1671" s="81">
        <v>1.43871710775361E-2</v>
      </c>
      <c r="U1671" s="81">
        <v>5.09642506020327E-6</v>
      </c>
      <c r="V1671" s="81">
        <v>7.0189789040523107E-5</v>
      </c>
      <c r="W1671" s="81">
        <v>8.6333440519843398E-3</v>
      </c>
    </row>
    <row r="1672" spans="2:23" x14ac:dyDescent="0.2">
      <c r="B1672" t="s">
        <v>1163</v>
      </c>
      <c r="C1672" s="84">
        <v>5022</v>
      </c>
      <c r="D1672" s="102">
        <v>1.45799627511221E-2</v>
      </c>
      <c r="E1672" s="79">
        <v>1.4571508781747001E-2</v>
      </c>
      <c r="F1672" s="79">
        <v>0.31708302835951802</v>
      </c>
      <c r="G1672" s="79">
        <v>0.88730162874475904</v>
      </c>
      <c r="H1672" s="79">
        <v>1</v>
      </c>
      <c r="I1672" s="102">
        <v>-1.4834768262858501E-2</v>
      </c>
      <c r="J1672" s="79">
        <v>1.44483424062638E-2</v>
      </c>
      <c r="K1672" s="79">
        <v>0.304596338220115</v>
      </c>
      <c r="L1672" s="79">
        <v>0.71268811732717496</v>
      </c>
      <c r="M1672" s="79">
        <v>1</v>
      </c>
      <c r="N1672" s="102">
        <v>2.8243068198618999E-2</v>
      </c>
      <c r="O1672" s="79">
        <v>1.4317489958572399E-2</v>
      </c>
      <c r="P1672" s="79">
        <v>4.8599802280380501E-2</v>
      </c>
      <c r="Q1672" s="79">
        <v>9.8714706310509104E-2</v>
      </c>
      <c r="R1672" s="79">
        <v>1</v>
      </c>
      <c r="S1672" s="102">
        <v>1.41003772654154E-2</v>
      </c>
      <c r="T1672" s="79">
        <v>1.43423354773419E-2</v>
      </c>
      <c r="U1672" s="79">
        <v>0.325596458296525</v>
      </c>
      <c r="V1672" s="79">
        <v>0.44160160156470302</v>
      </c>
      <c r="W1672" s="79">
        <v>1</v>
      </c>
    </row>
    <row r="1673" spans="2:23" x14ac:dyDescent="0.2">
      <c r="B1673" t="s">
        <v>1162</v>
      </c>
      <c r="C1673" s="84">
        <v>5022</v>
      </c>
      <c r="D1673" s="102">
        <v>9.5773757626317398E-3</v>
      </c>
      <c r="E1673" s="79">
        <v>1.432246353582E-2</v>
      </c>
      <c r="F1673" s="79">
        <v>0.50372195306554302</v>
      </c>
      <c r="G1673" s="79">
        <v>0.91752655785263504</v>
      </c>
      <c r="H1673" s="79">
        <v>1</v>
      </c>
      <c r="I1673" s="102">
        <v>4.1395384206193604E-3</v>
      </c>
      <c r="J1673" s="79">
        <v>1.42339055900573E-2</v>
      </c>
      <c r="K1673" s="79">
        <v>0.77120012650289405</v>
      </c>
      <c r="L1673" s="79">
        <v>0.92861868293626904</v>
      </c>
      <c r="M1673" s="79">
        <v>1</v>
      </c>
      <c r="N1673" s="107">
        <v>7.5648175337929793E-2</v>
      </c>
      <c r="O1673" s="81">
        <v>1.4062595341879199E-2</v>
      </c>
      <c r="P1673" s="81">
        <v>7.8381566131776907E-8</v>
      </c>
      <c r="Q1673" s="81">
        <v>1.3831080523669799E-6</v>
      </c>
      <c r="R1673" s="81">
        <v>1.3277837302722999E-4</v>
      </c>
      <c r="S1673" s="107">
        <v>7.8472114925954503E-2</v>
      </c>
      <c r="T1673" s="81">
        <v>1.40731786608711E-2</v>
      </c>
      <c r="U1673" s="81">
        <v>2.5991189292599999E-8</v>
      </c>
      <c r="V1673" s="81">
        <v>9.3678882258860402E-7</v>
      </c>
      <c r="W1673" s="81">
        <v>4.4029074661664399E-5</v>
      </c>
    </row>
    <row r="1674" spans="2:23" x14ac:dyDescent="0.2">
      <c r="B1674" t="s">
        <v>1145</v>
      </c>
      <c r="C1674" s="84">
        <v>5022</v>
      </c>
      <c r="D1674" s="102">
        <v>8.0862249129349501E-5</v>
      </c>
      <c r="E1674" s="79">
        <v>1.45227016863892E-2</v>
      </c>
      <c r="F1674" s="79">
        <v>0.99555765002861596</v>
      </c>
      <c r="G1674" s="79">
        <v>0.99962502278478604</v>
      </c>
      <c r="H1674" s="79">
        <v>1</v>
      </c>
      <c r="I1674" s="102">
        <v>1.4657125152411399E-2</v>
      </c>
      <c r="J1674" s="79">
        <v>1.4400667285072E-2</v>
      </c>
      <c r="K1674" s="79">
        <v>0.30882322537213802</v>
      </c>
      <c r="L1674" s="79">
        <v>0.712776365212754</v>
      </c>
      <c r="M1674" s="79">
        <v>1</v>
      </c>
      <c r="N1674" s="102">
        <v>5.6563322964672098E-2</v>
      </c>
      <c r="O1674" s="79">
        <v>1.4274701849255099E-2</v>
      </c>
      <c r="P1674" s="79">
        <v>7.5306374543877196E-5</v>
      </c>
      <c r="Q1674" s="79">
        <v>5.3955840921486803E-4</v>
      </c>
      <c r="R1674" s="79">
        <v>0.127568998477328</v>
      </c>
      <c r="S1674" s="102">
        <v>4.6833868480374699E-2</v>
      </c>
      <c r="T1674" s="79">
        <v>1.4283116735933099E-2</v>
      </c>
      <c r="U1674" s="79">
        <v>1.04966373011212E-3</v>
      </c>
      <c r="V1674" s="79">
        <v>4.6792904179208698E-3</v>
      </c>
      <c r="W1674" s="79">
        <v>1</v>
      </c>
    </row>
    <row r="1675" spans="2:23" x14ac:dyDescent="0.2">
      <c r="B1675" t="s">
        <v>1146</v>
      </c>
      <c r="C1675" s="84">
        <v>5022</v>
      </c>
      <c r="D1675" s="102">
        <v>-3.8285760824163699E-3</v>
      </c>
      <c r="E1675" s="79">
        <v>1.45171695293397E-2</v>
      </c>
      <c r="F1675" s="79">
        <v>0.79200167983236303</v>
      </c>
      <c r="G1675" s="79">
        <v>0.99158613425276598</v>
      </c>
      <c r="H1675" s="79">
        <v>1</v>
      </c>
      <c r="I1675" s="102">
        <v>1.2980654067646299E-2</v>
      </c>
      <c r="J1675" s="79">
        <v>1.4400523919928399E-2</v>
      </c>
      <c r="K1675" s="79">
        <v>0.367422839872175</v>
      </c>
      <c r="L1675" s="79">
        <v>0.74754780849462499</v>
      </c>
      <c r="M1675" s="79">
        <v>1</v>
      </c>
      <c r="N1675" s="102">
        <v>3.99777187102053E-2</v>
      </c>
      <c r="O1675" s="79">
        <v>1.42882576207666E-2</v>
      </c>
      <c r="P1675" s="79">
        <v>5.1644857257366001E-3</v>
      </c>
      <c r="Q1675" s="79">
        <v>1.6475779320899799E-2</v>
      </c>
      <c r="R1675" s="79">
        <v>1</v>
      </c>
      <c r="S1675" s="102">
        <v>4.1920851674722003E-2</v>
      </c>
      <c r="T1675" s="79">
        <v>1.42864834676337E-2</v>
      </c>
      <c r="U1675" s="79">
        <v>3.3595952570900501E-3</v>
      </c>
      <c r="V1675" s="79">
        <v>1.17343388979599E-2</v>
      </c>
      <c r="W1675" s="79">
        <v>1</v>
      </c>
    </row>
    <row r="1676" spans="2:23" x14ac:dyDescent="0.2">
      <c r="B1676" t="s">
        <v>1147</v>
      </c>
      <c r="C1676" s="84">
        <v>5022</v>
      </c>
      <c r="D1676" s="102">
        <v>-1.5956951996522799E-2</v>
      </c>
      <c r="E1676" s="79">
        <v>1.4661946202437701E-2</v>
      </c>
      <c r="F1676" s="79">
        <v>0.276508188376061</v>
      </c>
      <c r="G1676" s="79">
        <v>0.86861170490914397</v>
      </c>
      <c r="H1676" s="79">
        <v>1</v>
      </c>
      <c r="I1676" s="102">
        <v>-4.6866036362806299E-3</v>
      </c>
      <c r="J1676" s="79">
        <v>1.4552723559077701E-2</v>
      </c>
      <c r="K1676" s="79">
        <v>0.74743480328632705</v>
      </c>
      <c r="L1676" s="79">
        <v>0.91967633960533601</v>
      </c>
      <c r="M1676" s="79">
        <v>1</v>
      </c>
      <c r="N1676" s="102">
        <v>5.7261170623954201E-2</v>
      </c>
      <c r="O1676" s="79">
        <v>1.4422720807461001E-2</v>
      </c>
      <c r="P1676" s="79">
        <v>7.2905107698275801E-5</v>
      </c>
      <c r="Q1676" s="79">
        <v>5.2784270703972597E-4</v>
      </c>
      <c r="R1676" s="79">
        <v>0.12350125244087901</v>
      </c>
      <c r="S1676" s="102">
        <v>4.32838468400095E-2</v>
      </c>
      <c r="T1676" s="79">
        <v>1.44309574388984E-2</v>
      </c>
      <c r="U1676" s="79">
        <v>2.7197868137262202E-3</v>
      </c>
      <c r="V1676" s="79">
        <v>9.8237075958469491E-3</v>
      </c>
      <c r="W1676" s="79">
        <v>1</v>
      </c>
    </row>
    <row r="1677" spans="2:23" x14ac:dyDescent="0.2">
      <c r="B1677" t="s">
        <v>1148</v>
      </c>
      <c r="C1677" s="84">
        <v>5022</v>
      </c>
      <c r="D1677" s="102">
        <v>1.19337078206427E-2</v>
      </c>
      <c r="E1677" s="79">
        <v>1.48267553185137E-2</v>
      </c>
      <c r="F1677" s="79">
        <v>0.42093400205353498</v>
      </c>
      <c r="G1677" s="79">
        <v>0.89561567502544503</v>
      </c>
      <c r="H1677" s="79">
        <v>1</v>
      </c>
      <c r="I1677" s="102">
        <v>8.5739018465421004E-3</v>
      </c>
      <c r="J1677" s="79">
        <v>1.47064294739253E-2</v>
      </c>
      <c r="K1677" s="79">
        <v>0.55992146093294903</v>
      </c>
      <c r="L1677" s="79">
        <v>0.85878159627519401</v>
      </c>
      <c r="M1677" s="79">
        <v>1</v>
      </c>
      <c r="N1677" s="102">
        <v>5.5854041154402803E-2</v>
      </c>
      <c r="O1677" s="79">
        <v>1.4570179122564E-2</v>
      </c>
      <c r="P1677" s="79">
        <v>1.2815279376423799E-4</v>
      </c>
      <c r="Q1677" s="79">
        <v>8.4801106498679402E-4</v>
      </c>
      <c r="R1677" s="79">
        <v>0.21709083263661899</v>
      </c>
      <c r="S1677" s="102">
        <v>4.2028963383087398E-2</v>
      </c>
      <c r="T1677" s="79">
        <v>1.4586887950177801E-2</v>
      </c>
      <c r="U1677" s="79">
        <v>3.9799112864543698E-3</v>
      </c>
      <c r="V1677" s="79">
        <v>1.3430218564250401E-2</v>
      </c>
      <c r="W1677" s="79">
        <v>1</v>
      </c>
    </row>
    <row r="1678" spans="2:23" x14ac:dyDescent="0.2">
      <c r="B1678" t="s">
        <v>1149</v>
      </c>
      <c r="C1678" s="84">
        <v>5022</v>
      </c>
      <c r="D1678" s="102">
        <v>1.9431017434453302E-2</v>
      </c>
      <c r="E1678" s="79">
        <v>1.4603230636684301E-2</v>
      </c>
      <c r="F1678" s="79">
        <v>0.18338623603289</v>
      </c>
      <c r="G1678" s="79">
        <v>0.83003013605610498</v>
      </c>
      <c r="H1678" s="79">
        <v>1</v>
      </c>
      <c r="I1678" s="102">
        <v>2.8637118340403101E-2</v>
      </c>
      <c r="J1678" s="79">
        <v>1.44905946476559E-2</v>
      </c>
      <c r="K1678" s="79">
        <v>4.8185422157602201E-2</v>
      </c>
      <c r="L1678" s="79">
        <v>0.40114376697029003</v>
      </c>
      <c r="M1678" s="79">
        <v>1</v>
      </c>
      <c r="N1678" s="102">
        <v>3.9591549969350999E-2</v>
      </c>
      <c r="O1678" s="79">
        <v>1.4374752580198401E-2</v>
      </c>
      <c r="P1678" s="79">
        <v>5.9057682548516602E-3</v>
      </c>
      <c r="Q1678" s="79">
        <v>1.8289527282849601E-2</v>
      </c>
      <c r="R1678" s="79">
        <v>1</v>
      </c>
      <c r="S1678" s="102">
        <v>2.1798051318668701E-2</v>
      </c>
      <c r="T1678" s="79">
        <v>1.4384935038494299E-2</v>
      </c>
      <c r="U1678" s="79">
        <v>0.12975461815721001</v>
      </c>
      <c r="V1678" s="79">
        <v>0.21719794778489501</v>
      </c>
      <c r="W1678" s="79">
        <v>1</v>
      </c>
    </row>
    <row r="1679" spans="2:23" x14ac:dyDescent="0.2">
      <c r="B1679" t="s">
        <v>1150</v>
      </c>
      <c r="C1679" s="84">
        <v>5022</v>
      </c>
      <c r="D1679" s="102">
        <v>1.12754145755301E-2</v>
      </c>
      <c r="E1679" s="79">
        <v>1.45891823467619E-2</v>
      </c>
      <c r="F1679" s="79">
        <v>0.439644289886232</v>
      </c>
      <c r="G1679" s="79">
        <v>0.90581448957043498</v>
      </c>
      <c r="H1679" s="79">
        <v>1</v>
      </c>
      <c r="I1679" s="102">
        <v>1.81244116620768E-2</v>
      </c>
      <c r="J1679" s="79">
        <v>1.44625283699246E-2</v>
      </c>
      <c r="K1679" s="79">
        <v>0.21019908480461399</v>
      </c>
      <c r="L1679" s="79">
        <v>0.64803390121802296</v>
      </c>
      <c r="M1679" s="79">
        <v>1</v>
      </c>
      <c r="N1679" s="102">
        <v>4.7956788543085403E-2</v>
      </c>
      <c r="O1679" s="79">
        <v>1.4341294187333599E-2</v>
      </c>
      <c r="P1679" s="79">
        <v>8.3264664106517396E-4</v>
      </c>
      <c r="Q1679" s="79">
        <v>3.7907576599143398E-3</v>
      </c>
      <c r="R1679" s="79">
        <v>1</v>
      </c>
      <c r="S1679" s="102">
        <v>1.7539839864401701E-2</v>
      </c>
      <c r="T1679" s="79">
        <v>1.43642779247038E-2</v>
      </c>
      <c r="U1679" s="79">
        <v>0.22212164598414699</v>
      </c>
      <c r="V1679" s="79">
        <v>0.32805062623988201</v>
      </c>
      <c r="W1679" s="79">
        <v>1</v>
      </c>
    </row>
    <row r="1680" spans="2:23" x14ac:dyDescent="0.2">
      <c r="B1680" t="s">
        <v>1151</v>
      </c>
      <c r="C1680" s="84">
        <v>5022</v>
      </c>
      <c r="D1680" s="102">
        <v>-2.43902128854719E-3</v>
      </c>
      <c r="E1680" s="79">
        <v>1.4687390760289401E-2</v>
      </c>
      <c r="F1680" s="79">
        <v>0.86811509681621102</v>
      </c>
      <c r="G1680" s="79">
        <v>0.99362338620020496</v>
      </c>
      <c r="H1680" s="79">
        <v>1</v>
      </c>
      <c r="I1680" s="102">
        <v>7.4026300473776698E-3</v>
      </c>
      <c r="J1680" s="79">
        <v>1.45787260209976E-2</v>
      </c>
      <c r="K1680" s="79">
        <v>0.61163939162511904</v>
      </c>
      <c r="L1680" s="79">
        <v>0.87455910458575803</v>
      </c>
      <c r="M1680" s="79">
        <v>1</v>
      </c>
      <c r="N1680" s="107">
        <v>7.2901737122470001E-2</v>
      </c>
      <c r="O1680" s="81">
        <v>1.44268569668996E-2</v>
      </c>
      <c r="P1680" s="81">
        <v>4.5116656142343802E-7</v>
      </c>
      <c r="Q1680" s="81">
        <v>6.26455864796151E-6</v>
      </c>
      <c r="R1680" s="81">
        <v>7.6427615505130398E-4</v>
      </c>
      <c r="S1680" s="102">
        <v>5.3309824987195602E-2</v>
      </c>
      <c r="T1680" s="79">
        <v>1.4447050507936101E-2</v>
      </c>
      <c r="U1680" s="79">
        <v>2.2680602474003001E-4</v>
      </c>
      <c r="V1680" s="79">
        <v>1.40143017698721E-3</v>
      </c>
      <c r="W1680" s="79">
        <v>0.384209405909611</v>
      </c>
    </row>
    <row r="1681" spans="2:23" x14ac:dyDescent="0.2">
      <c r="B1681" t="s">
        <v>1144</v>
      </c>
      <c r="C1681" s="84">
        <v>5022</v>
      </c>
      <c r="D1681" s="102">
        <v>3.1527124917562102E-3</v>
      </c>
      <c r="E1681" s="79">
        <v>1.4679915636061301E-2</v>
      </c>
      <c r="F1681" s="79">
        <v>0.82996073317225805</v>
      </c>
      <c r="G1681" s="79">
        <v>0.99362338620020496</v>
      </c>
      <c r="H1681" s="79">
        <v>1</v>
      </c>
      <c r="I1681" s="102">
        <v>1.8011794578661599E-2</v>
      </c>
      <c r="J1681" s="79">
        <v>1.4590285423359699E-2</v>
      </c>
      <c r="K1681" s="79">
        <v>0.21707603394133199</v>
      </c>
      <c r="L1681" s="79">
        <v>0.65149810376204198</v>
      </c>
      <c r="M1681" s="79">
        <v>1</v>
      </c>
      <c r="N1681" s="107">
        <v>7.7177609807822303E-2</v>
      </c>
      <c r="O1681" s="81">
        <v>1.4430230196142301E-2</v>
      </c>
      <c r="P1681" s="81">
        <v>9.2943111541339597E-8</v>
      </c>
      <c r="Q1681" s="81">
        <v>1.52859835874786E-6</v>
      </c>
      <c r="R1681" s="81">
        <v>1.5744563095102901E-4</v>
      </c>
      <c r="S1681" s="102">
        <v>5.6066109280342398E-2</v>
      </c>
      <c r="T1681" s="79">
        <v>1.44517213165827E-2</v>
      </c>
      <c r="U1681" s="79">
        <v>1.0607184566813701E-4</v>
      </c>
      <c r="V1681" s="79">
        <v>7.4250291967695896E-4</v>
      </c>
      <c r="W1681" s="79">
        <v>0.179685706561824</v>
      </c>
    </row>
    <row r="1682" spans="2:23" x14ac:dyDescent="0.2">
      <c r="B1682" t="s">
        <v>260</v>
      </c>
      <c r="C1682" s="84">
        <v>1765</v>
      </c>
      <c r="D1682" s="102">
        <v>-2.8132692836702701E-2</v>
      </c>
      <c r="E1682" s="79">
        <v>1.45691181822449E-2</v>
      </c>
      <c r="F1682" s="79">
        <v>5.3544988676111398E-2</v>
      </c>
      <c r="G1682" s="79">
        <v>0.70863445951041204</v>
      </c>
      <c r="H1682" s="79">
        <v>1</v>
      </c>
      <c r="I1682" s="102">
        <v>3.00595678053566E-2</v>
      </c>
      <c r="J1682" s="79">
        <v>1.44844895871855E-2</v>
      </c>
      <c r="K1682" s="79">
        <v>3.80143708842813E-2</v>
      </c>
      <c r="L1682" s="79">
        <v>0.374397350453329</v>
      </c>
      <c r="M1682" s="79">
        <v>1</v>
      </c>
      <c r="N1682" s="107">
        <v>0.10259660329650799</v>
      </c>
      <c r="O1682" s="81">
        <v>1.4295866089738299E-2</v>
      </c>
      <c r="P1682" s="81">
        <v>8.2681084804597601E-13</v>
      </c>
      <c r="Q1682" s="81">
        <v>5.8359065691245101E-11</v>
      </c>
      <c r="R1682" s="81">
        <v>1.4006175765898799E-9</v>
      </c>
      <c r="S1682" s="107">
        <v>7.8385032287540402E-2</v>
      </c>
      <c r="T1682" s="81">
        <v>1.43051435634811E-2</v>
      </c>
      <c r="U1682" s="81">
        <v>4.4889486088462502E-8</v>
      </c>
      <c r="V1682" s="81">
        <v>1.34754329406205E-6</v>
      </c>
      <c r="W1682" s="81">
        <v>7.60427894338555E-5</v>
      </c>
    </row>
    <row r="1683" spans="2:23" x14ac:dyDescent="0.2">
      <c r="B1683" t="s">
        <v>257</v>
      </c>
      <c r="C1683" s="84">
        <v>1766</v>
      </c>
      <c r="D1683" s="102">
        <v>-4.0022033429525102E-2</v>
      </c>
      <c r="E1683" s="79">
        <v>1.44284880148179E-2</v>
      </c>
      <c r="F1683" s="79">
        <v>5.5627042265895699E-3</v>
      </c>
      <c r="G1683" s="79">
        <v>0.38801325087508498</v>
      </c>
      <c r="H1683" s="79">
        <v>1</v>
      </c>
      <c r="I1683" s="102">
        <v>1.3031117148035801E-2</v>
      </c>
      <c r="J1683" s="79">
        <v>1.4334096027192499E-2</v>
      </c>
      <c r="K1683" s="79">
        <v>0.36334702433375399</v>
      </c>
      <c r="L1683" s="79">
        <v>0.74593451887386297</v>
      </c>
      <c r="M1683" s="79">
        <v>1</v>
      </c>
      <c r="N1683" s="107">
        <v>9.5587908200418903E-2</v>
      </c>
      <c r="O1683" s="81">
        <v>1.41364946137621E-2</v>
      </c>
      <c r="P1683" s="81">
        <v>1.5390018579506499E-11</v>
      </c>
      <c r="Q1683" s="81">
        <v>7.0461328307254102E-10</v>
      </c>
      <c r="R1683" s="81">
        <v>2.6070691473684001E-8</v>
      </c>
      <c r="S1683" s="102">
        <v>2.7102827659983099E-2</v>
      </c>
      <c r="T1683" s="79">
        <v>1.4192629090305799E-2</v>
      </c>
      <c r="U1683" s="79">
        <v>5.6242894537423399E-2</v>
      </c>
      <c r="V1683" s="79">
        <v>0.112700927395817</v>
      </c>
      <c r="W1683" s="79">
        <v>1</v>
      </c>
    </row>
    <row r="1684" spans="2:23" x14ac:dyDescent="0.2">
      <c r="B1684" t="s">
        <v>256</v>
      </c>
      <c r="C1684" s="84">
        <v>1766</v>
      </c>
      <c r="D1684" s="102">
        <v>2.10686836424646E-2</v>
      </c>
      <c r="E1684" s="79">
        <v>1.4563422092286501E-2</v>
      </c>
      <c r="F1684" s="79">
        <v>0.14805107075930399</v>
      </c>
      <c r="G1684" s="79">
        <v>0.80938271582532695</v>
      </c>
      <c r="H1684" s="79">
        <v>1</v>
      </c>
      <c r="I1684" s="102">
        <v>1.3909207671218501E-2</v>
      </c>
      <c r="J1684" s="79">
        <v>1.44856105732863E-2</v>
      </c>
      <c r="K1684" s="79">
        <v>0.33700005621310802</v>
      </c>
      <c r="L1684" s="79">
        <v>0.73038283700897799</v>
      </c>
      <c r="M1684" s="79">
        <v>1</v>
      </c>
      <c r="N1684" s="102">
        <v>5.7382791476936403E-2</v>
      </c>
      <c r="O1684" s="79">
        <v>1.4334968926512001E-2</v>
      </c>
      <c r="P1684" s="79">
        <v>6.3510374116503598E-5</v>
      </c>
      <c r="Q1684" s="79">
        <v>4.71870937514724E-4</v>
      </c>
      <c r="R1684" s="79">
        <v>0.10758657375335701</v>
      </c>
      <c r="S1684" s="102">
        <v>4.6460980963848902E-2</v>
      </c>
      <c r="T1684" s="79">
        <v>1.43296593648968E-2</v>
      </c>
      <c r="U1684" s="79">
        <v>1.19398130447374E-3</v>
      </c>
      <c r="V1684" s="79">
        <v>5.1729010991777898E-3</v>
      </c>
      <c r="W1684" s="79">
        <v>1</v>
      </c>
    </row>
    <row r="1685" spans="2:23" x14ac:dyDescent="0.2">
      <c r="B1685" t="s">
        <v>259</v>
      </c>
      <c r="C1685" s="84">
        <v>1766</v>
      </c>
      <c r="D1685" s="102">
        <v>-1.09636867066269E-2</v>
      </c>
      <c r="E1685" s="79">
        <v>1.4513457017991701E-2</v>
      </c>
      <c r="F1685" s="79">
        <v>0.45003746439353998</v>
      </c>
      <c r="G1685" s="79">
        <v>0.90900414379806505</v>
      </c>
      <c r="H1685" s="79">
        <v>1</v>
      </c>
      <c r="I1685" s="102">
        <v>9.0667936786055295E-3</v>
      </c>
      <c r="J1685" s="79">
        <v>1.4423412142728799E-2</v>
      </c>
      <c r="K1685" s="79">
        <v>0.52963117711609897</v>
      </c>
      <c r="L1685" s="79">
        <v>0.83928457814281798</v>
      </c>
      <c r="M1685" s="79">
        <v>1</v>
      </c>
      <c r="N1685" s="107">
        <v>6.1411036004297898E-2</v>
      </c>
      <c r="O1685" s="81">
        <v>1.42727571475932E-2</v>
      </c>
      <c r="P1685" s="81">
        <v>1.7219902475276698E-5</v>
      </c>
      <c r="Q1685" s="81">
        <v>1.5272520834093599E-4</v>
      </c>
      <c r="R1685" s="81">
        <v>2.9170514793118701E-2</v>
      </c>
      <c r="S1685" s="102">
        <v>4.5269710998099399E-2</v>
      </c>
      <c r="T1685" s="79">
        <v>1.42726818039806E-2</v>
      </c>
      <c r="U1685" s="79">
        <v>1.52489430609047E-3</v>
      </c>
      <c r="V1685" s="79">
        <v>6.3450552556453699E-3</v>
      </c>
      <c r="W1685" s="79">
        <v>1</v>
      </c>
    </row>
    <row r="1686" spans="2:23" x14ac:dyDescent="0.2">
      <c r="B1686" t="s">
        <v>258</v>
      </c>
      <c r="C1686" s="84">
        <v>1766</v>
      </c>
      <c r="D1686" s="102">
        <v>1.0635690071908999E-2</v>
      </c>
      <c r="E1686" s="79">
        <v>1.4408658458874801E-2</v>
      </c>
      <c r="F1686" s="79">
        <v>0.46046191950284299</v>
      </c>
      <c r="G1686" s="79">
        <v>0.91151047511105199</v>
      </c>
      <c r="H1686" s="79">
        <v>1</v>
      </c>
      <c r="I1686" s="102">
        <v>2.98103142431102E-2</v>
      </c>
      <c r="J1686" s="79">
        <v>1.43324208418396E-2</v>
      </c>
      <c r="K1686" s="79">
        <v>3.7586487750035001E-2</v>
      </c>
      <c r="L1686" s="79">
        <v>0.374397350453329</v>
      </c>
      <c r="M1686" s="79">
        <v>1</v>
      </c>
      <c r="N1686" s="102">
        <v>1.1173255727663801E-2</v>
      </c>
      <c r="O1686" s="79">
        <v>1.4211667390003299E-2</v>
      </c>
      <c r="P1686" s="79">
        <v>0.43178766768177201</v>
      </c>
      <c r="Q1686" s="79">
        <v>0.54947699266793704</v>
      </c>
      <c r="R1686" s="79">
        <v>1</v>
      </c>
      <c r="S1686" s="102">
        <v>-4.6713874203956601E-3</v>
      </c>
      <c r="T1686" s="79">
        <v>1.4196905710604101E-2</v>
      </c>
      <c r="U1686" s="79">
        <v>0.74213792295551295</v>
      </c>
      <c r="V1686" s="79">
        <v>0.80075263788957896</v>
      </c>
      <c r="W1686" s="79">
        <v>1</v>
      </c>
    </row>
    <row r="1687" spans="2:23" x14ac:dyDescent="0.2">
      <c r="B1687" t="s">
        <v>263</v>
      </c>
      <c r="C1687" s="84">
        <v>1765</v>
      </c>
      <c r="D1687" s="102">
        <v>1.2163610418733799E-2</v>
      </c>
      <c r="E1687" s="79">
        <v>1.4466955817610601E-2</v>
      </c>
      <c r="F1687" s="79">
        <v>0.400511788901663</v>
      </c>
      <c r="G1687" s="79">
        <v>0.89461055933914202</v>
      </c>
      <c r="H1687" s="79">
        <v>1</v>
      </c>
      <c r="I1687" s="102">
        <v>8.6499430643880108E-3</v>
      </c>
      <c r="J1687" s="79">
        <v>1.43662402991983E-2</v>
      </c>
      <c r="K1687" s="79">
        <v>0.54713683397312096</v>
      </c>
      <c r="L1687" s="79">
        <v>0.85110174173596598</v>
      </c>
      <c r="M1687" s="79">
        <v>1</v>
      </c>
      <c r="N1687" s="102">
        <v>3.7355109760924002E-2</v>
      </c>
      <c r="O1687" s="79">
        <v>1.4241665074794199E-2</v>
      </c>
      <c r="P1687" s="79">
        <v>8.7467334319380492E-3</v>
      </c>
      <c r="Q1687" s="79">
        <v>2.5113502430005201E-2</v>
      </c>
      <c r="R1687" s="79">
        <v>1</v>
      </c>
      <c r="S1687" s="102">
        <v>4.0861262563998003E-2</v>
      </c>
      <c r="T1687" s="79">
        <v>1.42243092405905E-2</v>
      </c>
      <c r="U1687" s="79">
        <v>4.0895676493513198E-3</v>
      </c>
      <c r="V1687" s="79">
        <v>1.37182724712894E-2</v>
      </c>
      <c r="W1687" s="79">
        <v>1</v>
      </c>
    </row>
    <row r="1688" spans="2:23" x14ac:dyDescent="0.2">
      <c r="B1688" t="s">
        <v>264</v>
      </c>
      <c r="C1688" s="84">
        <v>1766</v>
      </c>
      <c r="D1688" s="102">
        <v>1.17272211834026E-2</v>
      </c>
      <c r="E1688" s="79">
        <v>1.4484597904247399E-2</v>
      </c>
      <c r="F1688" s="79">
        <v>0.41819116627838598</v>
      </c>
      <c r="G1688" s="79">
        <v>0.89561567502544503</v>
      </c>
      <c r="H1688" s="79">
        <v>1</v>
      </c>
      <c r="I1688" s="102">
        <v>3.1910298452541098E-2</v>
      </c>
      <c r="J1688" s="79">
        <v>1.43961588421963E-2</v>
      </c>
      <c r="K1688" s="79">
        <v>2.6699612991213199E-2</v>
      </c>
      <c r="L1688" s="79">
        <v>0.31408898726867501</v>
      </c>
      <c r="M1688" s="79">
        <v>1</v>
      </c>
      <c r="N1688" s="102">
        <v>3.3220440236050898E-2</v>
      </c>
      <c r="O1688" s="79">
        <v>1.4275164583207999E-2</v>
      </c>
      <c r="P1688" s="79">
        <v>1.9999567544175801E-2</v>
      </c>
      <c r="Q1688" s="79">
        <v>4.8677108361830201E-2</v>
      </c>
      <c r="R1688" s="79">
        <v>1</v>
      </c>
      <c r="S1688" s="102">
        <v>1.1240030901209799E-2</v>
      </c>
      <c r="T1688" s="79">
        <v>1.42649733690323E-2</v>
      </c>
      <c r="U1688" s="79">
        <v>0.43076789589839098</v>
      </c>
      <c r="V1688" s="79">
        <v>0.54758722600344401</v>
      </c>
      <c r="W1688" s="79">
        <v>1</v>
      </c>
    </row>
    <row r="1689" spans="2:23" x14ac:dyDescent="0.2">
      <c r="B1689" t="s">
        <v>265</v>
      </c>
      <c r="C1689" s="84">
        <v>1766</v>
      </c>
      <c r="D1689" s="102">
        <v>-2.0787610509046602E-2</v>
      </c>
      <c r="E1689" s="79">
        <v>1.4532634654008199E-2</v>
      </c>
      <c r="F1689" s="79">
        <v>0.15266660847421101</v>
      </c>
      <c r="G1689" s="79">
        <v>0.80938271582532695</v>
      </c>
      <c r="H1689" s="79">
        <v>1</v>
      </c>
      <c r="I1689" s="102">
        <v>3.8280014769305197E-2</v>
      </c>
      <c r="J1689" s="79">
        <v>1.44236804737672E-2</v>
      </c>
      <c r="K1689" s="79">
        <v>7.9826972506519302E-3</v>
      </c>
      <c r="L1689" s="79">
        <v>0.17191993453805399</v>
      </c>
      <c r="M1689" s="79">
        <v>1</v>
      </c>
      <c r="N1689" s="102">
        <v>5.7750917785754599E-2</v>
      </c>
      <c r="O1689" s="79">
        <v>1.42890990674407E-2</v>
      </c>
      <c r="P1689" s="79">
        <v>5.3955179322167E-5</v>
      </c>
      <c r="Q1689" s="79">
        <v>4.08036043623888E-4</v>
      </c>
      <c r="R1689" s="79">
        <v>9.1400073771750898E-2</v>
      </c>
      <c r="S1689" s="102">
        <v>4.3513415809210997E-2</v>
      </c>
      <c r="T1689" s="79">
        <v>1.4286953959381499E-2</v>
      </c>
      <c r="U1689" s="79">
        <v>2.3346957205542299E-3</v>
      </c>
      <c r="V1689" s="79">
        <v>8.6922517596019003E-3</v>
      </c>
      <c r="W1689" s="79">
        <v>1</v>
      </c>
    </row>
    <row r="1690" spans="2:23" x14ac:dyDescent="0.2">
      <c r="B1690" t="s">
        <v>266</v>
      </c>
      <c r="C1690" s="84">
        <v>4461</v>
      </c>
      <c r="D1690" s="102">
        <v>-2.90294834531763E-2</v>
      </c>
      <c r="E1690" s="79">
        <v>1.44570891840434E-2</v>
      </c>
      <c r="F1690" s="79">
        <v>4.4704919526586E-2</v>
      </c>
      <c r="G1690" s="79">
        <v>0.68219720695512798</v>
      </c>
      <c r="H1690" s="79">
        <v>1</v>
      </c>
      <c r="I1690" s="102">
        <v>2.0883550866632902E-2</v>
      </c>
      <c r="J1690" s="79">
        <v>1.43513538517085E-2</v>
      </c>
      <c r="K1690" s="79">
        <v>0.145695432571852</v>
      </c>
      <c r="L1690" s="79">
        <v>0.59040772609061598</v>
      </c>
      <c r="M1690" s="79">
        <v>1</v>
      </c>
      <c r="N1690" s="107">
        <v>7.3822246102987502E-2</v>
      </c>
      <c r="O1690" s="81">
        <v>1.41844949697726E-2</v>
      </c>
      <c r="P1690" s="81">
        <v>2.0346217687451999E-7</v>
      </c>
      <c r="Q1690" s="81">
        <v>3.0773654252271198E-6</v>
      </c>
      <c r="R1690" s="81">
        <v>3.4466492762543703E-4</v>
      </c>
      <c r="S1690" s="102">
        <v>1.7380258831677601E-2</v>
      </c>
      <c r="T1690" s="79">
        <v>1.4219217008876401E-2</v>
      </c>
      <c r="U1690" s="79">
        <v>0.221655701119676</v>
      </c>
      <c r="V1690" s="79">
        <v>0.32764813062541998</v>
      </c>
      <c r="W1690" s="79">
        <v>1</v>
      </c>
    </row>
    <row r="1691" spans="2:23" x14ac:dyDescent="0.2">
      <c r="B1691" t="s">
        <v>267</v>
      </c>
      <c r="C1691" s="84">
        <v>3871</v>
      </c>
      <c r="D1691" s="102">
        <v>2.10147315759153E-2</v>
      </c>
      <c r="E1691" s="79">
        <v>1.45982414945897E-2</v>
      </c>
      <c r="F1691" s="79">
        <v>0.150063937530828</v>
      </c>
      <c r="G1691" s="79">
        <v>0.80938271582532695</v>
      </c>
      <c r="H1691" s="79">
        <v>1</v>
      </c>
      <c r="I1691" s="102">
        <v>1.5335983014164601E-3</v>
      </c>
      <c r="J1691" s="79">
        <v>1.45162750886405E-2</v>
      </c>
      <c r="K1691" s="79">
        <v>0.91586712788399505</v>
      </c>
      <c r="L1691" s="79">
        <v>0.98193837767293402</v>
      </c>
      <c r="M1691" s="79">
        <v>1</v>
      </c>
      <c r="N1691" s="102">
        <v>5.0317060091618397E-2</v>
      </c>
      <c r="O1691" s="79">
        <v>1.4365268897634899E-2</v>
      </c>
      <c r="P1691" s="79">
        <v>4.6490517458795401E-4</v>
      </c>
      <c r="Q1691" s="79">
        <v>2.40905687001783E-3</v>
      </c>
      <c r="R1691" s="79">
        <v>0.78754936575199397</v>
      </c>
      <c r="S1691" s="102">
        <v>2.1633527997202799E-2</v>
      </c>
      <c r="T1691" s="79">
        <v>1.4367828864670799E-2</v>
      </c>
      <c r="U1691" s="79">
        <v>0.132213554449047</v>
      </c>
      <c r="V1691" s="79">
        <v>0.220009588641145</v>
      </c>
      <c r="W1691" s="79">
        <v>1</v>
      </c>
    </row>
    <row r="1692" spans="2:23" x14ac:dyDescent="0.2">
      <c r="B1692" t="s">
        <v>268</v>
      </c>
      <c r="C1692" s="84">
        <v>3855</v>
      </c>
      <c r="D1692" s="102">
        <v>-4.2296244896681502E-3</v>
      </c>
      <c r="E1692" s="79">
        <v>1.4533615175884701E-2</v>
      </c>
      <c r="F1692" s="79">
        <v>0.77104619136833397</v>
      </c>
      <c r="G1692" s="79">
        <v>0.98541449424383898</v>
      </c>
      <c r="H1692" s="79">
        <v>1</v>
      </c>
      <c r="I1692" s="102">
        <v>3.9292545824276701E-2</v>
      </c>
      <c r="J1692" s="79">
        <v>1.44234284146968E-2</v>
      </c>
      <c r="K1692" s="79">
        <v>6.4698776866430902E-3</v>
      </c>
      <c r="L1692" s="79">
        <v>0.15013661371470399</v>
      </c>
      <c r="M1692" s="79">
        <v>1</v>
      </c>
      <c r="N1692" s="102">
        <v>4.2548645252097901E-2</v>
      </c>
      <c r="O1692" s="79">
        <v>1.42914829305831E-2</v>
      </c>
      <c r="P1692" s="79">
        <v>2.9240538623812699E-3</v>
      </c>
      <c r="Q1692" s="79">
        <v>1.0129544463954801E-2</v>
      </c>
      <c r="R1692" s="79">
        <v>1</v>
      </c>
      <c r="S1692" s="102">
        <v>9.9720398419351104E-3</v>
      </c>
      <c r="T1692" s="79">
        <v>1.42932956691598E-2</v>
      </c>
      <c r="U1692" s="79">
        <v>0.48541704851309597</v>
      </c>
      <c r="V1692" s="79">
        <v>0.59586701462404701</v>
      </c>
      <c r="W1692" s="79">
        <v>1</v>
      </c>
    </row>
    <row r="1693" spans="2:23" x14ac:dyDescent="0.2">
      <c r="B1693" t="s">
        <v>269</v>
      </c>
      <c r="C1693" s="84">
        <v>2213</v>
      </c>
      <c r="D1693" s="102">
        <v>-2.0218617980614299E-2</v>
      </c>
      <c r="E1693" s="79">
        <v>1.4526812470868801E-2</v>
      </c>
      <c r="F1693" s="79">
        <v>0.164044201243394</v>
      </c>
      <c r="G1693" s="79">
        <v>0.81796927009920195</v>
      </c>
      <c r="H1693" s="79">
        <v>1</v>
      </c>
      <c r="I1693" s="102">
        <v>1.86939476096913E-2</v>
      </c>
      <c r="J1693" s="79">
        <v>1.44415933194299E-2</v>
      </c>
      <c r="K1693" s="79">
        <v>0.195573926605938</v>
      </c>
      <c r="L1693" s="79">
        <v>0.63930272249608699</v>
      </c>
      <c r="M1693" s="79">
        <v>1</v>
      </c>
      <c r="N1693" s="107">
        <v>0.10900187972662</v>
      </c>
      <c r="O1693" s="81">
        <v>1.4244429615523101E-2</v>
      </c>
      <c r="P1693" s="81">
        <v>2.3834884237663601E-14</v>
      </c>
      <c r="Q1693" s="81">
        <v>2.5235183686626301E-12</v>
      </c>
      <c r="R1693" s="81">
        <v>4.03762938986021E-11</v>
      </c>
      <c r="S1693" s="107">
        <v>7.5149102426518996E-2</v>
      </c>
      <c r="T1693" s="81">
        <v>1.42662644512998E-2</v>
      </c>
      <c r="U1693" s="81">
        <v>1.44411710315637E-7</v>
      </c>
      <c r="V1693" s="81">
        <v>3.24960499419727E-6</v>
      </c>
      <c r="W1693" s="81">
        <v>2.4463343727468902E-4</v>
      </c>
    </row>
    <row r="1694" spans="2:23" x14ac:dyDescent="0.2">
      <c r="B1694" t="s">
        <v>270</v>
      </c>
      <c r="C1694" s="84">
        <v>2642</v>
      </c>
      <c r="D1694" s="102">
        <v>1.4223939719433301E-2</v>
      </c>
      <c r="E1694" s="79">
        <v>1.45469183907109E-2</v>
      </c>
      <c r="F1694" s="79">
        <v>0.32822497457326699</v>
      </c>
      <c r="G1694" s="79">
        <v>0.88730162874475904</v>
      </c>
      <c r="H1694" s="79">
        <v>1</v>
      </c>
      <c r="I1694" s="102">
        <v>1.56246795017319E-2</v>
      </c>
      <c r="J1694" s="79">
        <v>1.4452525431158599E-2</v>
      </c>
      <c r="K1694" s="79">
        <v>0.27970788673790598</v>
      </c>
      <c r="L1694" s="79">
        <v>0.69537030386512999</v>
      </c>
      <c r="M1694" s="79">
        <v>1</v>
      </c>
      <c r="N1694" s="102">
        <v>5.4328323594095597E-2</v>
      </c>
      <c r="O1694" s="79">
        <v>1.43077743535206E-2</v>
      </c>
      <c r="P1694" s="79">
        <v>1.48268377016086E-4</v>
      </c>
      <c r="Q1694" s="79">
        <v>9.4069899125561699E-4</v>
      </c>
      <c r="R1694" s="79">
        <v>0.25116663066525002</v>
      </c>
      <c r="S1694" s="102">
        <v>4.7147554458568601E-2</v>
      </c>
      <c r="T1694" s="79">
        <v>1.4304358437458701E-2</v>
      </c>
      <c r="U1694" s="79">
        <v>9.8800335342839689E-4</v>
      </c>
      <c r="V1694" s="79">
        <v>4.4512704274141104E-3</v>
      </c>
      <c r="W1694" s="79">
        <v>1</v>
      </c>
    </row>
    <row r="1695" spans="2:23" x14ac:dyDescent="0.2">
      <c r="B1695" t="s">
        <v>271</v>
      </c>
      <c r="C1695" s="84">
        <v>4992</v>
      </c>
      <c r="D1695" s="102">
        <v>-1.1215254456449599E-2</v>
      </c>
      <c r="E1695" s="79">
        <v>1.43847342014485E-2</v>
      </c>
      <c r="F1695" s="79">
        <v>0.435627580334219</v>
      </c>
      <c r="G1695" s="79">
        <v>0.90581448957043498</v>
      </c>
      <c r="H1695" s="79">
        <v>1</v>
      </c>
      <c r="I1695" s="102">
        <v>-2.2106585541127401E-2</v>
      </c>
      <c r="J1695" s="79">
        <v>1.43051113403004E-2</v>
      </c>
      <c r="K1695" s="79">
        <v>0.122326238597531</v>
      </c>
      <c r="L1695" s="79">
        <v>0.55552266356551805</v>
      </c>
      <c r="M1695" s="79">
        <v>1</v>
      </c>
      <c r="N1695" s="102">
        <v>-3.5234828121242602E-2</v>
      </c>
      <c r="O1695" s="79">
        <v>1.4175326930576999E-2</v>
      </c>
      <c r="P1695" s="79">
        <v>1.2966076381272699E-2</v>
      </c>
      <c r="Q1695" s="79">
        <v>3.4266042729915701E-2</v>
      </c>
      <c r="R1695" s="79">
        <v>1</v>
      </c>
      <c r="S1695" s="102">
        <v>-6.6699273946500999E-3</v>
      </c>
      <c r="T1695" s="79">
        <v>1.4168086580343299E-2</v>
      </c>
      <c r="U1695" s="79">
        <v>0.63782587785068801</v>
      </c>
      <c r="V1695" s="79">
        <v>0.71378756886191097</v>
      </c>
      <c r="W1695" s="79">
        <v>1</v>
      </c>
    </row>
    <row r="1696" spans="2:23" x14ac:dyDescent="0.2">
      <c r="B1696" t="s">
        <v>272</v>
      </c>
      <c r="C1696" s="84">
        <v>4998</v>
      </c>
      <c r="D1696" s="102">
        <v>-1.27952861080606E-2</v>
      </c>
      <c r="E1696" s="79">
        <v>1.45748901735355E-2</v>
      </c>
      <c r="F1696" s="79">
        <v>0.38004327083232398</v>
      </c>
      <c r="G1696" s="79">
        <v>0.89461055933914202</v>
      </c>
      <c r="H1696" s="79">
        <v>1</v>
      </c>
      <c r="I1696" s="102">
        <v>1.7317774809861301E-2</v>
      </c>
      <c r="J1696" s="79">
        <v>1.4485635766972401E-2</v>
      </c>
      <c r="K1696" s="79">
        <v>0.231948207369707</v>
      </c>
      <c r="L1696" s="79">
        <v>0.66141104862732303</v>
      </c>
      <c r="M1696" s="79">
        <v>1</v>
      </c>
      <c r="N1696" s="107">
        <v>7.5275335457724898E-2</v>
      </c>
      <c r="O1696" s="81">
        <v>1.4324424696767901E-2</v>
      </c>
      <c r="P1696" s="81">
        <v>1.54653053022209E-7</v>
      </c>
      <c r="Q1696" s="81">
        <v>2.4035070809139602E-6</v>
      </c>
      <c r="R1696" s="81">
        <v>2.61982271819622E-4</v>
      </c>
      <c r="S1696" s="107">
        <v>7.9273147957851994E-2</v>
      </c>
      <c r="T1696" s="81">
        <v>1.4301321735114499E-2</v>
      </c>
      <c r="U1696" s="81">
        <v>3.1369264366779103E-8</v>
      </c>
      <c r="V1696" s="81">
        <v>1.0419516438690901E-6</v>
      </c>
      <c r="W1696" s="81">
        <v>5.31395338373238E-5</v>
      </c>
    </row>
    <row r="1697" spans="2:23" x14ac:dyDescent="0.2">
      <c r="B1697" t="s">
        <v>273</v>
      </c>
      <c r="C1697" s="84">
        <v>4950</v>
      </c>
      <c r="D1697" s="102">
        <v>-3.9746456546321501E-2</v>
      </c>
      <c r="E1697" s="79">
        <v>1.4415087428595499E-2</v>
      </c>
      <c r="F1697" s="79">
        <v>5.8515694127501596E-3</v>
      </c>
      <c r="G1697" s="79">
        <v>0.38801325087508498</v>
      </c>
      <c r="H1697" s="79">
        <v>1</v>
      </c>
      <c r="I1697" s="102">
        <v>-4.9234245872334503E-3</v>
      </c>
      <c r="J1697" s="79">
        <v>1.43187735329003E-2</v>
      </c>
      <c r="K1697" s="79">
        <v>0.73097987204880699</v>
      </c>
      <c r="L1697" s="79">
        <v>0.91860526947379795</v>
      </c>
      <c r="M1697" s="79">
        <v>1</v>
      </c>
      <c r="N1697" s="107">
        <v>7.4953797448712306E-2</v>
      </c>
      <c r="O1697" s="81">
        <v>1.4150887166112999E-2</v>
      </c>
      <c r="P1697" s="81">
        <v>1.23575611038136E-7</v>
      </c>
      <c r="Q1697" s="81">
        <v>1.9936865247485898E-6</v>
      </c>
      <c r="R1697" s="81">
        <v>2.09337085098602E-4</v>
      </c>
      <c r="S1697" s="102">
        <v>6.8954995021573498E-3</v>
      </c>
      <c r="T1697" s="79">
        <v>1.4187028650349501E-2</v>
      </c>
      <c r="U1697" s="79">
        <v>0.626960642485338</v>
      </c>
      <c r="V1697" s="79">
        <v>0.70741050620609103</v>
      </c>
      <c r="W1697" s="79">
        <v>1</v>
      </c>
    </row>
    <row r="1698" spans="2:23" x14ac:dyDescent="0.2">
      <c r="B1698" t="s">
        <v>274</v>
      </c>
      <c r="C1698" s="84">
        <v>2280</v>
      </c>
      <c r="D1698" s="102">
        <v>-3.2470417206591301E-2</v>
      </c>
      <c r="E1698" s="79">
        <v>1.44850197861772E-2</v>
      </c>
      <c r="F1698" s="79">
        <v>2.5031136821138701E-2</v>
      </c>
      <c r="G1698" s="79">
        <v>0.59730976775552003</v>
      </c>
      <c r="H1698" s="79">
        <v>1</v>
      </c>
      <c r="I1698" s="102">
        <v>2.03745335351962E-2</v>
      </c>
      <c r="J1698" s="79">
        <v>1.43841388734151E-2</v>
      </c>
      <c r="K1698" s="79">
        <v>0.15671096867836701</v>
      </c>
      <c r="L1698" s="79">
        <v>0.59601477595142704</v>
      </c>
      <c r="M1698" s="79">
        <v>1</v>
      </c>
      <c r="N1698" s="107">
        <v>7.8517651520356502E-2</v>
      </c>
      <c r="O1698" s="81">
        <v>1.4231527863713201E-2</v>
      </c>
      <c r="P1698" s="81">
        <v>3.6373866664246403E-8</v>
      </c>
      <c r="Q1698" s="81">
        <v>6.8463700143592704E-7</v>
      </c>
      <c r="R1698" s="81">
        <v>6.1617330129233402E-5</v>
      </c>
      <c r="S1698" s="102">
        <v>5.0426574039988299E-2</v>
      </c>
      <c r="T1698" s="79">
        <v>1.4237483509273801E-2</v>
      </c>
      <c r="U1698" s="79">
        <v>4.01371958352338E-4</v>
      </c>
      <c r="V1698" s="79">
        <v>2.1957669206195099E-3</v>
      </c>
      <c r="W1698" s="79">
        <v>0.67992409744886095</v>
      </c>
    </row>
    <row r="1699" spans="2:23" x14ac:dyDescent="0.2">
      <c r="B1699" t="s">
        <v>275</v>
      </c>
      <c r="C1699" s="84">
        <v>643</v>
      </c>
      <c r="D1699" s="102">
        <v>2.7994116257361701E-2</v>
      </c>
      <c r="E1699" s="79">
        <v>1.4452181104939101E-2</v>
      </c>
      <c r="F1699" s="79">
        <v>5.28016207913913E-2</v>
      </c>
      <c r="G1699" s="79">
        <v>0.70863445951041204</v>
      </c>
      <c r="H1699" s="79">
        <v>1</v>
      </c>
      <c r="I1699" s="102">
        <v>3.3706581038762402E-2</v>
      </c>
      <c r="J1699" s="79">
        <v>1.4383178211536399E-2</v>
      </c>
      <c r="K1699" s="79">
        <v>1.91462411638019E-2</v>
      </c>
      <c r="L1699" s="79">
        <v>0.27486214009729198</v>
      </c>
      <c r="M1699" s="79">
        <v>1</v>
      </c>
      <c r="N1699" s="102">
        <v>-2.7488494401126801E-3</v>
      </c>
      <c r="O1699" s="79">
        <v>1.4262210774760401E-2</v>
      </c>
      <c r="P1699" s="79">
        <v>0.84717347228401796</v>
      </c>
      <c r="Q1699" s="79">
        <v>0.89693606404287296</v>
      </c>
      <c r="R1699" s="79">
        <v>1</v>
      </c>
      <c r="S1699" s="102">
        <v>-1.98787891478076E-2</v>
      </c>
      <c r="T1699" s="79">
        <v>1.4244194819798699E-2</v>
      </c>
      <c r="U1699" s="79">
        <v>0.162908459826232</v>
      </c>
      <c r="V1699" s="79">
        <v>0.25870602147354799</v>
      </c>
      <c r="W1699" s="79">
        <v>1</v>
      </c>
    </row>
    <row r="1700" spans="2:23" x14ac:dyDescent="0.2">
      <c r="B1700" t="s">
        <v>276</v>
      </c>
      <c r="C1700" s="84">
        <v>2661</v>
      </c>
      <c r="D1700" s="102">
        <v>-3.2406245886860703E-2</v>
      </c>
      <c r="E1700" s="79">
        <v>1.44480191107216E-2</v>
      </c>
      <c r="F1700" s="79">
        <v>2.494776826552E-2</v>
      </c>
      <c r="G1700" s="79">
        <v>0.59730976775552003</v>
      </c>
      <c r="H1700" s="79">
        <v>1</v>
      </c>
      <c r="I1700" s="102">
        <v>1.26923684630203E-2</v>
      </c>
      <c r="J1700" s="79">
        <v>1.4343090724587899E-2</v>
      </c>
      <c r="K1700" s="79">
        <v>0.37625251595002901</v>
      </c>
      <c r="L1700" s="79">
        <v>0.75612407354447997</v>
      </c>
      <c r="M1700" s="79">
        <v>1</v>
      </c>
      <c r="N1700" s="107">
        <v>6.6153770313168797E-2</v>
      </c>
      <c r="O1700" s="81">
        <v>1.4184228844234901E-2</v>
      </c>
      <c r="P1700" s="81">
        <v>3.1940715550901301E-6</v>
      </c>
      <c r="Q1700" s="81">
        <v>3.5597086936333402E-5</v>
      </c>
      <c r="R1700" s="81">
        <v>5.4107572143226798E-3</v>
      </c>
      <c r="S1700" s="102">
        <v>2.87683651058156E-2</v>
      </c>
      <c r="T1700" s="79">
        <v>1.42035356935974E-2</v>
      </c>
      <c r="U1700" s="79">
        <v>4.28817043367513E-2</v>
      </c>
      <c r="V1700" s="79">
        <v>9.0802008933070902E-2</v>
      </c>
      <c r="W1700" s="79">
        <v>1</v>
      </c>
    </row>
    <row r="1701" spans="2:23" x14ac:dyDescent="0.2">
      <c r="B1701" t="s">
        <v>277</v>
      </c>
      <c r="C1701" s="84">
        <v>2663</v>
      </c>
      <c r="D1701" s="102">
        <v>-1.3863727562233599E-2</v>
      </c>
      <c r="E1701" s="79">
        <v>1.44955856597325E-2</v>
      </c>
      <c r="F1701" s="79">
        <v>0.338913629769517</v>
      </c>
      <c r="G1701" s="79">
        <v>0.88889892785277203</v>
      </c>
      <c r="H1701" s="79">
        <v>1</v>
      </c>
      <c r="I1701" s="102">
        <v>1.4570985954780501E-3</v>
      </c>
      <c r="J1701" s="79">
        <v>1.4408686422378501E-2</v>
      </c>
      <c r="K1701" s="79">
        <v>0.91945446964739697</v>
      </c>
      <c r="L1701" s="79">
        <v>0.98193837767293402</v>
      </c>
      <c r="M1701" s="79">
        <v>1</v>
      </c>
      <c r="N1701" s="102">
        <v>4.0921709040191802E-2</v>
      </c>
      <c r="O1701" s="79">
        <v>1.4271437815684299E-2</v>
      </c>
      <c r="P1701" s="79">
        <v>4.1572479489074398E-3</v>
      </c>
      <c r="Q1701" s="79">
        <v>1.3674520437765399E-2</v>
      </c>
      <c r="R1701" s="79">
        <v>1</v>
      </c>
      <c r="S1701" s="102">
        <v>2.7467187587127798E-2</v>
      </c>
      <c r="T1701" s="79">
        <v>1.4262784096175299E-2</v>
      </c>
      <c r="U1701" s="79">
        <v>5.4190286641594698E-2</v>
      </c>
      <c r="V1701" s="79">
        <v>0.109283744727216</v>
      </c>
      <c r="W1701" s="79">
        <v>1</v>
      </c>
    </row>
    <row r="1702" spans="2:23" x14ac:dyDescent="0.2">
      <c r="B1702" t="s">
        <v>278</v>
      </c>
      <c r="C1702" s="84">
        <v>494</v>
      </c>
      <c r="D1702" s="102">
        <v>-2.1438680679199702E-2</v>
      </c>
      <c r="E1702" s="79">
        <v>1.44966681535379E-2</v>
      </c>
      <c r="F1702" s="79">
        <v>0.13924298642733601</v>
      </c>
      <c r="G1702" s="79">
        <v>0.80938271582532695</v>
      </c>
      <c r="H1702" s="79">
        <v>1</v>
      </c>
      <c r="I1702" s="102">
        <v>1.7221423032973901E-2</v>
      </c>
      <c r="J1702" s="79">
        <v>1.43918071212773E-2</v>
      </c>
      <c r="K1702" s="79">
        <v>0.23152007033444899</v>
      </c>
      <c r="L1702" s="79">
        <v>0.66141104862732303</v>
      </c>
      <c r="M1702" s="79">
        <v>1</v>
      </c>
      <c r="N1702" s="102">
        <v>4.4226263526066199E-2</v>
      </c>
      <c r="O1702" s="79">
        <v>1.42602424350796E-2</v>
      </c>
      <c r="P1702" s="79">
        <v>1.9380446847227001E-3</v>
      </c>
      <c r="Q1702" s="79">
        <v>7.3282314641077099E-3</v>
      </c>
      <c r="R1702" s="79">
        <v>1</v>
      </c>
      <c r="S1702" s="102">
        <v>3.5453013531671601E-2</v>
      </c>
      <c r="T1702" s="79">
        <v>1.42546281071604E-2</v>
      </c>
      <c r="U1702" s="79">
        <v>1.2913335191311499E-2</v>
      </c>
      <c r="V1702" s="79">
        <v>3.42334738874518E-2</v>
      </c>
      <c r="W1702" s="79">
        <v>1</v>
      </c>
    </row>
    <row r="1703" spans="2:23" x14ac:dyDescent="0.2">
      <c r="B1703" t="s">
        <v>279</v>
      </c>
      <c r="C1703" s="84">
        <v>643</v>
      </c>
      <c r="D1703" s="102">
        <v>-6.3964423438759004E-3</v>
      </c>
      <c r="E1703" s="79">
        <v>1.4488117777148301E-2</v>
      </c>
      <c r="F1703" s="79">
        <v>0.65887438387164599</v>
      </c>
      <c r="G1703" s="79">
        <v>0.95805425431636804</v>
      </c>
      <c r="H1703" s="79">
        <v>1</v>
      </c>
      <c r="I1703" s="102">
        <v>1.24942872145501E-2</v>
      </c>
      <c r="J1703" s="79">
        <v>1.43932580711308E-2</v>
      </c>
      <c r="K1703" s="79">
        <v>0.38540372041250798</v>
      </c>
      <c r="L1703" s="79">
        <v>0.75782823609722505</v>
      </c>
      <c r="M1703" s="79">
        <v>1</v>
      </c>
      <c r="N1703" s="107">
        <v>7.0085434040744701E-2</v>
      </c>
      <c r="O1703" s="81">
        <v>1.42337586911371E-2</v>
      </c>
      <c r="P1703" s="81">
        <v>8.7783978375648098E-7</v>
      </c>
      <c r="Q1703" s="81">
        <v>1.1180906719424699E-5</v>
      </c>
      <c r="R1703" s="81">
        <v>1.4870605936834801E-3</v>
      </c>
      <c r="S1703" s="102">
        <v>3.6447659687913699E-2</v>
      </c>
      <c r="T1703" s="79">
        <v>1.4250841074883801E-2</v>
      </c>
      <c r="U1703" s="79">
        <v>1.05716555284305E-2</v>
      </c>
      <c r="V1703" s="79">
        <v>2.9503104555455101E-2</v>
      </c>
      <c r="W1703" s="79">
        <v>1</v>
      </c>
    </row>
    <row r="1704" spans="2:23" x14ac:dyDescent="0.2">
      <c r="B1704" t="s">
        <v>280</v>
      </c>
      <c r="C1704" s="84">
        <v>663</v>
      </c>
      <c r="D1704" s="102">
        <v>6.9819696802719596E-3</v>
      </c>
      <c r="E1704" s="79">
        <v>1.4509002200359699E-2</v>
      </c>
      <c r="F1704" s="79">
        <v>0.630385218250056</v>
      </c>
      <c r="G1704" s="79">
        <v>0.95687505350859803</v>
      </c>
      <c r="H1704" s="79">
        <v>1</v>
      </c>
      <c r="I1704" s="102">
        <v>-1.32268633109967E-3</v>
      </c>
      <c r="J1704" s="79">
        <v>1.44103298269481E-2</v>
      </c>
      <c r="K1704" s="79">
        <v>0.92687099521784</v>
      </c>
      <c r="L1704" s="79">
        <v>0.98193837767293402</v>
      </c>
      <c r="M1704" s="79">
        <v>1</v>
      </c>
      <c r="N1704" s="102">
        <v>5.2871726119042298E-2</v>
      </c>
      <c r="O1704" s="79">
        <v>1.42696683214227E-2</v>
      </c>
      <c r="P1704" s="79">
        <v>2.1371529452985101E-4</v>
      </c>
      <c r="Q1704" s="79">
        <v>1.2792710563023599E-3</v>
      </c>
      <c r="R1704" s="79">
        <v>0.36203370893356801</v>
      </c>
      <c r="S1704" s="102">
        <v>5.2326995785856603E-2</v>
      </c>
      <c r="T1704" s="79">
        <v>1.4258148559261601E-2</v>
      </c>
      <c r="U1704" s="79">
        <v>2.45307817554476E-4</v>
      </c>
      <c r="V1704" s="79">
        <v>1.47630312776037E-3</v>
      </c>
      <c r="W1704" s="79">
        <v>0.41555144293728202</v>
      </c>
    </row>
    <row r="1705" spans="2:23" x14ac:dyDescent="0.2">
      <c r="B1705" t="s">
        <v>261</v>
      </c>
      <c r="C1705" s="84">
        <v>1765</v>
      </c>
      <c r="D1705" s="102">
        <v>-2.2806800354805101E-2</v>
      </c>
      <c r="E1705" s="79">
        <v>1.44239409703617E-2</v>
      </c>
      <c r="F1705" s="79">
        <v>0.11390692979002499</v>
      </c>
      <c r="G1705" s="79">
        <v>0.80938271582532695</v>
      </c>
      <c r="H1705" s="79">
        <v>1</v>
      </c>
      <c r="I1705" s="102">
        <v>1.25025738314211E-2</v>
      </c>
      <c r="J1705" s="79">
        <v>1.43146239372209E-2</v>
      </c>
      <c r="K1705" s="79">
        <v>0.38248554501603999</v>
      </c>
      <c r="L1705" s="79">
        <v>0.75782823609722505</v>
      </c>
      <c r="M1705" s="79">
        <v>1</v>
      </c>
      <c r="N1705" s="107">
        <v>8.3806471731655494E-2</v>
      </c>
      <c r="O1705" s="81">
        <v>1.41397908441326E-2</v>
      </c>
      <c r="P1705" s="81">
        <v>3.3199370321045599E-9</v>
      </c>
      <c r="Q1705" s="81">
        <v>7.9210892005424305E-8</v>
      </c>
      <c r="R1705" s="81">
        <v>5.6239733323851299E-6</v>
      </c>
      <c r="S1705" s="102">
        <v>3.15181097892318E-2</v>
      </c>
      <c r="T1705" s="79">
        <v>1.4177627715756201E-2</v>
      </c>
      <c r="U1705" s="79">
        <v>2.6259458816724399E-2</v>
      </c>
      <c r="V1705" s="79">
        <v>6.2041176060712903E-2</v>
      </c>
      <c r="W1705" s="79">
        <v>1</v>
      </c>
    </row>
    <row r="1706" spans="2:23" x14ac:dyDescent="0.2">
      <c r="B1706" s="21" t="s">
        <v>262</v>
      </c>
      <c r="C1706" s="106">
        <v>1765</v>
      </c>
      <c r="D1706" s="85">
        <v>1.17560077959704E-2</v>
      </c>
      <c r="E1706" s="86">
        <v>1.45228871237834E-2</v>
      </c>
      <c r="F1706" s="86">
        <v>0.41827965001418099</v>
      </c>
      <c r="G1706" s="86">
        <v>0.89561567502544503</v>
      </c>
      <c r="H1706" s="86">
        <v>1</v>
      </c>
      <c r="I1706" s="85">
        <v>1.71496716275223E-2</v>
      </c>
      <c r="J1706" s="86">
        <v>1.4423906874361301E-2</v>
      </c>
      <c r="K1706" s="86">
        <v>0.23451154890190601</v>
      </c>
      <c r="L1706" s="86">
        <v>0.66141104862732303</v>
      </c>
      <c r="M1706" s="86">
        <v>1</v>
      </c>
      <c r="N1706" s="85">
        <v>2.47395240954663E-2</v>
      </c>
      <c r="O1706" s="86">
        <v>1.43022389288454E-2</v>
      </c>
      <c r="P1706" s="86">
        <v>8.3739529770247206E-2</v>
      </c>
      <c r="Q1706" s="86">
        <v>0.152368166950375</v>
      </c>
      <c r="R1706" s="86">
        <v>1</v>
      </c>
      <c r="S1706" s="85">
        <v>2.8798785310706801E-2</v>
      </c>
      <c r="T1706" s="86">
        <v>1.42856884544936E-2</v>
      </c>
      <c r="U1706" s="86">
        <v>4.3866576182496599E-2</v>
      </c>
      <c r="V1706" s="86">
        <v>9.2196005028721204E-2</v>
      </c>
      <c r="W1706" s="86">
        <v>1</v>
      </c>
    </row>
    <row r="1707" spans="2:23" ht="16" customHeight="1" x14ac:dyDescent="0.2">
      <c r="B1707" s="141" t="s">
        <v>3883</v>
      </c>
      <c r="C1707" s="141"/>
      <c r="D1707" s="141"/>
      <c r="E1707" s="141"/>
      <c r="F1707" s="141"/>
      <c r="G1707" s="141"/>
      <c r="H1707" s="141"/>
      <c r="I1707" s="141"/>
      <c r="J1707" s="141"/>
      <c r="K1707" s="141"/>
      <c r="L1707" s="141"/>
      <c r="M1707" s="141"/>
      <c r="N1707" s="141"/>
      <c r="O1707" s="141"/>
      <c r="P1707" s="141"/>
      <c r="Q1707" s="141"/>
      <c r="R1707" s="141"/>
      <c r="S1707" s="141"/>
      <c r="T1707" s="141"/>
      <c r="U1707" s="141"/>
      <c r="V1707" s="141"/>
      <c r="W1707" s="141"/>
    </row>
    <row r="1708" spans="2:23" x14ac:dyDescent="0.2">
      <c r="B1708" s="141"/>
      <c r="C1708" s="141"/>
      <c r="D1708" s="141"/>
      <c r="E1708" s="141"/>
      <c r="F1708" s="141"/>
      <c r="G1708" s="141"/>
      <c r="H1708" s="141"/>
      <c r="I1708" s="141"/>
      <c r="J1708" s="141"/>
      <c r="K1708" s="141"/>
      <c r="L1708" s="141"/>
      <c r="M1708" s="141"/>
      <c r="N1708" s="141"/>
      <c r="O1708" s="141"/>
      <c r="P1708" s="141"/>
      <c r="Q1708" s="141"/>
      <c r="R1708" s="141"/>
      <c r="S1708" s="141"/>
      <c r="T1708" s="141"/>
      <c r="U1708" s="141"/>
      <c r="V1708" s="141"/>
      <c r="W1708" s="141"/>
    </row>
  </sheetData>
  <mergeCells count="6">
    <mergeCell ref="B2:H2"/>
    <mergeCell ref="B1707:W1708"/>
    <mergeCell ref="D3:H3"/>
    <mergeCell ref="I3:M3"/>
    <mergeCell ref="N3:R3"/>
    <mergeCell ref="S3:W3"/>
  </mergeCells>
  <conditionalFormatting sqref="H3:H4 M3:M4 M6:M13 H6:H13 H15:H121 M15:M121 M123:M148 H123:H148 M270:M708 H270:H710 M912:M1069 H912:H1069 H1071:H1708 M1071:M1708 H150:H268 H712:H910 M150:M268 M712:M910 M710">
    <cfRule type="cellIs" dxfId="0" priority="4" operator="lessThan">
      <formula>0.05</formula>
    </cfRule>
  </conditionalFormatting>
  <pageMargins left="0.7" right="0.7" top="0.75" bottom="0.75" header="0.3" footer="0.3"/>
  <pageSetup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C28A4-69FC-4143-9D1C-D04D5BFBFAD2}">
  <dimension ref="B2:N48"/>
  <sheetViews>
    <sheetView showGridLines="0" topLeftCell="A15" workbookViewId="0">
      <selection activeCell="B9" sqref="B9"/>
    </sheetView>
  </sheetViews>
  <sheetFormatPr baseColWidth="10" defaultRowHeight="16" x14ac:dyDescent="0.2"/>
  <cols>
    <col min="2" max="2" width="29.83203125" customWidth="1"/>
    <col min="9" max="9" width="32.5" customWidth="1"/>
  </cols>
  <sheetData>
    <row r="2" spans="2:14" x14ac:dyDescent="0.2">
      <c r="B2" s="51" t="s">
        <v>8555</v>
      </c>
    </row>
    <row r="3" spans="2:14" x14ac:dyDescent="0.2">
      <c r="B3" s="51"/>
    </row>
    <row r="4" spans="2:14" x14ac:dyDescent="0.2">
      <c r="B4" s="139" t="s">
        <v>764</v>
      </c>
      <c r="C4" s="139"/>
      <c r="D4" s="139"/>
      <c r="E4" s="139"/>
      <c r="F4" s="139"/>
      <c r="G4" s="139"/>
      <c r="H4" s="139"/>
      <c r="I4" s="139"/>
      <c r="J4" s="139"/>
      <c r="K4" s="139"/>
      <c r="L4" s="139"/>
      <c r="M4" s="139"/>
      <c r="N4" s="139"/>
    </row>
    <row r="5" spans="2:14" x14ac:dyDescent="0.2">
      <c r="B5" s="51" t="s">
        <v>8557</v>
      </c>
      <c r="C5" s="51" t="s">
        <v>81</v>
      </c>
      <c r="D5" s="51" t="s">
        <v>82</v>
      </c>
      <c r="E5" s="51" t="s">
        <v>83</v>
      </c>
      <c r="F5" s="51" t="s">
        <v>8559</v>
      </c>
      <c r="G5" s="51" t="s">
        <v>1725</v>
      </c>
      <c r="H5" s="51"/>
      <c r="I5" s="51" t="s">
        <v>8558</v>
      </c>
      <c r="J5" s="51" t="s">
        <v>81</v>
      </c>
      <c r="K5" s="51" t="s">
        <v>82</v>
      </c>
      <c r="L5" s="51" t="s">
        <v>83</v>
      </c>
      <c r="M5" s="51" t="s">
        <v>8559</v>
      </c>
      <c r="N5" s="51" t="s">
        <v>1725</v>
      </c>
    </row>
    <row r="6" spans="2:14" x14ac:dyDescent="0.2">
      <c r="B6" t="s">
        <v>1985</v>
      </c>
      <c r="C6" s="15">
        <v>-8.8260885297370296E-3</v>
      </c>
      <c r="D6" s="15">
        <v>1.3544965249643E-2</v>
      </c>
      <c r="E6" s="15">
        <v>0.51468371480249697</v>
      </c>
      <c r="F6" s="15">
        <v>-3.4423308086906003E-2</v>
      </c>
      <c r="G6" s="15">
        <v>1.4602736217078E-2</v>
      </c>
      <c r="I6" t="s">
        <v>829</v>
      </c>
      <c r="J6" s="15">
        <v>4.6540340647968102E-2</v>
      </c>
      <c r="K6" s="15">
        <v>1.43697585638845E-2</v>
      </c>
      <c r="L6" s="15">
        <v>1.2091946572263799E-3</v>
      </c>
      <c r="M6" s="15">
        <v>1.7374128832833499E-2</v>
      </c>
      <c r="N6" s="15">
        <v>7.57824905900297E-2</v>
      </c>
    </row>
    <row r="7" spans="2:14" x14ac:dyDescent="0.2">
      <c r="B7" t="s">
        <v>115</v>
      </c>
      <c r="C7" s="15">
        <v>-5.8809071090462003E-2</v>
      </c>
      <c r="D7" s="15">
        <v>1.3349622897263999E-2</v>
      </c>
      <c r="E7" s="15">
        <v>1.07829151106638E-5</v>
      </c>
      <c r="F7" s="15">
        <v>-8.8444777382540002E-2</v>
      </c>
      <c r="G7" s="15">
        <v>-3.3351000263097098E-2</v>
      </c>
      <c r="I7" t="s">
        <v>115</v>
      </c>
      <c r="J7" s="15">
        <v>6.1141901758951104E-3</v>
      </c>
      <c r="K7" s="15">
        <v>1.4435465084297701E-2</v>
      </c>
      <c r="L7" s="15">
        <v>0.67191104425350101</v>
      </c>
      <c r="M7" s="15">
        <v>-2.3464078065058201E-2</v>
      </c>
      <c r="N7" s="15">
        <v>3.8222139336707699E-2</v>
      </c>
    </row>
    <row r="8" spans="2:14" x14ac:dyDescent="0.2">
      <c r="B8" t="s">
        <v>1990</v>
      </c>
      <c r="C8" s="15">
        <v>-3.1778956698945898E-2</v>
      </c>
      <c r="D8" s="15">
        <v>1.3023383597299499E-2</v>
      </c>
      <c r="E8" s="15">
        <v>1.47130156819797E-2</v>
      </c>
      <c r="F8" s="15">
        <v>-5.5436914567525301E-2</v>
      </c>
      <c r="G8" s="15">
        <v>-3.1245083070435302E-3</v>
      </c>
      <c r="I8" t="s">
        <v>897</v>
      </c>
      <c r="J8" s="15">
        <v>4.5523188211839601E-2</v>
      </c>
      <c r="K8" s="15">
        <v>1.4106169057919201E-2</v>
      </c>
      <c r="L8" s="15">
        <v>1.2587096479458699E-3</v>
      </c>
      <c r="M8" s="15">
        <v>1.7040029865554699E-2</v>
      </c>
      <c r="N8" s="15">
        <v>6.9715927159184302E-2</v>
      </c>
    </row>
    <row r="9" spans="2:14" x14ac:dyDescent="0.2">
      <c r="B9" t="s">
        <v>174</v>
      </c>
      <c r="C9" s="15">
        <v>-1.22605486831569E-2</v>
      </c>
      <c r="D9" s="15">
        <v>1.4794982064507699E-2</v>
      </c>
      <c r="E9" s="15">
        <v>0.40731894176542899</v>
      </c>
      <c r="F9" s="15">
        <v>-4.2495920207098602E-2</v>
      </c>
      <c r="G9" s="15">
        <v>1.7210138781838701E-2</v>
      </c>
      <c r="I9" t="s">
        <v>174</v>
      </c>
      <c r="J9" s="15">
        <v>-8.3547102679191701E-2</v>
      </c>
      <c r="K9" s="15">
        <v>1.4298649940753401E-2</v>
      </c>
      <c r="L9" s="15">
        <v>5.4714223451582898E-9</v>
      </c>
      <c r="M9" s="15">
        <v>-0.113929998218776</v>
      </c>
      <c r="N9" s="15">
        <v>-5.5071452645844898E-2</v>
      </c>
    </row>
    <row r="10" spans="2:14" x14ac:dyDescent="0.2">
      <c r="B10" t="s">
        <v>175</v>
      </c>
      <c r="C10" s="15">
        <v>3.96535584574119E-3</v>
      </c>
      <c r="D10" s="15">
        <v>1.47942056307493E-2</v>
      </c>
      <c r="E10" s="15">
        <v>0.78868479206861997</v>
      </c>
      <c r="F10" s="15">
        <v>-2.5939565908435599E-2</v>
      </c>
      <c r="G10" s="15">
        <v>3.21331766642435E-2</v>
      </c>
      <c r="I10" t="s">
        <v>175</v>
      </c>
      <c r="J10" s="15">
        <v>-7.0059980359170201E-2</v>
      </c>
      <c r="K10" s="15">
        <v>1.42885360417412E-2</v>
      </c>
      <c r="L10" s="15">
        <v>9.74975237792083E-7</v>
      </c>
      <c r="M10" s="15">
        <v>-9.9674442901563506E-2</v>
      </c>
      <c r="N10" s="15">
        <v>-4.2978336209355199E-2</v>
      </c>
    </row>
    <row r="11" spans="2:14" x14ac:dyDescent="0.2">
      <c r="B11" t="s">
        <v>176</v>
      </c>
      <c r="C11" s="15">
        <v>-5.0509159972415103E-3</v>
      </c>
      <c r="D11" s="15">
        <v>1.4790360099167401E-2</v>
      </c>
      <c r="E11" s="15">
        <v>0.73274229733434604</v>
      </c>
      <c r="F11" s="15">
        <v>-3.4946903377765001E-2</v>
      </c>
      <c r="G11" s="15">
        <v>2.40179963397586E-2</v>
      </c>
      <c r="I11" t="s">
        <v>176</v>
      </c>
      <c r="J11" s="15">
        <v>-7.1100903650304095E-2</v>
      </c>
      <c r="K11" s="15">
        <v>1.42001569740165E-2</v>
      </c>
      <c r="L11" s="15">
        <v>5.7361578077805002E-7</v>
      </c>
      <c r="M11" s="15">
        <v>-0.100541026155444</v>
      </c>
      <c r="N11" s="15">
        <v>-4.4486691902759098E-2</v>
      </c>
    </row>
    <row r="12" spans="2:14" x14ac:dyDescent="0.2">
      <c r="B12" t="s">
        <v>179</v>
      </c>
      <c r="C12" s="15">
        <v>-1.10449611397058E-2</v>
      </c>
      <c r="D12" s="15">
        <v>1.47762801295448E-2</v>
      </c>
      <c r="E12" s="15">
        <v>0.45481654399111499</v>
      </c>
      <c r="F12" s="15">
        <v>-4.0709454929915401E-2</v>
      </c>
      <c r="G12" s="15">
        <v>1.8253784117003399E-2</v>
      </c>
      <c r="I12" t="s">
        <v>179</v>
      </c>
      <c r="J12" s="15">
        <v>6.0196355180612497E-2</v>
      </c>
      <c r="K12" s="15">
        <v>1.4270717803233E-2</v>
      </c>
      <c r="L12" s="15">
        <v>2.5096857131557799E-5</v>
      </c>
      <c r="M12" s="15">
        <v>2.98883769174909E-2</v>
      </c>
      <c r="N12" s="15">
        <v>8.7779669565850496E-2</v>
      </c>
    </row>
    <row r="13" spans="2:14" x14ac:dyDescent="0.2">
      <c r="B13" t="s">
        <v>141</v>
      </c>
      <c r="C13" s="15">
        <v>1.01730882572346E-2</v>
      </c>
      <c r="D13" s="15">
        <v>7.8491001208062308E-3</v>
      </c>
      <c r="E13" s="15">
        <v>0.195134068158035</v>
      </c>
      <c r="F13" s="15">
        <v>-3.5142899439832998E-3</v>
      </c>
      <c r="G13" s="15">
        <v>2.4656590128274401E-2</v>
      </c>
      <c r="I13" t="s">
        <v>141</v>
      </c>
      <c r="J13" s="15">
        <v>7.1257810339251507E-2</v>
      </c>
      <c r="K13" s="15">
        <v>2.3288369565363402E-2</v>
      </c>
      <c r="L13" s="15">
        <v>2.2487610503914299E-3</v>
      </c>
      <c r="M13" s="15">
        <v>2.50307340043203E-2</v>
      </c>
      <c r="N13" s="15">
        <v>0.114745252429133</v>
      </c>
    </row>
    <row r="14" spans="2:14" x14ac:dyDescent="0.2">
      <c r="B14" t="s">
        <v>142</v>
      </c>
      <c r="C14" s="15">
        <v>-9.4841457581345493E-3</v>
      </c>
      <c r="D14" s="15">
        <v>4.7016186365922401E-3</v>
      </c>
      <c r="E14" s="15">
        <v>4.3876994616274798E-2</v>
      </c>
      <c r="F14" s="15">
        <v>-1.8241081818974599E-2</v>
      </c>
      <c r="G14" s="15">
        <v>-5.0625934311566295E-4</v>
      </c>
      <c r="I14" t="s">
        <v>142</v>
      </c>
      <c r="J14" s="15">
        <v>-6.3505754638005493E-2</v>
      </c>
      <c r="K14" s="15">
        <v>1.75580593072561E-2</v>
      </c>
      <c r="L14" s="15">
        <v>3.0673430301049302E-4</v>
      </c>
      <c r="M14" s="15">
        <v>-0.100046566920398</v>
      </c>
      <c r="N14" s="15">
        <v>-2.84128469330437E-2</v>
      </c>
    </row>
    <row r="15" spans="2:14" x14ac:dyDescent="0.2">
      <c r="B15" t="s">
        <v>144</v>
      </c>
      <c r="C15" s="15">
        <v>-1.18209344682907E-2</v>
      </c>
      <c r="D15" s="15">
        <v>5.8910103708118599E-3</v>
      </c>
      <c r="E15" s="15">
        <v>4.4964109260871597E-2</v>
      </c>
      <c r="F15" s="15">
        <v>-2.2179949236652799E-2</v>
      </c>
      <c r="G15" s="15">
        <v>-8.2568795987943697E-4</v>
      </c>
      <c r="I15" t="s">
        <v>144</v>
      </c>
      <c r="J15" s="15">
        <v>-6.0184948386452601E-2</v>
      </c>
      <c r="K15" s="15">
        <v>1.7974035291384201E-2</v>
      </c>
      <c r="L15" s="15">
        <v>8.30153662301783E-4</v>
      </c>
      <c r="M15" s="15">
        <v>-9.7830197417310902E-2</v>
      </c>
      <c r="N15" s="15">
        <v>-2.2673257247676899E-2</v>
      </c>
    </row>
    <row r="16" spans="2:14" x14ac:dyDescent="0.2">
      <c r="B16" t="s">
        <v>155</v>
      </c>
      <c r="C16" s="15">
        <v>1.7338064896487801E-2</v>
      </c>
      <c r="D16" s="15">
        <v>5.2309147354595402E-3</v>
      </c>
      <c r="E16" s="15">
        <v>9.4460481988999502E-4</v>
      </c>
      <c r="F16" s="15">
        <v>7.3887149162944997E-3</v>
      </c>
      <c r="G16" s="15">
        <v>2.7344366953546102E-2</v>
      </c>
      <c r="I16" t="s">
        <v>155</v>
      </c>
      <c r="J16" s="15">
        <v>7.32954786950476E-2</v>
      </c>
      <c r="K16" s="15">
        <v>1.9446379274641198E-2</v>
      </c>
      <c r="L16" s="15">
        <v>1.69463711517252E-4</v>
      </c>
      <c r="M16" s="15">
        <v>3.53745160392002E-2</v>
      </c>
      <c r="N16" s="15">
        <v>0.11092642373395301</v>
      </c>
    </row>
    <row r="17" spans="2:14" x14ac:dyDescent="0.2">
      <c r="B17" t="s">
        <v>194</v>
      </c>
      <c r="C17" s="15">
        <v>-4.1321704099147198E-2</v>
      </c>
      <c r="D17" s="15">
        <v>1.35325012461862E-2</v>
      </c>
      <c r="E17" s="15">
        <v>2.2732821646538602E-3</v>
      </c>
      <c r="F17" s="15">
        <v>-7.1109497224130999E-2</v>
      </c>
      <c r="G17" s="15">
        <v>-7.3857862769276398E-3</v>
      </c>
      <c r="I17" t="s">
        <v>194</v>
      </c>
      <c r="J17" s="15">
        <v>-0.10040512972292499</v>
      </c>
      <c r="K17" s="15">
        <v>1.4211556550314501E-2</v>
      </c>
      <c r="L17" s="15">
        <v>1.8387364437137899E-12</v>
      </c>
      <c r="M17" s="15">
        <v>-0.13130882568121299</v>
      </c>
      <c r="N17" s="15">
        <v>-7.2405052650274401E-2</v>
      </c>
    </row>
    <row r="18" spans="2:14" x14ac:dyDescent="0.2">
      <c r="B18" t="s">
        <v>1993</v>
      </c>
      <c r="C18" s="15">
        <v>-2.9457797286407201E-2</v>
      </c>
      <c r="D18" s="15">
        <v>1.3608245711876099E-2</v>
      </c>
      <c r="E18" s="15">
        <v>3.0453375677285899E-2</v>
      </c>
      <c r="F18" s="15">
        <v>-5.67769079441557E-2</v>
      </c>
      <c r="G18" s="15">
        <v>3.65283073017229E-3</v>
      </c>
      <c r="I18" t="s">
        <v>3268</v>
      </c>
      <c r="J18" s="15">
        <v>4.9434445815233298E-2</v>
      </c>
      <c r="K18" s="15">
        <v>1.3369259669434801E-2</v>
      </c>
      <c r="L18" s="15">
        <v>2.2009023863453999E-4</v>
      </c>
      <c r="M18" s="15">
        <v>2.21712280289076E-2</v>
      </c>
      <c r="N18" s="15">
        <v>7.5504691220955794E-2</v>
      </c>
    </row>
    <row r="19" spans="2:14" x14ac:dyDescent="0.2">
      <c r="B19" t="s">
        <v>298</v>
      </c>
      <c r="C19" s="15">
        <v>4.11490533606488E-2</v>
      </c>
      <c r="D19" s="15">
        <v>1.3652982985178501E-2</v>
      </c>
      <c r="E19" s="15">
        <v>2.5916173515387101E-3</v>
      </c>
      <c r="F19" s="15">
        <v>9.8026069555657101E-3</v>
      </c>
      <c r="G19" s="15">
        <v>6.7240145721738906E-2</v>
      </c>
      <c r="I19" t="s">
        <v>298</v>
      </c>
      <c r="J19" s="15">
        <v>-4.9604749049874997E-2</v>
      </c>
      <c r="K19" s="15">
        <v>1.43370287483283E-2</v>
      </c>
      <c r="L19" s="15">
        <v>5.452384157774E-4</v>
      </c>
      <c r="M19" s="15">
        <v>-7.8927241486930394E-2</v>
      </c>
      <c r="N19" s="15">
        <v>-2.04227074650387E-2</v>
      </c>
    </row>
    <row r="20" spans="2:14" x14ac:dyDescent="0.2">
      <c r="B20" t="s">
        <v>282</v>
      </c>
      <c r="C20" s="15">
        <v>3.7093075469569997E-2</v>
      </c>
      <c r="D20" s="15">
        <v>1.3674332378486399E-2</v>
      </c>
      <c r="E20" s="15">
        <v>6.6976766683869999E-3</v>
      </c>
      <c r="F20" s="15">
        <v>5.4794700750033596E-3</v>
      </c>
      <c r="G20" s="15">
        <v>6.4294597863383707E-2</v>
      </c>
      <c r="I20" t="s">
        <v>282</v>
      </c>
      <c r="J20" s="15">
        <v>-3.9035222941640801E-2</v>
      </c>
      <c r="K20" s="15">
        <v>1.4391970810030699E-2</v>
      </c>
      <c r="L20" s="15">
        <v>6.7063502994320501E-3</v>
      </c>
      <c r="M20" s="15">
        <v>-6.7754375820891194E-2</v>
      </c>
      <c r="N20" s="15">
        <v>-8.4275728797811103E-3</v>
      </c>
    </row>
    <row r="21" spans="2:14" x14ac:dyDescent="0.2">
      <c r="B21" t="s">
        <v>286</v>
      </c>
      <c r="C21" s="15">
        <v>4.0577013224883697E-2</v>
      </c>
      <c r="D21" s="15">
        <v>1.36521709269535E-2</v>
      </c>
      <c r="E21" s="15">
        <v>2.9703285991743698E-3</v>
      </c>
      <c r="F21" s="15">
        <v>8.9034448397769302E-3</v>
      </c>
      <c r="G21" s="15">
        <v>6.7661264709210606E-2</v>
      </c>
      <c r="I21" t="s">
        <v>286</v>
      </c>
      <c r="J21" s="15">
        <v>-4.0225654329374499E-2</v>
      </c>
      <c r="K21" s="15">
        <v>1.43903242732011E-2</v>
      </c>
      <c r="L21" s="15">
        <v>5.2058354093176898E-3</v>
      </c>
      <c r="M21" s="15">
        <v>-6.9008668871890805E-2</v>
      </c>
      <c r="N21" s="15">
        <v>-9.5281453608724292E-3</v>
      </c>
    </row>
    <row r="22" spans="2:14" x14ac:dyDescent="0.2">
      <c r="B22" t="s">
        <v>572</v>
      </c>
      <c r="C22" s="15">
        <v>6.7899013704209197E-3</v>
      </c>
      <c r="D22" s="15">
        <v>5.4972837863712602E-3</v>
      </c>
      <c r="E22" s="15">
        <v>0.217016136282905</v>
      </c>
      <c r="F22" s="15">
        <v>-6.2791031586475598E-3</v>
      </c>
      <c r="G22" s="15">
        <v>1.7207997799296E-2</v>
      </c>
      <c r="I22" t="s">
        <v>572</v>
      </c>
      <c r="J22" s="15">
        <v>5.48315898684772E-2</v>
      </c>
      <c r="K22" s="15">
        <v>1.43417589025399E-2</v>
      </c>
      <c r="L22" s="15">
        <v>1.33377524680319E-4</v>
      </c>
      <c r="M22" s="15">
        <v>2.6122951005108801E-2</v>
      </c>
      <c r="N22" s="15">
        <v>8.1812719456296298E-2</v>
      </c>
    </row>
    <row r="23" spans="2:14" x14ac:dyDescent="0.2">
      <c r="B23" t="s">
        <v>4922</v>
      </c>
      <c r="C23" s="15">
        <v>0.24242392782731501</v>
      </c>
      <c r="D23" s="15">
        <v>3.8469938598993503E-2</v>
      </c>
      <c r="E23" s="15">
        <v>2.9450152494678999E-10</v>
      </c>
      <c r="F23" s="15">
        <v>0.15534680698425901</v>
      </c>
      <c r="G23" s="15">
        <v>0.28604218244810597</v>
      </c>
      <c r="I23" t="s">
        <v>1477</v>
      </c>
      <c r="J23" s="15">
        <v>-8.2760407473240094E-2</v>
      </c>
      <c r="K23" s="15">
        <v>1.4455719666328399E-2</v>
      </c>
      <c r="L23" s="15">
        <v>1.0960101185156E-8</v>
      </c>
      <c r="M23" s="15">
        <v>-0.11089847826031</v>
      </c>
      <c r="N23" s="15">
        <v>-5.37953901681512E-2</v>
      </c>
    </row>
    <row r="24" spans="2:14" x14ac:dyDescent="0.2">
      <c r="B24" t="s">
        <v>731</v>
      </c>
      <c r="C24" s="15">
        <v>-1.56171223611928E-2</v>
      </c>
      <c r="D24" s="15">
        <v>3.9518765681517201E-2</v>
      </c>
      <c r="E24" s="15">
        <v>0.69270824896385896</v>
      </c>
      <c r="F24" s="15">
        <v>-9.9728364079183202E-2</v>
      </c>
      <c r="G24" s="15">
        <v>6.7468015395659997E-2</v>
      </c>
      <c r="I24" t="s">
        <v>731</v>
      </c>
      <c r="J24" s="15">
        <v>0.184804299190411</v>
      </c>
      <c r="K24" s="15">
        <v>4.6853078909623098E-2</v>
      </c>
      <c r="L24" s="15">
        <v>8.0021299622982294E-5</v>
      </c>
      <c r="M24" s="15">
        <v>9.5700560950346097E-2</v>
      </c>
      <c r="N24" s="15">
        <v>0.27979245720388601</v>
      </c>
    </row>
    <row r="25" spans="2:14" x14ac:dyDescent="0.2">
      <c r="B25" t="s">
        <v>734</v>
      </c>
      <c r="C25" s="15">
        <v>5.1767098079706003E-2</v>
      </c>
      <c r="D25" s="15">
        <v>3.7853876323201002E-2</v>
      </c>
      <c r="E25" s="15">
        <v>0.17145273213017101</v>
      </c>
      <c r="F25" s="15">
        <v>-1.8701009102508999E-2</v>
      </c>
      <c r="G25" s="15">
        <v>0.112319390127935</v>
      </c>
      <c r="I25" t="s">
        <v>734</v>
      </c>
      <c r="J25" s="15">
        <v>0.21722015074146001</v>
      </c>
      <c r="K25" s="15">
        <v>5.0521627045772198E-2</v>
      </c>
      <c r="L25" s="15">
        <v>1.71146955822955E-5</v>
      </c>
      <c r="M25" s="15">
        <v>0.11653792014115499</v>
      </c>
      <c r="N25" s="15">
        <v>0.311727335876399</v>
      </c>
    </row>
    <row r="26" spans="2:14" x14ac:dyDescent="0.2">
      <c r="B26" t="s">
        <v>3505</v>
      </c>
      <c r="C26" s="15">
        <v>8.8528113573166506E-2</v>
      </c>
      <c r="D26" s="15">
        <v>4.4803457832027702E-2</v>
      </c>
      <c r="E26" s="15">
        <v>4.8163673848339902E-2</v>
      </c>
      <c r="F26" s="15">
        <v>1.20444859512199E-2</v>
      </c>
      <c r="G26" s="15">
        <v>0.17473657465478001</v>
      </c>
      <c r="I26" t="s">
        <v>3505</v>
      </c>
      <c r="J26" s="15">
        <v>-0.167719914056745</v>
      </c>
      <c r="K26" s="15">
        <v>9.5163414107047997E-2</v>
      </c>
      <c r="L26" s="15">
        <v>7.7994796452374199E-2</v>
      </c>
      <c r="M26" s="15">
        <v>-0.35329821755360602</v>
      </c>
      <c r="N26" s="15">
        <v>-1.39967508318628E-2</v>
      </c>
    </row>
    <row r="27" spans="2:14" x14ac:dyDescent="0.2">
      <c r="B27" t="s">
        <v>3950</v>
      </c>
      <c r="C27" s="15">
        <v>0.20500043217310901</v>
      </c>
      <c r="D27" s="15">
        <v>7.3547319674239997E-2</v>
      </c>
      <c r="E27" s="15">
        <v>5.3144816842209102E-3</v>
      </c>
      <c r="F27" s="15">
        <v>4.5505229326997299E-2</v>
      </c>
      <c r="G27" s="15">
        <v>0.17155389827862499</v>
      </c>
      <c r="I27" t="s">
        <v>1444</v>
      </c>
      <c r="J27" s="15">
        <v>-0.122446215022877</v>
      </c>
      <c r="K27" s="15">
        <v>7.6654651487363099E-2</v>
      </c>
      <c r="L27" s="15">
        <v>0.11018216758219899</v>
      </c>
      <c r="M27" s="15">
        <v>-0.135352695759448</v>
      </c>
      <c r="N27" s="15">
        <v>8.9602088701170902E-3</v>
      </c>
    </row>
    <row r="28" spans="2:14" x14ac:dyDescent="0.2">
      <c r="B28" s="21" t="s">
        <v>3948</v>
      </c>
      <c r="C28" s="43">
        <v>0.24928160685515499</v>
      </c>
      <c r="D28" s="43">
        <v>7.4149680423021502E-2</v>
      </c>
      <c r="E28" s="43">
        <v>7.7416483128037498E-4</v>
      </c>
      <c r="F28" s="43">
        <v>6.0753919870880801E-2</v>
      </c>
      <c r="G28" s="43">
        <v>0.19575433086278601</v>
      </c>
      <c r="H28" s="21"/>
      <c r="I28" s="21" t="s">
        <v>1445</v>
      </c>
      <c r="J28" s="43">
        <v>-0.29369271219924997</v>
      </c>
      <c r="K28" s="43">
        <v>7.6970361167351897E-2</v>
      </c>
      <c r="L28" s="43">
        <v>1.3581952921415001E-4</v>
      </c>
      <c r="M28" s="43">
        <v>-0.24305681913122301</v>
      </c>
      <c r="N28" s="43">
        <v>-7.2640182696855293E-2</v>
      </c>
    </row>
    <row r="29" spans="2:14" x14ac:dyDescent="0.2">
      <c r="B29" s="142" t="s">
        <v>765</v>
      </c>
      <c r="C29" s="143"/>
      <c r="D29" s="143"/>
      <c r="E29" s="143"/>
      <c r="F29" s="143"/>
      <c r="G29" s="143"/>
      <c r="H29" s="143"/>
      <c r="I29" s="143"/>
      <c r="J29" s="143"/>
      <c r="K29" s="143"/>
      <c r="L29" s="143"/>
      <c r="M29" s="143"/>
      <c r="N29" s="143"/>
    </row>
    <row r="30" spans="2:14" x14ac:dyDescent="0.2">
      <c r="B30" s="51" t="s">
        <v>8557</v>
      </c>
      <c r="C30" s="51" t="s">
        <v>81</v>
      </c>
      <c r="D30" s="51" t="s">
        <v>82</v>
      </c>
      <c r="E30" s="51" t="s">
        <v>83</v>
      </c>
      <c r="F30" s="51" t="s">
        <v>8559</v>
      </c>
      <c r="G30" s="51" t="s">
        <v>1725</v>
      </c>
      <c r="H30" s="51"/>
      <c r="I30" s="51" t="s">
        <v>8558</v>
      </c>
      <c r="J30" s="51" t="s">
        <v>81</v>
      </c>
      <c r="K30" s="51" t="s">
        <v>82</v>
      </c>
      <c r="L30" s="51" t="s">
        <v>83</v>
      </c>
      <c r="M30" s="51" t="s">
        <v>8559</v>
      </c>
      <c r="N30" s="51" t="s">
        <v>1725</v>
      </c>
    </row>
    <row r="31" spans="2:14" x14ac:dyDescent="0.2">
      <c r="B31" t="s">
        <v>175</v>
      </c>
      <c r="C31" s="15">
        <v>-5.2984847452421501E-3</v>
      </c>
      <c r="D31" s="15">
        <v>1.4668203230926401E-2</v>
      </c>
      <c r="E31" s="15">
        <v>0.71794962343411906</v>
      </c>
      <c r="F31" s="15">
        <v>-3.3484758928824E-2</v>
      </c>
      <c r="G31" s="15">
        <v>2.3656201826511701E-2</v>
      </c>
      <c r="I31" t="s">
        <v>175</v>
      </c>
      <c r="J31" s="15">
        <v>-7.2176402502121997E-2</v>
      </c>
      <c r="K31" s="15">
        <v>1.42698961454741E-2</v>
      </c>
      <c r="L31" s="15">
        <v>4.40125151208696E-7</v>
      </c>
      <c r="M31" s="15">
        <v>-0.101490590180372</v>
      </c>
      <c r="N31" s="15">
        <v>-4.1081755699618201E-2</v>
      </c>
    </row>
    <row r="32" spans="2:14" x14ac:dyDescent="0.2">
      <c r="B32" t="s">
        <v>4922</v>
      </c>
      <c r="C32" s="15">
        <v>0.179288005655483</v>
      </c>
      <c r="D32" s="15">
        <v>3.81456467322999E-2</v>
      </c>
      <c r="E32" s="15">
        <v>2.6004575968714701E-6</v>
      </c>
      <c r="F32" s="15">
        <v>8.9805864426140899E-2</v>
      </c>
      <c r="G32" s="15">
        <v>0.23505512151050001</v>
      </c>
      <c r="I32" t="s">
        <v>1477</v>
      </c>
      <c r="J32" s="15">
        <v>-9.1210076060995196E-2</v>
      </c>
      <c r="K32" s="15">
        <v>1.44228787207998E-2</v>
      </c>
      <c r="L32" s="15">
        <v>2.7788339844459199E-10</v>
      </c>
      <c r="M32" s="15">
        <v>-0.122308751479559</v>
      </c>
      <c r="N32" s="15">
        <v>-6.4619955200098805E-2</v>
      </c>
    </row>
    <row r="33" spans="2:14" x14ac:dyDescent="0.2">
      <c r="B33" t="s">
        <v>3950</v>
      </c>
      <c r="C33" s="15">
        <v>0.13261024154855999</v>
      </c>
      <c r="D33" s="15">
        <v>7.3028191244834006E-2</v>
      </c>
      <c r="E33" s="15">
        <v>6.9389181862225105E-2</v>
      </c>
      <c r="F33" s="15">
        <v>5.9121272986078204E-3</v>
      </c>
      <c r="G33" s="15">
        <v>0.13929572632752901</v>
      </c>
      <c r="I33" t="s">
        <v>1444</v>
      </c>
      <c r="J33" s="15">
        <v>-0.13774647709806101</v>
      </c>
      <c r="K33" s="15">
        <v>7.4964524498764701E-2</v>
      </c>
      <c r="L33" s="15">
        <v>6.6137762604366407E-2</v>
      </c>
      <c r="M33" s="15">
        <v>-0.14365142431806199</v>
      </c>
      <c r="N33" s="15">
        <v>-4.5370071426057701E-3</v>
      </c>
    </row>
    <row r="34" spans="2:14" x14ac:dyDescent="0.2">
      <c r="B34" t="s">
        <v>3948</v>
      </c>
      <c r="C34" s="15">
        <v>0.33343568002712398</v>
      </c>
      <c r="D34" s="15">
        <v>7.5548121108070201E-2</v>
      </c>
      <c r="E34" s="15">
        <v>1.0168753862273601E-5</v>
      </c>
      <c r="F34" s="15">
        <v>9.1287940443091298E-2</v>
      </c>
      <c r="G34" s="15">
        <v>0.25051153501039303</v>
      </c>
      <c r="I34" t="s">
        <v>1445</v>
      </c>
      <c r="J34" s="15">
        <v>-0.32803161132272202</v>
      </c>
      <c r="K34" s="15">
        <v>7.9062721840477204E-2</v>
      </c>
      <c r="L34" s="15">
        <v>3.3392383028637597E-5</v>
      </c>
      <c r="M34" s="15">
        <v>-0.25138499452694502</v>
      </c>
      <c r="N34" s="15">
        <v>-9.3163570513429703E-2</v>
      </c>
    </row>
    <row r="35" spans="2:14" x14ac:dyDescent="0.2">
      <c r="B35" t="s">
        <v>103</v>
      </c>
      <c r="C35" s="15">
        <v>-6.0610041454889699E-2</v>
      </c>
      <c r="D35" s="15">
        <v>1.4265336261529701E-2</v>
      </c>
      <c r="E35" s="15">
        <v>2.1969469917182799E-5</v>
      </c>
      <c r="F35" s="15">
        <v>-9.1570202376477394E-2</v>
      </c>
      <c r="G35" s="15">
        <v>-3.25081311880486E-2</v>
      </c>
      <c r="I35" t="s">
        <v>103</v>
      </c>
      <c r="J35" s="15">
        <v>0.19796452846795401</v>
      </c>
      <c r="K35" s="15">
        <v>7.7524552201999303E-2</v>
      </c>
      <c r="L35" s="15">
        <v>1.1511763989381101E-2</v>
      </c>
      <c r="M35" s="15">
        <v>4.6175892757678999E-2</v>
      </c>
      <c r="N35" s="15">
        <v>0.39100483471990399</v>
      </c>
    </row>
    <row r="36" spans="2:14" x14ac:dyDescent="0.2">
      <c r="B36" t="s">
        <v>1990</v>
      </c>
      <c r="C36" s="15">
        <v>-2.5727293896872401E-2</v>
      </c>
      <c r="D36" s="15">
        <v>1.29777747960379E-2</v>
      </c>
      <c r="E36" s="15">
        <v>4.7483377545882201E-2</v>
      </c>
      <c r="F36" s="15">
        <v>-5.1989419688346097E-2</v>
      </c>
      <c r="G36" s="15">
        <v>5.0435041573771502E-3</v>
      </c>
      <c r="I36" t="s">
        <v>897</v>
      </c>
      <c r="J36" s="15">
        <v>4.3507064968126397E-2</v>
      </c>
      <c r="K36" s="15">
        <v>1.41244565538088E-2</v>
      </c>
      <c r="L36" s="15">
        <v>2.0800834822053702E-3</v>
      </c>
      <c r="M36" s="15">
        <v>1.04859154554671E-2</v>
      </c>
      <c r="N36" s="15">
        <v>7.2688376386858503E-2</v>
      </c>
    </row>
    <row r="37" spans="2:14" x14ac:dyDescent="0.2">
      <c r="B37" t="s">
        <v>1992</v>
      </c>
      <c r="C37" s="15">
        <v>1.5105254820720301E-3</v>
      </c>
      <c r="D37" s="15">
        <v>1.37171028410511E-2</v>
      </c>
      <c r="E37" s="15">
        <v>0.912318563201721</v>
      </c>
      <c r="F37" s="15">
        <v>-2.3459033651897599E-2</v>
      </c>
      <c r="G37" s="15">
        <v>2.4350120221742301E-2</v>
      </c>
      <c r="I37" t="s">
        <v>3190</v>
      </c>
      <c r="J37" s="15">
        <v>5.5560210565845203E-2</v>
      </c>
      <c r="K37" s="15">
        <v>1.3979042062692799E-2</v>
      </c>
      <c r="L37" s="15">
        <v>7.16042737666762E-5</v>
      </c>
      <c r="M37" s="15">
        <v>2.8274961571134599E-2</v>
      </c>
      <c r="N37" s="15">
        <v>9.1668238167446695E-2</v>
      </c>
    </row>
    <row r="38" spans="2:14" x14ac:dyDescent="0.2">
      <c r="B38" t="s">
        <v>1993</v>
      </c>
      <c r="C38" s="15">
        <v>-2.5866495187273599E-2</v>
      </c>
      <c r="D38" s="15">
        <v>1.3591179533694601E-2</v>
      </c>
      <c r="E38" s="15">
        <v>5.70688712172506E-2</v>
      </c>
      <c r="F38" s="15">
        <v>-5.5719238102196499E-2</v>
      </c>
      <c r="G38" s="15">
        <v>-5.1588817906487202E-4</v>
      </c>
      <c r="I38" t="s">
        <v>3268</v>
      </c>
      <c r="J38" s="15">
        <v>3.9154477661241201E-2</v>
      </c>
      <c r="K38" s="15">
        <v>1.3412390886370701E-2</v>
      </c>
      <c r="L38" s="15">
        <v>3.5247848599275098E-3</v>
      </c>
      <c r="M38" s="15">
        <v>1.2329698658767201E-2</v>
      </c>
      <c r="N38" s="15">
        <v>6.9485246244291005E-2</v>
      </c>
    </row>
    <row r="39" spans="2:14" x14ac:dyDescent="0.2">
      <c r="B39" t="s">
        <v>272</v>
      </c>
      <c r="C39" s="15">
        <v>2.3606244545562101E-2</v>
      </c>
      <c r="D39" s="15">
        <v>1.3567941422898E-2</v>
      </c>
      <c r="E39" s="15">
        <v>8.1945085809196294E-2</v>
      </c>
      <c r="F39" s="15">
        <v>-1.82760920972671E-3</v>
      </c>
      <c r="G39" s="15">
        <v>5.1888301644231999E-2</v>
      </c>
      <c r="I39" t="s">
        <v>272</v>
      </c>
      <c r="J39" s="15">
        <v>7.9273093213830401E-2</v>
      </c>
      <c r="K39" s="15">
        <v>1.4301293550821499E-2</v>
      </c>
      <c r="L39" s="15">
        <v>3.1368005758128401E-8</v>
      </c>
      <c r="M39" s="15">
        <v>5.1893582276474101E-2</v>
      </c>
      <c r="N39" s="15">
        <v>0.11622666619361401</v>
      </c>
    </row>
    <row r="40" spans="2:14" x14ac:dyDescent="0.2">
      <c r="B40" t="s">
        <v>326</v>
      </c>
      <c r="C40" s="15">
        <v>2.8102976805737399E-2</v>
      </c>
      <c r="D40" s="15">
        <v>1.3608347321213301E-2</v>
      </c>
      <c r="E40" s="15">
        <v>3.8960485923521297E-2</v>
      </c>
      <c r="F40" s="15">
        <v>1.9794116824709898E-3</v>
      </c>
      <c r="G40" s="15">
        <v>5.4410627830908602E-2</v>
      </c>
      <c r="I40" t="s">
        <v>326</v>
      </c>
      <c r="J40" s="15">
        <v>8.2906227753461806E-2</v>
      </c>
      <c r="K40" s="15">
        <v>1.43514445005372E-2</v>
      </c>
      <c r="L40" s="15">
        <v>8.1023605224429001E-9</v>
      </c>
      <c r="M40" s="15">
        <v>5.67895659082591E-2</v>
      </c>
      <c r="N40" s="15">
        <v>0.112797278182226</v>
      </c>
    </row>
    <row r="41" spans="2:14" x14ac:dyDescent="0.2">
      <c r="B41" t="s">
        <v>731</v>
      </c>
      <c r="C41" s="15">
        <v>3.6800872737025397E-2</v>
      </c>
      <c r="D41" s="15">
        <v>3.9607598795047001E-2</v>
      </c>
      <c r="E41" s="15">
        <v>0.35281825887438401</v>
      </c>
      <c r="F41" s="15">
        <v>-4.5727601504598397E-2</v>
      </c>
      <c r="G41" s="15">
        <v>0.108155329192667</v>
      </c>
      <c r="I41" t="s">
        <v>731</v>
      </c>
      <c r="J41" s="15">
        <v>0.224656410217106</v>
      </c>
      <c r="K41" s="15">
        <v>4.7357176068657102E-2</v>
      </c>
      <c r="L41" s="15">
        <v>2.0967073643189598E-6</v>
      </c>
      <c r="M41" s="15">
        <v>0.121930240050377</v>
      </c>
      <c r="N41" s="15">
        <v>0.289019892301484</v>
      </c>
    </row>
    <row r="42" spans="2:14" x14ac:dyDescent="0.2">
      <c r="B42" t="s">
        <v>734</v>
      </c>
      <c r="C42" s="15">
        <v>0.103720636599424</v>
      </c>
      <c r="D42" s="15">
        <v>3.8052403070682701E-2</v>
      </c>
      <c r="E42" s="15">
        <v>6.4159151715989897E-3</v>
      </c>
      <c r="F42" s="15">
        <v>2.0733442268781599E-2</v>
      </c>
      <c r="G42" s="15">
        <v>0.167465631951252</v>
      </c>
      <c r="I42" t="s">
        <v>734</v>
      </c>
      <c r="J42" s="15">
        <v>0.28399888734279499</v>
      </c>
      <c r="K42" s="15">
        <v>5.1230357768040802E-2</v>
      </c>
      <c r="L42" s="15">
        <v>2.9637229857949699E-8</v>
      </c>
      <c r="M42" s="15">
        <v>0.18116021019108999</v>
      </c>
      <c r="N42" s="15">
        <v>0.362851005735364</v>
      </c>
    </row>
    <row r="43" spans="2:14" x14ac:dyDescent="0.2">
      <c r="B43" t="s">
        <v>3484</v>
      </c>
      <c r="C43" s="15">
        <v>8.4564491273369305E-2</v>
      </c>
      <c r="D43" s="15">
        <v>5.9045294736653202E-2</v>
      </c>
      <c r="E43" s="15">
        <v>0.15208746320873801</v>
      </c>
      <c r="F43" s="15">
        <v>-7.7875687712178803E-3</v>
      </c>
      <c r="G43" s="15">
        <v>0.19050166639500901</v>
      </c>
      <c r="I43" t="s">
        <v>3484</v>
      </c>
      <c r="J43" s="15">
        <v>0.35922539516240898</v>
      </c>
      <c r="K43" s="15">
        <v>0.106167167944637</v>
      </c>
      <c r="L43" s="15">
        <v>7.1546650612368799E-4</v>
      </c>
      <c r="M43" s="15">
        <v>0.191811757123761</v>
      </c>
      <c r="N43" s="15">
        <v>0.56239856315410597</v>
      </c>
    </row>
    <row r="44" spans="2:14" x14ac:dyDescent="0.2">
      <c r="B44" t="s">
        <v>3516</v>
      </c>
      <c r="C44" s="15">
        <v>1.3136078559552299E-2</v>
      </c>
      <c r="D44" s="15">
        <v>4.6208117956872199E-2</v>
      </c>
      <c r="E44" s="15">
        <v>0.77619523495089604</v>
      </c>
      <c r="F44" s="15">
        <v>-6.7386242480115599E-2</v>
      </c>
      <c r="G44" s="15">
        <v>9.2798924548653294E-2</v>
      </c>
      <c r="I44" t="s">
        <v>3516</v>
      </c>
      <c r="J44" s="15">
        <v>0.32625492634619702</v>
      </c>
      <c r="K44" s="15">
        <v>0.10339545761128099</v>
      </c>
      <c r="L44" s="15">
        <v>1.6027342030568901E-3</v>
      </c>
      <c r="M44" s="15">
        <v>0.12523595729529299</v>
      </c>
      <c r="N44" s="15">
        <v>0.51491175944185796</v>
      </c>
    </row>
    <row r="45" spans="2:14" x14ac:dyDescent="0.2">
      <c r="B45" t="s">
        <v>3545</v>
      </c>
      <c r="C45" s="15">
        <v>2.9137222589558899E-2</v>
      </c>
      <c r="D45" s="15">
        <v>4.5193421932452099E-2</v>
      </c>
      <c r="E45" s="15">
        <v>0.51910693781278605</v>
      </c>
      <c r="F45" s="15">
        <v>-4.5592376872290702E-2</v>
      </c>
      <c r="G45" s="15">
        <v>0.103947183298125</v>
      </c>
      <c r="I45" t="s">
        <v>3545</v>
      </c>
      <c r="J45" s="15">
        <v>0.29469680571260598</v>
      </c>
      <c r="K45" s="15">
        <v>0.103109991858887</v>
      </c>
      <c r="L45" s="15">
        <v>4.2621031404960798E-3</v>
      </c>
      <c r="M45" s="15">
        <v>0.11142215784024</v>
      </c>
      <c r="N45" s="15">
        <v>0.50719697518037599</v>
      </c>
    </row>
    <row r="46" spans="2:14" x14ac:dyDescent="0.2">
      <c r="B46" t="s">
        <v>3547</v>
      </c>
      <c r="C46" s="15">
        <v>1.7876174024291699E-2</v>
      </c>
      <c r="D46" s="15">
        <v>4.6470227662656703E-2</v>
      </c>
      <c r="E46" s="15">
        <v>0.70047440557844998</v>
      </c>
      <c r="F46" s="15">
        <v>-6.0798593348239803E-2</v>
      </c>
      <c r="G46" s="15">
        <v>0.100839491265661</v>
      </c>
      <c r="I46" t="s">
        <v>3547</v>
      </c>
      <c r="J46" s="15">
        <v>0.30753135176824598</v>
      </c>
      <c r="K46" s="15">
        <v>0.10936871117772</v>
      </c>
      <c r="L46" s="15">
        <v>4.9253350239943997E-3</v>
      </c>
      <c r="M46" s="15">
        <v>0.10405425029922</v>
      </c>
      <c r="N46" s="15">
        <v>0.52267355298186302</v>
      </c>
    </row>
    <row r="47" spans="2:14" x14ac:dyDescent="0.2">
      <c r="B47" s="21" t="s">
        <v>3550</v>
      </c>
      <c r="C47" s="43">
        <v>-2.02201493194792E-2</v>
      </c>
      <c r="D47" s="43">
        <v>4.2450685595474602E-2</v>
      </c>
      <c r="E47" s="43">
        <v>0.63384576864463604</v>
      </c>
      <c r="F47" s="43">
        <v>-9.3689640956361994E-2</v>
      </c>
      <c r="G47" s="43">
        <v>5.50445015521887E-2</v>
      </c>
      <c r="H47" s="21"/>
      <c r="I47" s="21" t="s">
        <v>3550</v>
      </c>
      <c r="J47" s="43">
        <v>0.34515813040924598</v>
      </c>
      <c r="K47" s="43">
        <v>9.7960949221478896E-2</v>
      </c>
      <c r="L47" s="43">
        <v>4.2600644986053802E-4</v>
      </c>
      <c r="M47" s="43">
        <v>0.16351908040732099</v>
      </c>
      <c r="N47" s="43">
        <v>0.55232999628101997</v>
      </c>
    </row>
    <row r="48" spans="2:14" x14ac:dyDescent="0.2">
      <c r="B48" t="s">
        <v>8560</v>
      </c>
    </row>
  </sheetData>
  <mergeCells count="2">
    <mergeCell ref="B4:N4"/>
    <mergeCell ref="B29:N2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2C922-95D9-5844-9F39-E2CE9A59854F}">
  <dimension ref="B2:W54"/>
  <sheetViews>
    <sheetView showGridLines="0" workbookViewId="0">
      <selection activeCell="C12" sqref="C12:C20"/>
    </sheetView>
  </sheetViews>
  <sheetFormatPr baseColWidth="10" defaultRowHeight="16" x14ac:dyDescent="0.2"/>
  <cols>
    <col min="2" max="2" width="47.5" customWidth="1"/>
    <col min="3" max="3" width="26.5" customWidth="1"/>
  </cols>
  <sheetData>
    <row r="2" spans="2:23" x14ac:dyDescent="0.2">
      <c r="B2" s="59" t="s">
        <v>8544</v>
      </c>
      <c r="C2" s="59"/>
      <c r="D2" s="59"/>
      <c r="E2" s="59"/>
      <c r="F2" s="59"/>
      <c r="G2" s="59"/>
    </row>
    <row r="3" spans="2:23" x14ac:dyDescent="0.2">
      <c r="D3" s="144"/>
      <c r="E3" s="144"/>
      <c r="F3" s="144"/>
      <c r="G3" s="144"/>
      <c r="H3" s="144"/>
      <c r="I3" s="144"/>
      <c r="J3" s="144"/>
      <c r="K3" s="144"/>
      <c r="L3" s="144"/>
      <c r="M3" s="144"/>
      <c r="N3" s="144"/>
      <c r="O3" s="144"/>
      <c r="P3" s="144"/>
      <c r="Q3" s="144"/>
      <c r="R3" s="144"/>
      <c r="S3" s="144"/>
      <c r="T3" s="144"/>
      <c r="U3" s="144"/>
      <c r="V3" s="144"/>
      <c r="W3" s="144"/>
    </row>
    <row r="4" spans="2:23" x14ac:dyDescent="0.2">
      <c r="C4" s="51"/>
      <c r="D4" s="139" t="s">
        <v>79</v>
      </c>
      <c r="E4" s="139"/>
      <c r="F4" s="139"/>
      <c r="G4" s="139"/>
      <c r="H4" s="139"/>
      <c r="I4" s="139" t="s">
        <v>763</v>
      </c>
      <c r="J4" s="139"/>
      <c r="K4" s="139"/>
      <c r="L4" s="139"/>
      <c r="M4" s="139"/>
      <c r="N4" s="139" t="s">
        <v>764</v>
      </c>
      <c r="O4" s="139"/>
      <c r="P4" s="139"/>
      <c r="Q4" s="139"/>
      <c r="R4" s="139"/>
      <c r="S4" s="139" t="s">
        <v>765</v>
      </c>
      <c r="T4" s="139"/>
      <c r="U4" s="139"/>
      <c r="V4" s="139"/>
      <c r="W4" s="139"/>
    </row>
    <row r="5" spans="2:23" x14ac:dyDescent="0.2">
      <c r="B5" s="66" t="s">
        <v>2875</v>
      </c>
      <c r="C5" s="22" t="s">
        <v>2857</v>
      </c>
      <c r="D5" s="21" t="s">
        <v>81</v>
      </c>
      <c r="E5" s="21" t="s">
        <v>82</v>
      </c>
      <c r="F5" s="21" t="s">
        <v>83</v>
      </c>
      <c r="G5" s="21" t="s">
        <v>761</v>
      </c>
      <c r="H5" s="22" t="s">
        <v>762</v>
      </c>
      <c r="I5" s="21" t="s">
        <v>81</v>
      </c>
      <c r="J5" s="21" t="s">
        <v>82</v>
      </c>
      <c r="K5" s="21" t="s">
        <v>83</v>
      </c>
      <c r="L5" s="21" t="s">
        <v>761</v>
      </c>
      <c r="M5" s="22" t="s">
        <v>762</v>
      </c>
      <c r="N5" s="21" t="s">
        <v>81</v>
      </c>
      <c r="O5" s="21" t="s">
        <v>82</v>
      </c>
      <c r="P5" s="21" t="s">
        <v>83</v>
      </c>
      <c r="Q5" s="21" t="s">
        <v>761</v>
      </c>
      <c r="R5" s="22" t="s">
        <v>762</v>
      </c>
      <c r="S5" s="21" t="s">
        <v>81</v>
      </c>
      <c r="T5" s="21" t="s">
        <v>82</v>
      </c>
      <c r="U5" s="21" t="s">
        <v>83</v>
      </c>
      <c r="V5" s="21" t="s">
        <v>761</v>
      </c>
      <c r="W5" s="22" t="s">
        <v>762</v>
      </c>
    </row>
    <row r="6" spans="2:23" x14ac:dyDescent="0.2">
      <c r="B6" s="72" t="s">
        <v>2858</v>
      </c>
      <c r="C6" s="17" t="s">
        <v>1520</v>
      </c>
      <c r="D6" s="79">
        <v>2.1257369663070201E-2</v>
      </c>
      <c r="E6" s="79">
        <v>1.18125032898562E-2</v>
      </c>
      <c r="F6" s="79">
        <v>7.1987409796150606E-2</v>
      </c>
      <c r="G6" s="79">
        <v>0.109256341240341</v>
      </c>
      <c r="H6" s="80">
        <v>1</v>
      </c>
      <c r="I6" s="79">
        <v>2.6332668232129101E-2</v>
      </c>
      <c r="J6" s="79">
        <v>1.17763066846604E-2</v>
      </c>
      <c r="K6" s="79">
        <v>2.5389386169885099E-2</v>
      </c>
      <c r="L6" s="79">
        <v>8.4258665932223697E-2</v>
      </c>
      <c r="M6" s="80">
        <v>0.43161956488804698</v>
      </c>
      <c r="N6" s="79">
        <v>-2.5897177489036902E-2</v>
      </c>
      <c r="O6" s="79">
        <v>1.16706317937897E-2</v>
      </c>
      <c r="P6" s="79">
        <v>2.6529591930438499E-2</v>
      </c>
      <c r="Q6" s="79">
        <v>3.9498752964955801E-2</v>
      </c>
      <c r="R6" s="80">
        <v>0.451003062817455</v>
      </c>
      <c r="S6" s="79">
        <v>-1.43092444610991E-2</v>
      </c>
      <c r="T6" s="79">
        <v>1.16637462456752E-2</v>
      </c>
      <c r="U6" s="79">
        <v>0.21994827369738601</v>
      </c>
      <c r="V6" s="79">
        <v>0.28762466560427402</v>
      </c>
      <c r="W6" s="80">
        <v>1</v>
      </c>
    </row>
    <row r="7" spans="2:23" x14ac:dyDescent="0.2">
      <c r="B7" s="72" t="s">
        <v>2859</v>
      </c>
      <c r="C7" s="17" t="s">
        <v>1532</v>
      </c>
      <c r="D7" s="79">
        <v>2.0947541582291E-2</v>
      </c>
      <c r="E7" s="79">
        <v>1.1848255194039901E-2</v>
      </c>
      <c r="F7" s="79">
        <v>7.7122123228475697E-2</v>
      </c>
      <c r="G7" s="79">
        <v>0.109256341240341</v>
      </c>
      <c r="H7" s="80">
        <v>1</v>
      </c>
      <c r="I7" s="79">
        <v>2.6102427187259501E-2</v>
      </c>
      <c r="J7" s="79">
        <v>1.18119404910837E-2</v>
      </c>
      <c r="K7" s="79">
        <v>2.71601660033403E-2</v>
      </c>
      <c r="L7" s="79">
        <v>8.4258665932223697E-2</v>
      </c>
      <c r="M7" s="80">
        <v>0.461722822056785</v>
      </c>
      <c r="N7" s="79">
        <v>-2.8497399009012402E-2</v>
      </c>
      <c r="O7" s="79">
        <v>1.17048971599327E-2</v>
      </c>
      <c r="P7" s="79">
        <v>1.493946202595E-2</v>
      </c>
      <c r="Q7" s="79">
        <v>2.82189838267944E-2</v>
      </c>
      <c r="R7" s="80">
        <v>0.25397085444114997</v>
      </c>
      <c r="S7" s="79">
        <v>-1.3586756536978399E-2</v>
      </c>
      <c r="T7" s="79">
        <v>1.16991116649597E-2</v>
      </c>
      <c r="U7" s="79">
        <v>0.245553266837893</v>
      </c>
      <c r="V7" s="79">
        <v>0.29817182401744102</v>
      </c>
      <c r="W7" s="80">
        <v>1</v>
      </c>
    </row>
    <row r="8" spans="2:23" x14ac:dyDescent="0.2">
      <c r="B8" s="72" t="s">
        <v>2860</v>
      </c>
      <c r="C8" s="17" t="s">
        <v>1533</v>
      </c>
      <c r="D8" s="79">
        <v>2.14477497859775E-2</v>
      </c>
      <c r="E8" s="79">
        <v>1.1811030771901199E-2</v>
      </c>
      <c r="F8" s="79">
        <v>6.9442114029443502E-2</v>
      </c>
      <c r="G8" s="79">
        <v>0.109256341240341</v>
      </c>
      <c r="H8" s="80">
        <v>1</v>
      </c>
      <c r="I8" s="79">
        <v>2.6429904869119399E-2</v>
      </c>
      <c r="J8" s="79">
        <v>1.17744302978499E-2</v>
      </c>
      <c r="K8" s="79">
        <v>2.4830202350477001E-2</v>
      </c>
      <c r="L8" s="79">
        <v>8.4258665932223697E-2</v>
      </c>
      <c r="M8" s="80">
        <v>0.42211343995810902</v>
      </c>
      <c r="N8" s="79">
        <v>-2.33296055979841E-2</v>
      </c>
      <c r="O8" s="79">
        <v>1.16705296504392E-2</v>
      </c>
      <c r="P8" s="79">
        <v>4.5658433091393398E-2</v>
      </c>
      <c r="Q8" s="79">
        <v>5.2074398653273797E-2</v>
      </c>
      <c r="R8" s="80">
        <v>0.77619336255368798</v>
      </c>
      <c r="S8" s="79">
        <v>-1.50771395734707E-2</v>
      </c>
      <c r="T8" s="79">
        <v>1.1662199333259401E-2</v>
      </c>
      <c r="U8" s="79">
        <v>0.19613043619457199</v>
      </c>
      <c r="V8" s="79">
        <v>0.28762466560427402</v>
      </c>
      <c r="W8" s="80">
        <v>1</v>
      </c>
    </row>
    <row r="9" spans="2:23" x14ac:dyDescent="0.2">
      <c r="B9" s="72" t="s">
        <v>2861</v>
      </c>
      <c r="C9" s="17" t="s">
        <v>1519</v>
      </c>
      <c r="D9" s="79">
        <v>4.71938793754595E-3</v>
      </c>
      <c r="E9" s="79">
        <v>1.24816875763744E-2</v>
      </c>
      <c r="F9" s="79">
        <v>0.70536827697170901</v>
      </c>
      <c r="G9" s="79">
        <v>0.79941738056793699</v>
      </c>
      <c r="H9" s="80">
        <v>1</v>
      </c>
      <c r="I9" s="79">
        <v>-2.91254167428279E-3</v>
      </c>
      <c r="J9" s="79">
        <v>1.2432817845916299E-2</v>
      </c>
      <c r="K9" s="79">
        <v>0.81479066379337595</v>
      </c>
      <c r="L9" s="79">
        <v>0.92531227013254602</v>
      </c>
      <c r="M9" s="80">
        <v>1</v>
      </c>
      <c r="N9" s="79">
        <v>-3.2752968816384898E-2</v>
      </c>
      <c r="O9" s="79">
        <v>1.23356161506638E-2</v>
      </c>
      <c r="P9" s="79">
        <v>7.9516705420305707E-3</v>
      </c>
      <c r="Q9" s="79">
        <v>1.7089221792838099E-2</v>
      </c>
      <c r="R9" s="80">
        <v>0.13517839921451999</v>
      </c>
      <c r="S9" s="79">
        <v>-2.2056700755586502E-2</v>
      </c>
      <c r="T9" s="79">
        <v>1.23202744961166E-2</v>
      </c>
      <c r="U9" s="79">
        <v>7.34684011762545E-2</v>
      </c>
      <c r="V9" s="79">
        <v>0.19241047397639599</v>
      </c>
      <c r="W9" s="80">
        <v>1</v>
      </c>
    </row>
    <row r="10" spans="2:23" x14ac:dyDescent="0.2">
      <c r="B10" s="72" t="s">
        <v>2862</v>
      </c>
      <c r="C10" s="17" t="s">
        <v>1530</v>
      </c>
      <c r="D10" s="79">
        <v>5.7860951645491996E-3</v>
      </c>
      <c r="E10" s="79">
        <v>1.2483209491942E-2</v>
      </c>
      <c r="F10" s="79">
        <v>0.64301838806364398</v>
      </c>
      <c r="G10" s="79">
        <v>0.78080804264871095</v>
      </c>
      <c r="H10" s="80">
        <v>1</v>
      </c>
      <c r="I10" s="79">
        <v>-1.67369036689906E-3</v>
      </c>
      <c r="J10" s="79">
        <v>1.2433748021337201E-2</v>
      </c>
      <c r="K10" s="79">
        <v>0.89292658950552095</v>
      </c>
      <c r="L10" s="79">
        <v>0.92531227013254602</v>
      </c>
      <c r="M10" s="80">
        <v>1</v>
      </c>
      <c r="N10" s="79">
        <v>-2.71421979958467E-2</v>
      </c>
      <c r="O10" s="79">
        <v>1.23397434393925E-2</v>
      </c>
      <c r="P10" s="79">
        <v>2.7881472681145301E-2</v>
      </c>
      <c r="Q10" s="79">
        <v>3.9498752964955801E-2</v>
      </c>
      <c r="R10" s="80">
        <v>0.47398503557947003</v>
      </c>
      <c r="S10" s="79">
        <v>-1.8971818200316799E-2</v>
      </c>
      <c r="T10" s="79">
        <v>1.2323159253440699E-2</v>
      </c>
      <c r="U10" s="79">
        <v>0.12373781142297401</v>
      </c>
      <c r="V10" s="79">
        <v>0.21232701535131701</v>
      </c>
      <c r="W10" s="80">
        <v>1</v>
      </c>
    </row>
    <row r="11" spans="2:23" x14ac:dyDescent="0.2">
      <c r="B11" s="72" t="s">
        <v>2863</v>
      </c>
      <c r="C11" s="17" t="s">
        <v>1531</v>
      </c>
      <c r="D11" s="79">
        <v>3.78766545570677E-3</v>
      </c>
      <c r="E11" s="79">
        <v>1.2590434220987899E-2</v>
      </c>
      <c r="F11" s="79">
        <v>0.76355119139682204</v>
      </c>
      <c r="G11" s="79">
        <v>0.81127314085912305</v>
      </c>
      <c r="H11" s="80">
        <v>1</v>
      </c>
      <c r="I11" s="79">
        <v>-3.8282452434556802E-3</v>
      </c>
      <c r="J11" s="79">
        <v>1.2540218597729601E-2</v>
      </c>
      <c r="K11" s="79">
        <v>0.76016735049655104</v>
      </c>
      <c r="L11" s="79">
        <v>0.92531227013254602</v>
      </c>
      <c r="M11" s="80">
        <v>1</v>
      </c>
      <c r="N11" s="79">
        <v>-3.7483281512393198E-2</v>
      </c>
      <c r="O11" s="79">
        <v>1.2441264129074999E-2</v>
      </c>
      <c r="P11" s="79">
        <v>2.6009702243811501E-3</v>
      </c>
      <c r="Q11" s="79">
        <v>7.3694156357465897E-3</v>
      </c>
      <c r="R11" s="80">
        <v>4.42164938144795E-2</v>
      </c>
      <c r="S11" s="79">
        <v>-2.4596565953728E-2</v>
      </c>
      <c r="T11" s="79">
        <v>1.2426459490067199E-2</v>
      </c>
      <c r="U11" s="79">
        <v>4.7827803814772897E-2</v>
      </c>
      <c r="V11" s="79">
        <v>0.19241047397639599</v>
      </c>
      <c r="W11" s="80">
        <v>0.81307266485113905</v>
      </c>
    </row>
    <row r="12" spans="2:23" x14ac:dyDescent="0.2">
      <c r="B12" s="72" t="s">
        <v>2864</v>
      </c>
      <c r="C12" s="17" t="s">
        <v>1521</v>
      </c>
      <c r="D12" s="79">
        <v>2.37697517600375E-2</v>
      </c>
      <c r="E12" s="79">
        <v>1.25584551925489E-2</v>
      </c>
      <c r="F12" s="79">
        <v>5.84495028285065E-2</v>
      </c>
      <c r="G12" s="79">
        <v>0.109256341240341</v>
      </c>
      <c r="H12" s="80">
        <v>0.99364154808461003</v>
      </c>
      <c r="I12" s="79">
        <v>2.8147825907010201E-2</v>
      </c>
      <c r="J12" s="79">
        <v>1.25176784764909E-2</v>
      </c>
      <c r="K12" s="79">
        <v>2.4576812093918401E-2</v>
      </c>
      <c r="L12" s="79">
        <v>8.4258665932223697E-2</v>
      </c>
      <c r="M12" s="80">
        <v>0.41780580559661301</v>
      </c>
      <c r="N12" s="79">
        <v>-4.4844779149123597E-2</v>
      </c>
      <c r="O12" s="79">
        <v>1.24005031911446E-2</v>
      </c>
      <c r="P12" s="79">
        <v>3.0160249005721398E-4</v>
      </c>
      <c r="Q12" s="79">
        <v>1.86619889116748E-3</v>
      </c>
      <c r="R12" s="80">
        <v>5.1272423309726397E-3</v>
      </c>
      <c r="S12" s="79">
        <v>-2.6012086477902902E-2</v>
      </c>
      <c r="T12" s="79">
        <v>1.23974509615564E-2</v>
      </c>
      <c r="U12" s="79">
        <v>3.5937436669412397E-2</v>
      </c>
      <c r="V12" s="79">
        <v>0.19241047397639599</v>
      </c>
      <c r="W12" s="80">
        <v>0.61093642338001097</v>
      </c>
    </row>
    <row r="13" spans="2:23" x14ac:dyDescent="0.2">
      <c r="B13" s="72" t="s">
        <v>2865</v>
      </c>
      <c r="C13" s="17" t="s">
        <v>1528</v>
      </c>
      <c r="D13" s="79">
        <v>2.33432545323712E-2</v>
      </c>
      <c r="E13" s="79">
        <v>1.2572849668460199E-2</v>
      </c>
      <c r="F13" s="79">
        <v>6.3419016178676693E-2</v>
      </c>
      <c r="G13" s="79">
        <v>0.109256341240341</v>
      </c>
      <c r="H13" s="80">
        <v>1</v>
      </c>
      <c r="I13" s="79">
        <v>2.8964504215417599E-2</v>
      </c>
      <c r="J13" s="79">
        <v>1.2531242510656E-2</v>
      </c>
      <c r="K13" s="79">
        <v>2.08506787531153E-2</v>
      </c>
      <c r="L13" s="79">
        <v>8.4258665932223697E-2</v>
      </c>
      <c r="M13" s="80">
        <v>0.35446153880296</v>
      </c>
      <c r="N13" s="79">
        <v>-4.5042731680785597E-2</v>
      </c>
      <c r="O13" s="79">
        <v>1.24147182974398E-2</v>
      </c>
      <c r="P13" s="79">
        <v>2.8817857256518601E-4</v>
      </c>
      <c r="Q13" s="79">
        <v>1.86619889116748E-3</v>
      </c>
      <c r="R13" s="80">
        <v>4.8990357336081598E-3</v>
      </c>
      <c r="S13" s="79">
        <v>-2.4456713058761299E-2</v>
      </c>
      <c r="T13" s="79">
        <v>1.24121481202056E-2</v>
      </c>
      <c r="U13" s="79">
        <v>4.8847301965191797E-2</v>
      </c>
      <c r="V13" s="79">
        <v>0.19241047397639599</v>
      </c>
      <c r="W13" s="80">
        <v>0.83040413340826102</v>
      </c>
    </row>
    <row r="14" spans="2:23" x14ac:dyDescent="0.2">
      <c r="B14" s="72" t="s">
        <v>2866</v>
      </c>
      <c r="C14" s="17" t="s">
        <v>1529</v>
      </c>
      <c r="D14" s="79">
        <v>2.4141492045381699E-2</v>
      </c>
      <c r="E14" s="79">
        <v>1.25628063553353E-2</v>
      </c>
      <c r="F14" s="79">
        <v>5.4702741407443002E-2</v>
      </c>
      <c r="G14" s="79">
        <v>0.109256341240341</v>
      </c>
      <c r="H14" s="80">
        <v>0.92994660392653095</v>
      </c>
      <c r="I14" s="79">
        <v>2.7225733243899701E-2</v>
      </c>
      <c r="J14" s="79">
        <v>1.2522430015289099E-2</v>
      </c>
      <c r="K14" s="79">
        <v>2.9738352681961299E-2</v>
      </c>
      <c r="L14" s="79">
        <v>8.4258665932223697E-2</v>
      </c>
      <c r="M14" s="80">
        <v>0.50555199559334196</v>
      </c>
      <c r="N14" s="79">
        <v>-4.45774001284545E-2</v>
      </c>
      <c r="O14" s="79">
        <v>1.2405115658831199E-2</v>
      </c>
      <c r="P14" s="79">
        <v>3.2932921608837799E-4</v>
      </c>
      <c r="Q14" s="79">
        <v>1.86619889116748E-3</v>
      </c>
      <c r="R14" s="80">
        <v>5.59859667350243E-3</v>
      </c>
      <c r="S14" s="79">
        <v>-2.7586416977887301E-2</v>
      </c>
      <c r="T14" s="79">
        <v>1.2401215244068099E-2</v>
      </c>
      <c r="U14" s="79">
        <v>2.61581247642333E-2</v>
      </c>
      <c r="V14" s="79">
        <v>0.19241047397639599</v>
      </c>
      <c r="W14" s="80">
        <v>0.44468812099196597</v>
      </c>
    </row>
    <row r="15" spans="2:23" x14ac:dyDescent="0.2">
      <c r="B15" s="72" t="s">
        <v>2867</v>
      </c>
      <c r="C15" s="17" t="s">
        <v>1526</v>
      </c>
      <c r="D15" s="79">
        <v>2.7056171518514201E-2</v>
      </c>
      <c r="E15" s="79">
        <v>1.2232921893475E-2</v>
      </c>
      <c r="F15" s="79">
        <v>2.7027358714377399E-2</v>
      </c>
      <c r="G15" s="79">
        <v>7.9880552381258393E-2</v>
      </c>
      <c r="H15" s="80">
        <v>0.459465098144416</v>
      </c>
      <c r="I15" s="79">
        <v>1.1440756922083499E-3</v>
      </c>
      <c r="J15" s="79">
        <v>1.2203621722092E-2</v>
      </c>
      <c r="K15" s="79">
        <v>0.92531227013254602</v>
      </c>
      <c r="L15" s="79">
        <v>0.92531227013254602</v>
      </c>
      <c r="M15" s="80">
        <v>1</v>
      </c>
      <c r="N15" s="79">
        <v>-2.7050175050533198E-2</v>
      </c>
      <c r="O15" s="79">
        <v>1.20848511899558E-2</v>
      </c>
      <c r="P15" s="79">
        <v>2.5240311135025801E-2</v>
      </c>
      <c r="Q15" s="79">
        <v>3.9498752964955801E-2</v>
      </c>
      <c r="R15" s="80">
        <v>0.42908528929543899</v>
      </c>
      <c r="S15" s="79">
        <v>-9.3493411565388103E-3</v>
      </c>
      <c r="T15" s="79">
        <v>1.20810056556341E-2</v>
      </c>
      <c r="U15" s="79">
        <v>0.43903251898398399</v>
      </c>
      <c r="V15" s="79">
        <v>0.46647205142048298</v>
      </c>
      <c r="W15" s="80">
        <v>1</v>
      </c>
    </row>
    <row r="16" spans="2:23" x14ac:dyDescent="0.2">
      <c r="B16" s="72" t="s">
        <v>2868</v>
      </c>
      <c r="C16" s="17" t="s">
        <v>1527</v>
      </c>
      <c r="D16" s="79">
        <v>2.7513462434789498E-2</v>
      </c>
      <c r="E16" s="79">
        <v>1.22263950572549E-2</v>
      </c>
      <c r="F16" s="79">
        <v>2.4469536007882799E-2</v>
      </c>
      <c r="G16" s="79">
        <v>7.9880552381258393E-2</v>
      </c>
      <c r="H16" s="80">
        <v>0.41598211213400799</v>
      </c>
      <c r="I16" s="79">
        <v>1.8108196046538001E-3</v>
      </c>
      <c r="J16" s="79">
        <v>1.21967992282969E-2</v>
      </c>
      <c r="K16" s="79">
        <v>0.88198016011755598</v>
      </c>
      <c r="L16" s="79">
        <v>0.92531227013254602</v>
      </c>
      <c r="M16" s="80">
        <v>1</v>
      </c>
      <c r="N16" s="79">
        <v>-2.39959806949216E-2</v>
      </c>
      <c r="O16" s="79">
        <v>1.2080071912231601E-2</v>
      </c>
      <c r="P16" s="79">
        <v>4.7040371673949297E-2</v>
      </c>
      <c r="Q16" s="79">
        <v>5.2074398653273797E-2</v>
      </c>
      <c r="R16" s="80">
        <v>0.799686318457138</v>
      </c>
      <c r="S16" s="79">
        <v>-1.0812188223434001E-2</v>
      </c>
      <c r="T16" s="79">
        <v>1.2074540359807E-2</v>
      </c>
      <c r="U16" s="79">
        <v>0.37058632270452502</v>
      </c>
      <c r="V16" s="79">
        <v>0.419997832398462</v>
      </c>
      <c r="W16" s="80">
        <v>1</v>
      </c>
    </row>
    <row r="17" spans="2:23" x14ac:dyDescent="0.2">
      <c r="B17" s="72" t="s">
        <v>2869</v>
      </c>
      <c r="C17" s="17" t="s">
        <v>1523</v>
      </c>
      <c r="D17" s="79">
        <v>2.7824184906341001E-2</v>
      </c>
      <c r="E17" s="79">
        <v>1.1220118334129401E-2</v>
      </c>
      <c r="F17" s="79">
        <v>1.31753425632901E-2</v>
      </c>
      <c r="G17" s="79">
        <v>7.9880552381258393E-2</v>
      </c>
      <c r="H17" s="80">
        <v>0.22398082357593199</v>
      </c>
      <c r="I17" s="79">
        <v>1.3427816225254199E-2</v>
      </c>
      <c r="J17" s="79">
        <v>1.1190350578272701E-2</v>
      </c>
      <c r="K17" s="79">
        <v>0.23021509805427801</v>
      </c>
      <c r="L17" s="79">
        <v>0.48920708336534102</v>
      </c>
      <c r="M17" s="80">
        <v>1</v>
      </c>
      <c r="N17" s="79">
        <v>-2.93984353837911E-2</v>
      </c>
      <c r="O17" s="79">
        <v>1.10881991022395E-2</v>
      </c>
      <c r="P17" s="79">
        <v>8.0419867260414692E-3</v>
      </c>
      <c r="Q17" s="79">
        <v>1.7089221792838099E-2</v>
      </c>
      <c r="R17" s="80">
        <v>0.13671377434270501</v>
      </c>
      <c r="S17" s="79">
        <v>-1.7007165500223301E-2</v>
      </c>
      <c r="T17" s="79">
        <v>1.10811576694449E-2</v>
      </c>
      <c r="U17" s="79">
        <v>0.12489824432430401</v>
      </c>
      <c r="V17" s="79">
        <v>0.21232701535131701</v>
      </c>
      <c r="W17" s="80">
        <v>1</v>
      </c>
    </row>
    <row r="18" spans="2:23" x14ac:dyDescent="0.2">
      <c r="B18" s="72" t="s">
        <v>2871</v>
      </c>
      <c r="C18" s="17" t="s">
        <v>1522</v>
      </c>
      <c r="D18" s="79">
        <v>3.0310363118824301E-2</v>
      </c>
      <c r="E18" s="79">
        <v>1.24851813940894E-2</v>
      </c>
      <c r="F18" s="79">
        <v>1.5228377599410099E-2</v>
      </c>
      <c r="G18" s="79">
        <v>7.9880552381258393E-2</v>
      </c>
      <c r="H18" s="80">
        <v>0.25888241918997201</v>
      </c>
      <c r="I18" s="79">
        <v>6.5341703638008702E-3</v>
      </c>
      <c r="J18" s="79">
        <v>1.2453583815393099E-2</v>
      </c>
      <c r="K18" s="79">
        <v>0.599826710562817</v>
      </c>
      <c r="L18" s="79">
        <v>0.92531227013254602</v>
      </c>
      <c r="M18" s="80">
        <v>1</v>
      </c>
      <c r="N18" s="79">
        <v>-2.4832067035828201E-2</v>
      </c>
      <c r="O18" s="79">
        <v>1.23375261263475E-2</v>
      </c>
      <c r="P18" s="79">
        <v>4.4194958642838199E-2</v>
      </c>
      <c r="Q18" s="79">
        <v>5.2074398653273797E-2</v>
      </c>
      <c r="R18" s="80">
        <v>0.75131429692824903</v>
      </c>
      <c r="S18" s="79">
        <v>-2.0870661885027099E-2</v>
      </c>
      <c r="T18" s="79">
        <v>1.23287933233078E-2</v>
      </c>
      <c r="U18" s="79">
        <v>9.0546105400656898E-2</v>
      </c>
      <c r="V18" s="79">
        <v>0.19241047397639599</v>
      </c>
      <c r="W18" s="80">
        <v>1</v>
      </c>
    </row>
    <row r="19" spans="2:23" x14ac:dyDescent="0.2">
      <c r="B19" s="72" t="s">
        <v>2872</v>
      </c>
      <c r="C19" s="17" t="s">
        <v>1525</v>
      </c>
      <c r="D19" s="79">
        <v>2.7784681541994202E-2</v>
      </c>
      <c r="E19" s="79">
        <v>1.22514562578021E-2</v>
      </c>
      <c r="F19" s="79">
        <v>2.33781917469729E-2</v>
      </c>
      <c r="G19" s="79">
        <v>7.9880552381258393E-2</v>
      </c>
      <c r="H19" s="80">
        <v>0.39742925969853898</v>
      </c>
      <c r="I19" s="79">
        <v>1.68236923750993E-2</v>
      </c>
      <c r="J19" s="79">
        <v>1.22186317851586E-2</v>
      </c>
      <c r="K19" s="79">
        <v>0.168606094914792</v>
      </c>
      <c r="L19" s="79">
        <v>0.40947194479306598</v>
      </c>
      <c r="M19" s="80">
        <v>1</v>
      </c>
      <c r="N19" s="79">
        <v>-3.86330732779607E-2</v>
      </c>
      <c r="O19" s="79">
        <v>1.21001870540662E-2</v>
      </c>
      <c r="P19" s="79">
        <v>1.4175839573205E-3</v>
      </c>
      <c r="Q19" s="79">
        <v>5.2588898419058602E-3</v>
      </c>
      <c r="R19" s="80">
        <v>2.4098927274448501E-2</v>
      </c>
      <c r="S19" s="79">
        <v>-2.07617603227324E-2</v>
      </c>
      <c r="T19" s="79">
        <v>1.20975137271118E-2</v>
      </c>
      <c r="U19" s="79">
        <v>8.6184993130840298E-2</v>
      </c>
      <c r="V19" s="79">
        <v>0.19241047397639599</v>
      </c>
      <c r="W19" s="80">
        <v>1</v>
      </c>
    </row>
    <row r="20" spans="2:23" x14ac:dyDescent="0.2">
      <c r="B20" s="72" t="s">
        <v>2870</v>
      </c>
      <c r="C20" s="17" t="s">
        <v>1524</v>
      </c>
      <c r="D20" s="79">
        <v>2.6610897782417299E-2</v>
      </c>
      <c r="E20" s="79">
        <v>1.2122289455774499E-2</v>
      </c>
      <c r="F20" s="79">
        <v>2.81931361345618E-2</v>
      </c>
      <c r="G20" s="79">
        <v>7.9880552381258393E-2</v>
      </c>
      <c r="H20" s="80">
        <v>0.479283314287551</v>
      </c>
      <c r="I20" s="79">
        <v>1.1394814950187199E-2</v>
      </c>
      <c r="J20" s="79">
        <v>1.20902693833723E-2</v>
      </c>
      <c r="K20" s="79">
        <v>0.34599174907866398</v>
      </c>
      <c r="L20" s="79">
        <v>0.65353997048192103</v>
      </c>
      <c r="M20" s="80">
        <v>1</v>
      </c>
      <c r="N20" s="79">
        <v>-3.79249688575354E-2</v>
      </c>
      <c r="O20" s="79">
        <v>1.1973329015261099E-2</v>
      </c>
      <c r="P20" s="79">
        <v>1.5467323064429E-3</v>
      </c>
      <c r="Q20" s="79">
        <v>5.2588898419058602E-3</v>
      </c>
      <c r="R20" s="80">
        <v>2.6294449209529301E-2</v>
      </c>
      <c r="S20" s="79">
        <v>-2.25466896359184E-2</v>
      </c>
      <c r="T20" s="79">
        <v>1.1966670602487401E-2</v>
      </c>
      <c r="U20" s="79">
        <v>5.9604119461019699E-2</v>
      </c>
      <c r="V20" s="79">
        <v>0.19241047397639599</v>
      </c>
      <c r="W20" s="80">
        <v>1</v>
      </c>
    </row>
    <row r="21" spans="2:23" x14ac:dyDescent="0.2">
      <c r="B21" s="72" t="s">
        <v>2873</v>
      </c>
      <c r="C21" s="17" t="s">
        <v>1550</v>
      </c>
      <c r="D21" s="79">
        <v>1.1430160262841499E-3</v>
      </c>
      <c r="E21" s="79">
        <v>1.0918293017009899E-2</v>
      </c>
      <c r="F21" s="79">
        <v>0.916627669504404</v>
      </c>
      <c r="G21" s="79">
        <v>0.916627669504404</v>
      </c>
      <c r="H21" s="80">
        <v>1</v>
      </c>
      <c r="I21" s="79">
        <v>3.0959836102051998E-3</v>
      </c>
      <c r="J21" s="79">
        <v>1.085639944783E-2</v>
      </c>
      <c r="K21" s="79">
        <v>0.77552179545484401</v>
      </c>
      <c r="L21" s="79">
        <v>0.92531227013254602</v>
      </c>
      <c r="M21" s="80">
        <v>1</v>
      </c>
      <c r="N21" s="79">
        <v>-2.1241661490868601E-2</v>
      </c>
      <c r="O21" s="79">
        <v>1.07880628462647E-2</v>
      </c>
      <c r="P21" s="79">
        <v>4.9011198732493003E-2</v>
      </c>
      <c r="Q21" s="79">
        <v>5.2074398653273797E-2</v>
      </c>
      <c r="R21" s="80">
        <v>0.83319037845238098</v>
      </c>
      <c r="S21" s="79">
        <v>-2.81158999856739E-3</v>
      </c>
      <c r="T21" s="79">
        <v>1.0758705213204199E-2</v>
      </c>
      <c r="U21" s="79">
        <v>0.79384806578587197</v>
      </c>
      <c r="V21" s="79">
        <v>0.79384806578587197</v>
      </c>
      <c r="W21" s="80">
        <v>1</v>
      </c>
    </row>
    <row r="22" spans="2:23" x14ac:dyDescent="0.2">
      <c r="B22" s="64" t="s">
        <v>2874</v>
      </c>
      <c r="C22" s="22" t="s">
        <v>2002</v>
      </c>
      <c r="D22" s="85">
        <v>1.2424361096139499E-2</v>
      </c>
      <c r="E22" s="86">
        <v>1.29330522243146E-2</v>
      </c>
      <c r="F22" s="86">
        <v>0.336768472120961</v>
      </c>
      <c r="G22" s="86">
        <v>0.44038954046587198</v>
      </c>
      <c r="H22" s="87">
        <v>1</v>
      </c>
      <c r="I22" s="86">
        <v>8.3679322029762502E-3</v>
      </c>
      <c r="J22" s="86">
        <v>1.2859837055137401E-2</v>
      </c>
      <c r="K22" s="86">
        <v>0.51526992290171003</v>
      </c>
      <c r="L22" s="86">
        <v>0.87595886893290698</v>
      </c>
      <c r="M22" s="87">
        <v>1</v>
      </c>
      <c r="N22" s="86">
        <v>-1.74812527498667E-3</v>
      </c>
      <c r="O22" s="86">
        <v>1.27876920246278E-2</v>
      </c>
      <c r="P22" s="86">
        <v>0.89127076041022202</v>
      </c>
      <c r="Q22" s="86">
        <v>0.89127076041022202</v>
      </c>
      <c r="R22" s="87">
        <v>1</v>
      </c>
      <c r="S22" s="86">
        <v>-1.5740600559746E-2</v>
      </c>
      <c r="T22" s="86">
        <v>1.27444723837465E-2</v>
      </c>
      <c r="U22" s="86">
        <v>0.21685723766273499</v>
      </c>
      <c r="V22" s="86">
        <v>0.28762466560427402</v>
      </c>
      <c r="W22" s="87">
        <v>1</v>
      </c>
    </row>
    <row r="23" spans="2:23" ht="16" customHeight="1" x14ac:dyDescent="0.2">
      <c r="B23" s="135" t="s">
        <v>2001</v>
      </c>
      <c r="C23" s="135"/>
      <c r="D23" s="135"/>
      <c r="E23" s="135"/>
      <c r="F23" s="135"/>
      <c r="G23" s="135"/>
      <c r="H23" s="135"/>
      <c r="I23" s="135"/>
      <c r="J23" s="135"/>
      <c r="K23" s="135"/>
      <c r="L23" s="135"/>
      <c r="M23" s="135"/>
      <c r="N23" s="135"/>
      <c r="O23" s="135"/>
      <c r="P23" s="135"/>
      <c r="Q23" s="135"/>
      <c r="R23" s="135"/>
      <c r="S23" s="135"/>
      <c r="T23" s="135"/>
      <c r="U23" s="135"/>
      <c r="V23" s="135"/>
      <c r="W23" s="135"/>
    </row>
    <row r="24" spans="2:23" x14ac:dyDescent="0.2">
      <c r="C24" s="3"/>
      <c r="D24" s="3"/>
      <c r="E24" s="3"/>
      <c r="F24" s="3"/>
      <c r="G24" s="3"/>
      <c r="H24" s="3"/>
      <c r="I24" s="3"/>
      <c r="J24" s="3"/>
      <c r="K24" s="3"/>
      <c r="L24" s="3"/>
      <c r="M24" s="3"/>
      <c r="N24" s="3"/>
      <c r="O24" s="3"/>
      <c r="P24" s="3"/>
      <c r="Q24" s="3"/>
      <c r="R24" s="3"/>
      <c r="S24" s="3"/>
      <c r="T24" s="3"/>
      <c r="U24" s="3"/>
      <c r="V24" s="3"/>
      <c r="W24" s="3"/>
    </row>
    <row r="26" spans="2:23" x14ac:dyDescent="0.2">
      <c r="E26" s="23"/>
    </row>
    <row r="27" spans="2:23" x14ac:dyDescent="0.2">
      <c r="E27" s="23"/>
    </row>
    <row r="28" spans="2:23" x14ac:dyDescent="0.2">
      <c r="E28" s="23"/>
    </row>
    <row r="29" spans="2:23" x14ac:dyDescent="0.2">
      <c r="E29" s="23"/>
    </row>
    <row r="54" ht="16" customHeight="1" x14ac:dyDescent="0.2"/>
  </sheetData>
  <sortState xmlns:xlrd2="http://schemas.microsoft.com/office/spreadsheetml/2017/richdata2" ref="C6:W20">
    <sortCondition ref="C6:C20"/>
  </sortState>
  <mergeCells count="6">
    <mergeCell ref="B23:W23"/>
    <mergeCell ref="D3:W3"/>
    <mergeCell ref="S4:W4"/>
    <mergeCell ref="N4:R4"/>
    <mergeCell ref="I4:M4"/>
    <mergeCell ref="D4:H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573A2-13E4-E24B-8966-C6DE8393CEFE}">
  <dimension ref="B2:W84"/>
  <sheetViews>
    <sheetView showGridLines="0" topLeftCell="B40" zoomScaleNormal="100" workbookViewId="0">
      <selection activeCell="B6" sqref="B6:B73"/>
    </sheetView>
  </sheetViews>
  <sheetFormatPr baseColWidth="10" defaultRowHeight="16" x14ac:dyDescent="0.2"/>
  <cols>
    <col min="2" max="2" width="34.5" customWidth="1"/>
    <col min="3" max="3" width="23.83203125" customWidth="1"/>
    <col min="8" max="8" width="13.1640625" customWidth="1"/>
  </cols>
  <sheetData>
    <row r="2" spans="2:23" x14ac:dyDescent="0.2">
      <c r="B2" s="51" t="s">
        <v>8545</v>
      </c>
    </row>
    <row r="3" spans="2:23" x14ac:dyDescent="0.2">
      <c r="C3" s="51"/>
    </row>
    <row r="4" spans="2:23" x14ac:dyDescent="0.2">
      <c r="D4" s="145" t="s">
        <v>79</v>
      </c>
      <c r="E4" s="145"/>
      <c r="F4" s="145"/>
      <c r="G4" s="145"/>
      <c r="H4" s="145"/>
      <c r="I4" s="145" t="s">
        <v>763</v>
      </c>
      <c r="J4" s="145"/>
      <c r="K4" s="145"/>
      <c r="L4" s="145"/>
      <c r="M4" s="145"/>
      <c r="N4" s="145" t="s">
        <v>764</v>
      </c>
      <c r="O4" s="145"/>
      <c r="P4" s="145"/>
      <c r="Q4" s="145"/>
      <c r="R4" s="145"/>
      <c r="S4" s="145" t="s">
        <v>765</v>
      </c>
      <c r="T4" s="145"/>
      <c r="U4" s="145"/>
      <c r="V4" s="145"/>
      <c r="W4" s="145"/>
    </row>
    <row r="5" spans="2:23" x14ac:dyDescent="0.2">
      <c r="B5" s="71" t="s">
        <v>2875</v>
      </c>
      <c r="C5" s="66" t="s">
        <v>2857</v>
      </c>
      <c r="D5" s="21" t="s">
        <v>81</v>
      </c>
      <c r="E5" s="21" t="s">
        <v>82</v>
      </c>
      <c r="F5" s="21" t="s">
        <v>83</v>
      </c>
      <c r="G5" s="21" t="s">
        <v>761</v>
      </c>
      <c r="H5" s="22" t="s">
        <v>762</v>
      </c>
      <c r="I5" s="21" t="s">
        <v>81</v>
      </c>
      <c r="J5" s="21" t="s">
        <v>82</v>
      </c>
      <c r="K5" s="21" t="s">
        <v>83</v>
      </c>
      <c r="L5" s="21" t="s">
        <v>761</v>
      </c>
      <c r="M5" s="22" t="s">
        <v>762</v>
      </c>
      <c r="N5" s="21" t="s">
        <v>81</v>
      </c>
      <c r="O5" s="21" t="s">
        <v>82</v>
      </c>
      <c r="P5" s="21" t="s">
        <v>83</v>
      </c>
      <c r="Q5" s="21" t="s">
        <v>761</v>
      </c>
      <c r="R5" s="22" t="s">
        <v>762</v>
      </c>
      <c r="S5" s="21" t="s">
        <v>81</v>
      </c>
      <c r="T5" s="21" t="s">
        <v>82</v>
      </c>
      <c r="U5" s="21" t="s">
        <v>83</v>
      </c>
      <c r="V5" s="21" t="s">
        <v>761</v>
      </c>
      <c r="W5" s="22" t="s">
        <v>762</v>
      </c>
    </row>
    <row r="6" spans="2:23" x14ac:dyDescent="0.2">
      <c r="B6" s="76" t="s">
        <v>2876</v>
      </c>
      <c r="C6" s="65" t="s">
        <v>1551</v>
      </c>
      <c r="D6" s="79">
        <v>-1.4911372947814E-2</v>
      </c>
      <c r="E6" s="79">
        <v>1.25427485445042E-2</v>
      </c>
      <c r="F6" s="79">
        <v>0.23455909457436799</v>
      </c>
      <c r="G6" s="79">
        <v>0.72133321912552295</v>
      </c>
      <c r="H6" s="88">
        <v>1</v>
      </c>
      <c r="I6" s="79">
        <v>1.2305425985878999E-4</v>
      </c>
      <c r="J6" s="79">
        <v>1.2473187669536E-2</v>
      </c>
      <c r="K6" s="79">
        <v>0.99212900543373805</v>
      </c>
      <c r="L6" s="79">
        <v>0.99212900543373805</v>
      </c>
      <c r="M6" s="88">
        <v>1</v>
      </c>
      <c r="N6" s="79">
        <v>-8.2385063452333294E-3</v>
      </c>
      <c r="O6" s="79">
        <v>1.24164203243115E-2</v>
      </c>
      <c r="P6" s="79">
        <v>0.50703107451643903</v>
      </c>
      <c r="Q6" s="79">
        <v>0.91066196655305898</v>
      </c>
      <c r="R6" s="88">
        <v>1</v>
      </c>
      <c r="S6" s="79">
        <v>1.4088828370196401E-2</v>
      </c>
      <c r="T6" s="79">
        <v>1.23877157262816E-2</v>
      </c>
      <c r="U6" s="79">
        <v>0.255459553836763</v>
      </c>
      <c r="V6" s="79">
        <v>0.87264788175569097</v>
      </c>
      <c r="W6" s="88">
        <v>1</v>
      </c>
    </row>
    <row r="7" spans="2:23" x14ac:dyDescent="0.2">
      <c r="B7" s="76" t="s">
        <v>2877</v>
      </c>
      <c r="C7" s="65" t="s">
        <v>1619</v>
      </c>
      <c r="D7" s="79">
        <v>-1.65381158029736E-2</v>
      </c>
      <c r="E7" s="79">
        <v>1.21861517739454E-2</v>
      </c>
      <c r="F7" s="79">
        <v>0.17480511916354</v>
      </c>
      <c r="G7" s="79">
        <v>0.68444625738685605</v>
      </c>
      <c r="H7" s="80">
        <v>1</v>
      </c>
      <c r="I7" s="79">
        <v>-2.66271067889725E-3</v>
      </c>
      <c r="J7" s="79">
        <v>1.21170419542894E-2</v>
      </c>
      <c r="K7" s="79">
        <v>0.82607582465916496</v>
      </c>
      <c r="L7" s="79">
        <v>0.95886681949014896</v>
      </c>
      <c r="M7" s="80">
        <v>1</v>
      </c>
      <c r="N7" s="79">
        <v>-1.9277456465003499E-2</v>
      </c>
      <c r="O7" s="79">
        <v>1.20606822187016E-2</v>
      </c>
      <c r="P7" s="79">
        <v>0.11002569323681501</v>
      </c>
      <c r="Q7" s="79">
        <v>0.71125171788005703</v>
      </c>
      <c r="R7" s="80">
        <v>1</v>
      </c>
      <c r="S7" s="79">
        <v>-5.2789286336529396E-3</v>
      </c>
      <c r="T7" s="79">
        <v>1.2036801788562101E-2</v>
      </c>
      <c r="U7" s="79">
        <v>0.66099580487575305</v>
      </c>
      <c r="V7" s="79">
        <v>0.95064437038083005</v>
      </c>
      <c r="W7" s="80">
        <v>1</v>
      </c>
    </row>
    <row r="8" spans="2:23" x14ac:dyDescent="0.2">
      <c r="B8" s="76" t="s">
        <v>2878</v>
      </c>
      <c r="C8" s="65" t="s">
        <v>1553</v>
      </c>
      <c r="D8" s="79">
        <v>-7.8791405506694594E-3</v>
      </c>
      <c r="E8" s="79">
        <v>1.2860626613496099E-2</v>
      </c>
      <c r="F8" s="79">
        <v>0.54013213763617296</v>
      </c>
      <c r="G8" s="79">
        <v>0.89759883150179898</v>
      </c>
      <c r="H8" s="80">
        <v>1</v>
      </c>
      <c r="I8" s="79">
        <v>5.1572387876494602E-3</v>
      </c>
      <c r="J8" s="79">
        <v>1.2786993613976999E-2</v>
      </c>
      <c r="K8" s="79">
        <v>0.68673120211829997</v>
      </c>
      <c r="L8" s="79">
        <v>0.92891713666616404</v>
      </c>
      <c r="M8" s="80">
        <v>1</v>
      </c>
      <c r="N8" s="79">
        <v>1.7385822231781301E-2</v>
      </c>
      <c r="O8" s="79">
        <v>1.27261454203693E-2</v>
      </c>
      <c r="P8" s="79">
        <v>0.17195463398769301</v>
      </c>
      <c r="Q8" s="79">
        <v>0.75802918501942396</v>
      </c>
      <c r="R8" s="80">
        <v>1</v>
      </c>
      <c r="S8" s="79">
        <v>1.38966940627222E-2</v>
      </c>
      <c r="T8" s="79">
        <v>1.2698855733229399E-2</v>
      </c>
      <c r="U8" s="79">
        <v>0.27386545777585802</v>
      </c>
      <c r="V8" s="79">
        <v>0.87264788175569097</v>
      </c>
      <c r="W8" s="80">
        <v>1</v>
      </c>
    </row>
    <row r="9" spans="2:23" x14ac:dyDescent="0.2">
      <c r="B9" s="76" t="s">
        <v>2879</v>
      </c>
      <c r="C9" s="65" t="s">
        <v>1621</v>
      </c>
      <c r="D9" s="79">
        <v>-1.7970567349064E-2</v>
      </c>
      <c r="E9" s="79">
        <v>1.31756084672574E-2</v>
      </c>
      <c r="F9" s="79">
        <v>0.172654015818136</v>
      </c>
      <c r="G9" s="79">
        <v>0.68444625738685605</v>
      </c>
      <c r="H9" s="80">
        <v>1</v>
      </c>
      <c r="I9" s="79">
        <v>-6.8329596759853003E-3</v>
      </c>
      <c r="J9" s="79">
        <v>1.30999950610918E-2</v>
      </c>
      <c r="K9" s="79">
        <v>0.60197290587952001</v>
      </c>
      <c r="L9" s="79">
        <v>0.92891713666616404</v>
      </c>
      <c r="M9" s="80">
        <v>1</v>
      </c>
      <c r="N9" s="79">
        <v>1.80899400868301E-3</v>
      </c>
      <c r="O9" s="79">
        <v>1.3042008527230999E-2</v>
      </c>
      <c r="P9" s="79">
        <v>0.88968893653357395</v>
      </c>
      <c r="Q9" s="79">
        <v>0.95369318027669803</v>
      </c>
      <c r="R9" s="80">
        <v>1</v>
      </c>
      <c r="S9" s="79">
        <v>5.1719322896217404E-3</v>
      </c>
      <c r="T9" s="79">
        <v>1.3014293147070401E-2</v>
      </c>
      <c r="U9" s="79">
        <v>0.69108709923677003</v>
      </c>
      <c r="V9" s="79">
        <v>0.95064437038083005</v>
      </c>
      <c r="W9" s="80">
        <v>1</v>
      </c>
    </row>
    <row r="10" spans="2:23" x14ac:dyDescent="0.2">
      <c r="B10" s="76" t="s">
        <v>2880</v>
      </c>
      <c r="C10" s="65" t="s">
        <v>1555</v>
      </c>
      <c r="D10" s="79">
        <v>6.7134974462336001E-3</v>
      </c>
      <c r="E10" s="79">
        <v>1.1426094183785001E-2</v>
      </c>
      <c r="F10" s="79">
        <v>0.556855747676819</v>
      </c>
      <c r="G10" s="79">
        <v>0.90157597242913501</v>
      </c>
      <c r="H10" s="80">
        <v>1</v>
      </c>
      <c r="I10" s="79">
        <v>1.265709551922E-2</v>
      </c>
      <c r="J10" s="79">
        <v>1.1361921663361E-2</v>
      </c>
      <c r="K10" s="79">
        <v>0.265337427800449</v>
      </c>
      <c r="L10" s="79">
        <v>0.78755927561889105</v>
      </c>
      <c r="M10" s="80">
        <v>1</v>
      </c>
      <c r="N10" s="79">
        <v>-9.7228173844189393E-3</v>
      </c>
      <c r="O10" s="79">
        <v>1.1311189653399599E-2</v>
      </c>
      <c r="P10" s="79">
        <v>0.39006531736594202</v>
      </c>
      <c r="Q10" s="79">
        <v>0.91066196655305898</v>
      </c>
      <c r="R10" s="80">
        <v>1</v>
      </c>
      <c r="S10" s="79">
        <v>9.3292253394485491E-3</v>
      </c>
      <c r="T10" s="79">
        <v>1.1283664493469001E-2</v>
      </c>
      <c r="U10" s="79">
        <v>0.40839604009757702</v>
      </c>
      <c r="V10" s="79">
        <v>0.87264788175569097</v>
      </c>
      <c r="W10" s="80">
        <v>1</v>
      </c>
    </row>
    <row r="11" spans="2:23" x14ac:dyDescent="0.2">
      <c r="B11" s="76" t="s">
        <v>2881</v>
      </c>
      <c r="C11" s="65" t="s">
        <v>1623</v>
      </c>
      <c r="D11" s="79">
        <v>1.02481559052056E-2</v>
      </c>
      <c r="E11" s="79">
        <v>1.14907744491815E-2</v>
      </c>
      <c r="F11" s="79">
        <v>0.37251141928340997</v>
      </c>
      <c r="G11" s="79">
        <v>0.79158676597724698</v>
      </c>
      <c r="H11" s="80">
        <v>1</v>
      </c>
      <c r="I11" s="79">
        <v>1.3932230305432799E-2</v>
      </c>
      <c r="J11" s="79">
        <v>1.1428083135450399E-2</v>
      </c>
      <c r="K11" s="79">
        <v>0.22285609951534699</v>
      </c>
      <c r="L11" s="79">
        <v>0.76597241073350597</v>
      </c>
      <c r="M11" s="80">
        <v>1</v>
      </c>
      <c r="N11" s="79">
        <v>1.17005304198838E-2</v>
      </c>
      <c r="O11" s="79">
        <v>1.1374720681217299E-2</v>
      </c>
      <c r="P11" s="79">
        <v>0.303697407057052</v>
      </c>
      <c r="Q11" s="79">
        <v>0.89788798608171705</v>
      </c>
      <c r="R11" s="80">
        <v>1</v>
      </c>
      <c r="S11" s="79">
        <v>2.2158247228502501E-2</v>
      </c>
      <c r="T11" s="79">
        <v>1.1344693850554999E-2</v>
      </c>
      <c r="U11" s="79">
        <v>5.0854089218901603E-2</v>
      </c>
      <c r="V11" s="79">
        <v>0.55749217687705599</v>
      </c>
      <c r="W11" s="80">
        <v>1</v>
      </c>
    </row>
    <row r="12" spans="2:23" x14ac:dyDescent="0.2">
      <c r="B12" s="76" t="s">
        <v>2882</v>
      </c>
      <c r="C12" s="65" t="s">
        <v>1557</v>
      </c>
      <c r="D12" s="79">
        <v>-1.12557873635109E-2</v>
      </c>
      <c r="E12" s="79">
        <v>1.2133062612788801E-2</v>
      </c>
      <c r="F12" s="79">
        <v>0.35361031757858602</v>
      </c>
      <c r="G12" s="79">
        <v>0.781705498042918</v>
      </c>
      <c r="H12" s="80">
        <v>1</v>
      </c>
      <c r="I12" s="79">
        <v>3.4721914165130102E-3</v>
      </c>
      <c r="J12" s="79">
        <v>1.20753040245159E-2</v>
      </c>
      <c r="K12" s="79">
        <v>0.77370716973562603</v>
      </c>
      <c r="L12" s="79">
        <v>0.95658340985495505</v>
      </c>
      <c r="M12" s="80">
        <v>1</v>
      </c>
      <c r="N12" s="79">
        <v>9.2141007459912907E-3</v>
      </c>
      <c r="O12" s="79">
        <v>1.2013859020186301E-2</v>
      </c>
      <c r="P12" s="79">
        <v>0.443143898875964</v>
      </c>
      <c r="Q12" s="79">
        <v>0.91066196655305898</v>
      </c>
      <c r="R12" s="80">
        <v>1</v>
      </c>
      <c r="S12" s="79">
        <v>1.7982612645115401E-2</v>
      </c>
      <c r="T12" s="79">
        <v>1.19790299262686E-2</v>
      </c>
      <c r="U12" s="79">
        <v>0.133373618809289</v>
      </c>
      <c r="V12" s="79">
        <v>0.87264788175569097</v>
      </c>
      <c r="W12" s="80">
        <v>1</v>
      </c>
    </row>
    <row r="13" spans="2:23" x14ac:dyDescent="0.2">
      <c r="B13" s="76" t="s">
        <v>2883</v>
      </c>
      <c r="C13" s="65" t="s">
        <v>1625</v>
      </c>
      <c r="D13" s="79">
        <v>4.6968329951700199E-3</v>
      </c>
      <c r="E13" s="79">
        <v>1.17967540092685E-2</v>
      </c>
      <c r="F13" s="79">
        <v>0.69053952464129598</v>
      </c>
      <c r="G13" s="79">
        <v>0.96756617727854799</v>
      </c>
      <c r="H13" s="80">
        <v>1</v>
      </c>
      <c r="I13" s="79">
        <v>2.3628264388678901E-2</v>
      </c>
      <c r="J13" s="79">
        <v>1.17318073760141E-2</v>
      </c>
      <c r="K13" s="79">
        <v>4.4060216634228398E-2</v>
      </c>
      <c r="L13" s="79">
        <v>0.41819797789188901</v>
      </c>
      <c r="M13" s="80">
        <v>1</v>
      </c>
      <c r="N13" s="79">
        <v>1.63046598187594E-2</v>
      </c>
      <c r="O13" s="79">
        <v>1.16780944140414E-2</v>
      </c>
      <c r="P13" s="79">
        <v>0.16272436855898001</v>
      </c>
      <c r="Q13" s="79">
        <v>0.75802918501942396</v>
      </c>
      <c r="R13" s="80">
        <v>1</v>
      </c>
      <c r="S13" s="79">
        <v>2.9831142924017801E-2</v>
      </c>
      <c r="T13" s="79">
        <v>1.1642401517554199E-2</v>
      </c>
      <c r="U13" s="79">
        <v>1.04278685292815E-2</v>
      </c>
      <c r="V13" s="79">
        <v>0.17727376499778499</v>
      </c>
      <c r="W13" s="80">
        <v>0.70909505999113998</v>
      </c>
    </row>
    <row r="14" spans="2:23" x14ac:dyDescent="0.2">
      <c r="B14" s="76" t="s">
        <v>2884</v>
      </c>
      <c r="C14" s="65" t="s">
        <v>1559</v>
      </c>
      <c r="D14" s="79">
        <v>-6.8436238972304601E-3</v>
      </c>
      <c r="E14" s="79">
        <v>1.27042368399303E-2</v>
      </c>
      <c r="F14" s="79">
        <v>0.590126513902126</v>
      </c>
      <c r="G14" s="79">
        <v>0.93322332431034005</v>
      </c>
      <c r="H14" s="80">
        <v>1</v>
      </c>
      <c r="I14" s="79">
        <v>-1.1405750557248199E-3</v>
      </c>
      <c r="J14" s="79">
        <v>1.26288588261985E-2</v>
      </c>
      <c r="K14" s="79">
        <v>0.92804066840660904</v>
      </c>
      <c r="L14" s="79">
        <v>0.99181782696364595</v>
      </c>
      <c r="M14" s="80">
        <v>1</v>
      </c>
      <c r="N14" s="79">
        <v>-3.71982712390266E-3</v>
      </c>
      <c r="O14" s="79">
        <v>1.2567509907525301E-2</v>
      </c>
      <c r="P14" s="79">
        <v>0.76725220382343395</v>
      </c>
      <c r="Q14" s="79">
        <v>0.94860272472715501</v>
      </c>
      <c r="R14" s="80">
        <v>1</v>
      </c>
      <c r="S14" s="79">
        <v>-2.6948149169839699E-3</v>
      </c>
      <c r="T14" s="79">
        <v>1.25441095429842E-2</v>
      </c>
      <c r="U14" s="79">
        <v>0.82991109134432095</v>
      </c>
      <c r="V14" s="79">
        <v>0.96670493255413903</v>
      </c>
      <c r="W14" s="80">
        <v>1</v>
      </c>
    </row>
    <row r="15" spans="2:23" x14ac:dyDescent="0.2">
      <c r="B15" s="76" t="s">
        <v>2885</v>
      </c>
      <c r="C15" s="65" t="s">
        <v>1627</v>
      </c>
      <c r="D15" s="79">
        <v>-1.08794825067129E-2</v>
      </c>
      <c r="E15" s="79">
        <v>1.32436141094759E-2</v>
      </c>
      <c r="F15" s="79">
        <v>0.41140807322695899</v>
      </c>
      <c r="G15" s="79">
        <v>0.79399156865682496</v>
      </c>
      <c r="H15" s="80">
        <v>1</v>
      </c>
      <c r="I15" s="79">
        <v>-9.9320457632000592E-3</v>
      </c>
      <c r="J15" s="79">
        <v>1.31600356766743E-2</v>
      </c>
      <c r="K15" s="79">
        <v>0.45045835515277499</v>
      </c>
      <c r="L15" s="79">
        <v>0.92891713666616404</v>
      </c>
      <c r="M15" s="80">
        <v>1</v>
      </c>
      <c r="N15" s="79">
        <v>-1.0087718675012E-2</v>
      </c>
      <c r="O15" s="79">
        <v>1.31001118460975E-2</v>
      </c>
      <c r="P15" s="79">
        <v>0.44130892805132599</v>
      </c>
      <c r="Q15" s="79">
        <v>0.91066196655305898</v>
      </c>
      <c r="R15" s="80">
        <v>1</v>
      </c>
      <c r="S15" s="79">
        <v>-1.1006023795402799E-2</v>
      </c>
      <c r="T15" s="79">
        <v>1.30766560608314E-2</v>
      </c>
      <c r="U15" s="79">
        <v>0.40002290344992503</v>
      </c>
      <c r="V15" s="79">
        <v>0.87264788175569097</v>
      </c>
      <c r="W15" s="80">
        <v>1</v>
      </c>
    </row>
    <row r="16" spans="2:23" x14ac:dyDescent="0.2">
      <c r="B16" s="76" t="s">
        <v>2886</v>
      </c>
      <c r="C16" s="65" t="s">
        <v>1611</v>
      </c>
      <c r="D16" s="79">
        <v>-1.82843578352609E-2</v>
      </c>
      <c r="E16" s="79">
        <v>1.29056481949369E-2</v>
      </c>
      <c r="F16" s="79">
        <v>0.156613981402207</v>
      </c>
      <c r="G16" s="79">
        <v>0.68444625738685605</v>
      </c>
      <c r="H16" s="80">
        <v>1</v>
      </c>
      <c r="I16" s="79">
        <v>7.0105487171761996E-3</v>
      </c>
      <c r="J16" s="79">
        <v>1.28350137211229E-2</v>
      </c>
      <c r="K16" s="79">
        <v>0.58495046794342598</v>
      </c>
      <c r="L16" s="79">
        <v>0.92891713666616404</v>
      </c>
      <c r="M16" s="80">
        <v>1</v>
      </c>
      <c r="N16" s="79">
        <v>-8.1395203677456507E-3</v>
      </c>
      <c r="O16" s="79">
        <v>1.2779744131240601E-2</v>
      </c>
      <c r="P16" s="79">
        <v>0.52421502412546495</v>
      </c>
      <c r="Q16" s="79">
        <v>0.91066196655305898</v>
      </c>
      <c r="R16" s="80">
        <v>1</v>
      </c>
      <c r="S16" s="79">
        <v>-5.7673701940485602E-3</v>
      </c>
      <c r="T16" s="79">
        <v>1.27492545886732E-2</v>
      </c>
      <c r="U16" s="79">
        <v>0.65102328860789005</v>
      </c>
      <c r="V16" s="79">
        <v>0.95064437038083005</v>
      </c>
      <c r="W16" s="80">
        <v>1</v>
      </c>
    </row>
    <row r="17" spans="2:23" x14ac:dyDescent="0.2">
      <c r="B17" s="76" t="s">
        <v>2887</v>
      </c>
      <c r="C17" s="65" t="s">
        <v>1679</v>
      </c>
      <c r="D17" s="79">
        <v>4.1087056252212499E-4</v>
      </c>
      <c r="E17" s="79">
        <v>1.26360732423507E-2</v>
      </c>
      <c r="F17" s="79">
        <v>0.97406213544648101</v>
      </c>
      <c r="G17" s="79">
        <v>0.99883470509579197</v>
      </c>
      <c r="H17" s="80">
        <v>1</v>
      </c>
      <c r="I17" s="79">
        <v>-8.3673159301359303E-3</v>
      </c>
      <c r="J17" s="79">
        <v>1.2565639751012001E-2</v>
      </c>
      <c r="K17" s="79">
        <v>0.50551406006615696</v>
      </c>
      <c r="L17" s="79">
        <v>0.92891713666616404</v>
      </c>
      <c r="M17" s="80">
        <v>1</v>
      </c>
      <c r="N17" s="79">
        <v>1.6101970848398199E-3</v>
      </c>
      <c r="O17" s="79">
        <v>1.25104133678042E-2</v>
      </c>
      <c r="P17" s="79">
        <v>0.89759358143689205</v>
      </c>
      <c r="Q17" s="79">
        <v>0.95369318027669803</v>
      </c>
      <c r="R17" s="80">
        <v>1</v>
      </c>
      <c r="S17" s="79">
        <v>-5.2308207029784799E-3</v>
      </c>
      <c r="T17" s="79">
        <v>1.24787430868667E-2</v>
      </c>
      <c r="U17" s="79">
        <v>0.67510411033134698</v>
      </c>
      <c r="V17" s="79">
        <v>0.95064437038083005</v>
      </c>
      <c r="W17" s="80">
        <v>1</v>
      </c>
    </row>
    <row r="18" spans="2:23" x14ac:dyDescent="0.2">
      <c r="B18" s="76" t="s">
        <v>2888</v>
      </c>
      <c r="C18" s="65" t="s">
        <v>1561</v>
      </c>
      <c r="D18" s="79">
        <v>-2.8006736136587402E-3</v>
      </c>
      <c r="E18" s="79">
        <v>1.07925098421506E-2</v>
      </c>
      <c r="F18" s="79">
        <v>0.79525914881159598</v>
      </c>
      <c r="G18" s="79">
        <v>0.96756617727854799</v>
      </c>
      <c r="H18" s="80">
        <v>1</v>
      </c>
      <c r="I18" s="79">
        <v>-7.8035098888997604E-3</v>
      </c>
      <c r="J18" s="79">
        <v>1.07337234217709E-2</v>
      </c>
      <c r="K18" s="79">
        <v>0.467255747232248</v>
      </c>
      <c r="L18" s="79">
        <v>0.92891713666616404</v>
      </c>
      <c r="M18" s="80">
        <v>1</v>
      </c>
      <c r="N18" s="79">
        <v>-2.0442534228102799E-2</v>
      </c>
      <c r="O18" s="79">
        <v>1.06805409610036E-2</v>
      </c>
      <c r="P18" s="79">
        <v>5.5678763020960302E-2</v>
      </c>
      <c r="Q18" s="79">
        <v>0.71125171788005703</v>
      </c>
      <c r="R18" s="80">
        <v>1</v>
      </c>
      <c r="S18" s="79">
        <v>-9.11435193479165E-3</v>
      </c>
      <c r="T18" s="79">
        <v>1.06579220867172E-2</v>
      </c>
      <c r="U18" s="79">
        <v>0.39249801501960502</v>
      </c>
      <c r="V18" s="79">
        <v>0.87264788175569097</v>
      </c>
      <c r="W18" s="80">
        <v>1</v>
      </c>
    </row>
    <row r="19" spans="2:23" x14ac:dyDescent="0.2">
      <c r="B19" s="76" t="s">
        <v>2889</v>
      </c>
      <c r="C19" s="65" t="s">
        <v>1629</v>
      </c>
      <c r="D19" s="79">
        <v>-2.1690154753781499E-3</v>
      </c>
      <c r="E19" s="79">
        <v>1.02868365791981E-2</v>
      </c>
      <c r="F19" s="79">
        <v>0.83301023512449102</v>
      </c>
      <c r="G19" s="79">
        <v>0.96756617727854799</v>
      </c>
      <c r="H19" s="80">
        <v>1</v>
      </c>
      <c r="I19" s="79">
        <v>-5.6117767417757395E-4</v>
      </c>
      <c r="J19" s="79">
        <v>1.02356652948608E-2</v>
      </c>
      <c r="K19" s="79">
        <v>0.95627953425668599</v>
      </c>
      <c r="L19" s="79">
        <v>0.99212900543373805</v>
      </c>
      <c r="M19" s="80">
        <v>1</v>
      </c>
      <c r="N19" s="79">
        <v>-4.7232186927753496E-3</v>
      </c>
      <c r="O19" s="79">
        <v>1.01840115240783E-2</v>
      </c>
      <c r="P19" s="79">
        <v>0.64282021168451198</v>
      </c>
      <c r="Q19" s="79">
        <v>0.91066196655305898</v>
      </c>
      <c r="R19" s="80">
        <v>1</v>
      </c>
      <c r="S19" s="79">
        <v>-3.62675409792055E-3</v>
      </c>
      <c r="T19" s="79">
        <v>1.01590313727715E-2</v>
      </c>
      <c r="U19" s="79">
        <v>0.72110843813711201</v>
      </c>
      <c r="V19" s="79">
        <v>0.95064437038083005</v>
      </c>
      <c r="W19" s="80">
        <v>1</v>
      </c>
    </row>
    <row r="20" spans="2:23" x14ac:dyDescent="0.2">
      <c r="B20" s="76" t="s">
        <v>2890</v>
      </c>
      <c r="C20" s="65" t="s">
        <v>1563</v>
      </c>
      <c r="D20" s="79">
        <v>-3.4111134336349901E-2</v>
      </c>
      <c r="E20" s="79">
        <v>1.0710313107387501E-2</v>
      </c>
      <c r="F20" s="79">
        <v>1.4571065337504901E-3</v>
      </c>
      <c r="G20" s="79">
        <v>4.9541622147516499E-2</v>
      </c>
      <c r="H20" s="80">
        <v>9.9083244295032999E-2</v>
      </c>
      <c r="I20" s="79">
        <v>-9.5786553865971694E-3</v>
      </c>
      <c r="J20" s="79">
        <v>1.06659227971913E-2</v>
      </c>
      <c r="K20" s="79">
        <v>0.36919684928570301</v>
      </c>
      <c r="L20" s="79">
        <v>0.92891713666616404</v>
      </c>
      <c r="M20" s="80">
        <v>1</v>
      </c>
      <c r="N20" s="79">
        <v>6.3837168315302104E-3</v>
      </c>
      <c r="O20" s="79">
        <v>1.0615234479495099E-2</v>
      </c>
      <c r="P20" s="79">
        <v>0.54761909729054203</v>
      </c>
      <c r="Q20" s="79">
        <v>0.91066196655305898</v>
      </c>
      <c r="R20" s="80">
        <v>1</v>
      </c>
      <c r="S20" s="79">
        <v>-6.1543603566353803E-3</v>
      </c>
      <c r="T20" s="79">
        <v>1.05885338084584E-2</v>
      </c>
      <c r="U20" s="79">
        <v>0.56111279540205705</v>
      </c>
      <c r="V20" s="79">
        <v>0.95064437038083005</v>
      </c>
      <c r="W20" s="80">
        <v>1</v>
      </c>
    </row>
    <row r="21" spans="2:23" x14ac:dyDescent="0.2">
      <c r="B21" s="76" t="s">
        <v>2891</v>
      </c>
      <c r="C21" s="65" t="s">
        <v>1631</v>
      </c>
      <c r="D21" s="79">
        <v>-2.44257784462934E-2</v>
      </c>
      <c r="E21" s="79">
        <v>1.02102190458274E-2</v>
      </c>
      <c r="F21" s="79">
        <v>1.67810517680567E-2</v>
      </c>
      <c r="G21" s="79">
        <v>0.23675617154944401</v>
      </c>
      <c r="H21" s="80">
        <v>1</v>
      </c>
      <c r="I21" s="79">
        <v>-2.17043955711602E-2</v>
      </c>
      <c r="J21" s="79">
        <v>1.01570961511721E-2</v>
      </c>
      <c r="K21" s="79">
        <v>3.2658232888600702E-2</v>
      </c>
      <c r="L21" s="79">
        <v>0.37238626861841601</v>
      </c>
      <c r="M21" s="80">
        <v>1</v>
      </c>
      <c r="N21" s="79">
        <v>5.1962984554044698E-4</v>
      </c>
      <c r="O21" s="79">
        <v>1.01141684770995E-2</v>
      </c>
      <c r="P21" s="79">
        <v>0.95902765826146197</v>
      </c>
      <c r="Q21" s="79">
        <v>0.95905828069957599</v>
      </c>
      <c r="R21" s="80">
        <v>1</v>
      </c>
      <c r="S21" s="79">
        <v>6.3625352659168804E-3</v>
      </c>
      <c r="T21" s="79">
        <v>1.0089390049386001E-2</v>
      </c>
      <c r="U21" s="79">
        <v>0.52832065002562401</v>
      </c>
      <c r="V21" s="79">
        <v>0.95064437038083005</v>
      </c>
      <c r="W21" s="80">
        <v>1</v>
      </c>
    </row>
    <row r="22" spans="2:23" x14ac:dyDescent="0.2">
      <c r="B22" s="76" t="s">
        <v>2892</v>
      </c>
      <c r="C22" s="65" t="s">
        <v>1565</v>
      </c>
      <c r="D22" s="79">
        <v>-1.23736129812021E-2</v>
      </c>
      <c r="E22" s="79">
        <v>1.0618987407149E-2</v>
      </c>
      <c r="F22" s="79">
        <v>0.24398035352774999</v>
      </c>
      <c r="G22" s="79">
        <v>0.72133321912552295</v>
      </c>
      <c r="H22" s="80">
        <v>1</v>
      </c>
      <c r="I22" s="79">
        <v>-2.6044963066629401E-2</v>
      </c>
      <c r="J22" s="79">
        <v>1.05571687445107E-2</v>
      </c>
      <c r="K22" s="79">
        <v>1.36575576937016E-2</v>
      </c>
      <c r="L22" s="79">
        <v>0.37238626861841601</v>
      </c>
      <c r="M22" s="80">
        <v>0.92871392317170898</v>
      </c>
      <c r="N22" s="79">
        <v>2.4599333971952798E-3</v>
      </c>
      <c r="O22" s="79">
        <v>1.0514002542176701E-2</v>
      </c>
      <c r="P22" s="79">
        <v>0.81502004845323295</v>
      </c>
      <c r="Q22" s="79">
        <v>0.95268487979224703</v>
      </c>
      <c r="R22" s="80">
        <v>1</v>
      </c>
      <c r="S22" s="79">
        <v>-1.32000621744565E-2</v>
      </c>
      <c r="T22" s="79">
        <v>1.04870327898254E-2</v>
      </c>
      <c r="U22" s="79">
        <v>0.20819712766040999</v>
      </c>
      <c r="V22" s="79">
        <v>0.87264788175569097</v>
      </c>
      <c r="W22" s="80">
        <v>1</v>
      </c>
    </row>
    <row r="23" spans="2:23" x14ac:dyDescent="0.2">
      <c r="B23" s="76" t="s">
        <v>2893</v>
      </c>
      <c r="C23" s="65" t="s">
        <v>1633</v>
      </c>
      <c r="D23" s="79">
        <v>-1.5528355626951201E-5</v>
      </c>
      <c r="E23" s="79">
        <v>1.06318252314962E-2</v>
      </c>
      <c r="F23" s="79">
        <v>0.99883470509579197</v>
      </c>
      <c r="G23" s="79">
        <v>0.99883470509579197</v>
      </c>
      <c r="H23" s="80">
        <v>1</v>
      </c>
      <c r="I23" s="79">
        <v>-2.2894301666220199E-2</v>
      </c>
      <c r="J23" s="79">
        <v>1.05705057692032E-2</v>
      </c>
      <c r="K23" s="79">
        <v>3.03688269260383E-2</v>
      </c>
      <c r="L23" s="79">
        <v>0.37238626861841601</v>
      </c>
      <c r="M23" s="80">
        <v>1</v>
      </c>
      <c r="N23" s="79">
        <v>-5.4014891877085405E-4</v>
      </c>
      <c r="O23" s="79">
        <v>1.0521435062672601E-2</v>
      </c>
      <c r="P23" s="79">
        <v>0.95905828069957599</v>
      </c>
      <c r="Q23" s="79">
        <v>0.95905828069957599</v>
      </c>
      <c r="R23" s="80">
        <v>1</v>
      </c>
      <c r="S23" s="79">
        <v>3.8454497842094299E-3</v>
      </c>
      <c r="T23" s="79">
        <v>1.04979759042139E-2</v>
      </c>
      <c r="U23" s="79">
        <v>0.71415378962240605</v>
      </c>
      <c r="V23" s="79">
        <v>0.95064437038083005</v>
      </c>
      <c r="W23" s="80">
        <v>1</v>
      </c>
    </row>
    <row r="24" spans="2:23" x14ac:dyDescent="0.2">
      <c r="B24" s="76" t="s">
        <v>2894</v>
      </c>
      <c r="C24" s="65" t="s">
        <v>1567</v>
      </c>
      <c r="D24" s="79">
        <v>1.20106320774786E-2</v>
      </c>
      <c r="E24" s="79">
        <v>1.1309544814380099E-2</v>
      </c>
      <c r="F24" s="79">
        <v>0.28829161912417101</v>
      </c>
      <c r="G24" s="79">
        <v>0.76337025543071002</v>
      </c>
      <c r="H24" s="80">
        <v>1</v>
      </c>
      <c r="I24" s="79">
        <v>6.4309858912924497E-3</v>
      </c>
      <c r="J24" s="79">
        <v>1.1247826680602001E-2</v>
      </c>
      <c r="K24" s="79">
        <v>0.56751503421577798</v>
      </c>
      <c r="L24" s="79">
        <v>0.92891713666616404</v>
      </c>
      <c r="M24" s="80">
        <v>1</v>
      </c>
      <c r="N24" s="79">
        <v>2.24649444527606E-2</v>
      </c>
      <c r="O24" s="79">
        <v>1.11904161544034E-2</v>
      </c>
      <c r="P24" s="79">
        <v>4.4749007956082901E-2</v>
      </c>
      <c r="Q24" s="79">
        <v>0.71125171788005703</v>
      </c>
      <c r="R24" s="80">
        <v>1</v>
      </c>
      <c r="S24" s="79">
        <v>-1.2654143174657599E-3</v>
      </c>
      <c r="T24" s="79">
        <v>1.11689906009211E-2</v>
      </c>
      <c r="U24" s="79">
        <v>0.90979960096781698</v>
      </c>
      <c r="V24" s="79">
        <v>0.96670493255413903</v>
      </c>
      <c r="W24" s="80">
        <v>1</v>
      </c>
    </row>
    <row r="25" spans="2:23" x14ac:dyDescent="0.2">
      <c r="B25" s="76" t="s">
        <v>2895</v>
      </c>
      <c r="C25" s="65" t="s">
        <v>1635</v>
      </c>
      <c r="D25" s="79">
        <v>-1.2502766835632501E-3</v>
      </c>
      <c r="E25" s="79">
        <v>1.19946880525477E-2</v>
      </c>
      <c r="F25" s="79">
        <v>0.91698641253908697</v>
      </c>
      <c r="G25" s="79">
        <v>0.99883470509579197</v>
      </c>
      <c r="H25" s="80">
        <v>1</v>
      </c>
      <c r="I25" s="79">
        <v>-1.0747229948876299E-3</v>
      </c>
      <c r="J25" s="79">
        <v>1.1928891553566299E-2</v>
      </c>
      <c r="K25" s="79">
        <v>0.92821611474701005</v>
      </c>
      <c r="L25" s="79">
        <v>0.99181782696364595</v>
      </c>
      <c r="M25" s="80">
        <v>1</v>
      </c>
      <c r="N25" s="79">
        <v>2.6363368929649498E-3</v>
      </c>
      <c r="O25" s="79">
        <v>1.1870167209201501E-2</v>
      </c>
      <c r="P25" s="79">
        <v>0.82424705020093003</v>
      </c>
      <c r="Q25" s="79">
        <v>0.95268487979224703</v>
      </c>
      <c r="R25" s="80">
        <v>1</v>
      </c>
      <c r="S25" s="79">
        <v>-7.8331523544466694E-3</v>
      </c>
      <c r="T25" s="79">
        <v>1.18437114349224E-2</v>
      </c>
      <c r="U25" s="79">
        <v>0.50840180190391604</v>
      </c>
      <c r="V25" s="79">
        <v>0.95064437038083005</v>
      </c>
      <c r="W25" s="80">
        <v>1</v>
      </c>
    </row>
    <row r="26" spans="2:23" x14ac:dyDescent="0.2">
      <c r="B26" s="76" t="s">
        <v>2896</v>
      </c>
      <c r="C26" s="65" t="s">
        <v>1617</v>
      </c>
      <c r="D26" s="79">
        <v>9.4084725859953106E-3</v>
      </c>
      <c r="E26" s="79">
        <v>9.7195698169631195E-3</v>
      </c>
      <c r="F26" s="79">
        <v>0.333094564885758</v>
      </c>
      <c r="G26" s="79">
        <v>0.78104932455970799</v>
      </c>
      <c r="H26" s="80">
        <v>1</v>
      </c>
      <c r="I26" s="79">
        <v>-1.7129967219586301E-3</v>
      </c>
      <c r="J26" s="79">
        <v>9.6708770735690602E-3</v>
      </c>
      <c r="K26" s="79">
        <v>0.85941392706231201</v>
      </c>
      <c r="L26" s="79">
        <v>0.97400245067061997</v>
      </c>
      <c r="M26" s="80">
        <v>1</v>
      </c>
      <c r="N26" s="79">
        <v>8.8069087107258397E-3</v>
      </c>
      <c r="O26" s="79">
        <v>9.6185664928838694E-3</v>
      </c>
      <c r="P26" s="79">
        <v>0.359912603238426</v>
      </c>
      <c r="Q26" s="79">
        <v>0.89794575131744403</v>
      </c>
      <c r="R26" s="80">
        <v>1</v>
      </c>
      <c r="S26" s="79">
        <v>-7.3290228644701304E-4</v>
      </c>
      <c r="T26" s="79">
        <v>9.5978634928768902E-3</v>
      </c>
      <c r="U26" s="79">
        <v>0.93913494827869104</v>
      </c>
      <c r="V26" s="79">
        <v>0.96670493255413903</v>
      </c>
      <c r="W26" s="80">
        <v>1</v>
      </c>
    </row>
    <row r="27" spans="2:23" x14ac:dyDescent="0.2">
      <c r="B27" s="76" t="s">
        <v>2897</v>
      </c>
      <c r="C27" s="65" t="s">
        <v>1685</v>
      </c>
      <c r="D27" s="79">
        <v>1.87392413425501E-2</v>
      </c>
      <c r="E27" s="79">
        <v>9.7939880162828293E-3</v>
      </c>
      <c r="F27" s="79">
        <v>5.5760741649285697E-2</v>
      </c>
      <c r="G27" s="79">
        <v>0.379173043215143</v>
      </c>
      <c r="H27" s="80">
        <v>1</v>
      </c>
      <c r="I27" s="79">
        <v>4.6600678957442396E-3</v>
      </c>
      <c r="J27" s="79">
        <v>9.7542426424003497E-3</v>
      </c>
      <c r="K27" s="79">
        <v>0.632850465650451</v>
      </c>
      <c r="L27" s="79">
        <v>0.92891713666616404</v>
      </c>
      <c r="M27" s="80">
        <v>1</v>
      </c>
      <c r="N27" s="79">
        <v>1.2733182654566201E-2</v>
      </c>
      <c r="O27" s="79">
        <v>9.6992937701011004E-3</v>
      </c>
      <c r="P27" s="79">
        <v>0.18931152954681299</v>
      </c>
      <c r="Q27" s="79">
        <v>0.75802918501942396</v>
      </c>
      <c r="R27" s="80">
        <v>1</v>
      </c>
      <c r="S27" s="79">
        <v>8.1253100775933902E-3</v>
      </c>
      <c r="T27" s="79">
        <v>9.6754061141614504E-3</v>
      </c>
      <c r="U27" s="79">
        <v>0.40106574593859001</v>
      </c>
      <c r="V27" s="79">
        <v>0.87264788175569097</v>
      </c>
      <c r="W27" s="80">
        <v>1</v>
      </c>
    </row>
    <row r="28" spans="2:23" x14ac:dyDescent="0.2">
      <c r="B28" s="76" t="s">
        <v>2898</v>
      </c>
      <c r="C28" s="65" t="s">
        <v>1573</v>
      </c>
      <c r="D28" s="79">
        <v>-1.32449252362122E-2</v>
      </c>
      <c r="E28" s="79">
        <v>1.19171177486721E-2</v>
      </c>
      <c r="F28" s="79">
        <v>0.26644053463634998</v>
      </c>
      <c r="G28" s="79">
        <v>0.75491484813632403</v>
      </c>
      <c r="H28" s="80">
        <v>1</v>
      </c>
      <c r="I28" s="79">
        <v>7.7327517186059902E-3</v>
      </c>
      <c r="J28" s="79">
        <v>1.1864082978039999E-2</v>
      </c>
      <c r="K28" s="79">
        <v>0.51457408207358002</v>
      </c>
      <c r="L28" s="79">
        <v>0.92891713666616404</v>
      </c>
      <c r="M28" s="80">
        <v>1</v>
      </c>
      <c r="N28" s="79">
        <v>-6.0623037589756599E-3</v>
      </c>
      <c r="O28" s="79">
        <v>1.1800277572417601E-2</v>
      </c>
      <c r="P28" s="79">
        <v>0.60745454483920602</v>
      </c>
      <c r="Q28" s="79">
        <v>0.91066196655305898</v>
      </c>
      <c r="R28" s="80">
        <v>1</v>
      </c>
      <c r="S28" s="79">
        <v>5.2815735652535197E-3</v>
      </c>
      <c r="T28" s="79">
        <v>1.17714547132043E-2</v>
      </c>
      <c r="U28" s="79">
        <v>0.65368440398249805</v>
      </c>
      <c r="V28" s="79">
        <v>0.95064437038083005</v>
      </c>
      <c r="W28" s="80">
        <v>1</v>
      </c>
    </row>
    <row r="29" spans="2:23" x14ac:dyDescent="0.2">
      <c r="B29" s="76" t="s">
        <v>2899</v>
      </c>
      <c r="C29" s="65" t="s">
        <v>1641</v>
      </c>
      <c r="D29" s="79">
        <v>-3.3996717330845301E-3</v>
      </c>
      <c r="E29" s="79">
        <v>1.1765854829030999E-2</v>
      </c>
      <c r="F29" s="79">
        <v>0.77263620193896099</v>
      </c>
      <c r="G29" s="79">
        <v>0.96756617727854799</v>
      </c>
      <c r="H29" s="80">
        <v>1</v>
      </c>
      <c r="I29" s="79">
        <v>4.7326536962681402E-3</v>
      </c>
      <c r="J29" s="79">
        <v>1.17110910997258E-2</v>
      </c>
      <c r="K29" s="79">
        <v>0.68614375225442203</v>
      </c>
      <c r="L29" s="79">
        <v>0.92891713666616404</v>
      </c>
      <c r="M29" s="80">
        <v>1</v>
      </c>
      <c r="N29" s="79">
        <v>4.3984097378689602E-3</v>
      </c>
      <c r="O29" s="79">
        <v>1.16473292861812E-2</v>
      </c>
      <c r="P29" s="79">
        <v>0.70571951996930105</v>
      </c>
      <c r="Q29" s="79">
        <v>0.94095935995906699</v>
      </c>
      <c r="R29" s="80">
        <v>1</v>
      </c>
      <c r="S29" s="79">
        <v>-1.0491348830456E-2</v>
      </c>
      <c r="T29" s="79">
        <v>1.16180064803727E-2</v>
      </c>
      <c r="U29" s="79">
        <v>0.36655580997246001</v>
      </c>
      <c r="V29" s="79">
        <v>0.87264788175569097</v>
      </c>
      <c r="W29" s="80">
        <v>1</v>
      </c>
    </row>
    <row r="30" spans="2:23" x14ac:dyDescent="0.2">
      <c r="B30" s="76" t="s">
        <v>2900</v>
      </c>
      <c r="C30" s="65" t="s">
        <v>1571</v>
      </c>
      <c r="D30" s="79">
        <v>9.4362154915860301E-3</v>
      </c>
      <c r="E30" s="79">
        <v>9.4162806265465308E-3</v>
      </c>
      <c r="F30" s="79">
        <v>0.31633510921728197</v>
      </c>
      <c r="G30" s="79">
        <v>0.78104932455970799</v>
      </c>
      <c r="H30" s="80">
        <v>1</v>
      </c>
      <c r="I30" s="79">
        <v>5.7882148966142601E-3</v>
      </c>
      <c r="J30" s="79">
        <v>9.3717511433140301E-3</v>
      </c>
      <c r="K30" s="79">
        <v>0.53685150438624496</v>
      </c>
      <c r="L30" s="79">
        <v>0.92891713666616404</v>
      </c>
      <c r="M30" s="80">
        <v>1</v>
      </c>
      <c r="N30" s="79">
        <v>6.4432759749113999E-3</v>
      </c>
      <c r="O30" s="79">
        <v>9.3206191645906801E-3</v>
      </c>
      <c r="P30" s="79">
        <v>0.48941341680691403</v>
      </c>
      <c r="Q30" s="79">
        <v>0.91066196655305898</v>
      </c>
      <c r="R30" s="80">
        <v>1</v>
      </c>
      <c r="S30" s="79">
        <v>1.6356236701809201E-2</v>
      </c>
      <c r="T30" s="79">
        <v>9.2964995190080793E-3</v>
      </c>
      <c r="U30" s="79">
        <v>7.85706056978029E-2</v>
      </c>
      <c r="V30" s="79">
        <v>0.66785014843132395</v>
      </c>
      <c r="W30" s="80">
        <v>1</v>
      </c>
    </row>
    <row r="31" spans="2:23" x14ac:dyDescent="0.2">
      <c r="B31" s="76" t="s">
        <v>2901</v>
      </c>
      <c r="C31" s="65" t="s">
        <v>1639</v>
      </c>
      <c r="D31" s="79">
        <v>1.6645106857170602E-2</v>
      </c>
      <c r="E31" s="79">
        <v>9.3978299254563608E-3</v>
      </c>
      <c r="F31" s="79">
        <v>7.6595364200165703E-2</v>
      </c>
      <c r="G31" s="79">
        <v>0.47349861505557</v>
      </c>
      <c r="H31" s="80">
        <v>1</v>
      </c>
      <c r="I31" s="79">
        <v>-1.99539623480782E-2</v>
      </c>
      <c r="J31" s="79">
        <v>9.3486190087894907E-3</v>
      </c>
      <c r="K31" s="79">
        <v>3.2857611936919003E-2</v>
      </c>
      <c r="L31" s="79">
        <v>0.37238626861841601</v>
      </c>
      <c r="M31" s="80">
        <v>1</v>
      </c>
      <c r="N31" s="79">
        <v>-4.6528816480582904E-3</v>
      </c>
      <c r="O31" s="79">
        <v>9.3081197294446107E-3</v>
      </c>
      <c r="P31" s="79">
        <v>0.61718666177419101</v>
      </c>
      <c r="Q31" s="79">
        <v>0.91066196655305898</v>
      </c>
      <c r="R31" s="80">
        <v>1</v>
      </c>
      <c r="S31" s="79">
        <v>-1.18301115938904E-3</v>
      </c>
      <c r="T31" s="79">
        <v>9.2847946900740698E-3</v>
      </c>
      <c r="U31" s="79">
        <v>0.89861810124404995</v>
      </c>
      <c r="V31" s="79">
        <v>0.96670493255413903</v>
      </c>
      <c r="W31" s="80">
        <v>1</v>
      </c>
    </row>
    <row r="32" spans="2:23" x14ac:dyDescent="0.2">
      <c r="B32" s="76" t="s">
        <v>2902</v>
      </c>
      <c r="C32" s="65" t="s">
        <v>1569</v>
      </c>
      <c r="D32" s="79">
        <v>-2.0683364964618899E-3</v>
      </c>
      <c r="E32" s="79">
        <v>1.06244570315296E-2</v>
      </c>
      <c r="F32" s="79">
        <v>0.84565388824229504</v>
      </c>
      <c r="G32" s="79">
        <v>0.96756617727854799</v>
      </c>
      <c r="H32" s="80">
        <v>1</v>
      </c>
      <c r="I32" s="79">
        <v>3.9414002719922901E-3</v>
      </c>
      <c r="J32" s="79">
        <v>1.0569640496936501E-2</v>
      </c>
      <c r="K32" s="79">
        <v>0.70924031760206996</v>
      </c>
      <c r="L32" s="79">
        <v>0.92891713666616404</v>
      </c>
      <c r="M32" s="80">
        <v>1</v>
      </c>
      <c r="N32" s="79">
        <v>1.1133925127814401E-2</v>
      </c>
      <c r="O32" s="79">
        <v>1.0517216207833101E-2</v>
      </c>
      <c r="P32" s="79">
        <v>0.28981644781490601</v>
      </c>
      <c r="Q32" s="79">
        <v>0.89788798608171705</v>
      </c>
      <c r="R32" s="80">
        <v>1</v>
      </c>
      <c r="S32" s="79">
        <v>-6.2659064402551898E-3</v>
      </c>
      <c r="T32" s="79">
        <v>1.0491982938334799E-2</v>
      </c>
      <c r="U32" s="79">
        <v>0.550395221250782</v>
      </c>
      <c r="V32" s="79">
        <v>0.95064437038083005</v>
      </c>
      <c r="W32" s="80">
        <v>1</v>
      </c>
    </row>
    <row r="33" spans="2:23" x14ac:dyDescent="0.2">
      <c r="B33" s="76" t="s">
        <v>2903</v>
      </c>
      <c r="C33" s="65" t="s">
        <v>1637</v>
      </c>
      <c r="D33" s="79">
        <v>2.1155181164194601E-2</v>
      </c>
      <c r="E33" s="79">
        <v>1.03876389072092E-2</v>
      </c>
      <c r="F33" s="79">
        <v>4.1746475979235503E-2</v>
      </c>
      <c r="G33" s="79">
        <v>0.35484504582350201</v>
      </c>
      <c r="H33" s="80">
        <v>1</v>
      </c>
      <c r="I33" s="79">
        <v>1.2232849263428901E-2</v>
      </c>
      <c r="J33" s="79">
        <v>1.03352539009291E-2</v>
      </c>
      <c r="K33" s="79">
        <v>0.23662771095990301</v>
      </c>
      <c r="L33" s="79">
        <v>0.766223064060637</v>
      </c>
      <c r="M33" s="80">
        <v>1</v>
      </c>
      <c r="N33" s="79">
        <v>4.1770583258638602E-3</v>
      </c>
      <c r="O33" s="79">
        <v>1.0288313971995E-2</v>
      </c>
      <c r="P33" s="79">
        <v>0.68476013335707098</v>
      </c>
      <c r="Q33" s="79">
        <v>0.931273781365617</v>
      </c>
      <c r="R33" s="80">
        <v>1</v>
      </c>
      <c r="S33" s="79">
        <v>-5.3666622975793296E-3</v>
      </c>
      <c r="T33" s="79">
        <v>1.0263114679765701E-2</v>
      </c>
      <c r="U33" s="79">
        <v>0.60106205610575503</v>
      </c>
      <c r="V33" s="79">
        <v>0.95064437038083005</v>
      </c>
      <c r="W33" s="80">
        <v>1</v>
      </c>
    </row>
    <row r="34" spans="2:23" x14ac:dyDescent="0.2">
      <c r="B34" s="76" t="s">
        <v>2904</v>
      </c>
      <c r="C34" s="65" t="s">
        <v>1577</v>
      </c>
      <c r="D34" s="79">
        <v>2.6329996515472602E-3</v>
      </c>
      <c r="E34" s="79">
        <v>1.04572702439528E-2</v>
      </c>
      <c r="F34" s="79">
        <v>0.80121646607709196</v>
      </c>
      <c r="G34" s="79">
        <v>0.96756617727854799</v>
      </c>
      <c r="H34" s="80">
        <v>1</v>
      </c>
      <c r="I34" s="79">
        <v>3.9252456697627903E-3</v>
      </c>
      <c r="J34" s="79">
        <v>1.0405177156929599E-2</v>
      </c>
      <c r="K34" s="79">
        <v>0.70601168748853604</v>
      </c>
      <c r="L34" s="79">
        <v>0.92891713666616404</v>
      </c>
      <c r="M34" s="80">
        <v>1</v>
      </c>
      <c r="N34" s="79">
        <v>-6.9918450876483296E-3</v>
      </c>
      <c r="O34" s="79">
        <v>1.03526389694997E-2</v>
      </c>
      <c r="P34" s="79">
        <v>0.49947310961247099</v>
      </c>
      <c r="Q34" s="79">
        <v>0.91066196655305898</v>
      </c>
      <c r="R34" s="80">
        <v>1</v>
      </c>
      <c r="S34" s="79">
        <v>1.08705258859514E-2</v>
      </c>
      <c r="T34" s="79">
        <v>1.032708501565E-2</v>
      </c>
      <c r="U34" s="79">
        <v>0.29256491103057602</v>
      </c>
      <c r="V34" s="79">
        <v>0.87264788175569097</v>
      </c>
      <c r="W34" s="80">
        <v>1</v>
      </c>
    </row>
    <row r="35" spans="2:23" x14ac:dyDescent="0.2">
      <c r="B35" s="76" t="s">
        <v>2905</v>
      </c>
      <c r="C35" s="65" t="s">
        <v>1645</v>
      </c>
      <c r="D35" s="79">
        <v>6.8115711262772402E-3</v>
      </c>
      <c r="E35" s="79">
        <v>9.6812019285885294E-3</v>
      </c>
      <c r="F35" s="79">
        <v>0.48172295763527101</v>
      </c>
      <c r="G35" s="79">
        <v>0.86203055576837995</v>
      </c>
      <c r="H35" s="80">
        <v>1</v>
      </c>
      <c r="I35" s="79">
        <v>3.87618960095025E-3</v>
      </c>
      <c r="J35" s="79">
        <v>9.6322937960391392E-3</v>
      </c>
      <c r="K35" s="79">
        <v>0.68739543195156905</v>
      </c>
      <c r="L35" s="79">
        <v>0.92891713666616404</v>
      </c>
      <c r="M35" s="80">
        <v>1</v>
      </c>
      <c r="N35" s="79">
        <v>9.3866238953071903E-4</v>
      </c>
      <c r="O35" s="79">
        <v>9.5853506089884997E-3</v>
      </c>
      <c r="P35" s="79">
        <v>0.92199442238491802</v>
      </c>
      <c r="Q35" s="79">
        <v>0.95866922460581006</v>
      </c>
      <c r="R35" s="80">
        <v>1</v>
      </c>
      <c r="S35" s="79">
        <v>4.4476487123033996E-3</v>
      </c>
      <c r="T35" s="79">
        <v>9.5613961062474204E-3</v>
      </c>
      <c r="U35" s="79">
        <v>0.64183216822562705</v>
      </c>
      <c r="V35" s="79">
        <v>0.95064437038083005</v>
      </c>
      <c r="W35" s="80">
        <v>1</v>
      </c>
    </row>
    <row r="36" spans="2:23" x14ac:dyDescent="0.2">
      <c r="B36" s="76" t="s">
        <v>2906</v>
      </c>
      <c r="C36" s="65" t="s">
        <v>1575</v>
      </c>
      <c r="D36" s="79">
        <v>-6.9823458169693299E-3</v>
      </c>
      <c r="E36" s="79">
        <v>1.05083368988278E-2</v>
      </c>
      <c r="F36" s="79">
        <v>0.50642898934485303</v>
      </c>
      <c r="G36" s="79">
        <v>0.88300439167820499</v>
      </c>
      <c r="H36" s="80">
        <v>1</v>
      </c>
      <c r="I36" s="79">
        <v>1.3131192402616201E-4</v>
      </c>
      <c r="J36" s="79">
        <v>1.04502527123757E-2</v>
      </c>
      <c r="K36" s="79">
        <v>0.98997502408284799</v>
      </c>
      <c r="L36" s="79">
        <v>0.99212900543373805</v>
      </c>
      <c r="M36" s="80">
        <v>1</v>
      </c>
      <c r="N36" s="79">
        <v>6.8042904993416697E-3</v>
      </c>
      <c r="O36" s="79">
        <v>1.04045841525458E-2</v>
      </c>
      <c r="P36" s="79">
        <v>0.51316196527832303</v>
      </c>
      <c r="Q36" s="79">
        <v>0.91066196655305898</v>
      </c>
      <c r="R36" s="80">
        <v>1</v>
      </c>
      <c r="S36" s="79">
        <v>1.1560616669859599E-2</v>
      </c>
      <c r="T36" s="79">
        <v>1.03771919716255E-2</v>
      </c>
      <c r="U36" s="79">
        <v>0.26531689613951898</v>
      </c>
      <c r="V36" s="79">
        <v>0.87264788175569097</v>
      </c>
      <c r="W36" s="80">
        <v>1</v>
      </c>
    </row>
    <row r="37" spans="2:23" x14ac:dyDescent="0.2">
      <c r="B37" s="76" t="s">
        <v>2907</v>
      </c>
      <c r="C37" s="65" t="s">
        <v>1643</v>
      </c>
      <c r="D37" s="79">
        <v>-2.3683280848850602E-3</v>
      </c>
      <c r="E37" s="79">
        <v>1.0877614247253999E-2</v>
      </c>
      <c r="F37" s="79">
        <v>0.82765256854300895</v>
      </c>
      <c r="G37" s="79">
        <v>0.96756617727854799</v>
      </c>
      <c r="H37" s="80">
        <v>1</v>
      </c>
      <c r="I37" s="79">
        <v>-1.7124456025437999E-2</v>
      </c>
      <c r="J37" s="79">
        <v>1.0812336408860699E-2</v>
      </c>
      <c r="K37" s="79">
        <v>0.113307759407503</v>
      </c>
      <c r="L37" s="79">
        <v>0.70044796724638303</v>
      </c>
      <c r="M37" s="80">
        <v>1</v>
      </c>
      <c r="N37" s="79">
        <v>1.6969119067300299E-2</v>
      </c>
      <c r="O37" s="79">
        <v>1.07661466688202E-2</v>
      </c>
      <c r="P37" s="79">
        <v>0.11505542495118599</v>
      </c>
      <c r="Q37" s="79">
        <v>0.71125171788005703</v>
      </c>
      <c r="R37" s="80">
        <v>1</v>
      </c>
      <c r="S37" s="79">
        <v>-2.7502890111559398E-3</v>
      </c>
      <c r="T37" s="79">
        <v>1.0742054558084999E-2</v>
      </c>
      <c r="U37" s="79">
        <v>0.79793847513550298</v>
      </c>
      <c r="V37" s="79">
        <v>0.95192660191603795</v>
      </c>
      <c r="W37" s="80">
        <v>1</v>
      </c>
    </row>
    <row r="38" spans="2:23" x14ac:dyDescent="0.2">
      <c r="B38" s="76" t="s">
        <v>2908</v>
      </c>
      <c r="C38" s="65" t="s">
        <v>1581</v>
      </c>
      <c r="D38" s="79">
        <v>-4.0496589516459102E-4</v>
      </c>
      <c r="E38" s="79">
        <v>1.2124907354343999E-2</v>
      </c>
      <c r="F38" s="79">
        <v>0.97335735820451996</v>
      </c>
      <c r="G38" s="79">
        <v>0.99883470509579197</v>
      </c>
      <c r="H38" s="80">
        <v>1</v>
      </c>
      <c r="I38" s="79">
        <v>3.7359389213057902E-3</v>
      </c>
      <c r="J38" s="79">
        <v>1.2058543165833E-2</v>
      </c>
      <c r="K38" s="79">
        <v>0.75671352357763499</v>
      </c>
      <c r="L38" s="79">
        <v>0.95289851117183599</v>
      </c>
      <c r="M38" s="80">
        <v>1</v>
      </c>
      <c r="N38" s="79">
        <v>-2.2441099810299198E-2</v>
      </c>
      <c r="O38" s="79">
        <v>1.19977869464647E-2</v>
      </c>
      <c r="P38" s="79">
        <v>6.1482628440477402E-2</v>
      </c>
      <c r="Q38" s="79">
        <v>0.71125171788005703</v>
      </c>
      <c r="R38" s="80">
        <v>1</v>
      </c>
      <c r="S38" s="79">
        <v>-3.6966346500052201E-3</v>
      </c>
      <c r="T38" s="79">
        <v>1.1973813472313299E-2</v>
      </c>
      <c r="U38" s="79">
        <v>0.75754257105502798</v>
      </c>
      <c r="V38" s="79">
        <v>0.95192660191603795</v>
      </c>
      <c r="W38" s="80">
        <v>1</v>
      </c>
    </row>
    <row r="39" spans="2:23" x14ac:dyDescent="0.2">
      <c r="B39" s="76" t="s">
        <v>2909</v>
      </c>
      <c r="C39" s="65" t="s">
        <v>1649</v>
      </c>
      <c r="D39" s="79">
        <v>2.2624539957335301E-3</v>
      </c>
      <c r="E39" s="79">
        <v>1.2271610996266899E-2</v>
      </c>
      <c r="F39" s="79">
        <v>0.85373486230460105</v>
      </c>
      <c r="G39" s="79">
        <v>0.96756617727854799</v>
      </c>
      <c r="H39" s="80">
        <v>1</v>
      </c>
      <c r="I39" s="79">
        <v>1.07212795978985E-2</v>
      </c>
      <c r="J39" s="79">
        <v>1.2199512691972799E-2</v>
      </c>
      <c r="K39" s="79">
        <v>0.379537844271846</v>
      </c>
      <c r="L39" s="79">
        <v>0.92891713666616404</v>
      </c>
      <c r="M39" s="80">
        <v>1</v>
      </c>
      <c r="N39" s="79">
        <v>-3.60558242895309E-3</v>
      </c>
      <c r="O39" s="79">
        <v>1.21395876214543E-2</v>
      </c>
      <c r="P39" s="79">
        <v>0.76647130759125404</v>
      </c>
      <c r="Q39" s="79">
        <v>0.94860272472715501</v>
      </c>
      <c r="R39" s="80">
        <v>1</v>
      </c>
      <c r="S39" s="79">
        <v>5.51942858004422E-3</v>
      </c>
      <c r="T39" s="79">
        <v>1.21162028414388E-2</v>
      </c>
      <c r="U39" s="79">
        <v>0.64874020967828905</v>
      </c>
      <c r="V39" s="79">
        <v>0.95064437038083005</v>
      </c>
      <c r="W39" s="80">
        <v>1</v>
      </c>
    </row>
    <row r="40" spans="2:23" x14ac:dyDescent="0.2">
      <c r="B40" s="76" t="s">
        <v>2910</v>
      </c>
      <c r="C40" s="65" t="s">
        <v>1579</v>
      </c>
      <c r="D40" s="79">
        <v>-1.6503514482516898E-2</v>
      </c>
      <c r="E40" s="79">
        <v>1.29134889325709E-2</v>
      </c>
      <c r="F40" s="79">
        <v>0.20130772276084</v>
      </c>
      <c r="G40" s="79">
        <v>0.68444625738685605</v>
      </c>
      <c r="H40" s="80">
        <v>1</v>
      </c>
      <c r="I40" s="79">
        <v>-1.62120349985828E-2</v>
      </c>
      <c r="J40" s="79">
        <v>1.2845283321600899E-2</v>
      </c>
      <c r="K40" s="79">
        <v>0.206973266039675</v>
      </c>
      <c r="L40" s="79">
        <v>0.76597241073350597</v>
      </c>
      <c r="M40" s="80">
        <v>1</v>
      </c>
      <c r="N40" s="79">
        <v>1.36783948098501E-2</v>
      </c>
      <c r="O40" s="79">
        <v>1.2783982383971999E-2</v>
      </c>
      <c r="P40" s="79">
        <v>0.28468834264267601</v>
      </c>
      <c r="Q40" s="79">
        <v>0.89788798608171705</v>
      </c>
      <c r="R40" s="80">
        <v>1</v>
      </c>
      <c r="S40" s="79">
        <v>4.4538275232405399E-3</v>
      </c>
      <c r="T40" s="79">
        <v>1.27548228224493E-2</v>
      </c>
      <c r="U40" s="79">
        <v>0.72696334205592905</v>
      </c>
      <c r="V40" s="79">
        <v>0.95064437038083005</v>
      </c>
      <c r="W40" s="80">
        <v>1</v>
      </c>
    </row>
    <row r="41" spans="2:23" x14ac:dyDescent="0.2">
      <c r="B41" s="76" t="s">
        <v>2911</v>
      </c>
      <c r="C41" s="65" t="s">
        <v>1647</v>
      </c>
      <c r="D41" s="79">
        <v>-2.0826577154420701E-2</v>
      </c>
      <c r="E41" s="79">
        <v>1.27028471939319E-2</v>
      </c>
      <c r="F41" s="79">
        <v>0.101168067133448</v>
      </c>
      <c r="G41" s="79">
        <v>0.54731536628345701</v>
      </c>
      <c r="H41" s="80">
        <v>1</v>
      </c>
      <c r="I41" s="79">
        <v>-1.37001555051842E-2</v>
      </c>
      <c r="J41" s="79">
        <v>1.26391152237004E-2</v>
      </c>
      <c r="K41" s="79">
        <v>0.27844028423335798</v>
      </c>
      <c r="L41" s="79">
        <v>0.78891413866117999</v>
      </c>
      <c r="M41" s="80">
        <v>1</v>
      </c>
      <c r="N41" s="79">
        <v>-2.0900794349935402E-3</v>
      </c>
      <c r="O41" s="79">
        <v>1.2580572435295201E-2</v>
      </c>
      <c r="P41" s="79">
        <v>0.86805708053057495</v>
      </c>
      <c r="Q41" s="79">
        <v>0.95369318027669803</v>
      </c>
      <c r="R41" s="80">
        <v>1</v>
      </c>
      <c r="S41" s="79">
        <v>-9.3359040564784408E-3</v>
      </c>
      <c r="T41" s="79">
        <v>1.25480926572343E-2</v>
      </c>
      <c r="U41" s="79">
        <v>0.45690562939976498</v>
      </c>
      <c r="V41" s="79">
        <v>0.91739932750327402</v>
      </c>
      <c r="W41" s="80">
        <v>1</v>
      </c>
    </row>
    <row r="42" spans="2:23" x14ac:dyDescent="0.2">
      <c r="B42" s="76" t="s">
        <v>2912</v>
      </c>
      <c r="C42" s="65" t="s">
        <v>1585</v>
      </c>
      <c r="D42" s="79">
        <v>2.7346009600748001E-2</v>
      </c>
      <c r="E42" s="79">
        <v>1.1806724228639201E-2</v>
      </c>
      <c r="F42" s="79">
        <v>2.05925933261683E-2</v>
      </c>
      <c r="G42" s="79">
        <v>0.23675617154944401</v>
      </c>
      <c r="H42" s="80">
        <v>1</v>
      </c>
      <c r="I42" s="79">
        <v>-2.76511839359871E-2</v>
      </c>
      <c r="J42" s="79">
        <v>1.17350341102643E-2</v>
      </c>
      <c r="K42" s="79">
        <v>1.8498821838557802E-2</v>
      </c>
      <c r="L42" s="79">
        <v>0.37238626861841601</v>
      </c>
      <c r="M42" s="80">
        <v>1</v>
      </c>
      <c r="N42" s="79">
        <v>2.2679380847065601E-2</v>
      </c>
      <c r="O42" s="79">
        <v>1.1681508849653599E-2</v>
      </c>
      <c r="P42" s="79">
        <v>5.2259465886731998E-2</v>
      </c>
      <c r="Q42" s="79">
        <v>0.71125171788005703</v>
      </c>
      <c r="R42" s="80">
        <v>1</v>
      </c>
      <c r="S42" s="79">
        <v>-1.99186029574788E-3</v>
      </c>
      <c r="T42" s="79">
        <v>1.1665635406051001E-2</v>
      </c>
      <c r="U42" s="79">
        <v>0.86443070938890698</v>
      </c>
      <c r="V42" s="79">
        <v>0.96670493255413903</v>
      </c>
      <c r="W42" s="80">
        <v>1</v>
      </c>
    </row>
    <row r="43" spans="2:23" x14ac:dyDescent="0.2">
      <c r="B43" s="76" t="s">
        <v>2913</v>
      </c>
      <c r="C43" s="65" t="s">
        <v>1653</v>
      </c>
      <c r="D43" s="79">
        <v>-7.2489287958945603E-3</v>
      </c>
      <c r="E43" s="79">
        <v>1.18631918487614E-2</v>
      </c>
      <c r="F43" s="79">
        <v>0.54119929546432</v>
      </c>
      <c r="G43" s="79">
        <v>0.89759883150179898</v>
      </c>
      <c r="H43" s="80">
        <v>1</v>
      </c>
      <c r="I43" s="79">
        <v>-3.6615804125834199E-2</v>
      </c>
      <c r="J43" s="79">
        <v>1.1780664777242199E-2</v>
      </c>
      <c r="K43" s="79">
        <v>1.89381859307891E-3</v>
      </c>
      <c r="L43" s="79">
        <v>0.12877966432936599</v>
      </c>
      <c r="M43" s="80">
        <v>0.12877966432936599</v>
      </c>
      <c r="N43" s="79">
        <v>2.3707696129743202E-3</v>
      </c>
      <c r="O43" s="79">
        <v>1.1741886688174099E-2</v>
      </c>
      <c r="P43" s="79">
        <v>0.83999790761047199</v>
      </c>
      <c r="Q43" s="79">
        <v>0.95268487979224703</v>
      </c>
      <c r="R43" s="80">
        <v>1</v>
      </c>
      <c r="S43" s="79">
        <v>-1.1135704898311701E-2</v>
      </c>
      <c r="T43" s="79">
        <v>1.1714583836695699E-2</v>
      </c>
      <c r="U43" s="79">
        <v>0.34186263788537202</v>
      </c>
      <c r="V43" s="79">
        <v>0.87264788175569097</v>
      </c>
      <c r="W43" s="80">
        <v>1</v>
      </c>
    </row>
    <row r="44" spans="2:23" x14ac:dyDescent="0.2">
      <c r="B44" s="76" t="s">
        <v>2914</v>
      </c>
      <c r="C44" s="65" t="s">
        <v>1583</v>
      </c>
      <c r="D44" s="79">
        <v>3.72473737441258E-3</v>
      </c>
      <c r="E44" s="79">
        <v>1.25525545397115E-2</v>
      </c>
      <c r="F44" s="79">
        <v>0.76668408956499401</v>
      </c>
      <c r="G44" s="79">
        <v>0.96756617727854799</v>
      </c>
      <c r="H44" s="80">
        <v>1</v>
      </c>
      <c r="I44" s="79">
        <v>1.5956439030636801E-2</v>
      </c>
      <c r="J44" s="79">
        <v>1.24771826269805E-2</v>
      </c>
      <c r="K44" s="79">
        <v>0.20101094618867199</v>
      </c>
      <c r="L44" s="79">
        <v>0.76597241073350597</v>
      </c>
      <c r="M44" s="80">
        <v>1</v>
      </c>
      <c r="N44" s="79">
        <v>-7.0279701911638102E-3</v>
      </c>
      <c r="O44" s="79">
        <v>1.24176815968286E-2</v>
      </c>
      <c r="P44" s="79">
        <v>0.57144363661806996</v>
      </c>
      <c r="Q44" s="79">
        <v>0.91066196655305898</v>
      </c>
      <c r="R44" s="80">
        <v>1</v>
      </c>
      <c r="S44" s="79">
        <v>2.35486984672326E-2</v>
      </c>
      <c r="T44" s="79">
        <v>1.23889481188541E-2</v>
      </c>
      <c r="U44" s="79">
        <v>5.7388900560873403E-2</v>
      </c>
      <c r="V44" s="79">
        <v>0.55749217687705599</v>
      </c>
      <c r="W44" s="80">
        <v>1</v>
      </c>
    </row>
    <row r="45" spans="2:23" x14ac:dyDescent="0.2">
      <c r="B45" s="76" t="s">
        <v>2915</v>
      </c>
      <c r="C45" s="65" t="s">
        <v>1651</v>
      </c>
      <c r="D45" s="79">
        <v>1.68166805742112E-2</v>
      </c>
      <c r="E45" s="79">
        <v>1.26014667908638E-2</v>
      </c>
      <c r="F45" s="79">
        <v>0.18210158266292401</v>
      </c>
      <c r="G45" s="79">
        <v>0.68444625738685605</v>
      </c>
      <c r="H45" s="80">
        <v>1</v>
      </c>
      <c r="I45" s="79">
        <v>6.9564476351002902E-3</v>
      </c>
      <c r="J45" s="79">
        <v>1.25277355555791E-2</v>
      </c>
      <c r="K45" s="79">
        <v>0.57872627812905297</v>
      </c>
      <c r="L45" s="79">
        <v>0.92891713666616404</v>
      </c>
      <c r="M45" s="80">
        <v>1</v>
      </c>
      <c r="N45" s="79">
        <v>4.2587561660230302E-3</v>
      </c>
      <c r="O45" s="79">
        <v>1.2468122861531299E-2</v>
      </c>
      <c r="P45" s="79">
        <v>0.73268808456020496</v>
      </c>
      <c r="Q45" s="79">
        <v>0.94860272472715501</v>
      </c>
      <c r="R45" s="80">
        <v>1</v>
      </c>
      <c r="S45" s="79">
        <v>3.7670994203814798E-2</v>
      </c>
      <c r="T45" s="79">
        <v>1.24310471705675E-2</v>
      </c>
      <c r="U45" s="79">
        <v>2.4551366363795598E-3</v>
      </c>
      <c r="V45" s="79">
        <v>0.16694929127381</v>
      </c>
      <c r="W45" s="80">
        <v>0.16694929127381</v>
      </c>
    </row>
    <row r="46" spans="2:23" x14ac:dyDescent="0.2">
      <c r="B46" s="76" t="s">
        <v>2916</v>
      </c>
      <c r="C46" s="65" t="s">
        <v>1587</v>
      </c>
      <c r="D46" s="79">
        <v>4.2837928746360101E-3</v>
      </c>
      <c r="E46" s="79">
        <v>1.2788566978727101E-2</v>
      </c>
      <c r="F46" s="79">
        <v>0.73766159208361104</v>
      </c>
      <c r="G46" s="79">
        <v>0.96756617727854799</v>
      </c>
      <c r="H46" s="80">
        <v>1</v>
      </c>
      <c r="I46" s="79">
        <v>-9.2145427004490001E-3</v>
      </c>
      <c r="J46" s="79">
        <v>1.2716154872876501E-2</v>
      </c>
      <c r="K46" s="79">
        <v>0.468712080214708</v>
      </c>
      <c r="L46" s="79">
        <v>0.92891713666616404</v>
      </c>
      <c r="M46" s="80">
        <v>1</v>
      </c>
      <c r="N46" s="79">
        <v>5.8964338009445498E-3</v>
      </c>
      <c r="O46" s="79">
        <v>1.2653968879371201E-2</v>
      </c>
      <c r="P46" s="79">
        <v>0.641254036650032</v>
      </c>
      <c r="Q46" s="79">
        <v>0.91066196655305898</v>
      </c>
      <c r="R46" s="80">
        <v>1</v>
      </c>
      <c r="S46" s="79">
        <v>1.31606680943112E-2</v>
      </c>
      <c r="T46" s="79">
        <v>1.26265845740201E-2</v>
      </c>
      <c r="U46" s="79">
        <v>0.29732455432806598</v>
      </c>
      <c r="V46" s="79">
        <v>0.87264788175569097</v>
      </c>
      <c r="W46" s="80">
        <v>1</v>
      </c>
    </row>
    <row r="47" spans="2:23" x14ac:dyDescent="0.2">
      <c r="B47" s="76" t="s">
        <v>2917</v>
      </c>
      <c r="C47" s="65" t="s">
        <v>1655</v>
      </c>
      <c r="D47" s="79">
        <v>-3.73750523683596E-3</v>
      </c>
      <c r="E47" s="79">
        <v>1.2940145214655E-2</v>
      </c>
      <c r="F47" s="79">
        <v>0.77272336556786403</v>
      </c>
      <c r="G47" s="79">
        <v>0.96756617727854799</v>
      </c>
      <c r="H47" s="80">
        <v>1</v>
      </c>
      <c r="I47" s="79">
        <v>1.12054492318819E-3</v>
      </c>
      <c r="J47" s="79">
        <v>1.28681099508951E-2</v>
      </c>
      <c r="K47" s="79">
        <v>0.93061209192803696</v>
      </c>
      <c r="L47" s="79">
        <v>0.99181782696364595</v>
      </c>
      <c r="M47" s="80">
        <v>1</v>
      </c>
      <c r="N47" s="79">
        <v>-6.3506249307478503E-3</v>
      </c>
      <c r="O47" s="79">
        <v>1.2802336472782E-2</v>
      </c>
      <c r="P47" s="79">
        <v>0.61987974294902304</v>
      </c>
      <c r="Q47" s="79">
        <v>0.91066196655305898</v>
      </c>
      <c r="R47" s="80">
        <v>1</v>
      </c>
      <c r="S47" s="79">
        <v>3.8508841585017002E-3</v>
      </c>
      <c r="T47" s="79">
        <v>1.27762741218993E-2</v>
      </c>
      <c r="U47" s="79">
        <v>0.76311526749006298</v>
      </c>
      <c r="V47" s="79">
        <v>0.95192660191603795</v>
      </c>
      <c r="W47" s="80">
        <v>1</v>
      </c>
    </row>
    <row r="48" spans="2:23" x14ac:dyDescent="0.2">
      <c r="B48" s="76" t="s">
        <v>2918</v>
      </c>
      <c r="C48" s="65" t="s">
        <v>1597</v>
      </c>
      <c r="D48" s="79">
        <v>-3.8459042213752799E-3</v>
      </c>
      <c r="E48" s="79">
        <v>9.8816325442618001E-3</v>
      </c>
      <c r="F48" s="79">
        <v>0.69714698659015795</v>
      </c>
      <c r="G48" s="79">
        <v>0.96756617727854799</v>
      </c>
      <c r="H48" s="80">
        <v>1</v>
      </c>
      <c r="I48" s="79">
        <v>-8.2053259127168896E-4</v>
      </c>
      <c r="J48" s="79">
        <v>9.8294349163585201E-3</v>
      </c>
      <c r="K48" s="79">
        <v>0.93347560184813805</v>
      </c>
      <c r="L48" s="79">
        <v>0.99181782696364595</v>
      </c>
      <c r="M48" s="80">
        <v>1</v>
      </c>
      <c r="N48" s="79">
        <v>1.68016287081066E-2</v>
      </c>
      <c r="O48" s="79">
        <v>9.7792272339756008E-3</v>
      </c>
      <c r="P48" s="79">
        <v>8.5842192159221994E-2</v>
      </c>
      <c r="Q48" s="79">
        <v>0.71125171788005703</v>
      </c>
      <c r="R48" s="80">
        <v>1</v>
      </c>
      <c r="S48" s="79">
        <v>2.5840708260401201E-2</v>
      </c>
      <c r="T48" s="79">
        <v>9.7520433635817898E-3</v>
      </c>
      <c r="U48" s="79">
        <v>8.0801941578732099E-3</v>
      </c>
      <c r="V48" s="79">
        <v>0.17727376499778499</v>
      </c>
      <c r="W48" s="80">
        <v>0.54945320273537801</v>
      </c>
    </row>
    <row r="49" spans="2:23" x14ac:dyDescent="0.2">
      <c r="B49" s="76" t="s">
        <v>2919</v>
      </c>
      <c r="C49" s="65" t="s">
        <v>1665</v>
      </c>
      <c r="D49" s="79">
        <v>2.5237582456569098E-3</v>
      </c>
      <c r="E49" s="79">
        <v>9.5244788950206299E-3</v>
      </c>
      <c r="F49" s="79">
        <v>0.79103890618517103</v>
      </c>
      <c r="G49" s="79">
        <v>0.96756617727854799</v>
      </c>
      <c r="H49" s="80">
        <v>1</v>
      </c>
      <c r="I49" s="79">
        <v>1.1490595743036999E-2</v>
      </c>
      <c r="J49" s="79">
        <v>9.4748816910595994E-3</v>
      </c>
      <c r="K49" s="79">
        <v>0.22528600315691399</v>
      </c>
      <c r="L49" s="79">
        <v>0.76597241073350597</v>
      </c>
      <c r="M49" s="80">
        <v>1</v>
      </c>
      <c r="N49" s="79">
        <v>4.4151887477862197E-3</v>
      </c>
      <c r="O49" s="79">
        <v>9.4283617208933898E-3</v>
      </c>
      <c r="P49" s="79">
        <v>0.63959911555484295</v>
      </c>
      <c r="Q49" s="79">
        <v>0.91066196655305898</v>
      </c>
      <c r="R49" s="80">
        <v>1</v>
      </c>
      <c r="S49" s="79">
        <v>-3.9263899304633798E-4</v>
      </c>
      <c r="T49" s="79">
        <v>9.4060155062190998E-3</v>
      </c>
      <c r="U49" s="79">
        <v>0.96670493255413903</v>
      </c>
      <c r="V49" s="79">
        <v>0.96670493255413903</v>
      </c>
      <c r="W49" s="80">
        <v>1</v>
      </c>
    </row>
    <row r="50" spans="2:23" x14ac:dyDescent="0.2">
      <c r="B50" s="76" t="s">
        <v>2920</v>
      </c>
      <c r="C50" s="65" t="s">
        <v>1589</v>
      </c>
      <c r="D50" s="79">
        <v>-1.00054123231045E-2</v>
      </c>
      <c r="E50" s="79">
        <v>1.23808475418512E-2</v>
      </c>
      <c r="F50" s="79">
        <v>0.41904986178246101</v>
      </c>
      <c r="G50" s="79">
        <v>0.79399156865682496</v>
      </c>
      <c r="H50" s="80">
        <v>1</v>
      </c>
      <c r="I50" s="79">
        <v>2.12950215975703E-2</v>
      </c>
      <c r="J50" s="79">
        <v>1.23276866513295E-2</v>
      </c>
      <c r="K50" s="79">
        <v>8.4154188609108796E-2</v>
      </c>
      <c r="L50" s="79">
        <v>0.57224848254194005</v>
      </c>
      <c r="M50" s="80">
        <v>1</v>
      </c>
      <c r="N50" s="79">
        <v>8.8715344731864296E-3</v>
      </c>
      <c r="O50" s="79">
        <v>1.22576315370599E-2</v>
      </c>
      <c r="P50" s="79">
        <v>0.46924872722838201</v>
      </c>
      <c r="Q50" s="79">
        <v>0.91066196655305898</v>
      </c>
      <c r="R50" s="80">
        <v>1</v>
      </c>
      <c r="S50" s="79">
        <v>1.4933981884224E-2</v>
      </c>
      <c r="T50" s="79">
        <v>1.22247868811741E-2</v>
      </c>
      <c r="U50" s="79">
        <v>0.221909815554447</v>
      </c>
      <c r="V50" s="79">
        <v>0.87264788175569097</v>
      </c>
      <c r="W50" s="80">
        <v>1</v>
      </c>
    </row>
    <row r="51" spans="2:23" x14ac:dyDescent="0.2">
      <c r="B51" s="76" t="s">
        <v>2921</v>
      </c>
      <c r="C51" s="65" t="s">
        <v>1657</v>
      </c>
      <c r="D51" s="79">
        <v>-2.9722126198507698E-3</v>
      </c>
      <c r="E51" s="79">
        <v>1.22076837943592E-2</v>
      </c>
      <c r="F51" s="79">
        <v>0.80765072081155298</v>
      </c>
      <c r="G51" s="79">
        <v>0.96756617727854799</v>
      </c>
      <c r="H51" s="80">
        <v>1</v>
      </c>
      <c r="I51" s="79">
        <v>1.01932273081249E-2</v>
      </c>
      <c r="J51" s="79">
        <v>1.2152182910087701E-2</v>
      </c>
      <c r="K51" s="79">
        <v>0.40162261561233598</v>
      </c>
      <c r="L51" s="79">
        <v>0.92891713666616404</v>
      </c>
      <c r="M51" s="80">
        <v>1</v>
      </c>
      <c r="N51" s="79">
        <v>1.6066420227878599E-2</v>
      </c>
      <c r="O51" s="79">
        <v>1.2085696974668001E-2</v>
      </c>
      <c r="P51" s="79">
        <v>0.183784393151051</v>
      </c>
      <c r="Q51" s="79">
        <v>0.75802918501942396</v>
      </c>
      <c r="R51" s="80">
        <v>1</v>
      </c>
      <c r="S51" s="79">
        <v>2.6657391754591898E-2</v>
      </c>
      <c r="T51" s="79">
        <v>1.20500740422883E-2</v>
      </c>
      <c r="U51" s="79">
        <v>2.6996210299323999E-2</v>
      </c>
      <c r="V51" s="79">
        <v>0.36714846007080598</v>
      </c>
      <c r="W51" s="80">
        <v>1</v>
      </c>
    </row>
    <row r="52" spans="2:23" x14ac:dyDescent="0.2">
      <c r="B52" s="76" t="s">
        <v>2922</v>
      </c>
      <c r="C52" s="65" t="s">
        <v>1591</v>
      </c>
      <c r="D52" s="79">
        <v>-8.4893754892905893E-3</v>
      </c>
      <c r="E52" s="79">
        <v>1.0534236792567099E-2</v>
      </c>
      <c r="F52" s="79">
        <v>0.42034847752420101</v>
      </c>
      <c r="G52" s="79">
        <v>0.79399156865682496</v>
      </c>
      <c r="H52" s="80">
        <v>1</v>
      </c>
      <c r="I52" s="79">
        <v>2.0607601349797999E-2</v>
      </c>
      <c r="J52" s="79">
        <v>1.04748188711933E-2</v>
      </c>
      <c r="K52" s="79">
        <v>4.9199762104928102E-2</v>
      </c>
      <c r="L52" s="79">
        <v>0.41819797789188901</v>
      </c>
      <c r="M52" s="80">
        <v>1</v>
      </c>
      <c r="N52" s="79">
        <v>9.8303913109847995E-3</v>
      </c>
      <c r="O52" s="79">
        <v>1.0428040174392699E-2</v>
      </c>
      <c r="P52" s="79">
        <v>0.34588665117273498</v>
      </c>
      <c r="Q52" s="79">
        <v>0.89794575131744403</v>
      </c>
      <c r="R52" s="80">
        <v>1</v>
      </c>
      <c r="S52" s="79">
        <v>-6.0565321060408002E-4</v>
      </c>
      <c r="T52" s="79">
        <v>1.04038265546896E-2</v>
      </c>
      <c r="U52" s="79">
        <v>0.95358015802436302</v>
      </c>
      <c r="V52" s="79">
        <v>0.96670493255413903</v>
      </c>
      <c r="W52" s="80">
        <v>1</v>
      </c>
    </row>
    <row r="53" spans="2:23" x14ac:dyDescent="0.2">
      <c r="B53" s="76" t="s">
        <v>2923</v>
      </c>
      <c r="C53" s="65" t="s">
        <v>1659</v>
      </c>
      <c r="D53" s="79">
        <v>-7.7934886321878796E-3</v>
      </c>
      <c r="E53" s="79">
        <v>1.0722428840602699E-2</v>
      </c>
      <c r="F53" s="79">
        <v>0.467358114772288</v>
      </c>
      <c r="G53" s="79">
        <v>0.85892842714906903</v>
      </c>
      <c r="H53" s="80">
        <v>1</v>
      </c>
      <c r="I53" s="79">
        <v>1.8714048474103701E-2</v>
      </c>
      <c r="J53" s="79">
        <v>1.06641179986381E-2</v>
      </c>
      <c r="K53" s="79">
        <v>7.9344770690452399E-2</v>
      </c>
      <c r="L53" s="79">
        <v>0.57224848254194005</v>
      </c>
      <c r="M53" s="80">
        <v>1</v>
      </c>
      <c r="N53" s="79">
        <v>1.4821045432160399E-2</v>
      </c>
      <c r="O53" s="79">
        <v>1.0611358514242801E-2</v>
      </c>
      <c r="P53" s="79">
        <v>0.16256130418596501</v>
      </c>
      <c r="Q53" s="79">
        <v>0.75802918501942396</v>
      </c>
      <c r="R53" s="80">
        <v>1</v>
      </c>
      <c r="S53" s="79">
        <v>1.52857824222613E-2</v>
      </c>
      <c r="T53" s="79">
        <v>1.0587156656203901E-2</v>
      </c>
      <c r="U53" s="79">
        <v>0.148856696790958</v>
      </c>
      <c r="V53" s="79">
        <v>0.87264788175569097</v>
      </c>
      <c r="W53" s="80">
        <v>1</v>
      </c>
    </row>
    <row r="54" spans="2:23" x14ac:dyDescent="0.2">
      <c r="B54" s="76" t="s">
        <v>2924</v>
      </c>
      <c r="C54" s="65" t="s">
        <v>1595</v>
      </c>
      <c r="D54" s="81">
        <v>3.7219493817458101E-2</v>
      </c>
      <c r="E54" s="81">
        <v>9.8042809416708492E-3</v>
      </c>
      <c r="F54" s="81">
        <v>1.4870279765389699E-4</v>
      </c>
      <c r="G54" s="81">
        <v>1.0111790240464999E-2</v>
      </c>
      <c r="H54" s="82">
        <v>1.0111790240464999E-2</v>
      </c>
      <c r="I54" s="79">
        <v>3.40881701672214E-4</v>
      </c>
      <c r="J54" s="79">
        <v>9.7614275798228508E-3</v>
      </c>
      <c r="K54" s="79">
        <v>0.97214395986147095</v>
      </c>
      <c r="L54" s="79">
        <v>0.99212900543373805</v>
      </c>
      <c r="M54" s="80">
        <v>1</v>
      </c>
      <c r="N54" s="79">
        <v>-1.41212654277471E-3</v>
      </c>
      <c r="O54" s="79">
        <v>9.7179393247670207E-3</v>
      </c>
      <c r="P54" s="79">
        <v>0.88447117029451905</v>
      </c>
      <c r="Q54" s="79">
        <v>0.95369318027669803</v>
      </c>
      <c r="R54" s="80">
        <v>1</v>
      </c>
      <c r="S54" s="79">
        <v>-1.40437614406769E-3</v>
      </c>
      <c r="T54" s="79">
        <v>9.69618600607711E-3</v>
      </c>
      <c r="U54" s="79">
        <v>0.88484482836601996</v>
      </c>
      <c r="V54" s="79">
        <v>0.96670493255413903</v>
      </c>
      <c r="W54" s="80">
        <v>1</v>
      </c>
    </row>
    <row r="55" spans="2:23" x14ac:dyDescent="0.2">
      <c r="B55" s="76" t="s">
        <v>2925</v>
      </c>
      <c r="C55" s="65" t="s">
        <v>1663</v>
      </c>
      <c r="D55" s="79">
        <v>1.1666737677727201E-2</v>
      </c>
      <c r="E55" s="79">
        <v>9.8387451225218896E-3</v>
      </c>
      <c r="F55" s="79">
        <v>0.23576128166552801</v>
      </c>
      <c r="G55" s="79">
        <v>0.72133321912552295</v>
      </c>
      <c r="H55" s="80">
        <v>1</v>
      </c>
      <c r="I55" s="79">
        <v>-2.2845532701174201E-3</v>
      </c>
      <c r="J55" s="79">
        <v>9.7831169890174006E-3</v>
      </c>
      <c r="K55" s="79">
        <v>0.81536763572705695</v>
      </c>
      <c r="L55" s="79">
        <v>0.95886681949014896</v>
      </c>
      <c r="M55" s="80">
        <v>1</v>
      </c>
      <c r="N55" s="79">
        <v>-9.7214094993204204E-3</v>
      </c>
      <c r="O55" s="79">
        <v>9.7380768678409294E-3</v>
      </c>
      <c r="P55" s="79">
        <v>0.31818958259709101</v>
      </c>
      <c r="Q55" s="79">
        <v>0.89794575131744403</v>
      </c>
      <c r="R55" s="80">
        <v>1</v>
      </c>
      <c r="S55" s="79">
        <v>-7.9957345441820198E-3</v>
      </c>
      <c r="T55" s="79">
        <v>9.7176219939277692E-3</v>
      </c>
      <c r="U55" s="79">
        <v>0.41065782670856099</v>
      </c>
      <c r="V55" s="79">
        <v>0.87264788175569097</v>
      </c>
      <c r="W55" s="80">
        <v>1</v>
      </c>
    </row>
    <row r="56" spans="2:23" x14ac:dyDescent="0.2">
      <c r="B56" s="76" t="s">
        <v>2926</v>
      </c>
      <c r="C56" s="65" t="s">
        <v>1593</v>
      </c>
      <c r="D56" s="79">
        <v>-2.8247059900999099E-3</v>
      </c>
      <c r="E56" s="79">
        <v>1.1690948864266E-2</v>
      </c>
      <c r="F56" s="79">
        <v>0.80908877409769098</v>
      </c>
      <c r="G56" s="79">
        <v>0.96756617727854799</v>
      </c>
      <c r="H56" s="80">
        <v>1</v>
      </c>
      <c r="I56" s="79">
        <v>1.47246212683661E-2</v>
      </c>
      <c r="J56" s="79">
        <v>1.16230282711816E-2</v>
      </c>
      <c r="K56" s="79">
        <v>0.20527008167628999</v>
      </c>
      <c r="L56" s="79">
        <v>0.76597241073350597</v>
      </c>
      <c r="M56" s="80">
        <v>1</v>
      </c>
      <c r="N56" s="79">
        <v>-1.21976730169718E-2</v>
      </c>
      <c r="O56" s="79">
        <v>1.1567502312355199E-2</v>
      </c>
      <c r="P56" s="79">
        <v>0.29171646926480899</v>
      </c>
      <c r="Q56" s="79">
        <v>0.89788798608171705</v>
      </c>
      <c r="R56" s="80">
        <v>1</v>
      </c>
      <c r="S56" s="79">
        <v>9.6871191221904497E-3</v>
      </c>
      <c r="T56" s="79">
        <v>1.15446092570618E-2</v>
      </c>
      <c r="U56" s="79">
        <v>0.401452286940369</v>
      </c>
      <c r="V56" s="79">
        <v>0.87264788175569097</v>
      </c>
      <c r="W56" s="80">
        <v>1</v>
      </c>
    </row>
    <row r="57" spans="2:23" x14ac:dyDescent="0.2">
      <c r="B57" s="76" t="s">
        <v>2927</v>
      </c>
      <c r="C57" s="65" t="s">
        <v>1661</v>
      </c>
      <c r="D57" s="79">
        <v>-1.00626219763871E-2</v>
      </c>
      <c r="E57" s="79">
        <v>1.1763666508646299E-2</v>
      </c>
      <c r="F57" s="79">
        <v>0.392372301073042</v>
      </c>
      <c r="G57" s="79">
        <v>0.79399156865682496</v>
      </c>
      <c r="H57" s="80">
        <v>1</v>
      </c>
      <c r="I57" s="79">
        <v>-3.8006720412399999E-3</v>
      </c>
      <c r="J57" s="79">
        <v>1.1697346479822599E-2</v>
      </c>
      <c r="K57" s="79">
        <v>0.74525751028185605</v>
      </c>
      <c r="L57" s="79">
        <v>0.95289851117183599</v>
      </c>
      <c r="M57" s="80">
        <v>1</v>
      </c>
      <c r="N57" s="79">
        <v>-1.52716721396692E-2</v>
      </c>
      <c r="O57" s="79">
        <v>1.16380363570097E-2</v>
      </c>
      <c r="P57" s="79">
        <v>0.18950729625485599</v>
      </c>
      <c r="Q57" s="79">
        <v>0.75802918501942396</v>
      </c>
      <c r="R57" s="80">
        <v>1</v>
      </c>
      <c r="S57" s="79">
        <v>6.8160599015060601E-3</v>
      </c>
      <c r="T57" s="79">
        <v>1.1617120158292501E-2</v>
      </c>
      <c r="U57" s="79">
        <v>0.55741507311319005</v>
      </c>
      <c r="V57" s="79">
        <v>0.95064437038083005</v>
      </c>
      <c r="W57" s="80">
        <v>1</v>
      </c>
    </row>
    <row r="58" spans="2:23" x14ac:dyDescent="0.2">
      <c r="B58" s="76" t="s">
        <v>2928</v>
      </c>
      <c r="C58" s="65" t="s">
        <v>1599</v>
      </c>
      <c r="D58" s="79">
        <v>-5.53227747002918E-3</v>
      </c>
      <c r="E58" s="79">
        <v>1.12184744596656E-2</v>
      </c>
      <c r="F58" s="79">
        <v>0.62193555479754803</v>
      </c>
      <c r="G58" s="79">
        <v>0.93981372724962797</v>
      </c>
      <c r="H58" s="80">
        <v>1</v>
      </c>
      <c r="I58" s="79">
        <v>1.4619434052066701E-2</v>
      </c>
      <c r="J58" s="79">
        <v>1.1158786909194199E-2</v>
      </c>
      <c r="K58" s="79">
        <v>0.19021382910071299</v>
      </c>
      <c r="L58" s="79">
        <v>0.76597241073350597</v>
      </c>
      <c r="M58" s="80">
        <v>1</v>
      </c>
      <c r="N58" s="79">
        <v>1.9369447670723398E-2</v>
      </c>
      <c r="O58" s="79">
        <v>1.1104459775749E-2</v>
      </c>
      <c r="P58" s="79">
        <v>8.1169707843433095E-2</v>
      </c>
      <c r="Q58" s="79">
        <v>0.71125171788005703</v>
      </c>
      <c r="R58" s="80">
        <v>1</v>
      </c>
      <c r="S58" s="79">
        <v>5.0337391973200403E-3</v>
      </c>
      <c r="T58" s="79">
        <v>1.10790744051862E-2</v>
      </c>
      <c r="U58" s="79">
        <v>0.64959928982011605</v>
      </c>
      <c r="V58" s="79">
        <v>0.95064437038083005</v>
      </c>
      <c r="W58" s="80">
        <v>1</v>
      </c>
    </row>
    <row r="59" spans="2:23" x14ac:dyDescent="0.2">
      <c r="B59" s="76" t="s">
        <v>2929</v>
      </c>
      <c r="C59" s="65" t="s">
        <v>1667</v>
      </c>
      <c r="D59" s="79">
        <v>9.4461867490600699E-4</v>
      </c>
      <c r="E59" s="79">
        <v>1.2399320503116901E-2</v>
      </c>
      <c r="F59" s="79">
        <v>0.93927659619558301</v>
      </c>
      <c r="G59" s="79">
        <v>0.99883470509579197</v>
      </c>
      <c r="H59" s="80">
        <v>1</v>
      </c>
      <c r="I59" s="79">
        <v>9.2257911788498192E-3</v>
      </c>
      <c r="J59" s="79">
        <v>1.2321692608229001E-2</v>
      </c>
      <c r="K59" s="79">
        <v>0.45404872417748998</v>
      </c>
      <c r="L59" s="79">
        <v>0.92891713666616404</v>
      </c>
      <c r="M59" s="80">
        <v>1</v>
      </c>
      <c r="N59" s="79">
        <v>-1.07052343816329E-3</v>
      </c>
      <c r="O59" s="79">
        <v>1.2269011451410501E-2</v>
      </c>
      <c r="P59" s="79">
        <v>0.93047307094093301</v>
      </c>
      <c r="Q59" s="79">
        <v>0.95866922460581006</v>
      </c>
      <c r="R59" s="80">
        <v>1</v>
      </c>
      <c r="S59" s="79">
        <v>1.2455602227951501E-3</v>
      </c>
      <c r="T59" s="79">
        <v>1.22438943969946E-2</v>
      </c>
      <c r="U59" s="79">
        <v>0.91897595711194702</v>
      </c>
      <c r="V59" s="79">
        <v>0.96670493255413903</v>
      </c>
      <c r="W59" s="80">
        <v>1</v>
      </c>
    </row>
    <row r="60" spans="2:23" x14ac:dyDescent="0.2">
      <c r="B60" s="76" t="s">
        <v>2930</v>
      </c>
      <c r="C60" s="65" t="s">
        <v>1601</v>
      </c>
      <c r="D60" s="79">
        <v>-1.27191998986708E-2</v>
      </c>
      <c r="E60" s="79">
        <v>9.0913755583376804E-3</v>
      </c>
      <c r="F60" s="79">
        <v>0.16186345962171</v>
      </c>
      <c r="G60" s="79">
        <v>0.68444625738685605</v>
      </c>
      <c r="H60" s="80">
        <v>1</v>
      </c>
      <c r="I60" s="79">
        <v>6.6366133310521904E-3</v>
      </c>
      <c r="J60" s="79">
        <v>9.0446896801423902E-3</v>
      </c>
      <c r="K60" s="79">
        <v>0.46313120760861098</v>
      </c>
      <c r="L60" s="79">
        <v>0.92891713666616404</v>
      </c>
      <c r="M60" s="80">
        <v>1</v>
      </c>
      <c r="N60" s="79">
        <v>-4.4095094347564199E-3</v>
      </c>
      <c r="O60" s="79">
        <v>9.0019244518216995E-3</v>
      </c>
      <c r="P60" s="79">
        <v>0.62426828587452798</v>
      </c>
      <c r="Q60" s="79">
        <v>0.91066196655305898</v>
      </c>
      <c r="R60" s="80">
        <v>1</v>
      </c>
      <c r="S60" s="79">
        <v>-1.5246682927658101E-2</v>
      </c>
      <c r="T60" s="79">
        <v>8.9779056389589097E-3</v>
      </c>
      <c r="U60" s="79">
        <v>8.9524259088566496E-2</v>
      </c>
      <c r="V60" s="79">
        <v>0.67640551311361297</v>
      </c>
      <c r="W60" s="80">
        <v>1</v>
      </c>
    </row>
    <row r="61" spans="2:23" x14ac:dyDescent="0.2">
      <c r="B61" s="76" t="s">
        <v>2931</v>
      </c>
      <c r="C61" s="65" t="s">
        <v>1669</v>
      </c>
      <c r="D61" s="79">
        <v>-1.22002690306258E-2</v>
      </c>
      <c r="E61" s="79">
        <v>9.5084984269365805E-3</v>
      </c>
      <c r="F61" s="79">
        <v>0.199520568055603</v>
      </c>
      <c r="G61" s="79">
        <v>0.68444625738685605</v>
      </c>
      <c r="H61" s="80">
        <v>1</v>
      </c>
      <c r="I61" s="79">
        <v>4.5453940248284903E-3</v>
      </c>
      <c r="J61" s="79">
        <v>9.4592955023795697E-3</v>
      </c>
      <c r="K61" s="79">
        <v>0.63087821995513105</v>
      </c>
      <c r="L61" s="79">
        <v>0.92891713666616404</v>
      </c>
      <c r="M61" s="80">
        <v>1</v>
      </c>
      <c r="N61" s="79">
        <v>8.4452166553028191E-3</v>
      </c>
      <c r="O61" s="79">
        <v>9.4145547298001599E-3</v>
      </c>
      <c r="P61" s="79">
        <v>0.36974236818953599</v>
      </c>
      <c r="Q61" s="79">
        <v>0.89794575131744403</v>
      </c>
      <c r="R61" s="80">
        <v>1</v>
      </c>
      <c r="S61" s="79">
        <v>-9.8782219388144597E-3</v>
      </c>
      <c r="T61" s="79">
        <v>9.3909071510503792E-3</v>
      </c>
      <c r="U61" s="79">
        <v>0.29290062906992798</v>
      </c>
      <c r="V61" s="79">
        <v>0.87264788175569097</v>
      </c>
      <c r="W61" s="80">
        <v>1</v>
      </c>
    </row>
    <row r="62" spans="2:23" x14ac:dyDescent="0.2">
      <c r="B62" s="76" t="s">
        <v>2932</v>
      </c>
      <c r="C62" s="65" t="s">
        <v>1609</v>
      </c>
      <c r="D62" s="79">
        <v>1.6573834576191201E-2</v>
      </c>
      <c r="E62" s="79">
        <v>1.02112313586548E-2</v>
      </c>
      <c r="F62" s="79">
        <v>0.104633820024779</v>
      </c>
      <c r="G62" s="79">
        <v>0.54731536628345701</v>
      </c>
      <c r="H62" s="80">
        <v>1</v>
      </c>
      <c r="I62" s="79">
        <v>3.7709994688983998E-3</v>
      </c>
      <c r="J62" s="79">
        <v>1.0153185967778601E-2</v>
      </c>
      <c r="K62" s="79">
        <v>0.710348398627066</v>
      </c>
      <c r="L62" s="79">
        <v>0.92891713666616404</v>
      </c>
      <c r="M62" s="80">
        <v>1</v>
      </c>
      <c r="N62" s="79">
        <v>3.2990130292278401E-3</v>
      </c>
      <c r="O62" s="79">
        <v>1.01092329090486E-2</v>
      </c>
      <c r="P62" s="79">
        <v>0.74418393564861995</v>
      </c>
      <c r="Q62" s="79">
        <v>0.94860272472715501</v>
      </c>
      <c r="R62" s="80">
        <v>1</v>
      </c>
      <c r="S62" s="79">
        <v>2.8786248410707601E-3</v>
      </c>
      <c r="T62" s="79">
        <v>1.0086147200341299E-2</v>
      </c>
      <c r="U62" s="79">
        <v>0.77534708151323295</v>
      </c>
      <c r="V62" s="79">
        <v>0.95192660191603795</v>
      </c>
      <c r="W62" s="80">
        <v>1</v>
      </c>
    </row>
    <row r="63" spans="2:23" x14ac:dyDescent="0.2">
      <c r="B63" s="76" t="s">
        <v>2933</v>
      </c>
      <c r="C63" s="65" t="s">
        <v>1677</v>
      </c>
      <c r="D63" s="79">
        <v>-5.3588818489437298E-3</v>
      </c>
      <c r="E63" s="79">
        <v>1.07717955864838E-2</v>
      </c>
      <c r="F63" s="79">
        <v>0.618864708582054</v>
      </c>
      <c r="G63" s="79">
        <v>0.93981372724962797</v>
      </c>
      <c r="H63" s="80">
        <v>1</v>
      </c>
      <c r="I63" s="79">
        <v>6.9548936314734596E-3</v>
      </c>
      <c r="J63" s="79">
        <v>1.07095908777109E-2</v>
      </c>
      <c r="K63" s="79">
        <v>0.516105823731834</v>
      </c>
      <c r="L63" s="79">
        <v>0.92891713666616404</v>
      </c>
      <c r="M63" s="80">
        <v>1</v>
      </c>
      <c r="N63" s="79">
        <v>1.13784099894237E-2</v>
      </c>
      <c r="O63" s="79">
        <v>1.06618947896461E-2</v>
      </c>
      <c r="P63" s="79">
        <v>0.28593334159375799</v>
      </c>
      <c r="Q63" s="79">
        <v>0.89788798608171705</v>
      </c>
      <c r="R63" s="80">
        <v>1</v>
      </c>
      <c r="S63" s="79">
        <v>-1.49402346984801E-2</v>
      </c>
      <c r="T63" s="79">
        <v>1.06366237069169E-2</v>
      </c>
      <c r="U63" s="79">
        <v>0.16020339531191899</v>
      </c>
      <c r="V63" s="79">
        <v>0.87264788175569097</v>
      </c>
      <c r="W63" s="80">
        <v>1</v>
      </c>
    </row>
    <row r="64" spans="2:23" x14ac:dyDescent="0.2">
      <c r="B64" s="76" t="s">
        <v>2934</v>
      </c>
      <c r="C64" s="65" t="s">
        <v>1603</v>
      </c>
      <c r="D64" s="79">
        <v>1.26014535105861E-3</v>
      </c>
      <c r="E64" s="79">
        <v>8.0024143208647699E-3</v>
      </c>
      <c r="F64" s="79">
        <v>0.87488035538040498</v>
      </c>
      <c r="G64" s="79">
        <v>0.97527646173553395</v>
      </c>
      <c r="H64" s="80">
        <v>1</v>
      </c>
      <c r="I64" s="79">
        <v>1.6893363893297801E-3</v>
      </c>
      <c r="J64" s="79">
        <v>7.9609694521263E-3</v>
      </c>
      <c r="K64" s="79">
        <v>0.83195797573410002</v>
      </c>
      <c r="L64" s="79">
        <v>0.95886681949014896</v>
      </c>
      <c r="M64" s="80">
        <v>1</v>
      </c>
      <c r="N64" s="79">
        <v>-1.7887802199085898E-2</v>
      </c>
      <c r="O64" s="79">
        <v>7.9189741070335006E-3</v>
      </c>
      <c r="P64" s="79">
        <v>2.3935835393914799E-2</v>
      </c>
      <c r="Q64" s="79">
        <v>0.71125171788005703</v>
      </c>
      <c r="R64" s="80">
        <v>1</v>
      </c>
      <c r="S64" s="79">
        <v>-5.8565169796808902E-3</v>
      </c>
      <c r="T64" s="79">
        <v>7.9030235536525703E-3</v>
      </c>
      <c r="U64" s="79">
        <v>0.45869966375163701</v>
      </c>
      <c r="V64" s="79">
        <v>0.91739932750327402</v>
      </c>
      <c r="W64" s="80">
        <v>1</v>
      </c>
    </row>
    <row r="65" spans="2:23" x14ac:dyDescent="0.2">
      <c r="B65" s="76" t="s">
        <v>2935</v>
      </c>
      <c r="C65" s="65" t="s">
        <v>1671</v>
      </c>
      <c r="D65" s="79">
        <v>-7.6003861208282699E-3</v>
      </c>
      <c r="E65" s="79">
        <v>8.2398025658414493E-3</v>
      </c>
      <c r="F65" s="79">
        <v>0.35636574175486002</v>
      </c>
      <c r="G65" s="79">
        <v>0.781705498042918</v>
      </c>
      <c r="H65" s="80">
        <v>1</v>
      </c>
      <c r="I65" s="79">
        <v>-4.9323918250884198E-3</v>
      </c>
      <c r="J65" s="79">
        <v>8.1960171593357996E-3</v>
      </c>
      <c r="K65" s="79">
        <v>0.54733297969378902</v>
      </c>
      <c r="L65" s="79">
        <v>0.92891713666616404</v>
      </c>
      <c r="M65" s="80">
        <v>1</v>
      </c>
      <c r="N65" s="79">
        <v>-1.4762625893830501E-2</v>
      </c>
      <c r="O65" s="79">
        <v>8.1556412077233801E-3</v>
      </c>
      <c r="P65" s="79">
        <v>7.0339555794277794E-2</v>
      </c>
      <c r="Q65" s="79">
        <v>0.71125171788005703</v>
      </c>
      <c r="R65" s="80">
        <v>1</v>
      </c>
      <c r="S65" s="79">
        <v>-2.1158551965006999E-2</v>
      </c>
      <c r="T65" s="79">
        <v>8.1324010509102405E-3</v>
      </c>
      <c r="U65" s="79">
        <v>9.3025170535039701E-3</v>
      </c>
      <c r="V65" s="79">
        <v>0.17727376499778499</v>
      </c>
      <c r="W65" s="80">
        <v>0.63257115963827004</v>
      </c>
    </row>
    <row r="66" spans="2:23" x14ac:dyDescent="0.2">
      <c r="B66" s="76" t="s">
        <v>2936</v>
      </c>
      <c r="C66" s="65" t="s">
        <v>1605</v>
      </c>
      <c r="D66" s="79">
        <v>4.94511704942927E-5</v>
      </c>
      <c r="E66" s="79">
        <v>1.05965061072487E-2</v>
      </c>
      <c r="F66" s="79">
        <v>0.99627667856901203</v>
      </c>
      <c r="G66" s="79">
        <v>0.99883470509579197</v>
      </c>
      <c r="H66" s="80">
        <v>1</v>
      </c>
      <c r="I66" s="79">
        <v>-2.2580421160920002E-3</v>
      </c>
      <c r="J66" s="79">
        <v>1.0542493622546599E-2</v>
      </c>
      <c r="K66" s="79">
        <v>0.83041178423559403</v>
      </c>
      <c r="L66" s="79">
        <v>0.95886681949014896</v>
      </c>
      <c r="M66" s="80">
        <v>1</v>
      </c>
      <c r="N66" s="79">
        <v>7.2972137103654196E-3</v>
      </c>
      <c r="O66" s="79">
        <v>1.0490420907967399E-2</v>
      </c>
      <c r="P66" s="79">
        <v>0.486707310751406</v>
      </c>
      <c r="Q66" s="79">
        <v>0.91066196655305898</v>
      </c>
      <c r="R66" s="80">
        <v>1</v>
      </c>
      <c r="S66" s="79">
        <v>-1.2109008384685999E-2</v>
      </c>
      <c r="T66" s="79">
        <v>1.0463845897451699E-2</v>
      </c>
      <c r="U66" s="79">
        <v>0.24723664173618801</v>
      </c>
      <c r="V66" s="79">
        <v>0.87264788175569097</v>
      </c>
      <c r="W66" s="80">
        <v>1</v>
      </c>
    </row>
    <row r="67" spans="2:23" x14ac:dyDescent="0.2">
      <c r="B67" s="76" t="s">
        <v>2937</v>
      </c>
      <c r="C67" s="65" t="s">
        <v>1673</v>
      </c>
      <c r="D67" s="79">
        <v>1.02208530097306E-2</v>
      </c>
      <c r="E67" s="79">
        <v>1.05254385751929E-2</v>
      </c>
      <c r="F67" s="79">
        <v>0.33156466195664103</v>
      </c>
      <c r="G67" s="79">
        <v>0.78104932455970799</v>
      </c>
      <c r="H67" s="80">
        <v>1</v>
      </c>
      <c r="I67" s="79">
        <v>5.6128923801279504E-3</v>
      </c>
      <c r="J67" s="79">
        <v>1.04731549339577E-2</v>
      </c>
      <c r="K67" s="79">
        <v>0.59203014116527997</v>
      </c>
      <c r="L67" s="79">
        <v>0.92891713666616404</v>
      </c>
      <c r="M67" s="80">
        <v>1</v>
      </c>
      <c r="N67" s="79">
        <v>-2.6945353176261902E-3</v>
      </c>
      <c r="O67" s="79">
        <v>1.0421907977965701E-2</v>
      </c>
      <c r="P67" s="79">
        <v>0.79599680047517196</v>
      </c>
      <c r="Q67" s="79">
        <v>0.95268487979224703</v>
      </c>
      <c r="R67" s="80">
        <v>1</v>
      </c>
      <c r="S67" s="79">
        <v>-1.20765894569803E-2</v>
      </c>
      <c r="T67" s="79">
        <v>1.03943131300493E-2</v>
      </c>
      <c r="U67" s="79">
        <v>0.245353864868504</v>
      </c>
      <c r="V67" s="79">
        <v>0.87264788175569097</v>
      </c>
      <c r="W67" s="80">
        <v>1</v>
      </c>
    </row>
    <row r="68" spans="2:23" x14ac:dyDescent="0.2">
      <c r="B68" s="76" t="s">
        <v>2938</v>
      </c>
      <c r="C68" s="65" t="s">
        <v>1607</v>
      </c>
      <c r="D68" s="79">
        <v>2.1397322391133799E-2</v>
      </c>
      <c r="E68" s="79">
        <v>9.5216750852648597E-3</v>
      </c>
      <c r="F68" s="79">
        <v>2.4669896209088101E-2</v>
      </c>
      <c r="G68" s="79">
        <v>0.23965042031685599</v>
      </c>
      <c r="H68" s="80">
        <v>1</v>
      </c>
      <c r="I68" s="79">
        <v>-1.31869706214963E-2</v>
      </c>
      <c r="J68" s="79">
        <v>9.4760954163453006E-3</v>
      </c>
      <c r="K68" s="79">
        <v>0.16410576840192601</v>
      </c>
      <c r="L68" s="79">
        <v>0.76597241073350597</v>
      </c>
      <c r="M68" s="80">
        <v>1</v>
      </c>
      <c r="N68" s="79">
        <v>-1.5580328497435601E-2</v>
      </c>
      <c r="O68" s="79">
        <v>9.4306378308157603E-3</v>
      </c>
      <c r="P68" s="79">
        <v>9.8578570344857494E-2</v>
      </c>
      <c r="Q68" s="79">
        <v>0.71125171788005703</v>
      </c>
      <c r="R68" s="80">
        <v>1</v>
      </c>
      <c r="S68" s="79">
        <v>-7.4314618222961104E-4</v>
      </c>
      <c r="T68" s="79">
        <v>9.4097040739956495E-3</v>
      </c>
      <c r="U68" s="79">
        <v>0.93705446325437503</v>
      </c>
      <c r="V68" s="79">
        <v>0.96670493255413903</v>
      </c>
      <c r="W68" s="80">
        <v>1</v>
      </c>
    </row>
    <row r="69" spans="2:23" x14ac:dyDescent="0.2">
      <c r="B69" s="76" t="s">
        <v>2939</v>
      </c>
      <c r="C69" s="65" t="s">
        <v>1675</v>
      </c>
      <c r="D69" s="79">
        <v>1.8352594732693801E-2</v>
      </c>
      <c r="E69" s="79">
        <v>9.5238880768276097E-3</v>
      </c>
      <c r="F69" s="79">
        <v>5.4035255575551402E-2</v>
      </c>
      <c r="G69" s="79">
        <v>0.379173043215143</v>
      </c>
      <c r="H69" s="80">
        <v>1</v>
      </c>
      <c r="I69" s="79">
        <v>-4.5023050258039101E-3</v>
      </c>
      <c r="J69" s="79">
        <v>9.4828855076311402E-3</v>
      </c>
      <c r="K69" s="79">
        <v>0.63496304389140101</v>
      </c>
      <c r="L69" s="79">
        <v>0.92891713666616404</v>
      </c>
      <c r="M69" s="80">
        <v>1</v>
      </c>
      <c r="N69" s="79">
        <v>-8.6018621226557606E-3</v>
      </c>
      <c r="O69" s="79">
        <v>9.4325261918160493E-3</v>
      </c>
      <c r="P69" s="79">
        <v>0.361846111892</v>
      </c>
      <c r="Q69" s="79">
        <v>0.89794575131744403</v>
      </c>
      <c r="R69" s="80">
        <v>1</v>
      </c>
      <c r="S69" s="79">
        <v>2.52972303747223E-3</v>
      </c>
      <c r="T69" s="79">
        <v>9.4099431893535004E-3</v>
      </c>
      <c r="U69" s="79">
        <v>0.78806763232437305</v>
      </c>
      <c r="V69" s="79">
        <v>0.95192660191603795</v>
      </c>
      <c r="W69" s="80">
        <v>1</v>
      </c>
    </row>
    <row r="70" spans="2:23" x14ac:dyDescent="0.2">
      <c r="B70" s="76" t="s">
        <v>2940</v>
      </c>
      <c r="C70" s="65" t="s">
        <v>1613</v>
      </c>
      <c r="D70" s="79">
        <v>7.9024525856673104E-4</v>
      </c>
      <c r="E70" s="79">
        <v>1.31885290435537E-2</v>
      </c>
      <c r="F70" s="79">
        <v>0.95222246581646797</v>
      </c>
      <c r="G70" s="79">
        <v>0.99883470509579197</v>
      </c>
      <c r="H70" s="80">
        <v>1</v>
      </c>
      <c r="I70" s="79">
        <v>-1.7122862708804799E-2</v>
      </c>
      <c r="J70" s="79">
        <v>1.3114335422973401E-2</v>
      </c>
      <c r="K70" s="79">
        <v>0.19172964892665001</v>
      </c>
      <c r="L70" s="79">
        <v>0.76597241073350597</v>
      </c>
      <c r="M70" s="80">
        <v>1</v>
      </c>
      <c r="N70" s="79">
        <v>-6.63585638337381E-3</v>
      </c>
      <c r="O70" s="79">
        <v>1.30534038275634E-2</v>
      </c>
      <c r="P70" s="79">
        <v>0.61122217420307901</v>
      </c>
      <c r="Q70" s="79">
        <v>0.91066196655305898</v>
      </c>
      <c r="R70" s="80">
        <v>1</v>
      </c>
      <c r="S70" s="79">
        <v>9.0450548409057102E-4</v>
      </c>
      <c r="T70" s="79">
        <v>1.3024074508843599E-2</v>
      </c>
      <c r="U70" s="79">
        <v>0.94463525297361695</v>
      </c>
      <c r="V70" s="79">
        <v>0.96670493255413903</v>
      </c>
      <c r="W70" s="80">
        <v>1</v>
      </c>
    </row>
    <row r="71" spans="2:23" x14ac:dyDescent="0.2">
      <c r="B71" s="76" t="s">
        <v>2941</v>
      </c>
      <c r="C71" s="65" t="s">
        <v>1681</v>
      </c>
      <c r="D71" s="79">
        <v>1.41507983071578E-2</v>
      </c>
      <c r="E71" s="79">
        <v>1.3424212041848099E-2</v>
      </c>
      <c r="F71" s="79">
        <v>0.29187686237056498</v>
      </c>
      <c r="G71" s="79">
        <v>0.76337025543071002</v>
      </c>
      <c r="H71" s="80">
        <v>1</v>
      </c>
      <c r="I71" s="79">
        <v>-1.6790558939877499E-2</v>
      </c>
      <c r="J71" s="79">
        <v>1.33538432615075E-2</v>
      </c>
      <c r="K71" s="79">
        <v>0.20868359897139099</v>
      </c>
      <c r="L71" s="79">
        <v>0.76597241073350597</v>
      </c>
      <c r="M71" s="80">
        <v>1</v>
      </c>
      <c r="N71" s="79">
        <v>-1.3920216311503799E-2</v>
      </c>
      <c r="O71" s="79">
        <v>1.3289760986656201E-2</v>
      </c>
      <c r="P71" s="79">
        <v>0.29494799305624703</v>
      </c>
      <c r="Q71" s="79">
        <v>0.89788798608171705</v>
      </c>
      <c r="R71" s="80">
        <v>1</v>
      </c>
      <c r="S71" s="79">
        <v>1.23723448888834E-2</v>
      </c>
      <c r="T71" s="79">
        <v>1.32574301607818E-2</v>
      </c>
      <c r="U71" s="79">
        <v>0.35074210639985398</v>
      </c>
      <c r="V71" s="79">
        <v>0.87264788175569097</v>
      </c>
      <c r="W71" s="80">
        <v>1</v>
      </c>
    </row>
    <row r="72" spans="2:23" x14ac:dyDescent="0.2">
      <c r="B72" s="76" t="s">
        <v>2942</v>
      </c>
      <c r="C72" s="65" t="s">
        <v>1615</v>
      </c>
      <c r="D72" s="79">
        <v>2.8828481646745702E-2</v>
      </c>
      <c r="E72" s="79">
        <v>1.24760511267874E-2</v>
      </c>
      <c r="F72" s="79">
        <v>2.0890250430833299E-2</v>
      </c>
      <c r="G72" s="79">
        <v>0.23675617154944401</v>
      </c>
      <c r="H72" s="80">
        <v>1</v>
      </c>
      <c r="I72" s="79">
        <v>-6.17551008385849E-3</v>
      </c>
      <c r="J72" s="79">
        <v>1.24165847588159E-2</v>
      </c>
      <c r="K72" s="79">
        <v>0.61895776701029903</v>
      </c>
      <c r="L72" s="79">
        <v>0.92891713666616404</v>
      </c>
      <c r="M72" s="80">
        <v>1</v>
      </c>
      <c r="N72" s="79">
        <v>-2.4853272762299702E-3</v>
      </c>
      <c r="O72" s="79">
        <v>1.23567460423383E-2</v>
      </c>
      <c r="P72" s="79">
        <v>0.84060430569904199</v>
      </c>
      <c r="Q72" s="79">
        <v>0.95268487979224703</v>
      </c>
      <c r="R72" s="80">
        <v>1</v>
      </c>
      <c r="S72" s="79">
        <v>1.6137294640109299E-2</v>
      </c>
      <c r="T72" s="79">
        <v>1.23261100321733E-2</v>
      </c>
      <c r="U72" s="79">
        <v>0.19052903865925699</v>
      </c>
      <c r="V72" s="79">
        <v>0.87264788175569097</v>
      </c>
      <c r="W72" s="80">
        <v>1</v>
      </c>
    </row>
    <row r="73" spans="2:23" x14ac:dyDescent="0.2">
      <c r="B73" s="77" t="s">
        <v>2943</v>
      </c>
      <c r="C73" s="66" t="s">
        <v>1683</v>
      </c>
      <c r="D73" s="86">
        <v>3.3071873758698099E-2</v>
      </c>
      <c r="E73" s="86">
        <v>1.2287170182453899E-2</v>
      </c>
      <c r="F73" s="86">
        <v>7.1351819771354203E-3</v>
      </c>
      <c r="G73" s="86">
        <v>0.161730791481736</v>
      </c>
      <c r="H73" s="87">
        <v>0.48519237444520802</v>
      </c>
      <c r="I73" s="86">
        <v>-1.35968106123464E-2</v>
      </c>
      <c r="J73" s="86">
        <v>1.22321649723255E-2</v>
      </c>
      <c r="K73" s="86">
        <v>0.26638034322403698</v>
      </c>
      <c r="L73" s="86">
        <v>0.78755927561889105</v>
      </c>
      <c r="M73" s="87">
        <v>1</v>
      </c>
      <c r="N73" s="86">
        <v>-5.2302461054554604E-3</v>
      </c>
      <c r="O73" s="86">
        <v>1.21723997418345E-2</v>
      </c>
      <c r="P73" s="86">
        <v>0.66744640501598196</v>
      </c>
      <c r="Q73" s="86">
        <v>0.92625215389973004</v>
      </c>
      <c r="R73" s="87">
        <v>1</v>
      </c>
      <c r="S73" s="86">
        <v>4.5677600235943302E-3</v>
      </c>
      <c r="T73" s="86">
        <v>1.21430929084565E-2</v>
      </c>
      <c r="U73" s="86">
        <v>0.70681304434757797</v>
      </c>
      <c r="V73" s="86">
        <v>0.95064437038083005</v>
      </c>
      <c r="W73" s="87">
        <v>1</v>
      </c>
    </row>
    <row r="74" spans="2:23" ht="16" customHeight="1" x14ac:dyDescent="0.2">
      <c r="B74" t="s">
        <v>2003</v>
      </c>
      <c r="D74" s="59"/>
      <c r="E74" s="59"/>
      <c r="F74" s="59"/>
      <c r="G74" s="59"/>
      <c r="H74" s="59"/>
      <c r="I74" s="59"/>
      <c r="J74" s="59"/>
      <c r="K74" s="59"/>
      <c r="L74" s="59"/>
      <c r="M74" s="59"/>
      <c r="N74" s="59"/>
      <c r="O74" s="59"/>
      <c r="P74" s="59"/>
      <c r="Q74" s="59"/>
      <c r="R74" s="59"/>
      <c r="S74" s="59"/>
      <c r="T74" s="59"/>
      <c r="U74" s="59"/>
      <c r="V74" s="59"/>
      <c r="W74" s="59"/>
    </row>
    <row r="75" spans="2:23" x14ac:dyDescent="0.2">
      <c r="C75" s="59"/>
      <c r="D75" s="59"/>
      <c r="E75" s="59"/>
      <c r="F75" s="59"/>
      <c r="G75" s="59"/>
      <c r="H75" s="59"/>
      <c r="I75" s="59"/>
      <c r="J75" s="59"/>
      <c r="K75" s="59"/>
      <c r="L75" s="59"/>
      <c r="M75" s="59"/>
      <c r="N75" s="59"/>
      <c r="O75" s="59"/>
      <c r="P75" s="59"/>
      <c r="Q75" s="59"/>
      <c r="R75" s="59"/>
      <c r="S75" s="59"/>
      <c r="T75" s="59"/>
      <c r="U75" s="59"/>
      <c r="V75" s="59"/>
      <c r="W75" s="59"/>
    </row>
    <row r="76" spans="2:23" x14ac:dyDescent="0.2">
      <c r="C76" s="59"/>
      <c r="D76" s="59"/>
      <c r="E76" s="59"/>
      <c r="F76" s="59"/>
      <c r="G76" s="59"/>
      <c r="H76" s="59"/>
      <c r="I76" s="59"/>
      <c r="J76" s="59"/>
      <c r="K76" s="59"/>
      <c r="L76" s="59"/>
      <c r="M76" s="59"/>
      <c r="N76" s="59"/>
      <c r="O76" s="59"/>
      <c r="P76" s="59"/>
      <c r="Q76" s="59"/>
      <c r="R76" s="59"/>
      <c r="S76" s="59"/>
      <c r="T76" s="59"/>
      <c r="U76" s="59"/>
      <c r="V76" s="59"/>
      <c r="W76" s="59"/>
    </row>
    <row r="77" spans="2:23" x14ac:dyDescent="0.2">
      <c r="C77" s="23"/>
    </row>
    <row r="78" spans="2:23" x14ac:dyDescent="0.2">
      <c r="C78" s="23"/>
    </row>
    <row r="79" spans="2:23" x14ac:dyDescent="0.2">
      <c r="C79" s="23"/>
    </row>
    <row r="80" spans="2:23" x14ac:dyDescent="0.2">
      <c r="C80" s="23"/>
    </row>
    <row r="81" spans="3:3" x14ac:dyDescent="0.2">
      <c r="C81" s="23"/>
    </row>
    <row r="82" spans="3:3" x14ac:dyDescent="0.2">
      <c r="C82" s="23"/>
    </row>
    <row r="83" spans="3:3" x14ac:dyDescent="0.2">
      <c r="C83" s="23"/>
    </row>
    <row r="84" spans="3:3" x14ac:dyDescent="0.2">
      <c r="C84" s="23"/>
    </row>
  </sheetData>
  <sortState xmlns:xlrd2="http://schemas.microsoft.com/office/spreadsheetml/2017/richdata2" ref="C6:W73">
    <sortCondition ref="C6:C73"/>
  </sortState>
  <mergeCells count="4">
    <mergeCell ref="S4:W4"/>
    <mergeCell ref="D4:H4"/>
    <mergeCell ref="I4:M4"/>
    <mergeCell ref="N4:R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DADFB-48A5-654A-A99E-D314ADB6C89B}">
  <dimension ref="B2:W84"/>
  <sheetViews>
    <sheetView showGridLines="0" workbookViewId="0">
      <selection activeCell="P28" sqref="P28"/>
    </sheetView>
  </sheetViews>
  <sheetFormatPr baseColWidth="10" defaultRowHeight="16" x14ac:dyDescent="0.2"/>
  <cols>
    <col min="2" max="2" width="32.5" customWidth="1"/>
    <col min="3" max="3" width="23.83203125" customWidth="1"/>
    <col min="8" max="8" width="13.1640625" customWidth="1"/>
  </cols>
  <sheetData>
    <row r="2" spans="2:23" x14ac:dyDescent="0.2">
      <c r="B2" s="51" t="s">
        <v>8528</v>
      </c>
    </row>
    <row r="3" spans="2:23" x14ac:dyDescent="0.2">
      <c r="C3" s="51"/>
    </row>
    <row r="4" spans="2:23" x14ac:dyDescent="0.2">
      <c r="D4" s="145" t="s">
        <v>79</v>
      </c>
      <c r="E4" s="145"/>
      <c r="F4" s="145"/>
      <c r="G4" s="145"/>
      <c r="H4" s="145"/>
      <c r="I4" s="145" t="s">
        <v>763</v>
      </c>
      <c r="J4" s="145"/>
      <c r="K4" s="145"/>
      <c r="L4" s="145"/>
      <c r="M4" s="145"/>
      <c r="N4" s="145" t="s">
        <v>764</v>
      </c>
      <c r="O4" s="145"/>
      <c r="P4" s="145"/>
      <c r="Q4" s="145"/>
      <c r="R4" s="145"/>
      <c r="S4" s="145" t="s">
        <v>765</v>
      </c>
      <c r="T4" s="145"/>
      <c r="U4" s="145"/>
      <c r="V4" s="145"/>
      <c r="W4" s="145"/>
    </row>
    <row r="5" spans="2:23" x14ac:dyDescent="0.2">
      <c r="B5" s="66" t="s">
        <v>2875</v>
      </c>
      <c r="C5" s="66" t="s">
        <v>2857</v>
      </c>
      <c r="D5" s="21" t="s">
        <v>81</v>
      </c>
      <c r="E5" s="21" t="s">
        <v>82</v>
      </c>
      <c r="F5" s="21" t="s">
        <v>83</v>
      </c>
      <c r="G5" s="21" t="s">
        <v>761</v>
      </c>
      <c r="H5" s="22" t="s">
        <v>762</v>
      </c>
      <c r="I5" s="21" t="s">
        <v>81</v>
      </c>
      <c r="J5" s="21" t="s">
        <v>82</v>
      </c>
      <c r="K5" s="21" t="s">
        <v>83</v>
      </c>
      <c r="L5" s="21" t="s">
        <v>761</v>
      </c>
      <c r="M5" s="22" t="s">
        <v>762</v>
      </c>
      <c r="N5" s="21" t="s">
        <v>81</v>
      </c>
      <c r="O5" s="21" t="s">
        <v>82</v>
      </c>
      <c r="P5" s="21" t="s">
        <v>83</v>
      </c>
      <c r="Q5" s="21" t="s">
        <v>761</v>
      </c>
      <c r="R5" s="22" t="s">
        <v>762</v>
      </c>
      <c r="S5" s="21" t="s">
        <v>81</v>
      </c>
      <c r="T5" s="21" t="s">
        <v>82</v>
      </c>
      <c r="U5" s="21" t="s">
        <v>83</v>
      </c>
      <c r="V5" s="21" t="s">
        <v>761</v>
      </c>
      <c r="W5" s="22" t="s">
        <v>762</v>
      </c>
    </row>
    <row r="6" spans="2:23" x14ac:dyDescent="0.2">
      <c r="B6" s="65" t="s">
        <v>2876</v>
      </c>
      <c r="C6" s="65" t="s">
        <v>2004</v>
      </c>
      <c r="D6" s="79">
        <v>-1.9881230313194099E-2</v>
      </c>
      <c r="E6" s="79">
        <v>1.22747766080661E-2</v>
      </c>
      <c r="F6" s="79">
        <v>0.10536507021967</v>
      </c>
      <c r="G6" s="79">
        <v>0.39804582082986401</v>
      </c>
      <c r="H6" s="80">
        <v>1</v>
      </c>
      <c r="I6" s="79">
        <v>-3.1068510993015599E-3</v>
      </c>
      <c r="J6" s="79">
        <v>1.2212572066423901E-2</v>
      </c>
      <c r="K6" s="79">
        <v>0.79919906219666803</v>
      </c>
      <c r="L6" s="79">
        <v>0.97767884738388999</v>
      </c>
      <c r="M6" s="80">
        <v>1</v>
      </c>
      <c r="N6" s="79">
        <v>-3.2832139491820699E-3</v>
      </c>
      <c r="O6" s="79">
        <v>1.21462377804909E-2</v>
      </c>
      <c r="P6" s="79">
        <v>0.786935437962207</v>
      </c>
      <c r="Q6" s="79">
        <v>0.97247377473973196</v>
      </c>
      <c r="R6" s="80">
        <v>1</v>
      </c>
      <c r="S6" s="79">
        <v>9.1948837525731297E-3</v>
      </c>
      <c r="T6" s="79">
        <v>1.21225755772967E-2</v>
      </c>
      <c r="U6" s="79">
        <v>0.44819264175547402</v>
      </c>
      <c r="V6" s="79">
        <v>0.94242446439522198</v>
      </c>
      <c r="W6" s="80">
        <v>1</v>
      </c>
    </row>
    <row r="7" spans="2:23" x14ac:dyDescent="0.2">
      <c r="B7" s="65" t="s">
        <v>2877</v>
      </c>
      <c r="C7" s="65" t="s">
        <v>2038</v>
      </c>
      <c r="D7" s="79">
        <v>-1.2767910012485E-2</v>
      </c>
      <c r="E7" s="79">
        <v>1.1575215710085201E-2</v>
      </c>
      <c r="F7" s="79">
        <v>0.27006497385001699</v>
      </c>
      <c r="G7" s="79">
        <v>0.70624030976381802</v>
      </c>
      <c r="H7" s="80">
        <v>1</v>
      </c>
      <c r="I7" s="79">
        <v>-2.3186636796249799E-3</v>
      </c>
      <c r="J7" s="79">
        <v>1.1511699126389901E-2</v>
      </c>
      <c r="K7" s="79">
        <v>0.84038023830785702</v>
      </c>
      <c r="L7" s="79">
        <v>0.97767884738388999</v>
      </c>
      <c r="M7" s="80">
        <v>1</v>
      </c>
      <c r="N7" s="79">
        <v>-4.63369767367701E-3</v>
      </c>
      <c r="O7" s="79">
        <v>1.1449788058961199E-2</v>
      </c>
      <c r="P7" s="79">
        <v>0.68571791685476102</v>
      </c>
      <c r="Q7" s="79">
        <v>0.97247377473973196</v>
      </c>
      <c r="R7" s="80">
        <v>1</v>
      </c>
      <c r="S7" s="79">
        <v>8.5361859898145792E-3</v>
      </c>
      <c r="T7" s="79">
        <v>1.1429174700466199E-2</v>
      </c>
      <c r="U7" s="79">
        <v>0.45517400778912498</v>
      </c>
      <c r="V7" s="79">
        <v>0.94242446439522198</v>
      </c>
      <c r="W7" s="80">
        <v>1</v>
      </c>
    </row>
    <row r="8" spans="2:23" x14ac:dyDescent="0.2">
      <c r="B8" s="65" t="s">
        <v>2878</v>
      </c>
      <c r="C8" s="65" t="s">
        <v>2005</v>
      </c>
      <c r="D8" s="79">
        <v>2.1130363565362401E-4</v>
      </c>
      <c r="E8" s="79">
        <v>1.21726455638524E-2</v>
      </c>
      <c r="F8" s="79">
        <v>0.98615100558531099</v>
      </c>
      <c r="G8" s="79">
        <v>0.988439879245538</v>
      </c>
      <c r="H8" s="80">
        <v>1</v>
      </c>
      <c r="I8" s="79">
        <v>5.6272477584285103E-3</v>
      </c>
      <c r="J8" s="79">
        <v>1.21051459100805E-2</v>
      </c>
      <c r="K8" s="79">
        <v>0.64204947057783002</v>
      </c>
      <c r="L8" s="79">
        <v>0.97767884738388999</v>
      </c>
      <c r="M8" s="80">
        <v>1</v>
      </c>
      <c r="N8" s="79">
        <v>1.3020482292345301E-2</v>
      </c>
      <c r="O8" s="79">
        <v>1.2036535525950701E-2</v>
      </c>
      <c r="P8" s="79">
        <v>0.27941810175425502</v>
      </c>
      <c r="Q8" s="79">
        <v>0.80266324849874604</v>
      </c>
      <c r="R8" s="80">
        <v>1</v>
      </c>
      <c r="S8" s="79">
        <v>1.56052659278409E-2</v>
      </c>
      <c r="T8" s="79">
        <v>1.20155799317598E-2</v>
      </c>
      <c r="U8" s="79">
        <v>0.19408951733884999</v>
      </c>
      <c r="V8" s="79">
        <v>0.83347159986836805</v>
      </c>
      <c r="W8" s="80">
        <v>1</v>
      </c>
    </row>
    <row r="9" spans="2:23" x14ac:dyDescent="0.2">
      <c r="B9" s="65" t="s">
        <v>2879</v>
      </c>
      <c r="C9" s="65" t="s">
        <v>2039</v>
      </c>
      <c r="D9" s="79">
        <v>-9.5194710661703399E-3</v>
      </c>
      <c r="E9" s="79">
        <v>1.25342140703754E-2</v>
      </c>
      <c r="F9" s="79">
        <v>0.44760318045657299</v>
      </c>
      <c r="G9" s="79">
        <v>0.80097411239597205</v>
      </c>
      <c r="H9" s="80">
        <v>1</v>
      </c>
      <c r="I9" s="79">
        <v>-9.9329235046670709E-4</v>
      </c>
      <c r="J9" s="79">
        <v>1.2461709673643399E-2</v>
      </c>
      <c r="K9" s="79">
        <v>0.93647319486665404</v>
      </c>
      <c r="L9" s="79">
        <v>0.97969503462973095</v>
      </c>
      <c r="M9" s="80">
        <v>1</v>
      </c>
      <c r="N9" s="79">
        <v>-6.7868119866261404E-3</v>
      </c>
      <c r="O9" s="79">
        <v>1.23952025426525E-2</v>
      </c>
      <c r="P9" s="79">
        <v>0.58403638891501597</v>
      </c>
      <c r="Q9" s="79">
        <v>0.97247377473973196</v>
      </c>
      <c r="R9" s="80">
        <v>1</v>
      </c>
      <c r="S9" s="79">
        <v>6.4298727063534797E-3</v>
      </c>
      <c r="T9" s="79">
        <v>1.23756262074652E-2</v>
      </c>
      <c r="U9" s="79">
        <v>0.60339451889821905</v>
      </c>
      <c r="V9" s="79">
        <v>0.94242446439522198</v>
      </c>
      <c r="W9" s="80">
        <v>1</v>
      </c>
    </row>
    <row r="10" spans="2:23" x14ac:dyDescent="0.2">
      <c r="B10" s="65" t="s">
        <v>2880</v>
      </c>
      <c r="C10" s="65" t="s">
        <v>2006</v>
      </c>
      <c r="D10" s="79">
        <v>6.4949517005522799E-3</v>
      </c>
      <c r="E10" s="79">
        <v>1.07243090059281E-2</v>
      </c>
      <c r="F10" s="79">
        <v>0.54478929603061899</v>
      </c>
      <c r="G10" s="79">
        <v>0.81985312202372695</v>
      </c>
      <c r="H10" s="80">
        <v>1</v>
      </c>
      <c r="I10" s="79">
        <v>7.8322634092247104E-3</v>
      </c>
      <c r="J10" s="79">
        <v>1.06634729743109E-2</v>
      </c>
      <c r="K10" s="79">
        <v>0.46268292478393802</v>
      </c>
      <c r="L10" s="79">
        <v>0.97767884738388999</v>
      </c>
      <c r="M10" s="80">
        <v>1</v>
      </c>
      <c r="N10" s="79">
        <v>-9.7025092315973192E-3</v>
      </c>
      <c r="O10" s="79">
        <v>1.06062718781727E-2</v>
      </c>
      <c r="P10" s="79">
        <v>0.36034724772431198</v>
      </c>
      <c r="Q10" s="79">
        <v>0.81678709484177303</v>
      </c>
      <c r="R10" s="80">
        <v>1</v>
      </c>
      <c r="S10" s="79">
        <v>1.12220209618848E-2</v>
      </c>
      <c r="T10" s="79">
        <v>1.05873200009204E-2</v>
      </c>
      <c r="U10" s="79">
        <v>0.28922008353087703</v>
      </c>
      <c r="V10" s="79">
        <v>0.94242446439522198</v>
      </c>
      <c r="W10" s="80">
        <v>1</v>
      </c>
    </row>
    <row r="11" spans="2:23" x14ac:dyDescent="0.2">
      <c r="B11" s="65" t="s">
        <v>2881</v>
      </c>
      <c r="C11" s="65" t="s">
        <v>2040</v>
      </c>
      <c r="D11" s="79">
        <v>6.4307745666798604E-3</v>
      </c>
      <c r="E11" s="79">
        <v>1.0850047687163E-2</v>
      </c>
      <c r="F11" s="79">
        <v>0.55341204784624298</v>
      </c>
      <c r="G11" s="79">
        <v>0.81985312202372695</v>
      </c>
      <c r="H11" s="80">
        <v>1</v>
      </c>
      <c r="I11" s="79">
        <v>1.39691937712026E-2</v>
      </c>
      <c r="J11" s="79">
        <v>1.0790019936177399E-2</v>
      </c>
      <c r="K11" s="79">
        <v>0.19550536584051101</v>
      </c>
      <c r="L11" s="79">
        <v>0.97767884738388999</v>
      </c>
      <c r="M11" s="80">
        <v>1</v>
      </c>
      <c r="N11" s="79">
        <v>1.13805835607576E-2</v>
      </c>
      <c r="O11" s="79">
        <v>1.07315819362992E-2</v>
      </c>
      <c r="P11" s="79">
        <v>0.28898003751358198</v>
      </c>
      <c r="Q11" s="79">
        <v>0.80266324849874604</v>
      </c>
      <c r="R11" s="80">
        <v>1</v>
      </c>
      <c r="S11" s="79">
        <v>2.2479909743938899E-2</v>
      </c>
      <c r="T11" s="79">
        <v>1.0708803523839501E-2</v>
      </c>
      <c r="U11" s="79">
        <v>3.5849921633920999E-2</v>
      </c>
      <c r="V11" s="79">
        <v>0.348256381586661</v>
      </c>
      <c r="W11" s="80">
        <v>1</v>
      </c>
    </row>
    <row r="12" spans="2:23" x14ac:dyDescent="0.2">
      <c r="B12" s="65" t="s">
        <v>2882</v>
      </c>
      <c r="C12" s="65" t="s">
        <v>2007</v>
      </c>
      <c r="D12" s="79">
        <v>-7.1506629832917903E-3</v>
      </c>
      <c r="E12" s="79">
        <v>1.21010708975847E-2</v>
      </c>
      <c r="F12" s="79">
        <v>0.55460652372193298</v>
      </c>
      <c r="G12" s="79">
        <v>0.81985312202372695</v>
      </c>
      <c r="H12" s="80">
        <v>1</v>
      </c>
      <c r="I12" s="79">
        <v>-1.6944227769226999E-3</v>
      </c>
      <c r="J12" s="79">
        <v>1.20402309398104E-2</v>
      </c>
      <c r="K12" s="79">
        <v>0.88808891977323001</v>
      </c>
      <c r="L12" s="79">
        <v>0.97767884738388999</v>
      </c>
      <c r="M12" s="80">
        <v>1</v>
      </c>
      <c r="N12" s="79">
        <v>-8.9407763276918596E-4</v>
      </c>
      <c r="O12" s="79">
        <v>1.1970936840869599E-2</v>
      </c>
      <c r="P12" s="79">
        <v>0.940466473802961</v>
      </c>
      <c r="Q12" s="79">
        <v>0.97247377473973196</v>
      </c>
      <c r="R12" s="80">
        <v>1</v>
      </c>
      <c r="S12" s="79">
        <v>2.5673929870660101E-2</v>
      </c>
      <c r="T12" s="79">
        <v>1.19408521490571E-2</v>
      </c>
      <c r="U12" s="79">
        <v>3.1596039564588001E-2</v>
      </c>
      <c r="V12" s="79">
        <v>0.348256381586661</v>
      </c>
      <c r="W12" s="80">
        <v>1</v>
      </c>
    </row>
    <row r="13" spans="2:23" x14ac:dyDescent="0.2">
      <c r="B13" s="65" t="s">
        <v>2883</v>
      </c>
      <c r="C13" s="65" t="s">
        <v>2041</v>
      </c>
      <c r="D13" s="79">
        <v>1.591811452963E-2</v>
      </c>
      <c r="E13" s="79">
        <v>1.16533254437631E-2</v>
      </c>
      <c r="F13" s="79">
        <v>0.17201034166864199</v>
      </c>
      <c r="G13" s="79">
        <v>0.556985868260366</v>
      </c>
      <c r="H13" s="80">
        <v>1</v>
      </c>
      <c r="I13" s="79">
        <v>2.4774268196027301E-2</v>
      </c>
      <c r="J13" s="79">
        <v>1.1585637430840101E-2</v>
      </c>
      <c r="K13" s="79">
        <v>3.2537221474660302E-2</v>
      </c>
      <c r="L13" s="79">
        <v>0.89940248944036705</v>
      </c>
      <c r="M13" s="80">
        <v>1</v>
      </c>
      <c r="N13" s="79">
        <v>8.0904334027852593E-3</v>
      </c>
      <c r="O13" s="79">
        <v>1.1526134587981501E-2</v>
      </c>
      <c r="P13" s="79">
        <v>0.482761921124715</v>
      </c>
      <c r="Q13" s="79">
        <v>0.97247377473973196</v>
      </c>
      <c r="R13" s="80">
        <v>1</v>
      </c>
      <c r="S13" s="79">
        <v>3.4321538274561497E-2</v>
      </c>
      <c r="T13" s="79">
        <v>1.14959942739395E-2</v>
      </c>
      <c r="U13" s="79">
        <v>2.8449232096484098E-3</v>
      </c>
      <c r="V13" s="79">
        <v>9.6727389128046001E-2</v>
      </c>
      <c r="W13" s="80">
        <v>0.193454778256092</v>
      </c>
    </row>
    <row r="14" spans="2:23" x14ac:dyDescent="0.2">
      <c r="B14" s="65" t="s">
        <v>2884</v>
      </c>
      <c r="C14" s="65" t="s">
        <v>2008</v>
      </c>
      <c r="D14" s="79">
        <v>-2.84171922433793E-2</v>
      </c>
      <c r="E14" s="79">
        <v>1.27972826754755E-2</v>
      </c>
      <c r="F14" s="79">
        <v>2.6426655879787299E-2</v>
      </c>
      <c r="G14" s="79">
        <v>0.207916449726983</v>
      </c>
      <c r="H14" s="80">
        <v>1</v>
      </c>
      <c r="I14" s="79">
        <v>4.2240344629564298E-4</v>
      </c>
      <c r="J14" s="79">
        <v>1.2730081376406899E-2</v>
      </c>
      <c r="K14" s="79">
        <v>0.97353122163252903</v>
      </c>
      <c r="L14" s="79">
        <v>0.98544470022053299</v>
      </c>
      <c r="M14" s="80">
        <v>1</v>
      </c>
      <c r="N14" s="79">
        <v>-6.4865622496451201E-3</v>
      </c>
      <c r="O14" s="79">
        <v>1.26624795522526E-2</v>
      </c>
      <c r="P14" s="79">
        <v>0.60848812558787602</v>
      </c>
      <c r="Q14" s="79">
        <v>0.97247377473973196</v>
      </c>
      <c r="R14" s="80">
        <v>1</v>
      </c>
      <c r="S14" s="79">
        <v>6.6021128796096397E-3</v>
      </c>
      <c r="T14" s="79">
        <v>1.2641481041398299E-2</v>
      </c>
      <c r="U14" s="79">
        <v>0.60151474093065604</v>
      </c>
      <c r="V14" s="79">
        <v>0.94242446439522198</v>
      </c>
      <c r="W14" s="80">
        <v>1</v>
      </c>
    </row>
    <row r="15" spans="2:23" x14ac:dyDescent="0.2">
      <c r="B15" s="65" t="s">
        <v>2885</v>
      </c>
      <c r="C15" s="65" t="s">
        <v>2042</v>
      </c>
      <c r="D15" s="79">
        <v>-2.4321298013018001E-2</v>
      </c>
      <c r="E15" s="79">
        <v>1.3157049272086699E-2</v>
      </c>
      <c r="F15" s="79">
        <v>6.4585066503887997E-2</v>
      </c>
      <c r="G15" s="79">
        <v>0.33782957863572199</v>
      </c>
      <c r="H15" s="80">
        <v>1</v>
      </c>
      <c r="I15" s="79">
        <v>-1.8046506423364601E-2</v>
      </c>
      <c r="J15" s="79">
        <v>1.3081885146098499E-2</v>
      </c>
      <c r="K15" s="79">
        <v>0.167803428922251</v>
      </c>
      <c r="L15" s="79">
        <v>0.97767884738388999</v>
      </c>
      <c r="M15" s="80">
        <v>1</v>
      </c>
      <c r="N15" s="79">
        <v>-3.32942111658221E-3</v>
      </c>
      <c r="O15" s="79">
        <v>1.3016156915914401E-2</v>
      </c>
      <c r="P15" s="79">
        <v>0.798122732657644</v>
      </c>
      <c r="Q15" s="79">
        <v>0.97247377473973196</v>
      </c>
      <c r="R15" s="80">
        <v>1</v>
      </c>
      <c r="S15" s="79">
        <v>-8.4450073862679907E-3</v>
      </c>
      <c r="T15" s="79">
        <v>1.29940011949327E-2</v>
      </c>
      <c r="U15" s="79">
        <v>0.51577717372487497</v>
      </c>
      <c r="V15" s="79">
        <v>0.94242446439522198</v>
      </c>
      <c r="W15" s="80">
        <v>1</v>
      </c>
    </row>
    <row r="16" spans="2:23" x14ac:dyDescent="0.2">
      <c r="B16" s="65" t="s">
        <v>2886</v>
      </c>
      <c r="C16" s="65" t="s">
        <v>2034</v>
      </c>
      <c r="D16" s="79">
        <v>-1.2054842683034901E-2</v>
      </c>
      <c r="E16" s="79">
        <v>1.2807041802445599E-2</v>
      </c>
      <c r="F16" s="79">
        <v>0.34661585737586198</v>
      </c>
      <c r="G16" s="79">
        <v>0.70624030976381802</v>
      </c>
      <c r="H16" s="80">
        <v>1</v>
      </c>
      <c r="I16" s="79">
        <v>1.5179261965168601E-2</v>
      </c>
      <c r="J16" s="79">
        <v>1.2729147591186599E-2</v>
      </c>
      <c r="K16" s="79">
        <v>0.233133034410381</v>
      </c>
      <c r="L16" s="79">
        <v>0.97767884738388999</v>
      </c>
      <c r="M16" s="80">
        <v>1</v>
      </c>
      <c r="N16" s="79">
        <v>-1.75715320530343E-2</v>
      </c>
      <c r="O16" s="79">
        <v>1.2665382052646E-2</v>
      </c>
      <c r="P16" s="79">
        <v>0.165395179815812</v>
      </c>
      <c r="Q16" s="79">
        <v>0.80266324849874604</v>
      </c>
      <c r="R16" s="80">
        <v>1</v>
      </c>
      <c r="S16" s="79">
        <v>-5.90764892838471E-3</v>
      </c>
      <c r="T16" s="79">
        <v>1.2646065483969E-2</v>
      </c>
      <c r="U16" s="79">
        <v>0.64041169514828999</v>
      </c>
      <c r="V16" s="79">
        <v>0.94242446439522198</v>
      </c>
      <c r="W16" s="80">
        <v>1</v>
      </c>
    </row>
    <row r="17" spans="2:23" x14ac:dyDescent="0.2">
      <c r="B17" s="65" t="s">
        <v>2887</v>
      </c>
      <c r="C17" s="65" t="s">
        <v>2068</v>
      </c>
      <c r="D17" s="79">
        <v>3.27354924633323E-3</v>
      </c>
      <c r="E17" s="79">
        <v>1.22251111254949E-2</v>
      </c>
      <c r="F17" s="79">
        <v>0.78888626887167501</v>
      </c>
      <c r="G17" s="79">
        <v>0.94778250342949799</v>
      </c>
      <c r="H17" s="80">
        <v>1</v>
      </c>
      <c r="I17" s="79">
        <v>2.2065113566492301E-3</v>
      </c>
      <c r="J17" s="79">
        <v>1.21436015684182E-2</v>
      </c>
      <c r="K17" s="79">
        <v>0.85582501888944196</v>
      </c>
      <c r="L17" s="79">
        <v>0.97767884738388999</v>
      </c>
      <c r="M17" s="80">
        <v>1</v>
      </c>
      <c r="N17" s="79">
        <v>1.2900934948940601E-2</v>
      </c>
      <c r="O17" s="79">
        <v>1.2084366326832E-2</v>
      </c>
      <c r="P17" s="79">
        <v>0.28576956206688198</v>
      </c>
      <c r="Q17" s="79">
        <v>0.80266324849874604</v>
      </c>
      <c r="R17" s="80">
        <v>1</v>
      </c>
      <c r="S17" s="79">
        <v>-1.15168555440905E-2</v>
      </c>
      <c r="T17" s="79">
        <v>1.20690734418169E-2</v>
      </c>
      <c r="U17" s="79">
        <v>0.34000922872376999</v>
      </c>
      <c r="V17" s="79">
        <v>0.94242446439522198</v>
      </c>
      <c r="W17" s="80">
        <v>1</v>
      </c>
    </row>
    <row r="18" spans="2:23" x14ac:dyDescent="0.2">
      <c r="B18" s="65" t="s">
        <v>2888</v>
      </c>
      <c r="C18" s="65" t="s">
        <v>2009</v>
      </c>
      <c r="D18" s="79">
        <v>2.7105453184341199E-4</v>
      </c>
      <c r="E18" s="79">
        <v>1.00985166786125E-2</v>
      </c>
      <c r="F18" s="79">
        <v>0.97858761939856098</v>
      </c>
      <c r="G18" s="79">
        <v>0.988439879245538</v>
      </c>
      <c r="H18" s="80">
        <v>1</v>
      </c>
      <c r="I18" s="79">
        <v>-1.2568908727577601E-2</v>
      </c>
      <c r="J18" s="79">
        <v>1.00432001257527E-2</v>
      </c>
      <c r="K18" s="79">
        <v>0.210817755736455</v>
      </c>
      <c r="L18" s="79">
        <v>0.97767884738388999</v>
      </c>
      <c r="M18" s="80">
        <v>1</v>
      </c>
      <c r="N18" s="79">
        <v>-1.9225645908964101E-2</v>
      </c>
      <c r="O18" s="79">
        <v>9.9851415111116594E-3</v>
      </c>
      <c r="P18" s="79">
        <v>5.4233763401817903E-2</v>
      </c>
      <c r="Q18" s="79">
        <v>0.80266324849874604</v>
      </c>
      <c r="R18" s="80">
        <v>1</v>
      </c>
      <c r="S18" s="79">
        <v>-9.0902218336530501E-3</v>
      </c>
      <c r="T18" s="79">
        <v>9.9695650313505607E-3</v>
      </c>
      <c r="U18" s="79">
        <v>0.36192008366918998</v>
      </c>
      <c r="V18" s="79">
        <v>0.94242446439522198</v>
      </c>
      <c r="W18" s="80">
        <v>1</v>
      </c>
    </row>
    <row r="19" spans="2:23" x14ac:dyDescent="0.2">
      <c r="B19" s="65" t="s">
        <v>2889</v>
      </c>
      <c r="C19" s="65" t="s">
        <v>2043</v>
      </c>
      <c r="D19" s="79">
        <v>-1.1881952719688499E-2</v>
      </c>
      <c r="E19" s="79">
        <v>9.6932016040657196E-3</v>
      </c>
      <c r="F19" s="79">
        <v>0.220331337188229</v>
      </c>
      <c r="G19" s="79">
        <v>0.68102413312725496</v>
      </c>
      <c r="H19" s="80">
        <v>1</v>
      </c>
      <c r="I19" s="79">
        <v>-3.8096025212502002E-3</v>
      </c>
      <c r="J19" s="79">
        <v>9.6448944891642605E-3</v>
      </c>
      <c r="K19" s="79">
        <v>0.69287009458814297</v>
      </c>
      <c r="L19" s="79">
        <v>0.97767884738388999</v>
      </c>
      <c r="M19" s="80">
        <v>1</v>
      </c>
      <c r="N19" s="79">
        <v>-3.5686465402462002E-3</v>
      </c>
      <c r="O19" s="79">
        <v>9.5898621189337997E-3</v>
      </c>
      <c r="P19" s="79">
        <v>0.70981427257611196</v>
      </c>
      <c r="Q19" s="79">
        <v>0.97247377473973196</v>
      </c>
      <c r="R19" s="80">
        <v>1</v>
      </c>
      <c r="S19" s="79">
        <v>-1.5116450398224E-3</v>
      </c>
      <c r="T19" s="79">
        <v>9.5715507135168201E-3</v>
      </c>
      <c r="U19" s="79">
        <v>0.874517583439131</v>
      </c>
      <c r="V19" s="79">
        <v>0.95914831732033701</v>
      </c>
      <c r="W19" s="80">
        <v>1</v>
      </c>
    </row>
    <row r="20" spans="2:23" x14ac:dyDescent="0.2">
      <c r="B20" s="65" t="s">
        <v>2890</v>
      </c>
      <c r="C20" s="65" t="s">
        <v>2010</v>
      </c>
      <c r="D20" s="79">
        <v>-2.9603356870223901E-2</v>
      </c>
      <c r="E20" s="79">
        <v>1.02483373094557E-2</v>
      </c>
      <c r="F20" s="79">
        <v>3.8863460077430299E-3</v>
      </c>
      <c r="G20" s="79">
        <v>6.6067882131631395E-2</v>
      </c>
      <c r="H20" s="80">
        <v>0.26427152852652602</v>
      </c>
      <c r="I20" s="79">
        <v>-9.8497114150925703E-3</v>
      </c>
      <c r="J20" s="79">
        <v>1.0205322355767999E-2</v>
      </c>
      <c r="K20" s="79">
        <v>0.33451489863892497</v>
      </c>
      <c r="L20" s="79">
        <v>0.97767884738388999</v>
      </c>
      <c r="M20" s="80">
        <v>1</v>
      </c>
      <c r="N20" s="79">
        <v>5.5620017801731297E-3</v>
      </c>
      <c r="O20" s="79">
        <v>1.0146882795741699E-2</v>
      </c>
      <c r="P20" s="79">
        <v>0.583614383628697</v>
      </c>
      <c r="Q20" s="79">
        <v>0.97247377473973196</v>
      </c>
      <c r="R20" s="80">
        <v>1</v>
      </c>
      <c r="S20" s="79">
        <v>-2.16519931770907E-3</v>
      </c>
      <c r="T20" s="79">
        <v>1.01273533294155E-2</v>
      </c>
      <c r="U20" s="79">
        <v>0.83071402373262004</v>
      </c>
      <c r="V20" s="79">
        <v>0.95002577958507395</v>
      </c>
      <c r="W20" s="80">
        <v>1</v>
      </c>
    </row>
    <row r="21" spans="2:23" x14ac:dyDescent="0.2">
      <c r="B21" s="65" t="s">
        <v>2891</v>
      </c>
      <c r="C21" s="65" t="s">
        <v>2044</v>
      </c>
      <c r="D21" s="79">
        <v>-2.4351619419009301E-2</v>
      </c>
      <c r="E21" s="79">
        <v>9.6114535115759004E-3</v>
      </c>
      <c r="F21" s="79">
        <v>1.1320493091147899E-2</v>
      </c>
      <c r="G21" s="79">
        <v>0.12829892169967599</v>
      </c>
      <c r="H21" s="80">
        <v>0.76979353019805596</v>
      </c>
      <c r="I21" s="79">
        <v>-1.9025453252749101E-2</v>
      </c>
      <c r="J21" s="79">
        <v>9.5627095801772803E-3</v>
      </c>
      <c r="K21" s="79">
        <v>4.66969220315702E-2</v>
      </c>
      <c r="L21" s="79">
        <v>0.89940248944036705</v>
      </c>
      <c r="M21" s="80">
        <v>1</v>
      </c>
      <c r="N21" s="79">
        <v>1.6625243165184001E-3</v>
      </c>
      <c r="O21" s="79">
        <v>9.5138914979945397E-3</v>
      </c>
      <c r="P21" s="79">
        <v>0.861285630898182</v>
      </c>
      <c r="Q21" s="79">
        <v>0.97247377473973196</v>
      </c>
      <c r="R21" s="80">
        <v>1</v>
      </c>
      <c r="S21" s="79">
        <v>1.0390932993316599E-2</v>
      </c>
      <c r="T21" s="79">
        <v>9.4955107941822395E-3</v>
      </c>
      <c r="U21" s="79">
        <v>0.27387732026446798</v>
      </c>
      <c r="V21" s="79">
        <v>0.94242446439522198</v>
      </c>
      <c r="W21" s="80">
        <v>1</v>
      </c>
    </row>
    <row r="22" spans="2:23" x14ac:dyDescent="0.2">
      <c r="B22" s="65" t="s">
        <v>2892</v>
      </c>
      <c r="C22" s="65" t="s">
        <v>2011</v>
      </c>
      <c r="D22" s="79">
        <v>-9.7415528014316508E-3</v>
      </c>
      <c r="E22" s="79">
        <v>9.7793903537852795E-3</v>
      </c>
      <c r="F22" s="79">
        <v>0.31923566097247102</v>
      </c>
      <c r="G22" s="79">
        <v>0.70624030976381802</v>
      </c>
      <c r="H22" s="80">
        <v>1</v>
      </c>
      <c r="I22" s="79">
        <v>-1.7871588748182701E-2</v>
      </c>
      <c r="J22" s="79">
        <v>9.7237157048294699E-3</v>
      </c>
      <c r="K22" s="79">
        <v>6.6132535988262298E-2</v>
      </c>
      <c r="L22" s="79">
        <v>0.89940248944036705</v>
      </c>
      <c r="M22" s="80">
        <v>1</v>
      </c>
      <c r="N22" s="79">
        <v>3.3341998159963199E-3</v>
      </c>
      <c r="O22" s="79">
        <v>9.6737622805169194E-3</v>
      </c>
      <c r="P22" s="79">
        <v>0.73036161665936095</v>
      </c>
      <c r="Q22" s="79">
        <v>0.97247377473973196</v>
      </c>
      <c r="R22" s="80">
        <v>1</v>
      </c>
      <c r="S22" s="79">
        <v>-7.8805462502394008E-3</v>
      </c>
      <c r="T22" s="79">
        <v>9.6558377331153397E-3</v>
      </c>
      <c r="U22" s="79">
        <v>0.41445784784571099</v>
      </c>
      <c r="V22" s="79">
        <v>0.94242446439522198</v>
      </c>
      <c r="W22" s="80">
        <v>1</v>
      </c>
    </row>
    <row r="23" spans="2:23" x14ac:dyDescent="0.2">
      <c r="B23" s="65" t="s">
        <v>2893</v>
      </c>
      <c r="C23" s="65" t="s">
        <v>2045</v>
      </c>
      <c r="D23" s="79">
        <v>1.39087210035713E-4</v>
      </c>
      <c r="E23" s="79">
        <v>9.5990391804837896E-3</v>
      </c>
      <c r="F23" s="79">
        <v>0.988439879245538</v>
      </c>
      <c r="G23" s="79">
        <v>0.988439879245538</v>
      </c>
      <c r="H23" s="80">
        <v>1</v>
      </c>
      <c r="I23" s="79">
        <v>-1.28029607110915E-2</v>
      </c>
      <c r="J23" s="79">
        <v>9.5459579093121298E-3</v>
      </c>
      <c r="K23" s="79">
        <v>0.179920192655629</v>
      </c>
      <c r="L23" s="79">
        <v>0.97767884738388999</v>
      </c>
      <c r="M23" s="80">
        <v>1</v>
      </c>
      <c r="N23" s="79">
        <v>3.4680653825730299E-3</v>
      </c>
      <c r="O23" s="79">
        <v>9.4946077748710601E-3</v>
      </c>
      <c r="P23" s="79">
        <v>0.71492785027146899</v>
      </c>
      <c r="Q23" s="79">
        <v>0.97247377473973196</v>
      </c>
      <c r="R23" s="80">
        <v>1</v>
      </c>
      <c r="S23" s="79">
        <v>-4.3153698045534001E-4</v>
      </c>
      <c r="T23" s="79">
        <v>9.47719052631096E-3</v>
      </c>
      <c r="U23" s="79">
        <v>0.963683293022085</v>
      </c>
      <c r="V23" s="79">
        <v>0.99288581705305701</v>
      </c>
      <c r="W23" s="80">
        <v>1</v>
      </c>
    </row>
    <row r="24" spans="2:23" x14ac:dyDescent="0.2">
      <c r="B24" s="65" t="s">
        <v>2894</v>
      </c>
      <c r="C24" s="65" t="s">
        <v>2012</v>
      </c>
      <c r="D24" s="79">
        <v>1.0224657393821101E-2</v>
      </c>
      <c r="E24" s="79">
        <v>1.0832792167489801E-2</v>
      </c>
      <c r="F24" s="79">
        <v>0.34528627694828401</v>
      </c>
      <c r="G24" s="79">
        <v>0.70624030976381802</v>
      </c>
      <c r="H24" s="80">
        <v>1</v>
      </c>
      <c r="I24" s="79">
        <v>-1.61136191238277E-3</v>
      </c>
      <c r="J24" s="79">
        <v>1.07763480500432E-2</v>
      </c>
      <c r="K24" s="79">
        <v>0.88114342366855902</v>
      </c>
      <c r="L24" s="79">
        <v>0.97767884738388999</v>
      </c>
      <c r="M24" s="80">
        <v>1</v>
      </c>
      <c r="N24" s="79">
        <v>1.03387063888189E-2</v>
      </c>
      <c r="O24" s="79">
        <v>1.0715577080698801E-2</v>
      </c>
      <c r="P24" s="79">
        <v>0.33467721788260102</v>
      </c>
      <c r="Q24" s="79">
        <v>0.81278752914345997</v>
      </c>
      <c r="R24" s="80">
        <v>1</v>
      </c>
      <c r="S24" s="79">
        <v>-6.5899890581877802E-3</v>
      </c>
      <c r="T24" s="79">
        <v>1.06955073167594E-2</v>
      </c>
      <c r="U24" s="79">
        <v>0.53782673049100105</v>
      </c>
      <c r="V24" s="79">
        <v>0.94242446439522198</v>
      </c>
      <c r="W24" s="80">
        <v>1</v>
      </c>
    </row>
    <row r="25" spans="2:23" x14ac:dyDescent="0.2">
      <c r="B25" s="65" t="s">
        <v>2895</v>
      </c>
      <c r="C25" s="65" t="s">
        <v>2046</v>
      </c>
      <c r="D25" s="79">
        <v>1.1122927803324301E-2</v>
      </c>
      <c r="E25" s="79">
        <v>1.1362958329714901E-2</v>
      </c>
      <c r="F25" s="79">
        <v>0.32768950533645802</v>
      </c>
      <c r="G25" s="79">
        <v>0.70624030976381802</v>
      </c>
      <c r="H25" s="80">
        <v>1</v>
      </c>
      <c r="I25" s="79">
        <v>-2.7870447530265199E-3</v>
      </c>
      <c r="J25" s="79">
        <v>1.13005763064107E-2</v>
      </c>
      <c r="K25" s="79">
        <v>0.80520613120868501</v>
      </c>
      <c r="L25" s="79">
        <v>0.97767884738388999</v>
      </c>
      <c r="M25" s="80">
        <v>1</v>
      </c>
      <c r="N25" s="79">
        <v>-4.38396229362249E-3</v>
      </c>
      <c r="O25" s="79">
        <v>1.12392838085285E-2</v>
      </c>
      <c r="P25" s="79">
        <v>0.69651132107350799</v>
      </c>
      <c r="Q25" s="79">
        <v>0.97247377473973196</v>
      </c>
      <c r="R25" s="80">
        <v>1</v>
      </c>
      <c r="S25" s="79">
        <v>-3.3081652268993999E-3</v>
      </c>
      <c r="T25" s="79">
        <v>1.1219209259375799E-2</v>
      </c>
      <c r="U25" s="79">
        <v>0.76810860177061602</v>
      </c>
      <c r="V25" s="79">
        <v>0.95002577958507395</v>
      </c>
      <c r="W25" s="80">
        <v>1</v>
      </c>
    </row>
    <row r="26" spans="2:23" x14ac:dyDescent="0.2">
      <c r="B26" s="65" t="s">
        <v>2896</v>
      </c>
      <c r="C26" s="65" t="s">
        <v>2037</v>
      </c>
      <c r="D26" s="79">
        <v>1.38955908641456E-2</v>
      </c>
      <c r="E26" s="79">
        <v>9.8989917701425602E-3</v>
      </c>
      <c r="F26" s="79">
        <v>0.16045916729815199</v>
      </c>
      <c r="G26" s="79">
        <v>0.54556116881371797</v>
      </c>
      <c r="H26" s="80">
        <v>1</v>
      </c>
      <c r="I26" s="79">
        <v>9.6017221011108697E-3</v>
      </c>
      <c r="J26" s="79">
        <v>9.85015413963072E-3</v>
      </c>
      <c r="K26" s="79">
        <v>0.32971759825438901</v>
      </c>
      <c r="L26" s="79">
        <v>0.97767884738388999</v>
      </c>
      <c r="M26" s="80">
        <v>1</v>
      </c>
      <c r="N26" s="79">
        <v>-1.3619112074642801E-3</v>
      </c>
      <c r="O26" s="79">
        <v>9.7948848469217708E-3</v>
      </c>
      <c r="P26" s="79">
        <v>0.88942170549393096</v>
      </c>
      <c r="Q26" s="79">
        <v>0.97247377473973196</v>
      </c>
      <c r="R26" s="80">
        <v>1</v>
      </c>
      <c r="S26" s="79">
        <v>-2.2981273008742201E-3</v>
      </c>
      <c r="T26" s="79">
        <v>9.7752400060746106E-3</v>
      </c>
      <c r="U26" s="79">
        <v>0.81414328473382203</v>
      </c>
      <c r="V26" s="79">
        <v>0.95002577958507395</v>
      </c>
      <c r="W26" s="80">
        <v>1</v>
      </c>
    </row>
    <row r="27" spans="2:23" x14ac:dyDescent="0.2">
      <c r="B27" s="65" t="s">
        <v>2897</v>
      </c>
      <c r="C27" s="65" t="s">
        <v>2071</v>
      </c>
      <c r="D27" s="79">
        <v>2.1426986472561301E-2</v>
      </c>
      <c r="E27" s="79">
        <v>1.00831759182288E-2</v>
      </c>
      <c r="F27" s="79">
        <v>3.3633543338188403E-2</v>
      </c>
      <c r="G27" s="79">
        <v>0.207916449726983</v>
      </c>
      <c r="H27" s="80">
        <v>1</v>
      </c>
      <c r="I27" s="79">
        <v>1.48610967024941E-2</v>
      </c>
      <c r="J27" s="79">
        <v>1.0038014606582E-2</v>
      </c>
      <c r="K27" s="79">
        <v>0.138808153358322</v>
      </c>
      <c r="L27" s="79">
        <v>0.97767884738388999</v>
      </c>
      <c r="M27" s="80">
        <v>1</v>
      </c>
      <c r="N27" s="79">
        <v>1.16395363453496E-2</v>
      </c>
      <c r="O27" s="79">
        <v>9.97975859416954E-3</v>
      </c>
      <c r="P27" s="79">
        <v>0.24354291903532899</v>
      </c>
      <c r="Q27" s="79">
        <v>0.80266324849874604</v>
      </c>
      <c r="R27" s="80">
        <v>1</v>
      </c>
      <c r="S27" s="79">
        <v>1.23287389685212E-2</v>
      </c>
      <c r="T27" s="79">
        <v>9.95961034629822E-3</v>
      </c>
      <c r="U27" s="79">
        <v>0.215820998257997</v>
      </c>
      <c r="V27" s="79">
        <v>0.86328399303198999</v>
      </c>
      <c r="W27" s="80">
        <v>1</v>
      </c>
    </row>
    <row r="28" spans="2:23" x14ac:dyDescent="0.2">
      <c r="B28" s="65" t="s">
        <v>2898</v>
      </c>
      <c r="C28" s="65" t="s">
        <v>2015</v>
      </c>
      <c r="D28" s="79">
        <v>-2.5049427468333201E-2</v>
      </c>
      <c r="E28" s="79">
        <v>1.1645583222315899E-2</v>
      </c>
      <c r="F28" s="79">
        <v>3.1525190576315899E-2</v>
      </c>
      <c r="G28" s="79">
        <v>0.207916449726983</v>
      </c>
      <c r="H28" s="80">
        <v>1</v>
      </c>
      <c r="I28" s="79">
        <v>-3.3722312861470399E-3</v>
      </c>
      <c r="J28" s="79">
        <v>1.1597256926743399E-2</v>
      </c>
      <c r="K28" s="79">
        <v>0.77123289412853702</v>
      </c>
      <c r="L28" s="79">
        <v>0.97767884738388999</v>
      </c>
      <c r="M28" s="80">
        <v>1</v>
      </c>
      <c r="N28" s="79">
        <v>-7.4358964583076696E-3</v>
      </c>
      <c r="O28" s="79">
        <v>1.15263792376023E-2</v>
      </c>
      <c r="P28" s="79">
        <v>0.51887887909665098</v>
      </c>
      <c r="Q28" s="79">
        <v>0.97247377473973196</v>
      </c>
      <c r="R28" s="80">
        <v>1</v>
      </c>
      <c r="S28" s="79">
        <v>-3.0658041778216598E-3</v>
      </c>
      <c r="T28" s="79">
        <v>1.15039519590978E-2</v>
      </c>
      <c r="U28" s="79">
        <v>0.78986500750664101</v>
      </c>
      <c r="V28" s="79">
        <v>0.95002577958507395</v>
      </c>
      <c r="W28" s="80">
        <v>1</v>
      </c>
    </row>
    <row r="29" spans="2:23" x14ac:dyDescent="0.2">
      <c r="B29" s="65" t="s">
        <v>2899</v>
      </c>
      <c r="C29" s="65" t="s">
        <v>2049</v>
      </c>
      <c r="D29" s="79">
        <v>-1.2501405871316399E-2</v>
      </c>
      <c r="E29" s="79">
        <v>1.15010561107935E-2</v>
      </c>
      <c r="F29" s="79">
        <v>0.277097966434591</v>
      </c>
      <c r="G29" s="79">
        <v>0.70624030976381802</v>
      </c>
      <c r="H29" s="80">
        <v>1</v>
      </c>
      <c r="I29" s="79">
        <v>-6.9519301119659802E-3</v>
      </c>
      <c r="J29" s="79">
        <v>1.14495813791252E-2</v>
      </c>
      <c r="K29" s="79">
        <v>0.54376045259001804</v>
      </c>
      <c r="L29" s="79">
        <v>0.97767884738388999</v>
      </c>
      <c r="M29" s="80">
        <v>1</v>
      </c>
      <c r="N29" s="79">
        <v>-4.5745190028530398E-4</v>
      </c>
      <c r="O29" s="79">
        <v>1.13771532397866E-2</v>
      </c>
      <c r="P29" s="79">
        <v>0.96792893417450598</v>
      </c>
      <c r="Q29" s="79">
        <v>0.97247377473973196</v>
      </c>
      <c r="R29" s="80">
        <v>1</v>
      </c>
      <c r="S29" s="79">
        <v>-1.7967058824100601E-2</v>
      </c>
      <c r="T29" s="79">
        <v>1.13527480252886E-2</v>
      </c>
      <c r="U29" s="79">
        <v>0.113571210410394</v>
      </c>
      <c r="V29" s="79">
        <v>0.70042854116777598</v>
      </c>
      <c r="W29" s="80">
        <v>1</v>
      </c>
    </row>
    <row r="30" spans="2:23" x14ac:dyDescent="0.2">
      <c r="B30" s="65" t="s">
        <v>2900</v>
      </c>
      <c r="C30" s="65" t="s">
        <v>2014</v>
      </c>
      <c r="D30" s="79">
        <v>1.66635727256111E-2</v>
      </c>
      <c r="E30" s="79">
        <v>9.3942003482112603E-3</v>
      </c>
      <c r="F30" s="79">
        <v>7.6154455539500898E-2</v>
      </c>
      <c r="G30" s="79">
        <v>0.36273801307971898</v>
      </c>
      <c r="H30" s="80">
        <v>1</v>
      </c>
      <c r="I30" s="79">
        <v>9.3918256804491097E-3</v>
      </c>
      <c r="J30" s="79">
        <v>9.3517235019652204E-3</v>
      </c>
      <c r="K30" s="79">
        <v>0.315288509374542</v>
      </c>
      <c r="L30" s="79">
        <v>0.97767884738388999</v>
      </c>
      <c r="M30" s="80">
        <v>1</v>
      </c>
      <c r="N30" s="79">
        <v>-1.82904755220214E-3</v>
      </c>
      <c r="O30" s="79">
        <v>9.29806233444333E-3</v>
      </c>
      <c r="P30" s="79">
        <v>0.84406029049321696</v>
      </c>
      <c r="Q30" s="79">
        <v>0.97247377473973196</v>
      </c>
      <c r="R30" s="80">
        <v>1</v>
      </c>
      <c r="S30" s="79">
        <v>7.6583876127112802E-3</v>
      </c>
      <c r="T30" s="79">
        <v>9.2772196539626095E-3</v>
      </c>
      <c r="U30" s="79">
        <v>0.40912444175246199</v>
      </c>
      <c r="V30" s="79">
        <v>0.94242446439522198</v>
      </c>
      <c r="W30" s="80">
        <v>1</v>
      </c>
    </row>
    <row r="31" spans="2:23" x14ac:dyDescent="0.2">
      <c r="B31" s="65" t="s">
        <v>2901</v>
      </c>
      <c r="C31" s="65" t="s">
        <v>2048</v>
      </c>
      <c r="D31" s="79">
        <v>1.93865333292647E-2</v>
      </c>
      <c r="E31" s="79">
        <v>9.4751154925503608E-3</v>
      </c>
      <c r="F31" s="79">
        <v>4.08049940119634E-2</v>
      </c>
      <c r="G31" s="79">
        <v>0.23122829940112599</v>
      </c>
      <c r="H31" s="80">
        <v>1</v>
      </c>
      <c r="I31" s="79">
        <v>-4.3958258989823702E-3</v>
      </c>
      <c r="J31" s="79">
        <v>9.4304555173388895E-3</v>
      </c>
      <c r="K31" s="79">
        <v>0.64114279181452405</v>
      </c>
      <c r="L31" s="79">
        <v>0.97767884738388999</v>
      </c>
      <c r="M31" s="80">
        <v>1</v>
      </c>
      <c r="N31" s="79">
        <v>-1.06012406530304E-2</v>
      </c>
      <c r="O31" s="79">
        <v>9.3780913443840801E-3</v>
      </c>
      <c r="P31" s="79">
        <v>0.25835205795139798</v>
      </c>
      <c r="Q31" s="79">
        <v>0.80266324849874604</v>
      </c>
      <c r="R31" s="80">
        <v>1</v>
      </c>
      <c r="S31" s="79">
        <v>4.0624978849625997E-3</v>
      </c>
      <c r="T31" s="79">
        <v>9.3591182327561195E-3</v>
      </c>
      <c r="U31" s="79">
        <v>0.66425785229742595</v>
      </c>
      <c r="V31" s="79">
        <v>0.94242446439522198</v>
      </c>
      <c r="W31" s="80">
        <v>1</v>
      </c>
    </row>
    <row r="32" spans="2:23" x14ac:dyDescent="0.2">
      <c r="B32" s="65" t="s">
        <v>2902</v>
      </c>
      <c r="C32" s="65" t="s">
        <v>2013</v>
      </c>
      <c r="D32" s="79">
        <v>3.2071573933441602E-3</v>
      </c>
      <c r="E32" s="79">
        <v>9.9896376054748499E-3</v>
      </c>
      <c r="F32" s="79">
        <v>0.74818729247261895</v>
      </c>
      <c r="G32" s="79">
        <v>0.94778250342949799</v>
      </c>
      <c r="H32" s="80">
        <v>1</v>
      </c>
      <c r="I32" s="79">
        <v>4.1166060123761098E-3</v>
      </c>
      <c r="J32" s="79">
        <v>9.9400863026058404E-3</v>
      </c>
      <c r="K32" s="79">
        <v>0.67878836853288405</v>
      </c>
      <c r="L32" s="79">
        <v>0.97767884738388999</v>
      </c>
      <c r="M32" s="80">
        <v>1</v>
      </c>
      <c r="N32" s="79">
        <v>3.74293157203381E-4</v>
      </c>
      <c r="O32" s="79">
        <v>9.8843740212733594E-3</v>
      </c>
      <c r="P32" s="79">
        <v>0.96979513045354104</v>
      </c>
      <c r="Q32" s="79">
        <v>0.97247377473973196</v>
      </c>
      <c r="R32" s="80">
        <v>1</v>
      </c>
      <c r="S32" s="79">
        <v>-2.5669786396653E-3</v>
      </c>
      <c r="T32" s="79">
        <v>9.8634169183273602E-3</v>
      </c>
      <c r="U32" s="79">
        <v>0.79467988909772302</v>
      </c>
      <c r="V32" s="79">
        <v>0.95002577958507395</v>
      </c>
      <c r="W32" s="80">
        <v>1</v>
      </c>
    </row>
    <row r="33" spans="2:23" x14ac:dyDescent="0.2">
      <c r="B33" s="65" t="s">
        <v>2903</v>
      </c>
      <c r="C33" s="65" t="s">
        <v>2047</v>
      </c>
      <c r="D33" s="79">
        <v>2.2318188640099799E-2</v>
      </c>
      <c r="E33" s="79">
        <v>1.0152326071295599E-2</v>
      </c>
      <c r="F33" s="79">
        <v>2.7971771738746199E-2</v>
      </c>
      <c r="G33" s="79">
        <v>0.207916449726983</v>
      </c>
      <c r="H33" s="80">
        <v>1</v>
      </c>
      <c r="I33" s="79">
        <v>5.2998248991681304E-3</v>
      </c>
      <c r="J33" s="79">
        <v>1.01037325121076E-2</v>
      </c>
      <c r="K33" s="79">
        <v>0.59992593119865201</v>
      </c>
      <c r="L33" s="79">
        <v>0.97767884738388999</v>
      </c>
      <c r="M33" s="80">
        <v>1</v>
      </c>
      <c r="N33" s="79">
        <v>3.9509514215923802E-3</v>
      </c>
      <c r="O33" s="79">
        <v>1.0047519861555601E-2</v>
      </c>
      <c r="P33" s="79">
        <v>0.69416921665392095</v>
      </c>
      <c r="Q33" s="79">
        <v>0.97247377473973196</v>
      </c>
      <c r="R33" s="80">
        <v>1</v>
      </c>
      <c r="S33" s="79">
        <v>-8.2886346208563295E-3</v>
      </c>
      <c r="T33" s="79">
        <v>1.0028022089324001E-2</v>
      </c>
      <c r="U33" s="79">
        <v>0.40853372321115</v>
      </c>
      <c r="V33" s="79">
        <v>0.94242446439522198</v>
      </c>
      <c r="W33" s="80">
        <v>1</v>
      </c>
    </row>
    <row r="34" spans="2:23" x14ac:dyDescent="0.2">
      <c r="B34" s="65" t="s">
        <v>2904</v>
      </c>
      <c r="C34" s="65" t="s">
        <v>2017</v>
      </c>
      <c r="D34" s="79">
        <v>1.66592204015114E-3</v>
      </c>
      <c r="E34" s="79">
        <v>9.4345154213148E-3</v>
      </c>
      <c r="F34" s="79">
        <v>0.85984752747300197</v>
      </c>
      <c r="G34" s="79">
        <v>0.974493864469403</v>
      </c>
      <c r="H34" s="80">
        <v>1</v>
      </c>
      <c r="I34" s="79">
        <v>-1.5582880596607201E-3</v>
      </c>
      <c r="J34" s="79">
        <v>9.3878307612393595E-3</v>
      </c>
      <c r="K34" s="79">
        <v>0.86817142583011797</v>
      </c>
      <c r="L34" s="79">
        <v>0.97767884738388999</v>
      </c>
      <c r="M34" s="80">
        <v>1</v>
      </c>
      <c r="N34" s="79">
        <v>-2.1272674449053599E-3</v>
      </c>
      <c r="O34" s="79">
        <v>9.3316259729931701E-3</v>
      </c>
      <c r="P34" s="79">
        <v>0.81968418283422495</v>
      </c>
      <c r="Q34" s="79">
        <v>0.97247377473973196</v>
      </c>
      <c r="R34" s="80">
        <v>1</v>
      </c>
      <c r="S34" s="79">
        <v>4.6949100634949099E-3</v>
      </c>
      <c r="T34" s="79">
        <v>9.3143812750807204E-3</v>
      </c>
      <c r="U34" s="79">
        <v>0.61424877424366198</v>
      </c>
      <c r="V34" s="79">
        <v>0.94242446439522198</v>
      </c>
      <c r="W34" s="80">
        <v>1</v>
      </c>
    </row>
    <row r="35" spans="2:23" x14ac:dyDescent="0.2">
      <c r="B35" s="65" t="s">
        <v>2905</v>
      </c>
      <c r="C35" s="65" t="s">
        <v>2051</v>
      </c>
      <c r="D35" s="79">
        <v>2.2488951973690299E-3</v>
      </c>
      <c r="E35" s="79">
        <v>8.4260438563538206E-3</v>
      </c>
      <c r="F35" s="79">
        <v>0.78955891184003502</v>
      </c>
      <c r="G35" s="79">
        <v>0.94778250342949799</v>
      </c>
      <c r="H35" s="80">
        <v>1</v>
      </c>
      <c r="I35" s="79">
        <v>8.8616744877075503E-4</v>
      </c>
      <c r="J35" s="79">
        <v>8.3817120763586099E-3</v>
      </c>
      <c r="K35" s="79">
        <v>0.91580391310898601</v>
      </c>
      <c r="L35" s="79">
        <v>0.97767884738388999</v>
      </c>
      <c r="M35" s="80">
        <v>1</v>
      </c>
      <c r="N35" s="79">
        <v>1.2769898850609101E-2</v>
      </c>
      <c r="O35" s="79">
        <v>8.3345238324955793E-3</v>
      </c>
      <c r="P35" s="79">
        <v>0.12554580423432701</v>
      </c>
      <c r="Q35" s="79">
        <v>0.80266324849874604</v>
      </c>
      <c r="R35" s="80">
        <v>1</v>
      </c>
      <c r="S35" s="79">
        <v>7.4231829398745197E-3</v>
      </c>
      <c r="T35" s="79">
        <v>8.3194015101380903E-3</v>
      </c>
      <c r="U35" s="79">
        <v>0.37229034964278401</v>
      </c>
      <c r="V35" s="79">
        <v>0.94242446439522198</v>
      </c>
      <c r="W35" s="80">
        <v>1</v>
      </c>
    </row>
    <row r="36" spans="2:23" x14ac:dyDescent="0.2">
      <c r="B36" s="65" t="s">
        <v>2906</v>
      </c>
      <c r="C36" s="65" t="s">
        <v>2016</v>
      </c>
      <c r="D36" s="79">
        <v>-2.4143354342324899E-3</v>
      </c>
      <c r="E36" s="79">
        <v>1.0573591469910999E-2</v>
      </c>
      <c r="F36" s="79">
        <v>0.81939442367979798</v>
      </c>
      <c r="G36" s="79">
        <v>0.94778250342949799</v>
      </c>
      <c r="H36" s="80">
        <v>1</v>
      </c>
      <c r="I36" s="79">
        <v>1.17701614926964E-3</v>
      </c>
      <c r="J36" s="79">
        <v>1.0513022839349901E-2</v>
      </c>
      <c r="K36" s="79">
        <v>0.91086148488612595</v>
      </c>
      <c r="L36" s="79">
        <v>0.97767884738388999</v>
      </c>
      <c r="M36" s="80">
        <v>1</v>
      </c>
      <c r="N36" s="79">
        <v>1.2749043747229099E-3</v>
      </c>
      <c r="O36" s="79">
        <v>1.0459961995421801E-2</v>
      </c>
      <c r="P36" s="79">
        <v>0.90299579925072704</v>
      </c>
      <c r="Q36" s="79">
        <v>0.97247377473973196</v>
      </c>
      <c r="R36" s="80">
        <v>1</v>
      </c>
      <c r="S36" s="79">
        <v>1.3229961443357299E-3</v>
      </c>
      <c r="T36" s="79">
        <v>1.0439690223156E-2</v>
      </c>
      <c r="U36" s="79">
        <v>0.89916133653692298</v>
      </c>
      <c r="V36" s="79">
        <v>0.97052334737318702</v>
      </c>
      <c r="W36" s="80">
        <v>1</v>
      </c>
    </row>
    <row r="37" spans="2:23" x14ac:dyDescent="0.2">
      <c r="B37" s="65" t="s">
        <v>2907</v>
      </c>
      <c r="C37" s="65" t="s">
        <v>2050</v>
      </c>
      <c r="D37" s="79">
        <v>6.2491977938344901E-3</v>
      </c>
      <c r="E37" s="79">
        <v>9.8674551905822607E-3</v>
      </c>
      <c r="F37" s="79">
        <v>0.52655842879375703</v>
      </c>
      <c r="G37" s="79">
        <v>0.81985312202372695</v>
      </c>
      <c r="H37" s="80">
        <v>1</v>
      </c>
      <c r="I37" s="79">
        <v>-6.6000993431418204E-3</v>
      </c>
      <c r="J37" s="79">
        <v>9.8133920270589599E-3</v>
      </c>
      <c r="K37" s="79">
        <v>0.50125934975717701</v>
      </c>
      <c r="L37" s="79">
        <v>0.97767884738388999</v>
      </c>
      <c r="M37" s="80">
        <v>1</v>
      </c>
      <c r="N37" s="79">
        <v>1.1121971709427501E-2</v>
      </c>
      <c r="O37" s="79">
        <v>9.7605212219095093E-3</v>
      </c>
      <c r="P37" s="79">
        <v>0.25455713390720602</v>
      </c>
      <c r="Q37" s="79">
        <v>0.80266324849874604</v>
      </c>
      <c r="R37" s="80">
        <v>1</v>
      </c>
      <c r="S37" s="79">
        <v>-4.5155028318362902E-3</v>
      </c>
      <c r="T37" s="79">
        <v>9.7432066698735203E-3</v>
      </c>
      <c r="U37" s="79">
        <v>0.64306162507874198</v>
      </c>
      <c r="V37" s="79">
        <v>0.94242446439522198</v>
      </c>
      <c r="W37" s="80">
        <v>1</v>
      </c>
    </row>
    <row r="38" spans="2:23" x14ac:dyDescent="0.2">
      <c r="B38" s="65" t="s">
        <v>2908</v>
      </c>
      <c r="C38" s="65" t="s">
        <v>2019</v>
      </c>
      <c r="D38" s="79">
        <v>1.31359692618559E-3</v>
      </c>
      <c r="E38" s="79">
        <v>1.20122106778439E-2</v>
      </c>
      <c r="F38" s="79">
        <v>0.912925264525006</v>
      </c>
      <c r="G38" s="79">
        <v>0.987378278474348</v>
      </c>
      <c r="H38" s="80">
        <v>1</v>
      </c>
      <c r="I38" s="79">
        <v>7.3130543088630203E-4</v>
      </c>
      <c r="J38" s="79">
        <v>1.1948001410285999E-2</v>
      </c>
      <c r="K38" s="79">
        <v>0.95119658304188504</v>
      </c>
      <c r="L38" s="79">
        <v>0.98002072192194201</v>
      </c>
      <c r="M38" s="80">
        <v>1</v>
      </c>
      <c r="N38" s="79">
        <v>-1.7713632470909801E-2</v>
      </c>
      <c r="O38" s="79">
        <v>1.1878181415852901E-2</v>
      </c>
      <c r="P38" s="79">
        <v>0.135953450099836</v>
      </c>
      <c r="Q38" s="79">
        <v>0.80266324849874604</v>
      </c>
      <c r="R38" s="80">
        <v>1</v>
      </c>
      <c r="S38" s="79">
        <v>-5.1316897398606398E-3</v>
      </c>
      <c r="T38" s="79">
        <v>1.1859285192103899E-2</v>
      </c>
      <c r="U38" s="79">
        <v>0.66524079839662698</v>
      </c>
      <c r="V38" s="79">
        <v>0.94242446439522198</v>
      </c>
      <c r="W38" s="80">
        <v>1</v>
      </c>
    </row>
    <row r="39" spans="2:23" x14ac:dyDescent="0.2">
      <c r="B39" s="65" t="s">
        <v>2909</v>
      </c>
      <c r="C39" s="65" t="s">
        <v>2053</v>
      </c>
      <c r="D39" s="79">
        <v>7.9416182556616907E-3</v>
      </c>
      <c r="E39" s="79">
        <v>1.1964712426289E-2</v>
      </c>
      <c r="F39" s="79">
        <v>0.50687933520819906</v>
      </c>
      <c r="G39" s="79">
        <v>0.81985312202372695</v>
      </c>
      <c r="H39" s="80">
        <v>1</v>
      </c>
      <c r="I39" s="79">
        <v>6.81137795200858E-3</v>
      </c>
      <c r="J39" s="79">
        <v>1.18966093374962E-2</v>
      </c>
      <c r="K39" s="79">
        <v>0.56697734985177495</v>
      </c>
      <c r="L39" s="79">
        <v>0.97767884738388999</v>
      </c>
      <c r="M39" s="80">
        <v>1</v>
      </c>
      <c r="N39" s="79">
        <v>-1.9975635122309698E-3</v>
      </c>
      <c r="O39" s="79">
        <v>1.18277788107002E-2</v>
      </c>
      <c r="P39" s="79">
        <v>0.86589214298552897</v>
      </c>
      <c r="Q39" s="79">
        <v>0.97247377473973196</v>
      </c>
      <c r="R39" s="80">
        <v>1</v>
      </c>
      <c r="S39" s="79">
        <v>8.79179546144279E-3</v>
      </c>
      <c r="T39" s="79">
        <v>1.18107522948708E-2</v>
      </c>
      <c r="U39" s="79">
        <v>0.45667672797546999</v>
      </c>
      <c r="V39" s="79">
        <v>0.94242446439522198</v>
      </c>
      <c r="W39" s="80">
        <v>1</v>
      </c>
    </row>
    <row r="40" spans="2:23" x14ac:dyDescent="0.2">
      <c r="B40" s="65" t="s">
        <v>2910</v>
      </c>
      <c r="C40" s="65" t="s">
        <v>2018</v>
      </c>
      <c r="D40" s="79">
        <v>-6.5442101732817301E-3</v>
      </c>
      <c r="E40" s="79">
        <v>1.25899442662077E-2</v>
      </c>
      <c r="F40" s="79">
        <v>0.60322893043370596</v>
      </c>
      <c r="G40" s="79">
        <v>0.872756750414723</v>
      </c>
      <c r="H40" s="80">
        <v>1</v>
      </c>
      <c r="I40" s="79">
        <v>-5.2538941992728303E-3</v>
      </c>
      <c r="J40" s="79">
        <v>1.25222384833892E-2</v>
      </c>
      <c r="K40" s="79">
        <v>0.67482186719611903</v>
      </c>
      <c r="L40" s="79">
        <v>0.97767884738388999</v>
      </c>
      <c r="M40" s="80">
        <v>1</v>
      </c>
      <c r="N40" s="79">
        <v>1.6670319960204402E-2</v>
      </c>
      <c r="O40" s="79">
        <v>1.24520522095516E-2</v>
      </c>
      <c r="P40" s="79">
        <v>0.18071103566312999</v>
      </c>
      <c r="Q40" s="79">
        <v>0.80266324849874604</v>
      </c>
      <c r="R40" s="80">
        <v>1</v>
      </c>
      <c r="S40" s="79">
        <v>1.6474645960593001E-2</v>
      </c>
      <c r="T40" s="79">
        <v>1.24286995121637E-2</v>
      </c>
      <c r="U40" s="79">
        <v>0.185056628426085</v>
      </c>
      <c r="V40" s="79">
        <v>0.83347159986836805</v>
      </c>
      <c r="W40" s="80">
        <v>1</v>
      </c>
    </row>
    <row r="41" spans="2:23" x14ac:dyDescent="0.2">
      <c r="B41" s="65" t="s">
        <v>2911</v>
      </c>
      <c r="C41" s="65" t="s">
        <v>2052</v>
      </c>
      <c r="D41" s="79">
        <v>-2.08698584183311E-2</v>
      </c>
      <c r="E41" s="79">
        <v>1.19916182747244E-2</v>
      </c>
      <c r="F41" s="79">
        <v>8.1856422639610696E-2</v>
      </c>
      <c r="G41" s="79">
        <v>0.36273801307971898</v>
      </c>
      <c r="H41" s="80">
        <v>1</v>
      </c>
      <c r="I41" s="79">
        <v>-7.0328380755595096E-3</v>
      </c>
      <c r="J41" s="79">
        <v>1.1929960934248701E-2</v>
      </c>
      <c r="K41" s="79">
        <v>0.55554609669072097</v>
      </c>
      <c r="L41" s="79">
        <v>0.97767884738388999</v>
      </c>
      <c r="M41" s="80">
        <v>1</v>
      </c>
      <c r="N41" s="79">
        <v>-4.0947404722268199E-4</v>
      </c>
      <c r="O41" s="79">
        <v>1.18661955435244E-2</v>
      </c>
      <c r="P41" s="79">
        <v>0.97247377473973196</v>
      </c>
      <c r="Q41" s="79">
        <v>0.97247377473973196</v>
      </c>
      <c r="R41" s="80">
        <v>1</v>
      </c>
      <c r="S41" s="79">
        <v>-6.3540388145900996E-3</v>
      </c>
      <c r="T41" s="79">
        <v>1.18433218708556E-2</v>
      </c>
      <c r="U41" s="79">
        <v>0.59163162271881098</v>
      </c>
      <c r="V41" s="79">
        <v>0.94242446439522198</v>
      </c>
      <c r="W41" s="80">
        <v>1</v>
      </c>
    </row>
    <row r="42" spans="2:23" x14ac:dyDescent="0.2">
      <c r="B42" s="65" t="s">
        <v>2912</v>
      </c>
      <c r="C42" s="65" t="s">
        <v>2021</v>
      </c>
      <c r="D42" s="79">
        <v>3.2641335947587002E-2</v>
      </c>
      <c r="E42" s="79">
        <v>1.0749061819265099E-2</v>
      </c>
      <c r="F42" s="79">
        <v>2.4048030997489301E-3</v>
      </c>
      <c r="G42" s="79">
        <v>5.45088702609757E-2</v>
      </c>
      <c r="H42" s="80">
        <v>0.16352661078292699</v>
      </c>
      <c r="I42" s="79">
        <v>-5.3945613542989799E-3</v>
      </c>
      <c r="J42" s="79">
        <v>1.06994207477503E-2</v>
      </c>
      <c r="K42" s="79">
        <v>0.61414968951569704</v>
      </c>
      <c r="L42" s="79">
        <v>0.97767884738388999</v>
      </c>
      <c r="M42" s="80">
        <v>1</v>
      </c>
      <c r="N42" s="79">
        <v>1.38891588153975E-2</v>
      </c>
      <c r="O42" s="79">
        <v>1.0642649337238901E-2</v>
      </c>
      <c r="P42" s="79">
        <v>0.1919388989695</v>
      </c>
      <c r="Q42" s="79">
        <v>0.80266324849874604</v>
      </c>
      <c r="R42" s="80">
        <v>1</v>
      </c>
      <c r="S42" s="79">
        <v>4.6905365019332098E-3</v>
      </c>
      <c r="T42" s="79">
        <v>1.06236447108833E-2</v>
      </c>
      <c r="U42" s="79">
        <v>0.65885730227462502</v>
      </c>
      <c r="V42" s="79">
        <v>0.94242446439522198</v>
      </c>
      <c r="W42" s="80">
        <v>1</v>
      </c>
    </row>
    <row r="43" spans="2:23" x14ac:dyDescent="0.2">
      <c r="B43" s="65" t="s">
        <v>2913</v>
      </c>
      <c r="C43" s="65" t="s">
        <v>2055</v>
      </c>
      <c r="D43" s="79">
        <v>-1.486319891721E-3</v>
      </c>
      <c r="E43" s="79">
        <v>1.09654672837511E-2</v>
      </c>
      <c r="F43" s="79">
        <v>0.892186184755145</v>
      </c>
      <c r="G43" s="79">
        <v>0.987378278474348</v>
      </c>
      <c r="H43" s="80">
        <v>1</v>
      </c>
      <c r="I43" s="79">
        <v>-1.01135010105397E-2</v>
      </c>
      <c r="J43" s="79">
        <v>1.0902402803042501E-2</v>
      </c>
      <c r="K43" s="79">
        <v>0.35364102129340003</v>
      </c>
      <c r="L43" s="79">
        <v>0.97767884738388999</v>
      </c>
      <c r="M43" s="80">
        <v>1</v>
      </c>
      <c r="N43" s="79">
        <v>1.26082213921535E-2</v>
      </c>
      <c r="O43" s="79">
        <v>1.08442648067786E-2</v>
      </c>
      <c r="P43" s="79">
        <v>0.24502357520142601</v>
      </c>
      <c r="Q43" s="79">
        <v>0.80266324849874604</v>
      </c>
      <c r="R43" s="80">
        <v>1</v>
      </c>
      <c r="S43" s="79">
        <v>-2.0288771093969898E-3</v>
      </c>
      <c r="T43" s="79">
        <v>1.08263481436317E-2</v>
      </c>
      <c r="U43" s="79">
        <v>0.85135342364305</v>
      </c>
      <c r="V43" s="79">
        <v>0.95002577958507395</v>
      </c>
      <c r="W43" s="80">
        <v>1</v>
      </c>
    </row>
    <row r="44" spans="2:23" x14ac:dyDescent="0.2">
      <c r="B44" s="65" t="s">
        <v>2914</v>
      </c>
      <c r="C44" s="65" t="s">
        <v>2020</v>
      </c>
      <c r="D44" s="79">
        <v>8.4064793900374499E-3</v>
      </c>
      <c r="E44" s="79">
        <v>1.2208570572710201E-2</v>
      </c>
      <c r="F44" s="79">
        <v>0.49112516483483198</v>
      </c>
      <c r="G44" s="79">
        <v>0.81985312202372695</v>
      </c>
      <c r="H44" s="80">
        <v>1</v>
      </c>
      <c r="I44" s="79">
        <v>2.6028895281294501E-2</v>
      </c>
      <c r="J44" s="79">
        <v>1.2133281446470801E-2</v>
      </c>
      <c r="K44" s="79">
        <v>3.1982358431937502E-2</v>
      </c>
      <c r="L44" s="79">
        <v>0.89940248944036705</v>
      </c>
      <c r="M44" s="80">
        <v>1</v>
      </c>
      <c r="N44" s="79">
        <v>-4.2895771531368497E-3</v>
      </c>
      <c r="O44" s="79">
        <v>1.2069032620128199E-2</v>
      </c>
      <c r="P44" s="79">
        <v>0.72229016803595603</v>
      </c>
      <c r="Q44" s="79">
        <v>0.97247377473973196</v>
      </c>
      <c r="R44" s="80">
        <v>1</v>
      </c>
      <c r="S44" s="79">
        <v>3.03406115632253E-2</v>
      </c>
      <c r="T44" s="79">
        <v>1.2044242501306699E-2</v>
      </c>
      <c r="U44" s="79">
        <v>1.1797109874508801E-2</v>
      </c>
      <c r="V44" s="79">
        <v>0.20055086786665</v>
      </c>
      <c r="W44" s="80">
        <v>0.80220347146659998</v>
      </c>
    </row>
    <row r="45" spans="2:23" x14ac:dyDescent="0.2">
      <c r="B45" s="65" t="s">
        <v>2915</v>
      </c>
      <c r="C45" s="65" t="s">
        <v>2054</v>
      </c>
      <c r="D45" s="79">
        <v>2.7856569757731799E-2</v>
      </c>
      <c r="E45" s="79">
        <v>1.21528809037125E-2</v>
      </c>
      <c r="F45" s="79">
        <v>2.1937715409796499E-2</v>
      </c>
      <c r="G45" s="79">
        <v>0.207916449726983</v>
      </c>
      <c r="H45" s="80">
        <v>1</v>
      </c>
      <c r="I45" s="79">
        <v>8.6051633334223894E-3</v>
      </c>
      <c r="J45" s="79">
        <v>1.2087380042448199E-2</v>
      </c>
      <c r="K45" s="79">
        <v>0.47655303992374598</v>
      </c>
      <c r="L45" s="79">
        <v>0.97767884738388999</v>
      </c>
      <c r="M45" s="80">
        <v>1</v>
      </c>
      <c r="N45" s="79">
        <v>8.1508862179096903E-4</v>
      </c>
      <c r="O45" s="79">
        <v>1.2021726274276801E-2</v>
      </c>
      <c r="P45" s="79">
        <v>0.94594660721061796</v>
      </c>
      <c r="Q45" s="79">
        <v>0.97247377473973196</v>
      </c>
      <c r="R45" s="80">
        <v>1</v>
      </c>
      <c r="S45" s="79">
        <v>3.9166102449348802E-2</v>
      </c>
      <c r="T45" s="79">
        <v>1.1989521936067501E-2</v>
      </c>
      <c r="U45" s="79">
        <v>1.0956405267755201E-3</v>
      </c>
      <c r="V45" s="79">
        <v>7.4503555820735395E-2</v>
      </c>
      <c r="W45" s="80">
        <v>7.4503555820735395E-2</v>
      </c>
    </row>
    <row r="46" spans="2:23" x14ac:dyDescent="0.2">
      <c r="B46" s="65" t="s">
        <v>2916</v>
      </c>
      <c r="C46" s="65" t="s">
        <v>2022</v>
      </c>
      <c r="D46" s="79">
        <v>1.1103135953211199E-2</v>
      </c>
      <c r="E46" s="79">
        <v>1.22175064025551E-2</v>
      </c>
      <c r="F46" s="79">
        <v>0.36350604179020002</v>
      </c>
      <c r="G46" s="79">
        <v>0.70624030976381802</v>
      </c>
      <c r="H46" s="80">
        <v>1</v>
      </c>
      <c r="I46" s="79">
        <v>4.7704107473225399E-3</v>
      </c>
      <c r="J46" s="79">
        <v>1.21503251400715E-2</v>
      </c>
      <c r="K46" s="79">
        <v>0.694620387787934</v>
      </c>
      <c r="L46" s="79">
        <v>0.97767884738388999</v>
      </c>
      <c r="M46" s="80">
        <v>1</v>
      </c>
      <c r="N46" s="79">
        <v>1.1122014711122201E-2</v>
      </c>
      <c r="O46" s="79">
        <v>1.2081279815559599E-2</v>
      </c>
      <c r="P46" s="79">
        <v>0.35730510282907002</v>
      </c>
      <c r="Q46" s="79">
        <v>0.81678709484177303</v>
      </c>
      <c r="R46" s="80">
        <v>1</v>
      </c>
      <c r="S46" s="79">
        <v>1.6579086943731999E-2</v>
      </c>
      <c r="T46" s="79">
        <v>1.2060296767151899E-2</v>
      </c>
      <c r="U46" s="79">
        <v>0.16929235640024101</v>
      </c>
      <c r="V46" s="79">
        <v>0.83347159986836805</v>
      </c>
      <c r="W46" s="80">
        <v>1</v>
      </c>
    </row>
    <row r="47" spans="2:23" x14ac:dyDescent="0.2">
      <c r="B47" s="65" t="s">
        <v>2917</v>
      </c>
      <c r="C47" s="65" t="s">
        <v>2056</v>
      </c>
      <c r="D47" s="79">
        <v>-2.9879963471633802E-3</v>
      </c>
      <c r="E47" s="79">
        <v>1.2295306666132801E-2</v>
      </c>
      <c r="F47" s="79">
        <v>0.80800058204996095</v>
      </c>
      <c r="G47" s="79">
        <v>0.94778250342949799</v>
      </c>
      <c r="H47" s="80">
        <v>1</v>
      </c>
      <c r="I47" s="79">
        <v>3.8346587831524599E-3</v>
      </c>
      <c r="J47" s="79">
        <v>1.2229718695134E-2</v>
      </c>
      <c r="K47" s="79">
        <v>0.75387432485154804</v>
      </c>
      <c r="L47" s="79">
        <v>0.97767884738388999</v>
      </c>
      <c r="M47" s="80">
        <v>1</v>
      </c>
      <c r="N47" s="79">
        <v>8.7394554712929597E-4</v>
      </c>
      <c r="O47" s="79">
        <v>1.21615283867616E-2</v>
      </c>
      <c r="P47" s="79">
        <v>0.94271505616096596</v>
      </c>
      <c r="Q47" s="79">
        <v>0.97247377473973196</v>
      </c>
      <c r="R47" s="80">
        <v>1</v>
      </c>
      <c r="S47" s="79">
        <v>5.4398306363498102E-3</v>
      </c>
      <c r="T47" s="79">
        <v>1.2138399403928401E-2</v>
      </c>
      <c r="U47" s="79">
        <v>0.65406422175052403</v>
      </c>
      <c r="V47" s="79">
        <v>0.94242446439522198</v>
      </c>
      <c r="W47" s="80">
        <v>1</v>
      </c>
    </row>
    <row r="48" spans="2:23" x14ac:dyDescent="0.2">
      <c r="B48" s="65" t="s">
        <v>2918</v>
      </c>
      <c r="C48" s="65" t="s">
        <v>2027</v>
      </c>
      <c r="D48" s="79">
        <v>5.7522631282780597E-3</v>
      </c>
      <c r="E48" s="79">
        <v>9.5919566543713492E-3</v>
      </c>
      <c r="F48" s="79">
        <v>0.54873584662490604</v>
      </c>
      <c r="G48" s="79">
        <v>0.81985312202372695</v>
      </c>
      <c r="H48" s="80">
        <v>1</v>
      </c>
      <c r="I48" s="79">
        <v>5.0429287068640598E-3</v>
      </c>
      <c r="J48" s="79">
        <v>9.5412584564401205E-3</v>
      </c>
      <c r="K48" s="79">
        <v>0.59714897885427898</v>
      </c>
      <c r="L48" s="79">
        <v>0.97767884738388999</v>
      </c>
      <c r="M48" s="80">
        <v>1</v>
      </c>
      <c r="N48" s="79">
        <v>1.11864277566879E-2</v>
      </c>
      <c r="O48" s="79">
        <v>9.4846928831698596E-3</v>
      </c>
      <c r="P48" s="79">
        <v>0.23828794904950601</v>
      </c>
      <c r="Q48" s="79">
        <v>0.80266324849874604</v>
      </c>
      <c r="R48" s="80">
        <v>1</v>
      </c>
      <c r="S48" s="79">
        <v>2.6549168287894401E-2</v>
      </c>
      <c r="T48" s="79">
        <v>9.4625285854336594E-3</v>
      </c>
      <c r="U48" s="79">
        <v>5.0400235718511604E-3</v>
      </c>
      <c r="V48" s="79">
        <v>0.114240534295293</v>
      </c>
      <c r="W48" s="80">
        <v>0.342721602885879</v>
      </c>
    </row>
    <row r="49" spans="2:23" x14ac:dyDescent="0.2">
      <c r="B49" s="65" t="s">
        <v>2919</v>
      </c>
      <c r="C49" s="65" t="s">
        <v>2061</v>
      </c>
      <c r="D49" s="79">
        <v>-2.12503143409581E-3</v>
      </c>
      <c r="E49" s="79">
        <v>9.4636212767215191E-3</v>
      </c>
      <c r="F49" s="79">
        <v>0.82234070150500505</v>
      </c>
      <c r="G49" s="79">
        <v>0.94778250342949799</v>
      </c>
      <c r="H49" s="80">
        <v>1</v>
      </c>
      <c r="I49" s="79">
        <v>1.1585237087815401E-2</v>
      </c>
      <c r="J49" s="79">
        <v>9.4107367877442304E-3</v>
      </c>
      <c r="K49" s="79">
        <v>0.21835750356474801</v>
      </c>
      <c r="L49" s="79">
        <v>0.97767884738388999</v>
      </c>
      <c r="M49" s="80">
        <v>1</v>
      </c>
      <c r="N49" s="79">
        <v>-5.8309763799351197E-3</v>
      </c>
      <c r="O49" s="79">
        <v>9.35954520624626E-3</v>
      </c>
      <c r="P49" s="79">
        <v>0.53331482122426099</v>
      </c>
      <c r="Q49" s="79">
        <v>0.97247377473973196</v>
      </c>
      <c r="R49" s="80">
        <v>1</v>
      </c>
      <c r="S49" s="79">
        <v>-9.5637711162075405E-3</v>
      </c>
      <c r="T49" s="79">
        <v>9.3419783125339596E-3</v>
      </c>
      <c r="U49" s="79">
        <v>0.30600759678020101</v>
      </c>
      <c r="V49" s="79">
        <v>0.94242446439522198</v>
      </c>
      <c r="W49" s="80">
        <v>1</v>
      </c>
    </row>
    <row r="50" spans="2:23" x14ac:dyDescent="0.2">
      <c r="B50" s="65" t="s">
        <v>2920</v>
      </c>
      <c r="C50" s="65" t="s">
        <v>2023</v>
      </c>
      <c r="D50" s="79">
        <v>-6.2632014365846403E-3</v>
      </c>
      <c r="E50" s="79">
        <v>1.25340238091731E-2</v>
      </c>
      <c r="F50" s="79">
        <v>0.61731069119982196</v>
      </c>
      <c r="G50" s="79">
        <v>0.87452347919974804</v>
      </c>
      <c r="H50" s="80">
        <v>1</v>
      </c>
      <c r="I50" s="79">
        <v>-2.0438182767564699E-3</v>
      </c>
      <c r="J50" s="79">
        <v>1.2482588915154099E-2</v>
      </c>
      <c r="K50" s="79">
        <v>0.86994743304010302</v>
      </c>
      <c r="L50" s="79">
        <v>0.97767884738388999</v>
      </c>
      <c r="M50" s="80">
        <v>1</v>
      </c>
      <c r="N50" s="79">
        <v>2.75250848700963E-3</v>
      </c>
      <c r="O50" s="79">
        <v>1.2398181166279901E-2</v>
      </c>
      <c r="P50" s="79">
        <v>0.82431569756665801</v>
      </c>
      <c r="Q50" s="79">
        <v>0.97247377473973196</v>
      </c>
      <c r="R50" s="80">
        <v>1</v>
      </c>
      <c r="S50" s="79">
        <v>8.5587545633500992E-3</v>
      </c>
      <c r="T50" s="79">
        <v>1.2374044575406799E-2</v>
      </c>
      <c r="U50" s="79">
        <v>0.48917606716172002</v>
      </c>
      <c r="V50" s="79">
        <v>0.94242446439522198</v>
      </c>
      <c r="W50" s="80">
        <v>1</v>
      </c>
    </row>
    <row r="51" spans="2:23" x14ac:dyDescent="0.2">
      <c r="B51" s="65" t="s">
        <v>2921</v>
      </c>
      <c r="C51" s="65" t="s">
        <v>2057</v>
      </c>
      <c r="D51" s="79">
        <v>4.2685507302272097E-3</v>
      </c>
      <c r="E51" s="79">
        <v>1.24843693895347E-2</v>
      </c>
      <c r="F51" s="79">
        <v>0.73243156446220004</v>
      </c>
      <c r="G51" s="79">
        <v>0.94778250342949799</v>
      </c>
      <c r="H51" s="80">
        <v>1</v>
      </c>
      <c r="I51" s="79">
        <v>2.6592413673849099E-3</v>
      </c>
      <c r="J51" s="79">
        <v>1.2428326519276601E-2</v>
      </c>
      <c r="K51" s="79">
        <v>0.83058207832844599</v>
      </c>
      <c r="L51" s="79">
        <v>0.97767884738388999</v>
      </c>
      <c r="M51" s="80">
        <v>1</v>
      </c>
      <c r="N51" s="79">
        <v>1.2926429710947899E-2</v>
      </c>
      <c r="O51" s="79">
        <v>1.2344815446288101E-2</v>
      </c>
      <c r="P51" s="79">
        <v>0.295096782536304</v>
      </c>
      <c r="Q51" s="79">
        <v>0.80266324849874604</v>
      </c>
      <c r="R51" s="80">
        <v>1</v>
      </c>
      <c r="S51" s="79">
        <v>2.3624649969346101E-2</v>
      </c>
      <c r="T51" s="79">
        <v>1.23204964672284E-2</v>
      </c>
      <c r="U51" s="79">
        <v>5.5229426985741903E-2</v>
      </c>
      <c r="V51" s="79">
        <v>0.42258899450984699</v>
      </c>
      <c r="W51" s="80">
        <v>1</v>
      </c>
    </row>
    <row r="52" spans="2:23" x14ac:dyDescent="0.2">
      <c r="B52" s="65" t="s">
        <v>2922</v>
      </c>
      <c r="C52" s="65" t="s">
        <v>2024</v>
      </c>
      <c r="D52" s="79">
        <v>-9.4338864542268808E-3</v>
      </c>
      <c r="E52" s="79">
        <v>9.1652920186913699E-3</v>
      </c>
      <c r="F52" s="79">
        <v>0.30338800655683601</v>
      </c>
      <c r="G52" s="79">
        <v>0.70624030976381802</v>
      </c>
      <c r="H52" s="80">
        <v>1</v>
      </c>
      <c r="I52" s="79">
        <v>1.26453005108924E-2</v>
      </c>
      <c r="J52" s="79">
        <v>9.1089947570331606E-3</v>
      </c>
      <c r="K52" s="79">
        <v>0.16513506809272199</v>
      </c>
      <c r="L52" s="79">
        <v>0.97767884738388999</v>
      </c>
      <c r="M52" s="80">
        <v>1</v>
      </c>
      <c r="N52" s="79">
        <v>2.7899671234848699E-3</v>
      </c>
      <c r="O52" s="79">
        <v>9.0647683012697999E-3</v>
      </c>
      <c r="P52" s="79">
        <v>0.75826212022425599</v>
      </c>
      <c r="Q52" s="79">
        <v>0.97247377473973196</v>
      </c>
      <c r="R52" s="80">
        <v>1</v>
      </c>
      <c r="S52" s="79">
        <v>-1.45506674796873E-2</v>
      </c>
      <c r="T52" s="79">
        <v>9.0477142597943892E-3</v>
      </c>
      <c r="U52" s="79">
        <v>0.107854043191439</v>
      </c>
      <c r="V52" s="79">
        <v>0.70042854116777598</v>
      </c>
      <c r="W52" s="80">
        <v>1</v>
      </c>
    </row>
    <row r="53" spans="2:23" x14ac:dyDescent="0.2">
      <c r="B53" s="65" t="s">
        <v>2923</v>
      </c>
      <c r="C53" s="65" t="s">
        <v>2058</v>
      </c>
      <c r="D53" s="79">
        <v>-2.2708908953224301E-3</v>
      </c>
      <c r="E53" s="79">
        <v>9.1465815042474606E-3</v>
      </c>
      <c r="F53" s="79">
        <v>0.80393002502868305</v>
      </c>
      <c r="G53" s="79">
        <v>0.94778250342949799</v>
      </c>
      <c r="H53" s="80">
        <v>1</v>
      </c>
      <c r="I53" s="79">
        <v>1.31544865175329E-2</v>
      </c>
      <c r="J53" s="79">
        <v>9.0922445710177706E-3</v>
      </c>
      <c r="K53" s="79">
        <v>0.14802263498882001</v>
      </c>
      <c r="L53" s="79">
        <v>0.97767884738388999</v>
      </c>
      <c r="M53" s="80">
        <v>1</v>
      </c>
      <c r="N53" s="79">
        <v>1.38679766719416E-2</v>
      </c>
      <c r="O53" s="79">
        <v>9.0393199304301293E-3</v>
      </c>
      <c r="P53" s="79">
        <v>0.12504922525766901</v>
      </c>
      <c r="Q53" s="79">
        <v>0.80266324849874604</v>
      </c>
      <c r="R53" s="80">
        <v>1</v>
      </c>
      <c r="S53" s="79">
        <v>3.9231343539645903E-3</v>
      </c>
      <c r="T53" s="79">
        <v>9.0288409783939507E-3</v>
      </c>
      <c r="U53" s="79">
        <v>0.66393618099529805</v>
      </c>
      <c r="V53" s="79">
        <v>0.94242446439522198</v>
      </c>
      <c r="W53" s="80">
        <v>1</v>
      </c>
    </row>
    <row r="54" spans="2:23" x14ac:dyDescent="0.2">
      <c r="B54" s="65" t="s">
        <v>2924</v>
      </c>
      <c r="C54" s="65" t="s">
        <v>2026</v>
      </c>
      <c r="D54" s="81">
        <v>3.2698726352302102E-2</v>
      </c>
      <c r="E54" s="81">
        <v>9.4665259719700304E-3</v>
      </c>
      <c r="F54" s="81">
        <v>5.5684220395138203E-4</v>
      </c>
      <c r="G54" s="81">
        <v>1.8932634934346999E-2</v>
      </c>
      <c r="H54" s="82">
        <v>3.7865269868693999E-2</v>
      </c>
      <c r="I54" s="79">
        <v>-2.7835604958017898E-3</v>
      </c>
      <c r="J54" s="79">
        <v>9.4220079305301994E-3</v>
      </c>
      <c r="K54" s="79">
        <v>0.76767707191266299</v>
      </c>
      <c r="L54" s="79">
        <v>0.97767884738388999</v>
      </c>
      <c r="M54" s="80">
        <v>1</v>
      </c>
      <c r="N54" s="79">
        <v>3.8858050786553201E-3</v>
      </c>
      <c r="O54" s="79">
        <v>9.37110495832859E-3</v>
      </c>
      <c r="P54" s="79">
        <v>0.67841089751348704</v>
      </c>
      <c r="Q54" s="79">
        <v>0.97247377473973196</v>
      </c>
      <c r="R54" s="80">
        <v>1</v>
      </c>
      <c r="S54" s="79">
        <v>-7.8581097922328705E-4</v>
      </c>
      <c r="T54" s="79">
        <v>9.3572591816208292E-3</v>
      </c>
      <c r="U54" s="79">
        <v>0.93307684062251495</v>
      </c>
      <c r="V54" s="79">
        <v>0.976141925574323</v>
      </c>
      <c r="W54" s="80">
        <v>1</v>
      </c>
    </row>
    <row r="55" spans="2:23" x14ac:dyDescent="0.2">
      <c r="B55" s="65" t="s">
        <v>2925</v>
      </c>
      <c r="C55" s="65" t="s">
        <v>2060</v>
      </c>
      <c r="D55" s="79">
        <v>1.06981815202027E-2</v>
      </c>
      <c r="E55" s="79">
        <v>9.5499638215950696E-3</v>
      </c>
      <c r="F55" s="79">
        <v>0.26267200302606802</v>
      </c>
      <c r="G55" s="79">
        <v>0.70624030976381802</v>
      </c>
      <c r="H55" s="80">
        <v>1</v>
      </c>
      <c r="I55" s="79">
        <v>-3.2834618174800499E-3</v>
      </c>
      <c r="J55" s="79">
        <v>9.4923139339071795E-3</v>
      </c>
      <c r="K55" s="79">
        <v>0.72942807836553003</v>
      </c>
      <c r="L55" s="79">
        <v>0.97767884738388999</v>
      </c>
      <c r="M55" s="80">
        <v>1</v>
      </c>
      <c r="N55" s="79">
        <v>3.03283779215212E-3</v>
      </c>
      <c r="O55" s="79">
        <v>9.4447970197382401E-3</v>
      </c>
      <c r="P55" s="79">
        <v>0.74813994406511797</v>
      </c>
      <c r="Q55" s="79">
        <v>0.97247377473973196</v>
      </c>
      <c r="R55" s="80">
        <v>1</v>
      </c>
      <c r="S55" s="79">
        <v>-4.1448896571873703E-5</v>
      </c>
      <c r="T55" s="79">
        <v>9.4305023848379708E-3</v>
      </c>
      <c r="U55" s="79">
        <v>0.99649334029945202</v>
      </c>
      <c r="V55" s="79">
        <v>0.99649334029945202</v>
      </c>
      <c r="W55" s="80">
        <v>1</v>
      </c>
    </row>
    <row r="56" spans="2:23" x14ac:dyDescent="0.2">
      <c r="B56" s="65" t="s">
        <v>2926</v>
      </c>
      <c r="C56" s="65" t="s">
        <v>2025</v>
      </c>
      <c r="D56" s="79">
        <v>9.5567472064767402E-4</v>
      </c>
      <c r="E56" s="79">
        <v>1.15909961296644E-2</v>
      </c>
      <c r="F56" s="79">
        <v>0.93429245773880099</v>
      </c>
      <c r="G56" s="79">
        <v>0.987378278474348</v>
      </c>
      <c r="H56" s="80">
        <v>1</v>
      </c>
      <c r="I56" s="79">
        <v>1.0721096538513801E-2</v>
      </c>
      <c r="J56" s="79">
        <v>1.15236867297916E-2</v>
      </c>
      <c r="K56" s="79">
        <v>0.35223486492648898</v>
      </c>
      <c r="L56" s="79">
        <v>0.97767884738388999</v>
      </c>
      <c r="M56" s="80">
        <v>1</v>
      </c>
      <c r="N56" s="79">
        <v>-1.5033526237099601E-2</v>
      </c>
      <c r="O56" s="79">
        <v>1.14610681326477E-2</v>
      </c>
      <c r="P56" s="79">
        <v>0.18968205144172001</v>
      </c>
      <c r="Q56" s="79">
        <v>0.80266324849874604</v>
      </c>
      <c r="R56" s="80">
        <v>1</v>
      </c>
      <c r="S56" s="79">
        <v>3.5746392994946601E-3</v>
      </c>
      <c r="T56" s="79">
        <v>1.1443401356079399E-2</v>
      </c>
      <c r="U56" s="79">
        <v>0.75476844591903103</v>
      </c>
      <c r="V56" s="79">
        <v>0.95002577958507395</v>
      </c>
      <c r="W56" s="80">
        <v>1</v>
      </c>
    </row>
    <row r="57" spans="2:23" x14ac:dyDescent="0.2">
      <c r="B57" s="65" t="s">
        <v>2927</v>
      </c>
      <c r="C57" s="65" t="s">
        <v>2059</v>
      </c>
      <c r="D57" s="79">
        <v>-1.0522872396212199E-2</v>
      </c>
      <c r="E57" s="79">
        <v>1.1337919727757301E-2</v>
      </c>
      <c r="F57" s="79">
        <v>0.35339477985775303</v>
      </c>
      <c r="G57" s="79">
        <v>0.70624030976381802</v>
      </c>
      <c r="H57" s="80">
        <v>1</v>
      </c>
      <c r="I57" s="79">
        <v>-8.3213732742174699E-3</v>
      </c>
      <c r="J57" s="79">
        <v>1.12738983961984E-2</v>
      </c>
      <c r="K57" s="79">
        <v>0.46048368815949198</v>
      </c>
      <c r="L57" s="79">
        <v>0.97767884738388999</v>
      </c>
      <c r="M57" s="80">
        <v>1</v>
      </c>
      <c r="N57" s="79">
        <v>-1.9727719273994498E-2</v>
      </c>
      <c r="O57" s="79">
        <v>1.1209978255139899E-2</v>
      </c>
      <c r="P57" s="79">
        <v>7.84986048538273E-2</v>
      </c>
      <c r="Q57" s="79">
        <v>0.80266324849874604</v>
      </c>
      <c r="R57" s="80">
        <v>1</v>
      </c>
      <c r="S57" s="79">
        <v>2.7196678461219601E-3</v>
      </c>
      <c r="T57" s="79">
        <v>1.11954448794583E-2</v>
      </c>
      <c r="U57" s="79">
        <v>0.80807271360472699</v>
      </c>
      <c r="V57" s="79">
        <v>0.95002577958507395</v>
      </c>
      <c r="W57" s="80">
        <v>1</v>
      </c>
    </row>
    <row r="58" spans="2:23" x14ac:dyDescent="0.2">
      <c r="B58" s="65" t="s">
        <v>2928</v>
      </c>
      <c r="C58" s="65" t="s">
        <v>2028</v>
      </c>
      <c r="D58" s="79">
        <v>-4.2318499798062103E-3</v>
      </c>
      <c r="E58" s="79">
        <v>1.0473086170731101E-2</v>
      </c>
      <c r="F58" s="79">
        <v>0.68617949289010904</v>
      </c>
      <c r="G58" s="79">
        <v>0.93320411033054895</v>
      </c>
      <c r="H58" s="80">
        <v>1</v>
      </c>
      <c r="I58" s="79">
        <v>1.9638052529447898E-2</v>
      </c>
      <c r="J58" s="79">
        <v>1.04102382602358E-2</v>
      </c>
      <c r="K58" s="79">
        <v>5.9298164339134797E-2</v>
      </c>
      <c r="L58" s="79">
        <v>0.89940248944036705</v>
      </c>
      <c r="M58" s="80">
        <v>1</v>
      </c>
      <c r="N58" s="79">
        <v>7.8417320647451404E-3</v>
      </c>
      <c r="O58" s="79">
        <v>1.0355826589699101E-2</v>
      </c>
      <c r="P58" s="79">
        <v>0.44894909377366699</v>
      </c>
      <c r="Q58" s="79">
        <v>0.954016824269041</v>
      </c>
      <c r="R58" s="80">
        <v>1</v>
      </c>
      <c r="S58" s="79">
        <v>5.5913243306944102E-3</v>
      </c>
      <c r="T58" s="79">
        <v>1.03388109554708E-2</v>
      </c>
      <c r="U58" s="79">
        <v>0.58866356013344801</v>
      </c>
      <c r="V58" s="79">
        <v>0.94242446439522198</v>
      </c>
      <c r="W58" s="80">
        <v>1</v>
      </c>
    </row>
    <row r="59" spans="2:23" x14ac:dyDescent="0.2">
      <c r="B59" s="65" t="s">
        <v>2929</v>
      </c>
      <c r="C59" s="65" t="s">
        <v>2062</v>
      </c>
      <c r="D59" s="79">
        <v>5.4848439255088099E-3</v>
      </c>
      <c r="E59" s="79">
        <v>1.16180009656776E-2</v>
      </c>
      <c r="F59" s="79">
        <v>0.63687777054295502</v>
      </c>
      <c r="G59" s="79">
        <v>0.88383037544736698</v>
      </c>
      <c r="H59" s="80">
        <v>1</v>
      </c>
      <c r="I59" s="79">
        <v>1.12292205256451E-2</v>
      </c>
      <c r="J59" s="79">
        <v>1.15438519733842E-2</v>
      </c>
      <c r="K59" s="79">
        <v>0.33072996623573703</v>
      </c>
      <c r="L59" s="79">
        <v>0.97767884738388999</v>
      </c>
      <c r="M59" s="80">
        <v>1</v>
      </c>
      <c r="N59" s="79">
        <v>-1.123759367708E-2</v>
      </c>
      <c r="O59" s="79">
        <v>1.14843071421235E-2</v>
      </c>
      <c r="P59" s="79">
        <v>0.327868249953089</v>
      </c>
      <c r="Q59" s="79">
        <v>0.81278752914345997</v>
      </c>
      <c r="R59" s="80">
        <v>1</v>
      </c>
      <c r="S59" s="79">
        <v>-2.5842967077957703E-4</v>
      </c>
      <c r="T59" s="79">
        <v>1.1469277720286501E-2</v>
      </c>
      <c r="U59" s="79">
        <v>0.98202425294738804</v>
      </c>
      <c r="V59" s="79">
        <v>0.99649334029945202</v>
      </c>
      <c r="W59" s="80">
        <v>1</v>
      </c>
    </row>
    <row r="60" spans="2:23" x14ac:dyDescent="0.2">
      <c r="B60" s="65" t="s">
        <v>2930</v>
      </c>
      <c r="C60" s="65" t="s">
        <v>2029</v>
      </c>
      <c r="D60" s="79">
        <v>-9.7342166689627398E-3</v>
      </c>
      <c r="E60" s="79">
        <v>8.4244256762893207E-3</v>
      </c>
      <c r="F60" s="79">
        <v>0.24795199368600701</v>
      </c>
      <c r="G60" s="79">
        <v>0.70624030976381802</v>
      </c>
      <c r="H60" s="80">
        <v>1</v>
      </c>
      <c r="I60" s="79">
        <v>6.6329392137751998E-3</v>
      </c>
      <c r="J60" s="79">
        <v>8.3790069815623796E-3</v>
      </c>
      <c r="K60" s="79">
        <v>0.42862437304157203</v>
      </c>
      <c r="L60" s="79">
        <v>0.97767884738388999</v>
      </c>
      <c r="M60" s="80">
        <v>1</v>
      </c>
      <c r="N60" s="79">
        <v>-4.2690595819497197E-3</v>
      </c>
      <c r="O60" s="79">
        <v>8.3354207764287699E-3</v>
      </c>
      <c r="P60" s="79">
        <v>0.60856290817291303</v>
      </c>
      <c r="Q60" s="79">
        <v>0.97247377473973196</v>
      </c>
      <c r="R60" s="80">
        <v>1</v>
      </c>
      <c r="S60" s="79">
        <v>-5.3944126275031201E-3</v>
      </c>
      <c r="T60" s="79">
        <v>8.3186015983148093E-3</v>
      </c>
      <c r="U60" s="79">
        <v>0.51670751613739296</v>
      </c>
      <c r="V60" s="79">
        <v>0.94242446439522198</v>
      </c>
      <c r="W60" s="80">
        <v>1</v>
      </c>
    </row>
    <row r="61" spans="2:23" x14ac:dyDescent="0.2">
      <c r="B61" s="65" t="s">
        <v>2931</v>
      </c>
      <c r="C61" s="65" t="s">
        <v>2063</v>
      </c>
      <c r="D61" s="79">
        <v>-1.3271317231642399E-2</v>
      </c>
      <c r="E61" s="79">
        <v>8.5102342605851596E-3</v>
      </c>
      <c r="F61" s="79">
        <v>0.118953791102813</v>
      </c>
      <c r="G61" s="79">
        <v>0.42572935763111902</v>
      </c>
      <c r="H61" s="80">
        <v>1</v>
      </c>
      <c r="I61" s="79">
        <v>2.0028160776457398E-3</v>
      </c>
      <c r="J61" s="79">
        <v>8.4660617240522804E-3</v>
      </c>
      <c r="K61" s="79">
        <v>0.81300043279016898</v>
      </c>
      <c r="L61" s="79">
        <v>0.97767884738388999</v>
      </c>
      <c r="M61" s="80">
        <v>1</v>
      </c>
      <c r="N61" s="79">
        <v>1.2499479902947299E-2</v>
      </c>
      <c r="O61" s="79">
        <v>8.4195748537249909E-3</v>
      </c>
      <c r="P61" s="79">
        <v>0.13772141904141</v>
      </c>
      <c r="Q61" s="79">
        <v>0.80266324849874604</v>
      </c>
      <c r="R61" s="80">
        <v>1</v>
      </c>
      <c r="S61" s="79">
        <v>-2.90346707250317E-3</v>
      </c>
      <c r="T61" s="79">
        <v>8.4041449369771006E-3</v>
      </c>
      <c r="U61" s="79">
        <v>0.72974814885426698</v>
      </c>
      <c r="V61" s="79">
        <v>0.95002577958507395</v>
      </c>
      <c r="W61" s="80">
        <v>1</v>
      </c>
    </row>
    <row r="62" spans="2:23" x14ac:dyDescent="0.2">
      <c r="B62" s="65" t="s">
        <v>2932</v>
      </c>
      <c r="C62" s="65" t="s">
        <v>2033</v>
      </c>
      <c r="D62" s="79">
        <v>8.0570412614995E-3</v>
      </c>
      <c r="E62" s="79">
        <v>9.4170541805692499E-3</v>
      </c>
      <c r="F62" s="79">
        <v>0.39227330177346798</v>
      </c>
      <c r="G62" s="79">
        <v>0.72093471677286003</v>
      </c>
      <c r="H62" s="80">
        <v>1</v>
      </c>
      <c r="I62" s="79">
        <v>-3.6678182065040901E-3</v>
      </c>
      <c r="J62" s="79">
        <v>9.3606505649249001E-3</v>
      </c>
      <c r="K62" s="79">
        <v>0.69519890709469001</v>
      </c>
      <c r="L62" s="79">
        <v>0.97767884738388999</v>
      </c>
      <c r="M62" s="80">
        <v>1</v>
      </c>
      <c r="N62" s="79">
        <v>-6.7904600157013702E-4</v>
      </c>
      <c r="O62" s="79">
        <v>9.3138355087157895E-3</v>
      </c>
      <c r="P62" s="79">
        <v>0.94188301707836997</v>
      </c>
      <c r="Q62" s="79">
        <v>0.97247377473973196</v>
      </c>
      <c r="R62" s="80">
        <v>1</v>
      </c>
      <c r="S62" s="79">
        <v>-2.0508723068543601E-3</v>
      </c>
      <c r="T62" s="79">
        <v>9.2975314594697898E-3</v>
      </c>
      <c r="U62" s="79">
        <v>0.82542703380250404</v>
      </c>
      <c r="V62" s="79">
        <v>0.95002577958507395</v>
      </c>
      <c r="W62" s="80">
        <v>1</v>
      </c>
    </row>
    <row r="63" spans="2:23" x14ac:dyDescent="0.2">
      <c r="B63" s="65" t="s">
        <v>2933</v>
      </c>
      <c r="C63" s="65" t="s">
        <v>2067</v>
      </c>
      <c r="D63" s="79">
        <v>-9.4178279325684306E-3</v>
      </c>
      <c r="E63" s="79">
        <v>9.9128282716137509E-3</v>
      </c>
      <c r="F63" s="79">
        <v>0.34212725357171397</v>
      </c>
      <c r="G63" s="79">
        <v>0.70624030976381802</v>
      </c>
      <c r="H63" s="80">
        <v>1</v>
      </c>
      <c r="I63" s="79">
        <v>3.9363334220470303E-3</v>
      </c>
      <c r="J63" s="79">
        <v>9.8556190434540697E-3</v>
      </c>
      <c r="K63" s="79">
        <v>0.6896165746513</v>
      </c>
      <c r="L63" s="79">
        <v>0.97767884738388999</v>
      </c>
      <c r="M63" s="80">
        <v>1</v>
      </c>
      <c r="N63" s="79">
        <v>1.07998730424692E-2</v>
      </c>
      <c r="O63" s="79">
        <v>9.8048818906515001E-3</v>
      </c>
      <c r="P63" s="79">
        <v>0.27074371069225001</v>
      </c>
      <c r="Q63" s="79">
        <v>0.80266324849874604</v>
      </c>
      <c r="R63" s="80">
        <v>1</v>
      </c>
      <c r="S63" s="79">
        <v>-1.87104727380831E-2</v>
      </c>
      <c r="T63" s="79">
        <v>9.7856193284289895E-3</v>
      </c>
      <c r="U63" s="79">
        <v>5.5930896332185703E-2</v>
      </c>
      <c r="V63" s="79">
        <v>0.42258899450984699</v>
      </c>
      <c r="W63" s="80">
        <v>1</v>
      </c>
    </row>
    <row r="64" spans="2:23" x14ac:dyDescent="0.2">
      <c r="B64" s="65" t="s">
        <v>2934</v>
      </c>
      <c r="C64" s="65" t="s">
        <v>2030</v>
      </c>
      <c r="D64" s="79">
        <v>-6.8651082390251304E-4</v>
      </c>
      <c r="E64" s="79">
        <v>7.2802766853133699E-3</v>
      </c>
      <c r="F64" s="79">
        <v>0.92487680043254095</v>
      </c>
      <c r="G64" s="79">
        <v>0.987378278474348</v>
      </c>
      <c r="H64" s="80">
        <v>1</v>
      </c>
      <c r="I64" s="79">
        <v>-8.9970015458938298E-4</v>
      </c>
      <c r="J64" s="79">
        <v>7.2402917618932501E-3</v>
      </c>
      <c r="K64" s="79">
        <v>0.90111220270808301</v>
      </c>
      <c r="L64" s="79">
        <v>0.97767884738388999</v>
      </c>
      <c r="M64" s="80">
        <v>1</v>
      </c>
      <c r="N64" s="79">
        <v>-1.58161856513622E-2</v>
      </c>
      <c r="O64" s="79">
        <v>7.1970176585573597E-3</v>
      </c>
      <c r="P64" s="79">
        <v>2.80240977291462E-2</v>
      </c>
      <c r="Q64" s="79">
        <v>0.80266324849874604</v>
      </c>
      <c r="R64" s="80">
        <v>1</v>
      </c>
      <c r="S64" s="79">
        <v>-4.9345716528550101E-3</v>
      </c>
      <c r="T64" s="79">
        <v>7.1877230128931198E-3</v>
      </c>
      <c r="U64" s="79">
        <v>0.49241276447187698</v>
      </c>
      <c r="V64" s="79">
        <v>0.94242446439522198</v>
      </c>
      <c r="W64" s="80">
        <v>1</v>
      </c>
    </row>
    <row r="65" spans="2:23" x14ac:dyDescent="0.2">
      <c r="B65" s="65" t="s">
        <v>2935</v>
      </c>
      <c r="C65" s="65" t="s">
        <v>2064</v>
      </c>
      <c r="D65" s="79">
        <v>-5.0868515394984701E-3</v>
      </c>
      <c r="E65" s="79">
        <v>7.6002079307664798E-3</v>
      </c>
      <c r="F65" s="79">
        <v>0.50333274365432201</v>
      </c>
      <c r="G65" s="79">
        <v>0.81985312202372695</v>
      </c>
      <c r="H65" s="80">
        <v>1</v>
      </c>
      <c r="I65" s="79">
        <v>-8.0789873374053807E-3</v>
      </c>
      <c r="J65" s="79">
        <v>7.5595889228296399E-3</v>
      </c>
      <c r="K65" s="79">
        <v>0.28525441317259298</v>
      </c>
      <c r="L65" s="79">
        <v>0.97767884738388999</v>
      </c>
      <c r="M65" s="80">
        <v>1</v>
      </c>
      <c r="N65" s="79">
        <v>-1.29764566564575E-2</v>
      </c>
      <c r="O65" s="79">
        <v>7.5157567717928104E-3</v>
      </c>
      <c r="P65" s="79">
        <v>8.4308206294715804E-2</v>
      </c>
      <c r="Q65" s="79">
        <v>0.80266324849874604</v>
      </c>
      <c r="R65" s="80">
        <v>1</v>
      </c>
      <c r="S65" s="79">
        <v>-1.6898702359231001E-2</v>
      </c>
      <c r="T65" s="79">
        <v>7.5001382053594898E-3</v>
      </c>
      <c r="U65" s="79">
        <v>2.42954203169529E-2</v>
      </c>
      <c r="V65" s="79">
        <v>0.33041771631055999</v>
      </c>
      <c r="W65" s="80">
        <v>1</v>
      </c>
    </row>
    <row r="66" spans="2:23" x14ac:dyDescent="0.2">
      <c r="B66" s="65" t="s">
        <v>2936</v>
      </c>
      <c r="C66" s="65" t="s">
        <v>2031</v>
      </c>
      <c r="D66" s="79">
        <v>-7.0554916147196197E-4</v>
      </c>
      <c r="E66" s="79">
        <v>1.00111648105056E-2</v>
      </c>
      <c r="F66" s="79">
        <v>0.94381747207106803</v>
      </c>
      <c r="G66" s="79">
        <v>0.987378278474348</v>
      </c>
      <c r="H66" s="80">
        <v>1</v>
      </c>
      <c r="I66" s="79">
        <v>-6.4401037720241703E-3</v>
      </c>
      <c r="J66" s="79">
        <v>9.9558129420404297E-3</v>
      </c>
      <c r="K66" s="79">
        <v>0.51774725154125001</v>
      </c>
      <c r="L66" s="79">
        <v>0.97767884738388999</v>
      </c>
      <c r="M66" s="80">
        <v>1</v>
      </c>
      <c r="N66" s="79">
        <v>6.5525507090913203E-3</v>
      </c>
      <c r="O66" s="79">
        <v>9.8963065743055308E-3</v>
      </c>
      <c r="P66" s="79">
        <v>0.50792475050498898</v>
      </c>
      <c r="Q66" s="79">
        <v>0.97247377473973196</v>
      </c>
      <c r="R66" s="80">
        <v>1</v>
      </c>
      <c r="S66" s="79">
        <v>-1.2774837018612E-2</v>
      </c>
      <c r="T66" s="79">
        <v>9.8808684001588706E-3</v>
      </c>
      <c r="U66" s="79">
        <v>0.19611096467490999</v>
      </c>
      <c r="V66" s="79">
        <v>0.83347159986836805</v>
      </c>
      <c r="W66" s="80">
        <v>1</v>
      </c>
    </row>
    <row r="67" spans="2:23" x14ac:dyDescent="0.2">
      <c r="B67" s="65" t="s">
        <v>2937</v>
      </c>
      <c r="C67" s="65" t="s">
        <v>2065</v>
      </c>
      <c r="D67" s="79">
        <v>9.7666462091864897E-3</v>
      </c>
      <c r="E67" s="79">
        <v>9.8876996415236899E-3</v>
      </c>
      <c r="F67" s="79">
        <v>0.32332001077646999</v>
      </c>
      <c r="G67" s="79">
        <v>0.70624030976381802</v>
      </c>
      <c r="H67" s="80">
        <v>1</v>
      </c>
      <c r="I67" s="79">
        <v>4.9966088507750299E-3</v>
      </c>
      <c r="J67" s="79">
        <v>9.8374259105515009E-3</v>
      </c>
      <c r="K67" s="79">
        <v>0.61153352870473998</v>
      </c>
      <c r="L67" s="79">
        <v>0.97767884738388999</v>
      </c>
      <c r="M67" s="80">
        <v>1</v>
      </c>
      <c r="N67" s="79">
        <v>1.3529730890442699E-3</v>
      </c>
      <c r="O67" s="79">
        <v>9.7824835979850901E-3</v>
      </c>
      <c r="P67" s="79">
        <v>0.89000448172781599</v>
      </c>
      <c r="Q67" s="79">
        <v>0.97247377473973196</v>
      </c>
      <c r="R67" s="80">
        <v>1</v>
      </c>
      <c r="S67" s="79">
        <v>-1.0644552244007999E-2</v>
      </c>
      <c r="T67" s="79">
        <v>9.7619306010604204E-3</v>
      </c>
      <c r="U67" s="79">
        <v>0.27558377153100899</v>
      </c>
      <c r="V67" s="79">
        <v>0.94242446439522198</v>
      </c>
      <c r="W67" s="80">
        <v>1</v>
      </c>
    </row>
    <row r="68" spans="2:23" x14ac:dyDescent="0.2">
      <c r="B68" s="65" t="s">
        <v>2938</v>
      </c>
      <c r="C68" s="65" t="s">
        <v>2032</v>
      </c>
      <c r="D68" s="79">
        <v>1.4870892269121199E-2</v>
      </c>
      <c r="E68" s="79">
        <v>8.7329906006944902E-3</v>
      </c>
      <c r="F68" s="79">
        <v>8.86611543585306E-2</v>
      </c>
      <c r="G68" s="79">
        <v>0.36273801307971898</v>
      </c>
      <c r="H68" s="80">
        <v>1</v>
      </c>
      <c r="I68" s="79">
        <v>-1.02007569979838E-2</v>
      </c>
      <c r="J68" s="79">
        <v>8.6880035368040402E-3</v>
      </c>
      <c r="K68" s="79">
        <v>0.240404529784191</v>
      </c>
      <c r="L68" s="79">
        <v>0.97767884738388999</v>
      </c>
      <c r="M68" s="80">
        <v>1</v>
      </c>
      <c r="N68" s="79">
        <v>-1.4577128524318601E-2</v>
      </c>
      <c r="O68" s="79">
        <v>8.6370330382198896E-3</v>
      </c>
      <c r="P68" s="79">
        <v>9.1523424778693394E-2</v>
      </c>
      <c r="Q68" s="79">
        <v>0.80266324849874604</v>
      </c>
      <c r="R68" s="80">
        <v>1</v>
      </c>
      <c r="S68" s="79">
        <v>-1.60663552935648E-3</v>
      </c>
      <c r="T68" s="79">
        <v>8.6246130193374498E-3</v>
      </c>
      <c r="U68" s="79">
        <v>0.85222900815719904</v>
      </c>
      <c r="V68" s="79">
        <v>0.95002577958507395</v>
      </c>
      <c r="W68" s="80">
        <v>1</v>
      </c>
    </row>
    <row r="69" spans="2:23" x14ac:dyDescent="0.2">
      <c r="B69" s="65" t="s">
        <v>2939</v>
      </c>
      <c r="C69" s="65" t="s">
        <v>2066</v>
      </c>
      <c r="D69" s="79">
        <v>1.39095823941297E-2</v>
      </c>
      <c r="E69" s="79">
        <v>8.2201673448380197E-3</v>
      </c>
      <c r="F69" s="79">
        <v>9.06845032699298E-2</v>
      </c>
      <c r="G69" s="79">
        <v>0.36273801307971898</v>
      </c>
      <c r="H69" s="80">
        <v>1</v>
      </c>
      <c r="I69" s="79">
        <v>8.1995504580746202E-4</v>
      </c>
      <c r="J69" s="79">
        <v>8.1809909883965703E-3</v>
      </c>
      <c r="K69" s="79">
        <v>0.92016832694954298</v>
      </c>
      <c r="L69" s="79">
        <v>0.97767884738388999</v>
      </c>
      <c r="M69" s="80">
        <v>1</v>
      </c>
      <c r="N69" s="79">
        <v>-6.1686737457195898E-3</v>
      </c>
      <c r="O69" s="79">
        <v>8.1326607264787607E-3</v>
      </c>
      <c r="P69" s="79">
        <v>0.44818422757676402</v>
      </c>
      <c r="Q69" s="79">
        <v>0.954016824269041</v>
      </c>
      <c r="R69" s="80">
        <v>1</v>
      </c>
      <c r="S69" s="79">
        <v>-6.8647974318492195E-4</v>
      </c>
      <c r="T69" s="79">
        <v>8.1182015186156108E-3</v>
      </c>
      <c r="U69" s="79">
        <v>0.93261417424375104</v>
      </c>
      <c r="V69" s="79">
        <v>0.976141925574323</v>
      </c>
      <c r="W69" s="80">
        <v>1</v>
      </c>
    </row>
    <row r="70" spans="2:23" x14ac:dyDescent="0.2">
      <c r="B70" s="65" t="s">
        <v>2940</v>
      </c>
      <c r="C70" s="65" t="s">
        <v>2035</v>
      </c>
      <c r="D70" s="79">
        <v>-1.0500421357034899E-2</v>
      </c>
      <c r="E70" s="79">
        <v>1.2207333438029599E-2</v>
      </c>
      <c r="F70" s="79">
        <v>0.389735125181146</v>
      </c>
      <c r="G70" s="79">
        <v>0.72093471677286003</v>
      </c>
      <c r="H70" s="80">
        <v>1</v>
      </c>
      <c r="I70" s="79">
        <v>-7.7460422543272796E-3</v>
      </c>
      <c r="J70" s="79">
        <v>1.21441847443745E-2</v>
      </c>
      <c r="K70" s="79">
        <v>0.52360775739188803</v>
      </c>
      <c r="L70" s="79">
        <v>0.97767884738388999</v>
      </c>
      <c r="M70" s="80">
        <v>1</v>
      </c>
      <c r="N70" s="79">
        <v>-1.5523303031300501E-2</v>
      </c>
      <c r="O70" s="79">
        <v>1.2073313582096699E-2</v>
      </c>
      <c r="P70" s="79">
        <v>0.19858924673388201</v>
      </c>
      <c r="Q70" s="79">
        <v>0.80266324849874604</v>
      </c>
      <c r="R70" s="80">
        <v>1</v>
      </c>
      <c r="S70" s="79">
        <v>-1.85588398913526E-2</v>
      </c>
      <c r="T70" s="79">
        <v>1.20505822050649E-2</v>
      </c>
      <c r="U70" s="79">
        <v>0.123605036676666</v>
      </c>
      <c r="V70" s="79">
        <v>0.70042854116777598</v>
      </c>
      <c r="W70" s="80">
        <v>1</v>
      </c>
    </row>
    <row r="71" spans="2:23" x14ac:dyDescent="0.2">
      <c r="B71" s="65" t="s">
        <v>2941</v>
      </c>
      <c r="C71" s="65" t="s">
        <v>2069</v>
      </c>
      <c r="D71" s="79">
        <v>-3.7756339443698098E-3</v>
      </c>
      <c r="E71" s="79">
        <v>1.28909702033718E-2</v>
      </c>
      <c r="F71" s="79">
        <v>0.76961863468945102</v>
      </c>
      <c r="G71" s="79">
        <v>0.94778250342949799</v>
      </c>
      <c r="H71" s="80">
        <v>1</v>
      </c>
      <c r="I71" s="79">
        <v>-7.1328457427789196E-3</v>
      </c>
      <c r="J71" s="79">
        <v>1.2824003731460001E-2</v>
      </c>
      <c r="K71" s="79">
        <v>0.57809227577796696</v>
      </c>
      <c r="L71" s="79">
        <v>0.97767884738388999</v>
      </c>
      <c r="M71" s="80">
        <v>1</v>
      </c>
      <c r="N71" s="79">
        <v>-1.2364597843276299E-2</v>
      </c>
      <c r="O71" s="79">
        <v>1.2752846314529E-2</v>
      </c>
      <c r="P71" s="79">
        <v>0.33231523474372998</v>
      </c>
      <c r="Q71" s="79">
        <v>0.81278752914345997</v>
      </c>
      <c r="R71" s="80">
        <v>1</v>
      </c>
      <c r="S71" s="79">
        <v>-3.0131061643071401E-3</v>
      </c>
      <c r="T71" s="79">
        <v>1.27281587983892E-2</v>
      </c>
      <c r="U71" s="79">
        <v>0.81287792586874597</v>
      </c>
      <c r="V71" s="79">
        <v>0.95002577958507395</v>
      </c>
      <c r="W71" s="80">
        <v>1</v>
      </c>
    </row>
    <row r="72" spans="2:23" x14ac:dyDescent="0.2">
      <c r="B72" s="65" t="s">
        <v>2942</v>
      </c>
      <c r="C72" s="65" t="s">
        <v>2036</v>
      </c>
      <c r="D72" s="79">
        <v>3.3112736782801903E-2</v>
      </c>
      <c r="E72" s="79">
        <v>1.22037012997995E-2</v>
      </c>
      <c r="F72" s="79">
        <v>6.6844728438246997E-3</v>
      </c>
      <c r="G72" s="79">
        <v>9.0908830676016003E-2</v>
      </c>
      <c r="H72" s="80">
        <v>0.45454415338007997</v>
      </c>
      <c r="I72" s="79">
        <v>-5.1220818881952202E-3</v>
      </c>
      <c r="J72" s="79">
        <v>1.2144792020369499E-2</v>
      </c>
      <c r="K72" s="79">
        <v>0.67322543996883399</v>
      </c>
      <c r="L72" s="79">
        <v>0.97767884738388999</v>
      </c>
      <c r="M72" s="80">
        <v>1</v>
      </c>
      <c r="N72" s="79">
        <v>-6.2599309224521402E-3</v>
      </c>
      <c r="O72" s="79">
        <v>1.20771220390441E-2</v>
      </c>
      <c r="P72" s="79">
        <v>0.604251991418984</v>
      </c>
      <c r="Q72" s="79">
        <v>0.97247377473973196</v>
      </c>
      <c r="R72" s="80">
        <v>1</v>
      </c>
      <c r="S72" s="79">
        <v>6.3707492184927102E-3</v>
      </c>
      <c r="T72" s="79">
        <v>1.20575602431499E-2</v>
      </c>
      <c r="U72" s="79">
        <v>0.59727269040216402</v>
      </c>
      <c r="V72" s="79">
        <v>0.94242446439522198</v>
      </c>
      <c r="W72" s="80">
        <v>1</v>
      </c>
    </row>
    <row r="73" spans="2:23" x14ac:dyDescent="0.2">
      <c r="B73" s="65" t="s">
        <v>2943</v>
      </c>
      <c r="C73" s="66" t="s">
        <v>2070</v>
      </c>
      <c r="D73" s="81">
        <v>4.2553461820969397E-2</v>
      </c>
      <c r="E73" s="81">
        <v>1.17950023937079E-2</v>
      </c>
      <c r="F73" s="81">
        <v>3.11889110086686E-4</v>
      </c>
      <c r="G73" s="81">
        <v>1.8932634934346999E-2</v>
      </c>
      <c r="H73" s="90">
        <v>2.1208459485894601E-2</v>
      </c>
      <c r="I73" s="79">
        <v>-2.1436249553922999E-4</v>
      </c>
      <c r="J73" s="79">
        <v>1.1749561655409701E-2</v>
      </c>
      <c r="K73" s="79">
        <v>0.98544470022053299</v>
      </c>
      <c r="L73" s="79">
        <v>0.98544470022053299</v>
      </c>
      <c r="M73" s="87">
        <v>1</v>
      </c>
      <c r="N73" s="79">
        <v>-2.1218904550507799E-2</v>
      </c>
      <c r="O73" s="79">
        <v>1.16788455105738E-2</v>
      </c>
      <c r="P73" s="79">
        <v>6.9297644113185397E-2</v>
      </c>
      <c r="Q73" s="79">
        <v>0.80266324849874604</v>
      </c>
      <c r="R73" s="87">
        <v>1</v>
      </c>
      <c r="S73" s="79">
        <v>2.9786420612034699E-3</v>
      </c>
      <c r="T73" s="79">
        <v>1.1660575604155701E-2</v>
      </c>
      <c r="U73" s="79">
        <v>0.79838953940269497</v>
      </c>
      <c r="V73" s="79">
        <v>0.95002577958507395</v>
      </c>
      <c r="W73" s="87">
        <v>1</v>
      </c>
    </row>
    <row r="74" spans="2:23" x14ac:dyDescent="0.2">
      <c r="B74" s="146" t="s">
        <v>2073</v>
      </c>
      <c r="C74" s="146"/>
      <c r="D74" s="146"/>
      <c r="E74" s="146"/>
      <c r="F74" s="146"/>
      <c r="G74" s="146"/>
      <c r="H74" s="146"/>
      <c r="I74" s="146"/>
      <c r="J74" s="146"/>
      <c r="K74" s="146"/>
      <c r="L74" s="146"/>
      <c r="M74" s="146"/>
      <c r="N74" s="146"/>
      <c r="O74" s="146"/>
      <c r="P74" s="146"/>
      <c r="Q74" s="146"/>
      <c r="R74" s="146"/>
      <c r="S74" s="146"/>
      <c r="T74" s="146"/>
      <c r="U74" s="146"/>
      <c r="V74" s="146"/>
      <c r="W74" s="146"/>
    </row>
    <row r="75" spans="2:23" x14ac:dyDescent="0.2">
      <c r="C75" s="59"/>
      <c r="D75" s="59"/>
      <c r="E75" s="59"/>
      <c r="F75" s="59"/>
      <c r="G75" s="59"/>
      <c r="H75" s="59"/>
      <c r="I75" s="59"/>
      <c r="J75" s="59"/>
      <c r="K75" s="59"/>
      <c r="L75" s="59"/>
      <c r="M75" s="59"/>
      <c r="N75" s="59"/>
      <c r="O75" s="59"/>
      <c r="P75" s="59"/>
      <c r="Q75" s="59"/>
      <c r="R75" s="59"/>
      <c r="S75" s="59"/>
      <c r="T75" s="59"/>
      <c r="U75" s="59"/>
      <c r="V75" s="59"/>
      <c r="W75" s="59"/>
    </row>
    <row r="76" spans="2:23" x14ac:dyDescent="0.2">
      <c r="C76" s="59"/>
      <c r="D76" s="59"/>
      <c r="E76" s="59"/>
      <c r="F76" s="59"/>
      <c r="G76" s="59"/>
      <c r="H76" s="59"/>
      <c r="I76" s="59"/>
      <c r="J76" s="59"/>
      <c r="K76" s="59"/>
      <c r="L76" s="59"/>
      <c r="M76" s="59"/>
      <c r="N76" s="59"/>
      <c r="O76" s="59"/>
      <c r="P76" s="59"/>
      <c r="Q76" s="59"/>
      <c r="R76" s="59"/>
      <c r="S76" s="59"/>
      <c r="T76" s="59"/>
      <c r="U76" s="59"/>
      <c r="V76" s="59"/>
      <c r="W76" s="59"/>
    </row>
    <row r="77" spans="2:23" x14ac:dyDescent="0.2">
      <c r="C77" s="23"/>
    </row>
    <row r="78" spans="2:23" x14ac:dyDescent="0.2">
      <c r="C78" s="23"/>
    </row>
    <row r="79" spans="2:23" x14ac:dyDescent="0.2">
      <c r="C79" s="23"/>
    </row>
    <row r="80" spans="2:23" x14ac:dyDescent="0.2">
      <c r="C80" s="23"/>
    </row>
    <row r="81" spans="3:3" x14ac:dyDescent="0.2">
      <c r="C81" s="23"/>
    </row>
    <row r="82" spans="3:3" x14ac:dyDescent="0.2">
      <c r="C82" s="23"/>
    </row>
    <row r="83" spans="3:3" x14ac:dyDescent="0.2">
      <c r="C83" s="23"/>
    </row>
    <row r="84" spans="3:3" x14ac:dyDescent="0.2">
      <c r="C84" s="23"/>
    </row>
  </sheetData>
  <sortState xmlns:xlrd2="http://schemas.microsoft.com/office/spreadsheetml/2017/richdata2" ref="C6:W73">
    <sortCondition ref="C6:C73"/>
  </sortState>
  <mergeCells count="5">
    <mergeCell ref="D4:H4"/>
    <mergeCell ref="I4:M4"/>
    <mergeCell ref="N4:R4"/>
    <mergeCell ref="S4:W4"/>
    <mergeCell ref="B74:W7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967C1-3E37-A54C-93CF-A7BE46188ECB}">
  <dimension ref="B2:W84"/>
  <sheetViews>
    <sheetView showGridLines="0" workbookViewId="0">
      <selection activeCell="B2" sqref="B2"/>
    </sheetView>
  </sheetViews>
  <sheetFormatPr baseColWidth="10" defaultRowHeight="16" x14ac:dyDescent="0.2"/>
  <cols>
    <col min="2" max="2" width="27.6640625" customWidth="1"/>
    <col min="3" max="3" width="23.83203125" customWidth="1"/>
    <col min="8" max="8" width="13.1640625" customWidth="1"/>
  </cols>
  <sheetData>
    <row r="2" spans="2:23" x14ac:dyDescent="0.2">
      <c r="B2" s="51" t="s">
        <v>8546</v>
      </c>
    </row>
    <row r="3" spans="2:23" x14ac:dyDescent="0.2">
      <c r="C3" s="51"/>
    </row>
    <row r="4" spans="2:23" x14ac:dyDescent="0.2">
      <c r="D4" s="145" t="s">
        <v>79</v>
      </c>
      <c r="E4" s="145"/>
      <c r="F4" s="145"/>
      <c r="G4" s="145"/>
      <c r="H4" s="145"/>
      <c r="I4" s="145" t="s">
        <v>763</v>
      </c>
      <c r="J4" s="145"/>
      <c r="K4" s="145"/>
      <c r="L4" s="145"/>
      <c r="M4" s="145"/>
      <c r="N4" s="145" t="s">
        <v>764</v>
      </c>
      <c r="O4" s="145"/>
      <c r="P4" s="145"/>
      <c r="Q4" s="145"/>
      <c r="R4" s="145"/>
      <c r="S4" s="145" t="s">
        <v>765</v>
      </c>
      <c r="T4" s="145"/>
      <c r="U4" s="145"/>
      <c r="V4" s="145"/>
      <c r="W4" s="145"/>
    </row>
    <row r="5" spans="2:23" x14ac:dyDescent="0.2">
      <c r="B5" s="66" t="s">
        <v>2875</v>
      </c>
      <c r="C5" s="66" t="s">
        <v>2857</v>
      </c>
      <c r="D5" s="21" t="s">
        <v>81</v>
      </c>
      <c r="E5" s="21" t="s">
        <v>82</v>
      </c>
      <c r="F5" s="21" t="s">
        <v>83</v>
      </c>
      <c r="G5" s="21" t="s">
        <v>761</v>
      </c>
      <c r="H5" s="22" t="s">
        <v>762</v>
      </c>
      <c r="I5" s="21" t="s">
        <v>81</v>
      </c>
      <c r="J5" s="21" t="s">
        <v>82</v>
      </c>
      <c r="K5" s="21" t="s">
        <v>83</v>
      </c>
      <c r="L5" s="21" t="s">
        <v>761</v>
      </c>
      <c r="M5" s="22" t="s">
        <v>762</v>
      </c>
      <c r="N5" s="21" t="s">
        <v>81</v>
      </c>
      <c r="O5" s="21" t="s">
        <v>82</v>
      </c>
      <c r="P5" s="21" t="s">
        <v>83</v>
      </c>
      <c r="Q5" s="21" t="s">
        <v>761</v>
      </c>
      <c r="R5" s="22" t="s">
        <v>762</v>
      </c>
      <c r="S5" s="21" t="s">
        <v>81</v>
      </c>
      <c r="T5" s="21" t="s">
        <v>82</v>
      </c>
      <c r="U5" s="21" t="s">
        <v>83</v>
      </c>
      <c r="V5" s="21" t="s">
        <v>761</v>
      </c>
      <c r="W5" s="22" t="s">
        <v>762</v>
      </c>
    </row>
    <row r="6" spans="2:23" x14ac:dyDescent="0.2">
      <c r="B6" s="76" t="s">
        <v>2944</v>
      </c>
      <c r="C6" s="65" t="s">
        <v>1552</v>
      </c>
      <c r="D6" s="79">
        <v>7.3808530287759796E-3</v>
      </c>
      <c r="E6" s="79">
        <v>1.16691538363634E-2</v>
      </c>
      <c r="F6" s="79">
        <v>0.527084442139511</v>
      </c>
      <c r="G6" s="79">
        <v>0.95588112304684103</v>
      </c>
      <c r="H6" s="80">
        <v>1</v>
      </c>
      <c r="I6" s="79">
        <v>1.25798453770452E-2</v>
      </c>
      <c r="J6" s="79">
        <v>1.1593093779676201E-2</v>
      </c>
      <c r="K6" s="79">
        <v>0.27792673039639598</v>
      </c>
      <c r="L6" s="79">
        <v>0.52497271297097103</v>
      </c>
      <c r="M6" s="80">
        <v>1</v>
      </c>
      <c r="N6" s="79">
        <v>-9.5040292941523195E-3</v>
      </c>
      <c r="O6" s="79">
        <v>1.1541063604751199E-2</v>
      </c>
      <c r="P6" s="79">
        <v>0.410267447484091</v>
      </c>
      <c r="Q6" s="79">
        <v>0.90599199647750905</v>
      </c>
      <c r="R6" s="80">
        <v>1</v>
      </c>
      <c r="S6" s="79">
        <v>7.9311085216714101E-3</v>
      </c>
      <c r="T6" s="79">
        <v>1.15218635283496E-2</v>
      </c>
      <c r="U6" s="79">
        <v>0.49126441855360597</v>
      </c>
      <c r="V6" s="79">
        <v>0.85656360158064604</v>
      </c>
      <c r="W6" s="80">
        <v>1</v>
      </c>
    </row>
    <row r="7" spans="2:23" x14ac:dyDescent="0.2">
      <c r="B7" s="76" t="s">
        <v>2945</v>
      </c>
      <c r="C7" s="65" t="s">
        <v>1620</v>
      </c>
      <c r="D7" s="79">
        <v>-1.8141931331185201E-2</v>
      </c>
      <c r="E7" s="79">
        <v>1.1974565607866101E-2</v>
      </c>
      <c r="F7" s="79">
        <v>0.12982886800058999</v>
      </c>
      <c r="G7" s="79">
        <v>0.77488485251205896</v>
      </c>
      <c r="H7" s="80">
        <v>1</v>
      </c>
      <c r="I7" s="79">
        <v>1.8109575538797699E-3</v>
      </c>
      <c r="J7" s="79">
        <v>1.19057856448248E-2</v>
      </c>
      <c r="K7" s="79">
        <v>0.87910879356859495</v>
      </c>
      <c r="L7" s="79">
        <v>0.96418383810749098</v>
      </c>
      <c r="M7" s="80">
        <v>1</v>
      </c>
      <c r="N7" s="79">
        <v>-3.0031893914513198E-2</v>
      </c>
      <c r="O7" s="79">
        <v>1.1843869121764701E-2</v>
      </c>
      <c r="P7" s="79">
        <v>1.12557902455844E-2</v>
      </c>
      <c r="Q7" s="79">
        <v>0.38269686834986899</v>
      </c>
      <c r="R7" s="80">
        <v>0.76539373669973898</v>
      </c>
      <c r="S7" s="79">
        <v>-2.8048876094338E-2</v>
      </c>
      <c r="T7" s="79">
        <v>1.1823854080164099E-2</v>
      </c>
      <c r="U7" s="79">
        <v>1.77207052813994E-2</v>
      </c>
      <c r="V7" s="79">
        <v>0.40166931971171899</v>
      </c>
      <c r="W7" s="80">
        <v>1</v>
      </c>
    </row>
    <row r="8" spans="2:23" x14ac:dyDescent="0.2">
      <c r="B8" s="76" t="s">
        <v>2946</v>
      </c>
      <c r="C8" s="65" t="s">
        <v>1554</v>
      </c>
      <c r="D8" s="79">
        <v>-2.3992600226514199E-2</v>
      </c>
      <c r="E8" s="79">
        <v>1.29215868789427E-2</v>
      </c>
      <c r="F8" s="79">
        <v>6.34011296602605E-2</v>
      </c>
      <c r="G8" s="79">
        <v>0.54570603209194801</v>
      </c>
      <c r="H8" s="80">
        <v>1</v>
      </c>
      <c r="I8" s="79">
        <v>-8.3519700509810703E-4</v>
      </c>
      <c r="J8" s="79">
        <v>1.2857574233756001E-2</v>
      </c>
      <c r="K8" s="79">
        <v>0.94821041115268001</v>
      </c>
      <c r="L8" s="79">
        <v>0.98902148538128798</v>
      </c>
      <c r="M8" s="80">
        <v>1</v>
      </c>
      <c r="N8" s="79">
        <v>9.7214473560882902E-3</v>
      </c>
      <c r="O8" s="79">
        <v>1.27905306019051E-2</v>
      </c>
      <c r="P8" s="79">
        <v>0.447260706544023</v>
      </c>
      <c r="Q8" s="79">
        <v>0.90599199647750905</v>
      </c>
      <c r="R8" s="80">
        <v>1</v>
      </c>
      <c r="S8" s="79">
        <v>-1.00263273595756E-2</v>
      </c>
      <c r="T8" s="79">
        <v>1.27641833483379E-2</v>
      </c>
      <c r="U8" s="79">
        <v>0.432195239627646</v>
      </c>
      <c r="V8" s="79">
        <v>0.85656360158064604</v>
      </c>
      <c r="W8" s="80">
        <v>1</v>
      </c>
    </row>
    <row r="9" spans="2:23" x14ac:dyDescent="0.2">
      <c r="B9" s="76" t="s">
        <v>2947</v>
      </c>
      <c r="C9" s="65" t="s">
        <v>1622</v>
      </c>
      <c r="D9" s="79">
        <v>-2.4084386268459601E-2</v>
      </c>
      <c r="E9" s="79">
        <v>1.36511941836769E-2</v>
      </c>
      <c r="F9" s="79">
        <v>7.7748910678246796E-2</v>
      </c>
      <c r="G9" s="79">
        <v>0.58743621401342105</v>
      </c>
      <c r="H9" s="80">
        <v>1</v>
      </c>
      <c r="I9" s="79">
        <v>-9.9439053602356098E-3</v>
      </c>
      <c r="J9" s="79">
        <v>1.35805239240793E-2</v>
      </c>
      <c r="K9" s="79">
        <v>0.46407083458456899</v>
      </c>
      <c r="L9" s="79">
        <v>0.78892041879376795</v>
      </c>
      <c r="M9" s="80">
        <v>1</v>
      </c>
      <c r="N9" s="79">
        <v>1.7343958624320598E-2</v>
      </c>
      <c r="O9" s="79">
        <v>1.35107326466924E-2</v>
      </c>
      <c r="P9" s="79">
        <v>0.199301855116262</v>
      </c>
      <c r="Q9" s="79">
        <v>0.90350174319372001</v>
      </c>
      <c r="R9" s="80">
        <v>1</v>
      </c>
      <c r="S9" s="79">
        <v>-3.9603675598485696E-3</v>
      </c>
      <c r="T9" s="79">
        <v>1.3486713928064799E-2</v>
      </c>
      <c r="U9" s="79">
        <v>0.76903815451934399</v>
      </c>
      <c r="V9" s="79">
        <v>0.92345150921568397</v>
      </c>
      <c r="W9" s="80">
        <v>1</v>
      </c>
    </row>
    <row r="10" spans="2:23" x14ac:dyDescent="0.2">
      <c r="B10" s="76" t="s">
        <v>2948</v>
      </c>
      <c r="C10" s="65" t="s">
        <v>1556</v>
      </c>
      <c r="D10" s="79">
        <v>3.9172701208744203E-3</v>
      </c>
      <c r="E10" s="79">
        <v>9.7300799397203597E-3</v>
      </c>
      <c r="F10" s="79">
        <v>0.68726486287343103</v>
      </c>
      <c r="G10" s="79">
        <v>0.95588112304684103</v>
      </c>
      <c r="H10" s="80">
        <v>1</v>
      </c>
      <c r="I10" s="79">
        <v>4.0271674097248703E-3</v>
      </c>
      <c r="J10" s="79">
        <v>9.6741789371288592E-3</v>
      </c>
      <c r="K10" s="79">
        <v>0.67722383505261596</v>
      </c>
      <c r="L10" s="79">
        <v>0.79921926687507205</v>
      </c>
      <c r="M10" s="80">
        <v>1</v>
      </c>
      <c r="N10" s="79">
        <v>-7.7635371380027499E-3</v>
      </c>
      <c r="O10" s="79">
        <v>9.6266693400657698E-3</v>
      </c>
      <c r="P10" s="79">
        <v>0.42001674719613902</v>
      </c>
      <c r="Q10" s="79">
        <v>0.90599199647750905</v>
      </c>
      <c r="R10" s="80">
        <v>1</v>
      </c>
      <c r="S10" s="79">
        <v>-8.6458986849303804E-5</v>
      </c>
      <c r="T10" s="79">
        <v>9.6080856615140507E-3</v>
      </c>
      <c r="U10" s="79">
        <v>0.99282065268458597</v>
      </c>
      <c r="V10" s="79">
        <v>0.99282065268458597</v>
      </c>
      <c r="W10" s="80">
        <v>1</v>
      </c>
    </row>
    <row r="11" spans="2:23" x14ac:dyDescent="0.2">
      <c r="B11" s="76" t="s">
        <v>2949</v>
      </c>
      <c r="C11" s="65" t="s">
        <v>1624</v>
      </c>
      <c r="D11" s="79">
        <v>6.2881462044021902E-3</v>
      </c>
      <c r="E11" s="79">
        <v>1.00039107700734E-2</v>
      </c>
      <c r="F11" s="79">
        <v>0.52966042994866902</v>
      </c>
      <c r="G11" s="79">
        <v>0.95588112304684103</v>
      </c>
      <c r="H11" s="80">
        <v>1</v>
      </c>
      <c r="I11" s="79">
        <v>4.44207886658202E-3</v>
      </c>
      <c r="J11" s="79">
        <v>9.9532840184813794E-3</v>
      </c>
      <c r="K11" s="79">
        <v>0.65540549558863204</v>
      </c>
      <c r="L11" s="79">
        <v>0.79921926687507205</v>
      </c>
      <c r="M11" s="80">
        <v>1</v>
      </c>
      <c r="N11" s="79">
        <v>-3.79602393913182E-3</v>
      </c>
      <c r="O11" s="79">
        <v>9.9004930811378792E-3</v>
      </c>
      <c r="P11" s="79">
        <v>0.70142661939705897</v>
      </c>
      <c r="Q11" s="79">
        <v>0.93813438499883295</v>
      </c>
      <c r="R11" s="80">
        <v>1</v>
      </c>
      <c r="S11" s="79">
        <v>-7.3256472317710999E-3</v>
      </c>
      <c r="T11" s="79">
        <v>9.8796148779143299E-3</v>
      </c>
      <c r="U11" s="79">
        <v>0.45843093266177498</v>
      </c>
      <c r="V11" s="79">
        <v>0.85656360158064604</v>
      </c>
      <c r="W11" s="80">
        <v>1</v>
      </c>
    </row>
    <row r="12" spans="2:23" x14ac:dyDescent="0.2">
      <c r="B12" s="76" t="s">
        <v>2950</v>
      </c>
      <c r="C12" s="65" t="s">
        <v>1558</v>
      </c>
      <c r="D12" s="79">
        <v>-6.4249627059602401E-3</v>
      </c>
      <c r="E12" s="79">
        <v>1.2046229313009299E-2</v>
      </c>
      <c r="F12" s="79">
        <v>0.59380902190509399</v>
      </c>
      <c r="G12" s="79">
        <v>0.95588112304684103</v>
      </c>
      <c r="H12" s="80">
        <v>1</v>
      </c>
      <c r="I12" s="79">
        <v>2.43417048291312E-2</v>
      </c>
      <c r="J12" s="79">
        <v>1.1980606878878501E-2</v>
      </c>
      <c r="K12" s="79">
        <v>4.2231482345559603E-2</v>
      </c>
      <c r="L12" s="79">
        <v>0.28717407994980498</v>
      </c>
      <c r="M12" s="80">
        <v>1</v>
      </c>
      <c r="N12" s="79">
        <v>1.2204152173363399E-2</v>
      </c>
      <c r="O12" s="79">
        <v>1.1920413905536199E-2</v>
      </c>
      <c r="P12" s="79">
        <v>0.30597827182940501</v>
      </c>
      <c r="Q12" s="79">
        <v>0.90599199647750905</v>
      </c>
      <c r="R12" s="80">
        <v>1</v>
      </c>
      <c r="S12" s="79">
        <v>4.4997243161887298E-3</v>
      </c>
      <c r="T12" s="79">
        <v>1.1896238714146299E-2</v>
      </c>
      <c r="U12" s="79">
        <v>0.70526277110640001</v>
      </c>
      <c r="V12" s="79">
        <v>0.92345150921568397</v>
      </c>
      <c r="W12" s="80">
        <v>1</v>
      </c>
    </row>
    <row r="13" spans="2:23" x14ac:dyDescent="0.2">
      <c r="B13" s="76" t="s">
        <v>2951</v>
      </c>
      <c r="C13" s="65" t="s">
        <v>1626</v>
      </c>
      <c r="D13" s="79">
        <v>-5.9435018126287502E-3</v>
      </c>
      <c r="E13" s="79">
        <v>1.19820382119871E-2</v>
      </c>
      <c r="F13" s="79">
        <v>0.61989217212426995</v>
      </c>
      <c r="G13" s="79">
        <v>0.95588112304684103</v>
      </c>
      <c r="H13" s="80">
        <v>1</v>
      </c>
      <c r="I13" s="79">
        <v>1.6287754258741401E-2</v>
      </c>
      <c r="J13" s="79">
        <v>1.1918024037388701E-2</v>
      </c>
      <c r="K13" s="79">
        <v>0.17179777873834301</v>
      </c>
      <c r="L13" s="79">
        <v>0.44640948575516298</v>
      </c>
      <c r="M13" s="80">
        <v>1</v>
      </c>
      <c r="N13" s="79">
        <v>1.40696208860302E-2</v>
      </c>
      <c r="O13" s="79">
        <v>1.18560529610954E-2</v>
      </c>
      <c r="P13" s="79">
        <v>0.23540141773626599</v>
      </c>
      <c r="Q13" s="79">
        <v>0.90599199647750905</v>
      </c>
      <c r="R13" s="80">
        <v>1</v>
      </c>
      <c r="S13" s="79">
        <v>1.1962212440396899E-2</v>
      </c>
      <c r="T13" s="79">
        <v>1.18323853578952E-2</v>
      </c>
      <c r="U13" s="79">
        <v>0.31207904255008301</v>
      </c>
      <c r="V13" s="79">
        <v>0.852580329968193</v>
      </c>
      <c r="W13" s="80">
        <v>1</v>
      </c>
    </row>
    <row r="14" spans="2:23" x14ac:dyDescent="0.2">
      <c r="B14" s="76" t="s">
        <v>2952</v>
      </c>
      <c r="C14" s="65" t="s">
        <v>1560</v>
      </c>
      <c r="D14" s="79">
        <v>2.4589363295326402E-2</v>
      </c>
      <c r="E14" s="79">
        <v>1.3282922943400201E-2</v>
      </c>
      <c r="F14" s="79">
        <v>6.4200709657876207E-2</v>
      </c>
      <c r="G14" s="79">
        <v>0.54570603209194801</v>
      </c>
      <c r="H14" s="80">
        <v>1</v>
      </c>
      <c r="I14" s="79">
        <v>-8.6793390648797399E-3</v>
      </c>
      <c r="J14" s="79">
        <v>1.3216121638459E-2</v>
      </c>
      <c r="K14" s="79">
        <v>0.51138977370370098</v>
      </c>
      <c r="L14" s="79">
        <v>0.79921926687507205</v>
      </c>
      <c r="M14" s="80">
        <v>1</v>
      </c>
      <c r="N14" s="79">
        <v>1.9098503673512699E-3</v>
      </c>
      <c r="O14" s="79">
        <v>1.31503279794325E-2</v>
      </c>
      <c r="P14" s="79">
        <v>0.88453357315936898</v>
      </c>
      <c r="Q14" s="79">
        <v>0.98806882131756602</v>
      </c>
      <c r="R14" s="80">
        <v>1</v>
      </c>
      <c r="S14" s="79">
        <v>-2.4234558654240498E-3</v>
      </c>
      <c r="T14" s="79">
        <v>1.31240501517421E-2</v>
      </c>
      <c r="U14" s="79">
        <v>0.85350523311224902</v>
      </c>
      <c r="V14" s="79">
        <v>0.93610251373601405</v>
      </c>
      <c r="W14" s="80">
        <v>1</v>
      </c>
    </row>
    <row r="15" spans="2:23" x14ac:dyDescent="0.2">
      <c r="B15" s="76" t="s">
        <v>2953</v>
      </c>
      <c r="C15" s="65" t="s">
        <v>1628</v>
      </c>
      <c r="D15" s="79">
        <v>2.9117144764998298E-2</v>
      </c>
      <c r="E15" s="79">
        <v>1.3530077873002099E-2</v>
      </c>
      <c r="F15" s="79">
        <v>3.14431913021231E-2</v>
      </c>
      <c r="G15" s="79">
        <v>0.504215458027648</v>
      </c>
      <c r="H15" s="80">
        <v>1</v>
      </c>
      <c r="I15" s="79">
        <v>1.34456410622622E-2</v>
      </c>
      <c r="J15" s="79">
        <v>1.3462937841313499E-2</v>
      </c>
      <c r="K15" s="79">
        <v>0.31798194639456201</v>
      </c>
      <c r="L15" s="79">
        <v>0.58439925283324901</v>
      </c>
      <c r="M15" s="80">
        <v>1</v>
      </c>
      <c r="N15" s="79">
        <v>1.8837720021368199E-3</v>
      </c>
      <c r="O15" s="79">
        <v>1.33952600819723E-2</v>
      </c>
      <c r="P15" s="79">
        <v>0.88816819104668998</v>
      </c>
      <c r="Q15" s="79">
        <v>0.98806882131756602</v>
      </c>
      <c r="R15" s="80">
        <v>1</v>
      </c>
      <c r="S15" s="79">
        <v>-2.5065797274878799E-3</v>
      </c>
      <c r="T15" s="79">
        <v>1.33695361364963E-2</v>
      </c>
      <c r="U15" s="79">
        <v>0.85128853511892399</v>
      </c>
      <c r="V15" s="79">
        <v>0.93610251373601405</v>
      </c>
      <c r="W15" s="80">
        <v>1</v>
      </c>
    </row>
    <row r="16" spans="2:23" x14ac:dyDescent="0.2">
      <c r="B16" s="76" t="s">
        <v>2954</v>
      </c>
      <c r="C16" s="65" t="s">
        <v>1612</v>
      </c>
      <c r="D16" s="79">
        <v>2.2996210790480801E-4</v>
      </c>
      <c r="E16" s="79">
        <v>1.3102665729697699E-2</v>
      </c>
      <c r="F16" s="79">
        <v>0.98599795094634202</v>
      </c>
      <c r="G16" s="79">
        <v>0.98999289038954996</v>
      </c>
      <c r="H16" s="80">
        <v>1</v>
      </c>
      <c r="I16" s="79">
        <v>-1.79475276463129E-2</v>
      </c>
      <c r="J16" s="79">
        <v>1.3013700603497699E-2</v>
      </c>
      <c r="K16" s="79">
        <v>0.167921802009279</v>
      </c>
      <c r="L16" s="79">
        <v>0.44640948575516298</v>
      </c>
      <c r="M16" s="80">
        <v>1</v>
      </c>
      <c r="N16" s="79">
        <v>1.96993723493952E-2</v>
      </c>
      <c r="O16" s="79">
        <v>1.29491544093331E-2</v>
      </c>
      <c r="P16" s="79">
        <v>0.128255216589477</v>
      </c>
      <c r="Q16" s="79">
        <v>0.75512836330363398</v>
      </c>
      <c r="R16" s="80">
        <v>1</v>
      </c>
      <c r="S16" s="79">
        <v>1.20655709218118E-2</v>
      </c>
      <c r="T16" s="79">
        <v>1.29372560698525E-2</v>
      </c>
      <c r="U16" s="79">
        <v>0.35106248881043201</v>
      </c>
      <c r="V16" s="79">
        <v>0.852580329968193</v>
      </c>
      <c r="W16" s="80">
        <v>1</v>
      </c>
    </row>
    <row r="17" spans="2:23" x14ac:dyDescent="0.2">
      <c r="B17" s="76" t="s">
        <v>2955</v>
      </c>
      <c r="C17" s="65" t="s">
        <v>1680</v>
      </c>
      <c r="D17" s="79">
        <v>-6.4772884271725303E-3</v>
      </c>
      <c r="E17" s="79">
        <v>1.2757027362736199E-2</v>
      </c>
      <c r="F17" s="79">
        <v>0.61165724785238895</v>
      </c>
      <c r="G17" s="79">
        <v>0.95588112304684103</v>
      </c>
      <c r="H17" s="80">
        <v>1</v>
      </c>
      <c r="I17" s="79">
        <v>-8.8427469636948308E-3</v>
      </c>
      <c r="J17" s="79">
        <v>1.2676799308670101E-2</v>
      </c>
      <c r="K17" s="79">
        <v>0.48549095788566499</v>
      </c>
      <c r="L17" s="79">
        <v>0.79921926687507205</v>
      </c>
      <c r="M17" s="80">
        <v>1</v>
      </c>
      <c r="N17" s="79">
        <v>-1.21955192924437E-2</v>
      </c>
      <c r="O17" s="79">
        <v>1.26180016519287E-2</v>
      </c>
      <c r="P17" s="79">
        <v>0.333834743978766</v>
      </c>
      <c r="Q17" s="79">
        <v>0.90599199647750905</v>
      </c>
      <c r="R17" s="80">
        <v>1</v>
      </c>
      <c r="S17" s="79">
        <v>-2.9053439650462698E-3</v>
      </c>
      <c r="T17" s="79">
        <v>1.25980078998181E-2</v>
      </c>
      <c r="U17" s="79">
        <v>0.81762048521020603</v>
      </c>
      <c r="V17" s="79">
        <v>0.93610251373601405</v>
      </c>
      <c r="W17" s="80">
        <v>1</v>
      </c>
    </row>
    <row r="18" spans="2:23" x14ac:dyDescent="0.2">
      <c r="B18" s="76" t="s">
        <v>2956</v>
      </c>
      <c r="C18" s="65" t="s">
        <v>1562</v>
      </c>
      <c r="D18" s="79">
        <v>8.3989681136729406E-3</v>
      </c>
      <c r="E18" s="79">
        <v>1.0175783042575199E-2</v>
      </c>
      <c r="F18" s="79">
        <v>0.40919204688070898</v>
      </c>
      <c r="G18" s="79">
        <v>0.95588112304684103</v>
      </c>
      <c r="H18" s="80">
        <v>1</v>
      </c>
      <c r="I18" s="79">
        <v>1.3923981606719999E-4</v>
      </c>
      <c r="J18" s="79">
        <v>1.0118672156453601E-2</v>
      </c>
      <c r="K18" s="79">
        <v>0.98902148538128798</v>
      </c>
      <c r="L18" s="79">
        <v>0.98902148538128798</v>
      </c>
      <c r="M18" s="80">
        <v>1</v>
      </c>
      <c r="N18" s="79">
        <v>1.6185785560465099E-3</v>
      </c>
      <c r="O18" s="79">
        <v>1.00693241750153E-2</v>
      </c>
      <c r="P18" s="79">
        <v>0.87230214677001405</v>
      </c>
      <c r="Q18" s="79">
        <v>0.98806882131756602</v>
      </c>
      <c r="R18" s="80">
        <v>1</v>
      </c>
      <c r="S18" s="79">
        <v>-6.2750618763553999E-3</v>
      </c>
      <c r="T18" s="79">
        <v>1.0048356696404E-2</v>
      </c>
      <c r="U18" s="79">
        <v>0.53233767173917401</v>
      </c>
      <c r="V18" s="79">
        <v>0.88290150434789805</v>
      </c>
      <c r="W18" s="80">
        <v>1</v>
      </c>
    </row>
    <row r="19" spans="2:23" x14ac:dyDescent="0.2">
      <c r="B19" s="76" t="s">
        <v>2957</v>
      </c>
      <c r="C19" s="65" t="s">
        <v>1630</v>
      </c>
      <c r="D19" s="79">
        <v>2.3844986001099799E-2</v>
      </c>
      <c r="E19" s="79">
        <v>9.9509641770499108E-3</v>
      </c>
      <c r="F19" s="79">
        <v>1.66017710767478E-2</v>
      </c>
      <c r="G19" s="79">
        <v>0.376306811072949</v>
      </c>
      <c r="H19" s="80">
        <v>1</v>
      </c>
      <c r="I19" s="79">
        <v>-4.2458463025073098E-4</v>
      </c>
      <c r="J19" s="79">
        <v>9.8993811397804794E-3</v>
      </c>
      <c r="K19" s="79">
        <v>0.96579100713243105</v>
      </c>
      <c r="L19" s="79">
        <v>0.98902148538128798</v>
      </c>
      <c r="M19" s="80">
        <v>1</v>
      </c>
      <c r="N19" s="79">
        <v>-7.4373747111653498E-3</v>
      </c>
      <c r="O19" s="79">
        <v>9.8508748906924407E-3</v>
      </c>
      <c r="P19" s="79">
        <v>0.45028830028582001</v>
      </c>
      <c r="Q19" s="79">
        <v>0.90599199647750905</v>
      </c>
      <c r="R19" s="80">
        <v>1</v>
      </c>
      <c r="S19" s="79">
        <v>2.1183109509416401E-3</v>
      </c>
      <c r="T19" s="79">
        <v>9.8336298434008197E-3</v>
      </c>
      <c r="U19" s="79">
        <v>0.82945294664484703</v>
      </c>
      <c r="V19" s="79">
        <v>0.93610251373601405</v>
      </c>
      <c r="W19" s="80">
        <v>1</v>
      </c>
    </row>
    <row r="20" spans="2:23" x14ac:dyDescent="0.2">
      <c r="B20" s="76" t="s">
        <v>2958</v>
      </c>
      <c r="C20" s="65" t="s">
        <v>1564</v>
      </c>
      <c r="D20" s="79">
        <v>-4.0137350543800196E-3</v>
      </c>
      <c r="E20" s="79">
        <v>7.8406361625117695E-3</v>
      </c>
      <c r="F20" s="79">
        <v>0.60873435405143805</v>
      </c>
      <c r="G20" s="79">
        <v>0.95588112304684103</v>
      </c>
      <c r="H20" s="80">
        <v>1</v>
      </c>
      <c r="I20" s="79">
        <v>-1.8162038987617399E-3</v>
      </c>
      <c r="J20" s="79">
        <v>7.7968624729496498E-3</v>
      </c>
      <c r="K20" s="79">
        <v>0.81581775360402298</v>
      </c>
      <c r="L20" s="79">
        <v>0.90943618434546802</v>
      </c>
      <c r="M20" s="80">
        <v>1</v>
      </c>
      <c r="N20" s="79">
        <v>2.5236568598188298E-3</v>
      </c>
      <c r="O20" s="79">
        <v>7.7585938105469302E-3</v>
      </c>
      <c r="P20" s="79">
        <v>0.74498907044024998</v>
      </c>
      <c r="Q20" s="79">
        <v>0.93813438499883295</v>
      </c>
      <c r="R20" s="80">
        <v>1</v>
      </c>
      <c r="S20" s="79">
        <v>-6.7561158715194504E-3</v>
      </c>
      <c r="T20" s="79">
        <v>7.74162287143182E-3</v>
      </c>
      <c r="U20" s="79">
        <v>0.38287010286288697</v>
      </c>
      <c r="V20" s="79">
        <v>0.85656360158064604</v>
      </c>
      <c r="W20" s="80">
        <v>1</v>
      </c>
    </row>
    <row r="21" spans="2:23" x14ac:dyDescent="0.2">
      <c r="B21" s="76" t="s">
        <v>2959</v>
      </c>
      <c r="C21" s="65" t="s">
        <v>1632</v>
      </c>
      <c r="D21" s="79">
        <v>1.39487246894061E-3</v>
      </c>
      <c r="E21" s="79">
        <v>7.6946495747714002E-3</v>
      </c>
      <c r="F21" s="79">
        <v>0.85615677956640501</v>
      </c>
      <c r="G21" s="79">
        <v>0.970311016841925</v>
      </c>
      <c r="H21" s="80">
        <v>1</v>
      </c>
      <c r="I21" s="79">
        <v>4.0258073244828002E-3</v>
      </c>
      <c r="J21" s="79">
        <v>7.6520081625949697E-3</v>
      </c>
      <c r="K21" s="79">
        <v>0.59883533179552795</v>
      </c>
      <c r="L21" s="79">
        <v>0.79921926687507205</v>
      </c>
      <c r="M21" s="80">
        <v>1</v>
      </c>
      <c r="N21" s="79">
        <v>6.2626672643874403E-3</v>
      </c>
      <c r="O21" s="79">
        <v>7.6137577765705003E-3</v>
      </c>
      <c r="P21" s="79">
        <v>0.41080677704924401</v>
      </c>
      <c r="Q21" s="79">
        <v>0.90599199647750905</v>
      </c>
      <c r="R21" s="80">
        <v>1</v>
      </c>
      <c r="S21" s="79">
        <v>2.8947157000191E-4</v>
      </c>
      <c r="T21" s="79">
        <v>7.5982010563547297E-3</v>
      </c>
      <c r="U21" s="79">
        <v>0.96961161121527695</v>
      </c>
      <c r="V21" s="79">
        <v>0.98408342630804202</v>
      </c>
      <c r="W21" s="80">
        <v>1</v>
      </c>
    </row>
    <row r="22" spans="2:23" x14ac:dyDescent="0.2">
      <c r="B22" s="76" t="s">
        <v>2960</v>
      </c>
      <c r="C22" s="65" t="s">
        <v>1566</v>
      </c>
      <c r="D22" s="79">
        <v>-7.3745095438527697E-3</v>
      </c>
      <c r="E22" s="79">
        <v>1.0131996163155001E-2</v>
      </c>
      <c r="F22" s="79">
        <v>0.46674381837621998</v>
      </c>
      <c r="G22" s="79">
        <v>0.95588112304684103</v>
      </c>
      <c r="H22" s="80">
        <v>1</v>
      </c>
      <c r="I22" s="79">
        <v>-1.7270254832093102E-2</v>
      </c>
      <c r="J22" s="79">
        <v>1.00768378014372E-2</v>
      </c>
      <c r="K22" s="79">
        <v>8.6618467021906995E-2</v>
      </c>
      <c r="L22" s="79">
        <v>0.38370426252996698</v>
      </c>
      <c r="M22" s="80">
        <v>1</v>
      </c>
      <c r="N22" s="79">
        <v>-3.4661830563095402E-3</v>
      </c>
      <c r="O22" s="79">
        <v>1.0026271561953799E-2</v>
      </c>
      <c r="P22" s="79">
        <v>0.72957538932521304</v>
      </c>
      <c r="Q22" s="79">
        <v>0.93813438499883295</v>
      </c>
      <c r="R22" s="80">
        <v>1</v>
      </c>
      <c r="S22" s="79">
        <v>-7.9265874224901302E-3</v>
      </c>
      <c r="T22" s="79">
        <v>1.00049471924281E-2</v>
      </c>
      <c r="U22" s="79">
        <v>0.42824326387441303</v>
      </c>
      <c r="V22" s="79">
        <v>0.85656360158064604</v>
      </c>
      <c r="W22" s="80">
        <v>1</v>
      </c>
    </row>
    <row r="23" spans="2:23" x14ac:dyDescent="0.2">
      <c r="B23" s="76" t="s">
        <v>2961</v>
      </c>
      <c r="C23" s="65" t="s">
        <v>1634</v>
      </c>
      <c r="D23" s="79">
        <v>5.70379548567858E-3</v>
      </c>
      <c r="E23" s="79">
        <v>9.9423700395152095E-3</v>
      </c>
      <c r="F23" s="79">
        <v>0.56620714573321895</v>
      </c>
      <c r="G23" s="79">
        <v>0.95588112304684103</v>
      </c>
      <c r="H23" s="80">
        <v>1</v>
      </c>
      <c r="I23" s="79">
        <v>-2.0232247046184901E-2</v>
      </c>
      <c r="J23" s="79">
        <v>9.8819515853039996E-3</v>
      </c>
      <c r="K23" s="79">
        <v>4.0673904006223699E-2</v>
      </c>
      <c r="L23" s="79">
        <v>0.28717407994980498</v>
      </c>
      <c r="M23" s="80">
        <v>1</v>
      </c>
      <c r="N23" s="79">
        <v>-1.42637847787588E-2</v>
      </c>
      <c r="O23" s="79">
        <v>9.8358203748506699E-3</v>
      </c>
      <c r="P23" s="79">
        <v>0.147071270330624</v>
      </c>
      <c r="Q23" s="79">
        <v>0.76929587557557</v>
      </c>
      <c r="R23" s="80">
        <v>1</v>
      </c>
      <c r="S23" s="79">
        <v>5.0706367862270903E-3</v>
      </c>
      <c r="T23" s="79">
        <v>9.8182123278136493E-3</v>
      </c>
      <c r="U23" s="79">
        <v>0.60556228114181998</v>
      </c>
      <c r="V23" s="79">
        <v>0.92345150921568397</v>
      </c>
      <c r="W23" s="80">
        <v>1</v>
      </c>
    </row>
    <row r="24" spans="2:23" x14ac:dyDescent="0.2">
      <c r="B24" s="76" t="s">
        <v>2962</v>
      </c>
      <c r="C24" s="65" t="s">
        <v>1568</v>
      </c>
      <c r="D24" s="79">
        <v>-4.5701924110174196E-3</v>
      </c>
      <c r="E24" s="79">
        <v>1.37516012964881E-2</v>
      </c>
      <c r="F24" s="79">
        <v>0.73964735608563204</v>
      </c>
      <c r="G24" s="79">
        <v>0.95588112304684103</v>
      </c>
      <c r="H24" s="80">
        <v>1</v>
      </c>
      <c r="I24" s="79">
        <v>6.0362839941140696E-3</v>
      </c>
      <c r="J24" s="79">
        <v>1.36787382373845E-2</v>
      </c>
      <c r="K24" s="79">
        <v>0.65902272998437395</v>
      </c>
      <c r="L24" s="79">
        <v>0.79921926687507205</v>
      </c>
      <c r="M24" s="80">
        <v>1</v>
      </c>
      <c r="N24" s="79">
        <v>2.4873169389379699E-2</v>
      </c>
      <c r="O24" s="79">
        <v>1.36034503532616E-2</v>
      </c>
      <c r="P24" s="79">
        <v>6.7542660565338197E-2</v>
      </c>
      <c r="Q24" s="79">
        <v>0.61073143219839299</v>
      </c>
      <c r="R24" s="80">
        <v>1</v>
      </c>
      <c r="S24" s="79">
        <v>5.0297414557362698E-3</v>
      </c>
      <c r="T24" s="79">
        <v>1.3581180128155901E-2</v>
      </c>
      <c r="U24" s="79">
        <v>0.711140170186217</v>
      </c>
      <c r="V24" s="79">
        <v>0.92345150921568397</v>
      </c>
      <c r="W24" s="80">
        <v>1</v>
      </c>
    </row>
    <row r="25" spans="2:23" x14ac:dyDescent="0.2">
      <c r="B25" s="76" t="s">
        <v>2963</v>
      </c>
      <c r="C25" s="65" t="s">
        <v>1636</v>
      </c>
      <c r="D25" s="79">
        <v>-2.8179237827966799E-2</v>
      </c>
      <c r="E25" s="79">
        <v>1.4019842550409001E-2</v>
      </c>
      <c r="F25" s="79">
        <v>4.4489599237733699E-2</v>
      </c>
      <c r="G25" s="79">
        <v>0.504215458027648</v>
      </c>
      <c r="H25" s="80">
        <v>1</v>
      </c>
      <c r="I25" s="79">
        <v>-8.1827333158499792E-3</v>
      </c>
      <c r="J25" s="79">
        <v>1.3954294279586801E-2</v>
      </c>
      <c r="K25" s="79">
        <v>0.55763646732347005</v>
      </c>
      <c r="L25" s="79">
        <v>0.79921926687507205</v>
      </c>
      <c r="M25" s="80">
        <v>1</v>
      </c>
      <c r="N25" s="79">
        <v>-1.4752248096792299E-3</v>
      </c>
      <c r="O25" s="79">
        <v>1.3879124169030199E-2</v>
      </c>
      <c r="P25" s="79">
        <v>0.91535580079738099</v>
      </c>
      <c r="Q25" s="79">
        <v>0.98806882131756602</v>
      </c>
      <c r="R25" s="80">
        <v>1</v>
      </c>
      <c r="S25" s="79">
        <v>-1.70736100659536E-2</v>
      </c>
      <c r="T25" s="79">
        <v>1.3850470620683701E-2</v>
      </c>
      <c r="U25" s="79">
        <v>0.21774194859423299</v>
      </c>
      <c r="V25" s="79">
        <v>0.852580329968193</v>
      </c>
      <c r="W25" s="80">
        <v>1</v>
      </c>
    </row>
    <row r="26" spans="2:23" x14ac:dyDescent="0.2">
      <c r="B26" s="76" t="s">
        <v>2964</v>
      </c>
      <c r="C26" s="65" t="s">
        <v>1618</v>
      </c>
      <c r="D26" s="79">
        <v>-3.9326695890463904E-3</v>
      </c>
      <c r="E26" s="79">
        <v>1.21277493936771E-2</v>
      </c>
      <c r="F26" s="79">
        <v>0.74574695591600804</v>
      </c>
      <c r="G26" s="79">
        <v>0.95588112304684103</v>
      </c>
      <c r="H26" s="80">
        <v>1</v>
      </c>
      <c r="I26" s="79">
        <v>-1.6636526828455601E-2</v>
      </c>
      <c r="J26" s="79">
        <v>1.20644090880654E-2</v>
      </c>
      <c r="K26" s="79">
        <v>0.16796454268228</v>
      </c>
      <c r="L26" s="79">
        <v>0.44640948575516298</v>
      </c>
      <c r="M26" s="80">
        <v>1</v>
      </c>
      <c r="N26" s="79">
        <v>2.1551551786670102E-3</v>
      </c>
      <c r="O26" s="79">
        <v>1.2002412025726401E-2</v>
      </c>
      <c r="P26" s="79">
        <v>0.85750517284542505</v>
      </c>
      <c r="Q26" s="79">
        <v>0.98806882131756602</v>
      </c>
      <c r="R26" s="80">
        <v>1</v>
      </c>
      <c r="S26" s="79">
        <v>-1.21585806267789E-3</v>
      </c>
      <c r="T26" s="79">
        <v>1.1976829515451801E-2</v>
      </c>
      <c r="U26" s="79">
        <v>0.91914373050386</v>
      </c>
      <c r="V26" s="79">
        <v>0.96156574883480805</v>
      </c>
      <c r="W26" s="80">
        <v>1</v>
      </c>
    </row>
    <row r="27" spans="2:23" x14ac:dyDescent="0.2">
      <c r="B27" s="76" t="s">
        <v>2965</v>
      </c>
      <c r="C27" s="65" t="s">
        <v>1686</v>
      </c>
      <c r="D27" s="79">
        <v>7.2222778887600302E-4</v>
      </c>
      <c r="E27" s="79">
        <v>1.22612004611099E-2</v>
      </c>
      <c r="F27" s="79">
        <v>0.95303133967176201</v>
      </c>
      <c r="G27" s="79">
        <v>0.98999289038954996</v>
      </c>
      <c r="H27" s="80">
        <v>1</v>
      </c>
      <c r="I27" s="79">
        <v>-2.67793734262054E-2</v>
      </c>
      <c r="J27" s="79">
        <v>1.21923647989333E-2</v>
      </c>
      <c r="K27" s="79">
        <v>2.8109621069882601E-2</v>
      </c>
      <c r="L27" s="79">
        <v>0.28717407994980498</v>
      </c>
      <c r="M27" s="80">
        <v>1</v>
      </c>
      <c r="N27" s="79">
        <v>-1.0560613517899499E-2</v>
      </c>
      <c r="O27" s="79">
        <v>1.21329029863019E-2</v>
      </c>
      <c r="P27" s="79">
        <v>0.38411811122874601</v>
      </c>
      <c r="Q27" s="79">
        <v>0.90599199647750905</v>
      </c>
      <c r="R27" s="80">
        <v>1</v>
      </c>
      <c r="S27" s="79">
        <v>-5.3387084609383502E-3</v>
      </c>
      <c r="T27" s="79">
        <v>1.21080275261662E-2</v>
      </c>
      <c r="U27" s="79">
        <v>0.65928799689530704</v>
      </c>
      <c r="V27" s="79">
        <v>0.92345150921568397</v>
      </c>
      <c r="W27" s="80">
        <v>1</v>
      </c>
    </row>
    <row r="28" spans="2:23" x14ac:dyDescent="0.2">
      <c r="B28" s="76" t="s">
        <v>2966</v>
      </c>
      <c r="C28" s="65" t="s">
        <v>1574</v>
      </c>
      <c r="D28" s="79">
        <v>6.7162775915462396E-3</v>
      </c>
      <c r="E28" s="79">
        <v>1.1479937730375899E-2</v>
      </c>
      <c r="F28" s="79">
        <v>0.558543941290218</v>
      </c>
      <c r="G28" s="79">
        <v>0.95588112304684103</v>
      </c>
      <c r="H28" s="80">
        <v>1</v>
      </c>
      <c r="I28" s="79">
        <v>1.7792312243442202E-2</v>
      </c>
      <c r="J28" s="79">
        <v>1.14238998809921E-2</v>
      </c>
      <c r="K28" s="79">
        <v>0.119423903097884</v>
      </c>
      <c r="L28" s="79">
        <v>0.38670597193600698</v>
      </c>
      <c r="M28" s="80">
        <v>1</v>
      </c>
      <c r="N28" s="79">
        <v>-3.9916593484845596E-3</v>
      </c>
      <c r="O28" s="79">
        <v>1.1361820074853399E-2</v>
      </c>
      <c r="P28" s="79">
        <v>0.72536142999040598</v>
      </c>
      <c r="Q28" s="79">
        <v>0.93813438499883295</v>
      </c>
      <c r="R28" s="80">
        <v>1</v>
      </c>
      <c r="S28" s="79">
        <v>1.0999662892812401E-2</v>
      </c>
      <c r="T28" s="79">
        <v>1.13375469437004E-2</v>
      </c>
      <c r="U28" s="79">
        <v>0.33199474043778399</v>
      </c>
      <c r="V28" s="79">
        <v>0.852580329968193</v>
      </c>
      <c r="W28" s="80">
        <v>1</v>
      </c>
    </row>
    <row r="29" spans="2:23" x14ac:dyDescent="0.2">
      <c r="B29" s="76" t="s">
        <v>2967</v>
      </c>
      <c r="C29" s="65" t="s">
        <v>1642</v>
      </c>
      <c r="D29" s="79">
        <v>5.6340757327774504E-3</v>
      </c>
      <c r="E29" s="79">
        <v>1.1459924904928699E-2</v>
      </c>
      <c r="F29" s="79">
        <v>0.62300052184756605</v>
      </c>
      <c r="G29" s="79">
        <v>0.95588112304684103</v>
      </c>
      <c r="H29" s="80">
        <v>1</v>
      </c>
      <c r="I29" s="79">
        <v>1.8071994090341902E-2</v>
      </c>
      <c r="J29" s="79">
        <v>1.1400901242020299E-2</v>
      </c>
      <c r="K29" s="79">
        <v>0.112998912601455</v>
      </c>
      <c r="L29" s="79">
        <v>0.38670597193600698</v>
      </c>
      <c r="M29" s="80">
        <v>1</v>
      </c>
      <c r="N29" s="79">
        <v>4.04084656734562E-3</v>
      </c>
      <c r="O29" s="79">
        <v>1.13415936091471E-2</v>
      </c>
      <c r="P29" s="79">
        <v>0.72164176355206899</v>
      </c>
      <c r="Q29" s="79">
        <v>0.93813438499883295</v>
      </c>
      <c r="R29" s="80">
        <v>1</v>
      </c>
      <c r="S29" s="79">
        <v>3.7176365031681901E-3</v>
      </c>
      <c r="T29" s="79">
        <v>1.1318188433811801E-2</v>
      </c>
      <c r="U29" s="79">
        <v>0.74257337427196202</v>
      </c>
      <c r="V29" s="79">
        <v>0.92345150921568397</v>
      </c>
      <c r="W29" s="80">
        <v>1</v>
      </c>
    </row>
    <row r="30" spans="2:23" x14ac:dyDescent="0.2">
      <c r="B30" s="76" t="s">
        <v>2968</v>
      </c>
      <c r="C30" s="65" t="s">
        <v>1572</v>
      </c>
      <c r="D30" s="79">
        <v>-4.1653127739008601E-3</v>
      </c>
      <c r="E30" s="79">
        <v>1.07640286848735E-2</v>
      </c>
      <c r="F30" s="79">
        <v>0.69879808251810405</v>
      </c>
      <c r="G30" s="79">
        <v>0.95588112304684103</v>
      </c>
      <c r="H30" s="80">
        <v>1</v>
      </c>
      <c r="I30" s="79">
        <v>-1.9540414226826799E-2</v>
      </c>
      <c r="J30" s="79">
        <v>1.0704158299367E-2</v>
      </c>
      <c r="K30" s="79">
        <v>6.7986927741955305E-2</v>
      </c>
      <c r="L30" s="79">
        <v>0.38370426252996698</v>
      </c>
      <c r="M30" s="80">
        <v>1</v>
      </c>
      <c r="N30" s="79">
        <v>1.49738186138595E-2</v>
      </c>
      <c r="O30" s="79">
        <v>1.06506306962142E-2</v>
      </c>
      <c r="P30" s="79">
        <v>0.159814186577278</v>
      </c>
      <c r="Q30" s="79">
        <v>0.77624033480392296</v>
      </c>
      <c r="R30" s="80">
        <v>1</v>
      </c>
      <c r="S30" s="79">
        <v>1.1209292168612099E-2</v>
      </c>
      <c r="T30" s="79">
        <v>1.06289582915198E-2</v>
      </c>
      <c r="U30" s="79">
        <v>0.29166028469842198</v>
      </c>
      <c r="V30" s="79">
        <v>0.852580329968193</v>
      </c>
      <c r="W30" s="80">
        <v>1</v>
      </c>
    </row>
    <row r="31" spans="2:23" x14ac:dyDescent="0.2">
      <c r="B31" s="76" t="s">
        <v>2969</v>
      </c>
      <c r="C31" s="65" t="s">
        <v>1640</v>
      </c>
      <c r="D31" s="79">
        <v>-5.4817023614643599E-3</v>
      </c>
      <c r="E31" s="79">
        <v>1.09985097902072E-2</v>
      </c>
      <c r="F31" s="79">
        <v>0.61822167471162204</v>
      </c>
      <c r="G31" s="79">
        <v>0.95588112304684103</v>
      </c>
      <c r="H31" s="80">
        <v>1</v>
      </c>
      <c r="I31" s="79">
        <v>-3.6704212612302299E-2</v>
      </c>
      <c r="J31" s="79">
        <v>1.0920987214657601E-2</v>
      </c>
      <c r="K31" s="79">
        <v>7.8295141686198205E-4</v>
      </c>
      <c r="L31" s="79">
        <v>2.5932504054579801E-2</v>
      </c>
      <c r="M31" s="80">
        <v>5.3240696346614803E-2</v>
      </c>
      <c r="N31" s="79">
        <v>-7.4645007417308597E-3</v>
      </c>
      <c r="O31" s="79">
        <v>1.08817687283954E-2</v>
      </c>
      <c r="P31" s="79">
        <v>0.492768536535794</v>
      </c>
      <c r="Q31" s="79">
        <v>0.90599199647750905</v>
      </c>
      <c r="R31" s="80">
        <v>1</v>
      </c>
      <c r="S31" s="79">
        <v>-1.8295810776843301E-2</v>
      </c>
      <c r="T31" s="79">
        <v>1.0857615613115599E-2</v>
      </c>
      <c r="U31" s="79">
        <v>9.20395778005038E-2</v>
      </c>
      <c r="V31" s="79">
        <v>0.852580329968193</v>
      </c>
      <c r="W31" s="80">
        <v>1</v>
      </c>
    </row>
    <row r="32" spans="2:23" x14ac:dyDescent="0.2">
      <c r="B32" s="76" t="s">
        <v>2970</v>
      </c>
      <c r="C32" s="65" t="s">
        <v>1570</v>
      </c>
      <c r="D32" s="79">
        <v>-4.76940940094634E-3</v>
      </c>
      <c r="E32" s="79">
        <v>8.5031051839753406E-3</v>
      </c>
      <c r="F32" s="79">
        <v>0.57488938199427397</v>
      </c>
      <c r="G32" s="79">
        <v>0.95588112304684103</v>
      </c>
      <c r="H32" s="80">
        <v>1</v>
      </c>
      <c r="I32" s="79">
        <v>6.5290604337826796E-3</v>
      </c>
      <c r="J32" s="79">
        <v>8.46193675156727E-3</v>
      </c>
      <c r="K32" s="79">
        <v>0.44039993622134299</v>
      </c>
      <c r="L32" s="79">
        <v>0.76787681187311196</v>
      </c>
      <c r="M32" s="80">
        <v>1</v>
      </c>
      <c r="N32" s="79">
        <v>2.3362413076350098E-2</v>
      </c>
      <c r="O32" s="79">
        <v>8.4085112732866195E-3</v>
      </c>
      <c r="P32" s="79">
        <v>5.4826885627669202E-3</v>
      </c>
      <c r="Q32" s="79">
        <v>0.37282282226815</v>
      </c>
      <c r="R32" s="80">
        <v>0.37282282226815</v>
      </c>
      <c r="S32" s="79">
        <v>-4.3211780996566402E-4</v>
      </c>
      <c r="T32" s="79">
        <v>8.3972470086555902E-3</v>
      </c>
      <c r="U32" s="79">
        <v>0.95896145734784999</v>
      </c>
      <c r="V32" s="79">
        <v>0.98408342630804202</v>
      </c>
      <c r="W32" s="80">
        <v>1</v>
      </c>
    </row>
    <row r="33" spans="2:23" x14ac:dyDescent="0.2">
      <c r="B33" s="76" t="s">
        <v>2971</v>
      </c>
      <c r="C33" s="65" t="s">
        <v>1638</v>
      </c>
      <c r="D33" s="79">
        <v>-9.3702665326318203E-4</v>
      </c>
      <c r="E33" s="79">
        <v>8.6091689308961297E-3</v>
      </c>
      <c r="F33" s="79">
        <v>0.913333365622226</v>
      </c>
      <c r="G33" s="79">
        <v>0.98999289038954996</v>
      </c>
      <c r="H33" s="80">
        <v>1</v>
      </c>
      <c r="I33" s="79">
        <v>1.17902223508274E-2</v>
      </c>
      <c r="J33" s="79">
        <v>8.5638456993129605E-3</v>
      </c>
      <c r="K33" s="79">
        <v>0.168654103439872</v>
      </c>
      <c r="L33" s="79">
        <v>0.44640948575516298</v>
      </c>
      <c r="M33" s="80">
        <v>1</v>
      </c>
      <c r="N33" s="79">
        <v>-1.9279837216692899E-3</v>
      </c>
      <c r="O33" s="79">
        <v>8.5201048364079695E-3</v>
      </c>
      <c r="P33" s="79">
        <v>0.82098802325903197</v>
      </c>
      <c r="Q33" s="79">
        <v>0.97942430844937101</v>
      </c>
      <c r="R33" s="80">
        <v>1</v>
      </c>
      <c r="S33" s="79">
        <v>4.5071617477485401E-3</v>
      </c>
      <c r="T33" s="79">
        <v>8.5017121910236707E-3</v>
      </c>
      <c r="U33" s="79">
        <v>0.59603339226018204</v>
      </c>
      <c r="V33" s="79">
        <v>0.92345150921568397</v>
      </c>
      <c r="W33" s="80">
        <v>1</v>
      </c>
    </row>
    <row r="34" spans="2:23" x14ac:dyDescent="0.2">
      <c r="B34" s="76" t="s">
        <v>2972</v>
      </c>
      <c r="C34" s="65" t="s">
        <v>1578</v>
      </c>
      <c r="D34" s="79">
        <v>-8.5502797194815104E-4</v>
      </c>
      <c r="E34" s="79">
        <v>9.8991254144712593E-3</v>
      </c>
      <c r="F34" s="79">
        <v>0.931172569024726</v>
      </c>
      <c r="G34" s="79">
        <v>0.98999289038954996</v>
      </c>
      <c r="H34" s="80">
        <v>1</v>
      </c>
      <c r="I34" s="79">
        <v>-4.6255034694229896E-3</v>
      </c>
      <c r="J34" s="79">
        <v>9.8483331753102307E-3</v>
      </c>
      <c r="K34" s="79">
        <v>0.63860924461522195</v>
      </c>
      <c r="L34" s="79">
        <v>0.79921926687507205</v>
      </c>
      <c r="M34" s="80">
        <v>1</v>
      </c>
      <c r="N34" s="79">
        <v>9.2588940856269794E-5</v>
      </c>
      <c r="O34" s="79">
        <v>9.7967761016627703E-3</v>
      </c>
      <c r="P34" s="79">
        <v>0.99245972237635305</v>
      </c>
      <c r="Q34" s="79">
        <v>0.99245972237635305</v>
      </c>
      <c r="R34" s="80">
        <v>1</v>
      </c>
      <c r="S34" s="79">
        <v>4.8968440556181499E-3</v>
      </c>
      <c r="T34" s="79">
        <v>9.7760708625095807E-3</v>
      </c>
      <c r="U34" s="79">
        <v>0.61646328148492502</v>
      </c>
      <c r="V34" s="79">
        <v>0.92345150921568397</v>
      </c>
      <c r="W34" s="80">
        <v>1</v>
      </c>
    </row>
    <row r="35" spans="2:23" x14ac:dyDescent="0.2">
      <c r="B35" s="76" t="s">
        <v>2973</v>
      </c>
      <c r="C35" s="65" t="s">
        <v>1646</v>
      </c>
      <c r="D35" s="79">
        <v>-1.0701533928221599E-3</v>
      </c>
      <c r="E35" s="79">
        <v>8.9728649876427095E-3</v>
      </c>
      <c r="F35" s="79">
        <v>0.90506984336069396</v>
      </c>
      <c r="G35" s="79">
        <v>0.98999289038954996</v>
      </c>
      <c r="H35" s="80">
        <v>1</v>
      </c>
      <c r="I35" s="79">
        <v>3.5196650657188999E-3</v>
      </c>
      <c r="J35" s="79">
        <v>8.9283122754648305E-3</v>
      </c>
      <c r="K35" s="79">
        <v>0.69344024625925405</v>
      </c>
      <c r="L35" s="79">
        <v>0.79921926687507205</v>
      </c>
      <c r="M35" s="80">
        <v>1</v>
      </c>
      <c r="N35" s="79">
        <v>-1.7104910101529799E-2</v>
      </c>
      <c r="O35" s="79">
        <v>8.8767782244905304E-3</v>
      </c>
      <c r="P35" s="79">
        <v>5.4045908083192602E-2</v>
      </c>
      <c r="Q35" s="79">
        <v>0.61073143219839299</v>
      </c>
      <c r="R35" s="80">
        <v>1</v>
      </c>
      <c r="S35" s="79">
        <v>-8.6346053913528894E-3</v>
      </c>
      <c r="T35" s="79">
        <v>8.8601238059088996E-3</v>
      </c>
      <c r="U35" s="79">
        <v>0.32983280522737501</v>
      </c>
      <c r="V35" s="79">
        <v>0.852580329968193</v>
      </c>
      <c r="W35" s="80">
        <v>1</v>
      </c>
    </row>
    <row r="36" spans="2:23" x14ac:dyDescent="0.2">
      <c r="B36" s="76" t="s">
        <v>2974</v>
      </c>
      <c r="C36" s="65" t="s">
        <v>1576</v>
      </c>
      <c r="D36" s="79">
        <v>-7.0913206167372202E-3</v>
      </c>
      <c r="E36" s="79">
        <v>1.2328541123764501E-2</v>
      </c>
      <c r="F36" s="79">
        <v>0.56518586701875495</v>
      </c>
      <c r="G36" s="79">
        <v>0.95588112304684103</v>
      </c>
      <c r="H36" s="80">
        <v>1</v>
      </c>
      <c r="I36" s="79">
        <v>-4.9764348301205097E-3</v>
      </c>
      <c r="J36" s="79">
        <v>1.2257604253118099E-2</v>
      </c>
      <c r="K36" s="79">
        <v>0.68476991324209102</v>
      </c>
      <c r="L36" s="79">
        <v>0.79921926687507205</v>
      </c>
      <c r="M36" s="80">
        <v>1</v>
      </c>
      <c r="N36" s="79">
        <v>6.8865033278592402E-3</v>
      </c>
      <c r="O36" s="79">
        <v>1.2198879904484001E-2</v>
      </c>
      <c r="P36" s="79">
        <v>0.57242704868552796</v>
      </c>
      <c r="Q36" s="79">
        <v>0.93813438499883295</v>
      </c>
      <c r="R36" s="80">
        <v>1</v>
      </c>
      <c r="S36" s="79">
        <v>1.95289422584549E-2</v>
      </c>
      <c r="T36" s="79">
        <v>1.21717827828228E-2</v>
      </c>
      <c r="U36" s="79">
        <v>0.108681618837175</v>
      </c>
      <c r="V36" s="79">
        <v>0.852580329968193</v>
      </c>
      <c r="W36" s="80">
        <v>1</v>
      </c>
    </row>
    <row r="37" spans="2:23" x14ac:dyDescent="0.2">
      <c r="B37" s="76" t="s">
        <v>2975</v>
      </c>
      <c r="C37" s="65" t="s">
        <v>1644</v>
      </c>
      <c r="D37" s="79">
        <v>-1.44842950390982E-2</v>
      </c>
      <c r="E37" s="79">
        <v>1.185631424287E-2</v>
      </c>
      <c r="F37" s="79">
        <v>0.221897511872128</v>
      </c>
      <c r="G37" s="79">
        <v>0.95588112304684103</v>
      </c>
      <c r="H37" s="80">
        <v>1</v>
      </c>
      <c r="I37" s="79">
        <v>-1.73421355514175E-2</v>
      </c>
      <c r="J37" s="79">
        <v>1.1788462437568301E-2</v>
      </c>
      <c r="K37" s="79">
        <v>0.141325583140751</v>
      </c>
      <c r="L37" s="79">
        <v>0.43682452970777702</v>
      </c>
      <c r="M37" s="80">
        <v>1</v>
      </c>
      <c r="N37" s="79">
        <v>2.2725285929903899E-4</v>
      </c>
      <c r="O37" s="79">
        <v>1.1734173992207299E-2</v>
      </c>
      <c r="P37" s="79">
        <v>0.984549317922781</v>
      </c>
      <c r="Q37" s="79">
        <v>0.99245972237635305</v>
      </c>
      <c r="R37" s="80">
        <v>1</v>
      </c>
      <c r="S37" s="79">
        <v>-1.3819981661658801E-3</v>
      </c>
      <c r="T37" s="79">
        <v>1.1709631613148599E-2</v>
      </c>
      <c r="U37" s="79">
        <v>0.90605476770164795</v>
      </c>
      <c r="V37" s="79">
        <v>0.96156574883480805</v>
      </c>
      <c r="W37" s="80">
        <v>1</v>
      </c>
    </row>
    <row r="38" spans="2:23" x14ac:dyDescent="0.2">
      <c r="B38" s="76" t="s">
        <v>2976</v>
      </c>
      <c r="C38" s="65" t="s">
        <v>1582</v>
      </c>
      <c r="D38" s="79">
        <v>-1.2813169034564799E-4</v>
      </c>
      <c r="E38" s="79">
        <v>1.0215373757531201E-2</v>
      </c>
      <c r="F38" s="79">
        <v>0.98999289038954996</v>
      </c>
      <c r="G38" s="79">
        <v>0.98999289038954996</v>
      </c>
      <c r="H38" s="80">
        <v>1</v>
      </c>
      <c r="I38" s="79">
        <v>1.97650640452708E-2</v>
      </c>
      <c r="J38" s="79">
        <v>1.0153386293274599E-2</v>
      </c>
      <c r="K38" s="79">
        <v>5.1635147724340198E-2</v>
      </c>
      <c r="L38" s="79">
        <v>0.31919909502319399</v>
      </c>
      <c r="M38" s="80">
        <v>1</v>
      </c>
      <c r="N38" s="79">
        <v>-2.04948598850546E-2</v>
      </c>
      <c r="O38" s="79">
        <v>1.0104846903810799E-2</v>
      </c>
      <c r="P38" s="79">
        <v>4.2592306827244499E-2</v>
      </c>
      <c r="Q38" s="79">
        <v>0.57925537285052497</v>
      </c>
      <c r="R38" s="80">
        <v>1</v>
      </c>
      <c r="S38" s="79">
        <v>-4.3884724945236096E-3</v>
      </c>
      <c r="T38" s="79">
        <v>1.00882726745574E-2</v>
      </c>
      <c r="U38" s="79">
        <v>0.66357642843855102</v>
      </c>
      <c r="V38" s="79">
        <v>0.92345150921568397</v>
      </c>
      <c r="W38" s="80">
        <v>1</v>
      </c>
    </row>
    <row r="39" spans="2:23" x14ac:dyDescent="0.2">
      <c r="B39" s="76" t="s">
        <v>2977</v>
      </c>
      <c r="C39" s="65" t="s">
        <v>1650</v>
      </c>
      <c r="D39" s="79">
        <v>-7.1064052513339802E-3</v>
      </c>
      <c r="E39" s="79">
        <v>1.07269614800217E-2</v>
      </c>
      <c r="F39" s="79">
        <v>0.50769399807209603</v>
      </c>
      <c r="G39" s="79">
        <v>0.95588112304684103</v>
      </c>
      <c r="H39" s="80">
        <v>1</v>
      </c>
      <c r="I39" s="79">
        <v>2.28908007962321E-2</v>
      </c>
      <c r="J39" s="79">
        <v>1.06681758653225E-2</v>
      </c>
      <c r="K39" s="79">
        <v>3.1945071514278001E-2</v>
      </c>
      <c r="L39" s="79">
        <v>0.28717407994980498</v>
      </c>
      <c r="M39" s="80">
        <v>1</v>
      </c>
      <c r="N39" s="79">
        <v>-7.7048843256442298E-3</v>
      </c>
      <c r="O39" s="79">
        <v>1.0616209769670501E-2</v>
      </c>
      <c r="P39" s="79">
        <v>0.46801654920799202</v>
      </c>
      <c r="Q39" s="79">
        <v>0.90599199647750905</v>
      </c>
      <c r="R39" s="80">
        <v>1</v>
      </c>
      <c r="S39" s="79">
        <v>-1.48548883069698E-2</v>
      </c>
      <c r="T39" s="79">
        <v>1.05932174079497E-2</v>
      </c>
      <c r="U39" s="79">
        <v>0.16088781673809899</v>
      </c>
      <c r="V39" s="79">
        <v>0.852580329968193</v>
      </c>
      <c r="W39" s="80">
        <v>1</v>
      </c>
    </row>
    <row r="40" spans="2:23" x14ac:dyDescent="0.2">
      <c r="B40" s="76" t="s">
        <v>2978</v>
      </c>
      <c r="C40" s="65" t="s">
        <v>1580</v>
      </c>
      <c r="D40" s="79">
        <v>-1.8056868487711802E-2</v>
      </c>
      <c r="E40" s="79">
        <v>1.35610397806012E-2</v>
      </c>
      <c r="F40" s="79">
        <v>0.183077451946765</v>
      </c>
      <c r="G40" s="79">
        <v>0.90101898521338197</v>
      </c>
      <c r="H40" s="80">
        <v>1</v>
      </c>
      <c r="I40" s="79">
        <v>-1.6138860269890198E-2</v>
      </c>
      <c r="J40" s="79">
        <v>1.34906850376065E-2</v>
      </c>
      <c r="K40" s="79">
        <v>0.23163855725407001</v>
      </c>
      <c r="L40" s="79">
        <v>0.469139209534566</v>
      </c>
      <c r="M40" s="80">
        <v>1</v>
      </c>
      <c r="N40" s="79">
        <v>-6.4407483803904202E-3</v>
      </c>
      <c r="O40" s="79">
        <v>1.34216820289193E-2</v>
      </c>
      <c r="P40" s="79">
        <v>0.63133650358589599</v>
      </c>
      <c r="Q40" s="79">
        <v>0.93813438499883295</v>
      </c>
      <c r="R40" s="80">
        <v>1</v>
      </c>
      <c r="S40" s="79">
        <v>-1.9209191605936701E-2</v>
      </c>
      <c r="T40" s="79">
        <v>1.3393332585446E-2</v>
      </c>
      <c r="U40" s="79">
        <v>0.15156822762803901</v>
      </c>
      <c r="V40" s="79">
        <v>0.852580329968193</v>
      </c>
      <c r="W40" s="80">
        <v>1</v>
      </c>
    </row>
    <row r="41" spans="2:23" x14ac:dyDescent="0.2">
      <c r="B41" s="76" t="s">
        <v>2979</v>
      </c>
      <c r="C41" s="65" t="s">
        <v>1648</v>
      </c>
      <c r="D41" s="79">
        <v>7.8588250368912104E-3</v>
      </c>
      <c r="E41" s="79">
        <v>1.33460666455818E-2</v>
      </c>
      <c r="F41" s="79">
        <v>0.55598918603949099</v>
      </c>
      <c r="G41" s="79">
        <v>0.95588112304684103</v>
      </c>
      <c r="H41" s="80">
        <v>1</v>
      </c>
      <c r="I41" s="79">
        <v>-5.6713995721916202E-3</v>
      </c>
      <c r="J41" s="79">
        <v>1.3273633124396399E-2</v>
      </c>
      <c r="K41" s="79">
        <v>0.66920290873788701</v>
      </c>
      <c r="L41" s="79">
        <v>0.79921926687507205</v>
      </c>
      <c r="M41" s="80">
        <v>1</v>
      </c>
      <c r="N41" s="79">
        <v>-8.8316265433521501E-3</v>
      </c>
      <c r="O41" s="79">
        <v>1.32046628613135E-2</v>
      </c>
      <c r="P41" s="79">
        <v>0.503637647124903</v>
      </c>
      <c r="Q41" s="79">
        <v>0.90599199647750905</v>
      </c>
      <c r="R41" s="80">
        <v>1</v>
      </c>
      <c r="S41" s="79">
        <v>-1.2339045156634899E-2</v>
      </c>
      <c r="T41" s="79">
        <v>1.31790474484853E-2</v>
      </c>
      <c r="U41" s="79">
        <v>0.34918404455318203</v>
      </c>
      <c r="V41" s="79">
        <v>0.852580329968193</v>
      </c>
      <c r="W41" s="80">
        <v>1</v>
      </c>
    </row>
    <row r="42" spans="2:23" x14ac:dyDescent="0.2">
      <c r="B42" s="76" t="s">
        <v>2980</v>
      </c>
      <c r="C42" s="65" t="s">
        <v>1586</v>
      </c>
      <c r="D42" s="79">
        <v>4.1908986858119803E-3</v>
      </c>
      <c r="E42" s="79">
        <v>1.1965934532324999E-2</v>
      </c>
      <c r="F42" s="79">
        <v>0.72617732715430805</v>
      </c>
      <c r="G42" s="79">
        <v>0.95588112304684103</v>
      </c>
      <c r="H42" s="80">
        <v>1</v>
      </c>
      <c r="I42" s="79">
        <v>-3.4543259983598001E-2</v>
      </c>
      <c r="J42" s="79">
        <v>1.1880653367032199E-2</v>
      </c>
      <c r="K42" s="79">
        <v>3.66025597403246E-3</v>
      </c>
      <c r="L42" s="79">
        <v>6.2224351558551799E-2</v>
      </c>
      <c r="M42" s="80">
        <v>0.248897406234207</v>
      </c>
      <c r="N42" s="79">
        <v>1.77693374008237E-2</v>
      </c>
      <c r="O42" s="79">
        <v>1.18333023906287E-2</v>
      </c>
      <c r="P42" s="79">
        <v>0.133257946465347</v>
      </c>
      <c r="Q42" s="79">
        <v>0.75512836330363398</v>
      </c>
      <c r="R42" s="80">
        <v>1</v>
      </c>
      <c r="S42" s="79">
        <v>-8.2125738320106799E-3</v>
      </c>
      <c r="T42" s="79">
        <v>1.18150846753432E-2</v>
      </c>
      <c r="U42" s="79">
        <v>0.48703173610540501</v>
      </c>
      <c r="V42" s="79">
        <v>0.85656360158064604</v>
      </c>
      <c r="W42" s="80">
        <v>1</v>
      </c>
    </row>
    <row r="43" spans="2:23" x14ac:dyDescent="0.2">
      <c r="B43" s="76" t="s">
        <v>2981</v>
      </c>
      <c r="C43" s="65" t="s">
        <v>1654</v>
      </c>
      <c r="D43" s="79">
        <v>9.6069007575943395E-3</v>
      </c>
      <c r="E43" s="79">
        <v>1.18096326585503E-2</v>
      </c>
      <c r="F43" s="79">
        <v>0.41598263232712401</v>
      </c>
      <c r="G43" s="79">
        <v>0.95588112304684103</v>
      </c>
      <c r="H43" s="80">
        <v>1</v>
      </c>
      <c r="I43" s="81">
        <v>-4.4541174273951198E-2</v>
      </c>
      <c r="J43" s="81">
        <v>1.1722772665528999E-2</v>
      </c>
      <c r="K43" s="81">
        <v>1.46754491874181E-4</v>
      </c>
      <c r="L43" s="81">
        <v>9.9793054474443203E-3</v>
      </c>
      <c r="M43" s="82">
        <v>9.9793054474443203E-3</v>
      </c>
      <c r="N43" s="79">
        <v>9.4707646940108796E-3</v>
      </c>
      <c r="O43" s="79">
        <v>1.16848782047202E-2</v>
      </c>
      <c r="P43" s="79">
        <v>0.417684231789406</v>
      </c>
      <c r="Q43" s="79">
        <v>0.90599199647750905</v>
      </c>
      <c r="R43" s="80">
        <v>1</v>
      </c>
      <c r="S43" s="79">
        <v>-1.3878813650283201E-2</v>
      </c>
      <c r="T43" s="79">
        <v>1.16616087784561E-2</v>
      </c>
      <c r="U43" s="79">
        <v>0.23405396404246401</v>
      </c>
      <c r="V43" s="79">
        <v>0.852580329968193</v>
      </c>
      <c r="W43" s="80">
        <v>1</v>
      </c>
    </row>
    <row r="44" spans="2:23" x14ac:dyDescent="0.2">
      <c r="B44" s="76" t="s">
        <v>2982</v>
      </c>
      <c r="C44" s="65" t="s">
        <v>1584</v>
      </c>
      <c r="D44" s="79">
        <v>-5.2014140301211804E-3</v>
      </c>
      <c r="E44" s="79">
        <v>1.0368861182445699E-2</v>
      </c>
      <c r="F44" s="79">
        <v>0.61594544777563498</v>
      </c>
      <c r="G44" s="79">
        <v>0.95588112304684103</v>
      </c>
      <c r="H44" s="80">
        <v>1</v>
      </c>
      <c r="I44" s="79">
        <v>-1.7793848828242299E-2</v>
      </c>
      <c r="J44" s="79">
        <v>1.03048604202705E-2</v>
      </c>
      <c r="K44" s="79">
        <v>8.4279632263262405E-2</v>
      </c>
      <c r="L44" s="79">
        <v>0.38370426252996698</v>
      </c>
      <c r="M44" s="80">
        <v>1</v>
      </c>
      <c r="N44" s="79">
        <v>-1.5916322938182299E-2</v>
      </c>
      <c r="O44" s="79">
        <v>1.02562701142504E-2</v>
      </c>
      <c r="P44" s="79">
        <v>0.120762085483215</v>
      </c>
      <c r="Q44" s="79">
        <v>0.75512836330363398</v>
      </c>
      <c r="R44" s="80">
        <v>1</v>
      </c>
      <c r="S44" s="79">
        <v>-1.8440343326232001E-2</v>
      </c>
      <c r="T44" s="79">
        <v>1.0237363710809799E-2</v>
      </c>
      <c r="U44" s="79">
        <v>7.1722415989897106E-2</v>
      </c>
      <c r="V44" s="79">
        <v>0.852580329968193</v>
      </c>
      <c r="W44" s="80">
        <v>1</v>
      </c>
    </row>
    <row r="45" spans="2:23" x14ac:dyDescent="0.2">
      <c r="B45" s="76" t="s">
        <v>2983</v>
      </c>
      <c r="C45" s="65" t="s">
        <v>1652</v>
      </c>
      <c r="D45" s="79">
        <v>-3.5568127746225198E-2</v>
      </c>
      <c r="E45" s="79">
        <v>1.0921425272313901E-2</v>
      </c>
      <c r="F45" s="79">
        <v>1.13493082518814E-3</v>
      </c>
      <c r="G45" s="79">
        <v>7.7175296112793598E-2</v>
      </c>
      <c r="H45" s="80">
        <v>7.7175296112793598E-2</v>
      </c>
      <c r="I45" s="79">
        <v>-7.3390891770153104E-3</v>
      </c>
      <c r="J45" s="79">
        <v>1.0862103402244401E-2</v>
      </c>
      <c r="K45" s="79">
        <v>0.499289837689675</v>
      </c>
      <c r="L45" s="79">
        <v>0.79921926687507205</v>
      </c>
      <c r="M45" s="80">
        <v>1</v>
      </c>
      <c r="N45" s="79">
        <v>-7.5681200269001796E-4</v>
      </c>
      <c r="O45" s="79">
        <v>1.0812695385325199E-2</v>
      </c>
      <c r="P45" s="79">
        <v>0.944202269880838</v>
      </c>
      <c r="Q45" s="79">
        <v>0.98806882131756602</v>
      </c>
      <c r="R45" s="80">
        <v>1</v>
      </c>
      <c r="S45" s="79">
        <v>-1.1573686837463E-2</v>
      </c>
      <c r="T45" s="79">
        <v>1.0794329327688401E-2</v>
      </c>
      <c r="U45" s="79">
        <v>0.28368440878830797</v>
      </c>
      <c r="V45" s="79">
        <v>0.852580329968193</v>
      </c>
      <c r="W45" s="80">
        <v>1</v>
      </c>
    </row>
    <row r="46" spans="2:23" x14ac:dyDescent="0.2">
      <c r="B46" s="76" t="s">
        <v>2984</v>
      </c>
      <c r="C46" s="65" t="s">
        <v>1588</v>
      </c>
      <c r="D46" s="79">
        <v>-5.9657584644804201E-3</v>
      </c>
      <c r="E46" s="79">
        <v>1.08787015161395E-2</v>
      </c>
      <c r="F46" s="79">
        <v>0.58345010587719703</v>
      </c>
      <c r="G46" s="79">
        <v>0.95588112304684103</v>
      </c>
      <c r="H46" s="80">
        <v>1</v>
      </c>
      <c r="I46" s="79">
        <v>-2.47240762862612E-2</v>
      </c>
      <c r="J46" s="79">
        <v>1.08124419941936E-2</v>
      </c>
      <c r="K46" s="79">
        <v>2.22605416591376E-2</v>
      </c>
      <c r="L46" s="79">
        <v>0.28717407994980498</v>
      </c>
      <c r="M46" s="80">
        <v>1</v>
      </c>
      <c r="N46" s="79">
        <v>-6.0541535800954296E-3</v>
      </c>
      <c r="O46" s="79">
        <v>1.0762908321947101E-2</v>
      </c>
      <c r="P46" s="79">
        <v>0.57380033099038397</v>
      </c>
      <c r="Q46" s="79">
        <v>0.93813438499883295</v>
      </c>
      <c r="R46" s="80">
        <v>1</v>
      </c>
      <c r="S46" s="79">
        <v>-3.4952239382474298E-3</v>
      </c>
      <c r="T46" s="79">
        <v>1.07439412240505E-2</v>
      </c>
      <c r="U46" s="79">
        <v>0.74495255427598295</v>
      </c>
      <c r="V46" s="79">
        <v>0.92345150921568397</v>
      </c>
      <c r="W46" s="80">
        <v>1</v>
      </c>
    </row>
    <row r="47" spans="2:23" x14ac:dyDescent="0.2">
      <c r="B47" s="76" t="s">
        <v>2985</v>
      </c>
      <c r="C47" s="65" t="s">
        <v>1656</v>
      </c>
      <c r="D47" s="79">
        <v>1.73578866443675E-4</v>
      </c>
      <c r="E47" s="79">
        <v>9.8927538985599701E-3</v>
      </c>
      <c r="F47" s="79">
        <v>0.98600171517149005</v>
      </c>
      <c r="G47" s="79">
        <v>0.98999289038954996</v>
      </c>
      <c r="H47" s="80">
        <v>1</v>
      </c>
      <c r="I47" s="79">
        <v>-1.6662320007441399E-2</v>
      </c>
      <c r="J47" s="79">
        <v>9.8346282235784992E-3</v>
      </c>
      <c r="K47" s="79">
        <v>9.0283355889404004E-2</v>
      </c>
      <c r="L47" s="79">
        <v>0.38370426252996698</v>
      </c>
      <c r="M47" s="80">
        <v>1</v>
      </c>
      <c r="N47" s="79">
        <v>-3.3052354595383602E-3</v>
      </c>
      <c r="O47" s="79">
        <v>9.7887244355521503E-3</v>
      </c>
      <c r="P47" s="79">
        <v>0.73563618910846296</v>
      </c>
      <c r="Q47" s="79">
        <v>0.93813438499883295</v>
      </c>
      <c r="R47" s="80">
        <v>1</v>
      </c>
      <c r="S47" s="79">
        <v>-2.8045143108496899E-3</v>
      </c>
      <c r="T47" s="79">
        <v>9.7693786055643508E-3</v>
      </c>
      <c r="U47" s="79">
        <v>0.77406964743079398</v>
      </c>
      <c r="V47" s="79">
        <v>0.92345150921568397</v>
      </c>
      <c r="W47" s="80">
        <v>1</v>
      </c>
    </row>
    <row r="48" spans="2:23" x14ac:dyDescent="0.2">
      <c r="B48" s="76" t="s">
        <v>2986</v>
      </c>
      <c r="C48" s="65" t="s">
        <v>1598</v>
      </c>
      <c r="D48" s="79">
        <v>-2.53318165455821E-2</v>
      </c>
      <c r="E48" s="79">
        <v>8.9573772720142504E-3</v>
      </c>
      <c r="F48" s="79">
        <v>4.7025123822800304E-3</v>
      </c>
      <c r="G48" s="79">
        <v>0.15988542099752101</v>
      </c>
      <c r="H48" s="80">
        <v>0.31977084199504202</v>
      </c>
      <c r="I48" s="79">
        <v>-1.04390624261859E-2</v>
      </c>
      <c r="J48" s="79">
        <v>8.9110965335968493E-3</v>
      </c>
      <c r="K48" s="79">
        <v>0.24146871078984999</v>
      </c>
      <c r="L48" s="79">
        <v>0.469139209534566</v>
      </c>
      <c r="M48" s="80">
        <v>1</v>
      </c>
      <c r="N48" s="79">
        <v>-2.2048888678379199E-3</v>
      </c>
      <c r="O48" s="79">
        <v>8.8684830378842807E-3</v>
      </c>
      <c r="P48" s="79">
        <v>0.80366468015413195</v>
      </c>
      <c r="Q48" s="79">
        <v>0.97587854018716103</v>
      </c>
      <c r="R48" s="80">
        <v>1</v>
      </c>
      <c r="S48" s="79">
        <v>3.5167146910264498E-3</v>
      </c>
      <c r="T48" s="79">
        <v>8.8507616837059898E-3</v>
      </c>
      <c r="U48" s="79">
        <v>0.69113809703497697</v>
      </c>
      <c r="V48" s="79">
        <v>0.92345150921568397</v>
      </c>
      <c r="W48" s="80">
        <v>1</v>
      </c>
    </row>
    <row r="49" spans="2:23" x14ac:dyDescent="0.2">
      <c r="B49" s="76" t="s">
        <v>2987</v>
      </c>
      <c r="C49" s="65" t="s">
        <v>1666</v>
      </c>
      <c r="D49" s="79">
        <v>7.7795278163259804E-3</v>
      </c>
      <c r="E49" s="79">
        <v>9.6435014277499904E-3</v>
      </c>
      <c r="F49" s="79">
        <v>0.41987186248171099</v>
      </c>
      <c r="G49" s="79">
        <v>0.95588112304684103</v>
      </c>
      <c r="H49" s="80">
        <v>1</v>
      </c>
      <c r="I49" s="79">
        <v>1.5619752590657199E-2</v>
      </c>
      <c r="J49" s="79">
        <v>9.5871101840569895E-3</v>
      </c>
      <c r="K49" s="79">
        <v>0.103326594565227</v>
      </c>
      <c r="L49" s="79">
        <v>0.38670597193600698</v>
      </c>
      <c r="M49" s="80">
        <v>1</v>
      </c>
      <c r="N49" s="79">
        <v>7.6156144330379004E-3</v>
      </c>
      <c r="O49" s="79">
        <v>9.5425457348987004E-3</v>
      </c>
      <c r="P49" s="79">
        <v>0.42486925633512101</v>
      </c>
      <c r="Q49" s="79">
        <v>0.90599199647750905</v>
      </c>
      <c r="R49" s="80">
        <v>1</v>
      </c>
      <c r="S49" s="79">
        <v>1.56445422541538E-2</v>
      </c>
      <c r="T49" s="79">
        <v>9.5217512717636291E-3</v>
      </c>
      <c r="U49" s="79">
        <v>0.10044098448062</v>
      </c>
      <c r="V49" s="79">
        <v>0.852580329968193</v>
      </c>
      <c r="W49" s="80">
        <v>1</v>
      </c>
    </row>
    <row r="50" spans="2:23" x14ac:dyDescent="0.2">
      <c r="B50" s="76" t="s">
        <v>2988</v>
      </c>
      <c r="C50" s="65" t="s">
        <v>1590</v>
      </c>
      <c r="D50" s="79">
        <v>-1.0285882849267699E-2</v>
      </c>
      <c r="E50" s="79">
        <v>1.2196767808087599E-2</v>
      </c>
      <c r="F50" s="79">
        <v>0.39908502891710701</v>
      </c>
      <c r="G50" s="79">
        <v>0.95588112304684103</v>
      </c>
      <c r="H50" s="80">
        <v>1</v>
      </c>
      <c r="I50" s="79">
        <v>3.9469008693017803E-2</v>
      </c>
      <c r="J50" s="79">
        <v>1.2128030434155E-2</v>
      </c>
      <c r="K50" s="79">
        <v>1.1440810612314599E-3</v>
      </c>
      <c r="L50" s="79">
        <v>2.5932504054579801E-2</v>
      </c>
      <c r="M50" s="80">
        <v>7.7797512163739299E-2</v>
      </c>
      <c r="N50" s="79">
        <v>6.3864883259872399E-3</v>
      </c>
      <c r="O50" s="79">
        <v>1.20713521767618E-2</v>
      </c>
      <c r="P50" s="79">
        <v>0.596786238044414</v>
      </c>
      <c r="Q50" s="79">
        <v>0.93813438499883295</v>
      </c>
      <c r="R50" s="80">
        <v>1</v>
      </c>
      <c r="S50" s="79">
        <v>7.7486306156432103E-3</v>
      </c>
      <c r="T50" s="79">
        <v>1.20455599666678E-2</v>
      </c>
      <c r="U50" s="79">
        <v>0.52007393947980596</v>
      </c>
      <c r="V50" s="79">
        <v>0.88290150434789805</v>
      </c>
      <c r="W50" s="80">
        <v>1</v>
      </c>
    </row>
    <row r="51" spans="2:23" x14ac:dyDescent="0.2">
      <c r="B51" s="76" t="s">
        <v>2989</v>
      </c>
      <c r="C51" s="65" t="s">
        <v>1658</v>
      </c>
      <c r="D51" s="79">
        <v>-1.81701283697965E-2</v>
      </c>
      <c r="E51" s="79">
        <v>1.22089310153687E-2</v>
      </c>
      <c r="F51" s="79">
        <v>0.13674438573742201</v>
      </c>
      <c r="G51" s="79">
        <v>0.77488485251205896</v>
      </c>
      <c r="H51" s="80">
        <v>1</v>
      </c>
      <c r="I51" s="79">
        <v>1.8972440624492899E-2</v>
      </c>
      <c r="J51" s="79">
        <v>1.21460686104583E-2</v>
      </c>
      <c r="K51" s="79">
        <v>0.118346716960917</v>
      </c>
      <c r="L51" s="79">
        <v>0.38670597193600698</v>
      </c>
      <c r="M51" s="80">
        <v>1</v>
      </c>
      <c r="N51" s="79">
        <v>4.7029531910829803E-3</v>
      </c>
      <c r="O51" s="79">
        <v>1.20847281220258E-2</v>
      </c>
      <c r="P51" s="79">
        <v>0.69717078955238898</v>
      </c>
      <c r="Q51" s="79">
        <v>0.93813438499883295</v>
      </c>
      <c r="R51" s="80">
        <v>1</v>
      </c>
      <c r="S51" s="79">
        <v>5.8480442099001504E-3</v>
      </c>
      <c r="T51" s="79">
        <v>1.2058906110968E-2</v>
      </c>
      <c r="U51" s="79">
        <v>0.62772863361662001</v>
      </c>
      <c r="V51" s="79">
        <v>0.92345150921568397</v>
      </c>
      <c r="W51" s="80">
        <v>1</v>
      </c>
    </row>
    <row r="52" spans="2:23" x14ac:dyDescent="0.2">
      <c r="B52" s="76" t="s">
        <v>2990</v>
      </c>
      <c r="C52" s="65" t="s">
        <v>1592</v>
      </c>
      <c r="D52" s="79">
        <v>4.8273219188288497E-3</v>
      </c>
      <c r="E52" s="79">
        <v>9.67765067387788E-3</v>
      </c>
      <c r="F52" s="79">
        <v>0.61793436216617903</v>
      </c>
      <c r="G52" s="79">
        <v>0.95588112304684103</v>
      </c>
      <c r="H52" s="80">
        <v>1</v>
      </c>
      <c r="I52" s="79">
        <v>1.2070925213889401E-2</v>
      </c>
      <c r="J52" s="79">
        <v>9.6291377775154108E-3</v>
      </c>
      <c r="K52" s="79">
        <v>0.21005297143632301</v>
      </c>
      <c r="L52" s="79">
        <v>0.469139209534566</v>
      </c>
      <c r="M52" s="80">
        <v>1</v>
      </c>
      <c r="N52" s="79">
        <v>1.71711697356338E-2</v>
      </c>
      <c r="O52" s="79">
        <v>9.5753523041776003E-3</v>
      </c>
      <c r="P52" s="79">
        <v>7.2990927113819298E-2</v>
      </c>
      <c r="Q52" s="79">
        <v>0.61073143219839299</v>
      </c>
      <c r="R52" s="80">
        <v>1</v>
      </c>
      <c r="S52" s="79">
        <v>2.7460294375277899E-2</v>
      </c>
      <c r="T52" s="79">
        <v>9.5514654459594693E-3</v>
      </c>
      <c r="U52" s="79">
        <v>4.0576614526400597E-3</v>
      </c>
      <c r="V52" s="79">
        <v>0.27592097877952398</v>
      </c>
      <c r="W52" s="80">
        <v>0.27592097877952398</v>
      </c>
    </row>
    <row r="53" spans="2:23" x14ac:dyDescent="0.2">
      <c r="B53" s="76" t="s">
        <v>2991</v>
      </c>
      <c r="C53" s="65" t="s">
        <v>1660</v>
      </c>
      <c r="D53" s="79">
        <v>-4.5239918699534398E-3</v>
      </c>
      <c r="E53" s="79">
        <v>1.02585781924147E-2</v>
      </c>
      <c r="F53" s="79">
        <v>0.65923522813836999</v>
      </c>
      <c r="G53" s="79">
        <v>0.95588112304684103</v>
      </c>
      <c r="H53" s="80">
        <v>1</v>
      </c>
      <c r="I53" s="79">
        <v>1.34447417741078E-2</v>
      </c>
      <c r="J53" s="79">
        <v>1.02039194037199E-2</v>
      </c>
      <c r="K53" s="79">
        <v>0.18769749344316</v>
      </c>
      <c r="L53" s="79">
        <v>0.44640948575516298</v>
      </c>
      <c r="M53" s="80">
        <v>1</v>
      </c>
      <c r="N53" s="79">
        <v>4.7337853742159298E-3</v>
      </c>
      <c r="O53" s="79">
        <v>1.01522249966899E-2</v>
      </c>
      <c r="P53" s="79">
        <v>0.64103530485846605</v>
      </c>
      <c r="Q53" s="79">
        <v>0.93813438499883295</v>
      </c>
      <c r="R53" s="80">
        <v>1</v>
      </c>
      <c r="S53" s="79">
        <v>2.4384013977310399E-2</v>
      </c>
      <c r="T53" s="79">
        <v>1.0127250722370799E-2</v>
      </c>
      <c r="U53" s="79">
        <v>1.60871168515891E-2</v>
      </c>
      <c r="V53" s="79">
        <v>0.40166931971171899</v>
      </c>
      <c r="W53" s="80">
        <v>1</v>
      </c>
    </row>
    <row r="54" spans="2:23" x14ac:dyDescent="0.2">
      <c r="B54" s="76" t="s">
        <v>2992</v>
      </c>
      <c r="C54" s="65" t="s">
        <v>1596</v>
      </c>
      <c r="D54" s="79">
        <v>7.3294148600272797E-3</v>
      </c>
      <c r="E54" s="79">
        <v>8.4301135785878004E-3</v>
      </c>
      <c r="F54" s="79">
        <v>0.38465304998293498</v>
      </c>
      <c r="G54" s="79">
        <v>0.95588112304684103</v>
      </c>
      <c r="H54" s="80">
        <v>1</v>
      </c>
      <c r="I54" s="79">
        <v>9.8598017624473202E-3</v>
      </c>
      <c r="J54" s="79">
        <v>8.3854965672820192E-3</v>
      </c>
      <c r="K54" s="79">
        <v>0.23972590098757299</v>
      </c>
      <c r="L54" s="79">
        <v>0.469139209534566</v>
      </c>
      <c r="M54" s="80">
        <v>1</v>
      </c>
      <c r="N54" s="79">
        <v>-7.29295846420892E-3</v>
      </c>
      <c r="O54" s="79">
        <v>8.3427565614542093E-3</v>
      </c>
      <c r="P54" s="79">
        <v>0.38207037287330298</v>
      </c>
      <c r="Q54" s="79">
        <v>0.90599199647750905</v>
      </c>
      <c r="R54" s="80">
        <v>1</v>
      </c>
      <c r="S54" s="79">
        <v>-2.6992722757919999E-3</v>
      </c>
      <c r="T54" s="79">
        <v>8.32600283424219E-3</v>
      </c>
      <c r="U54" s="79">
        <v>0.74580205129952604</v>
      </c>
      <c r="V54" s="79">
        <v>0.92345150921568397</v>
      </c>
      <c r="W54" s="80">
        <v>1</v>
      </c>
    </row>
    <row r="55" spans="2:23" x14ac:dyDescent="0.2">
      <c r="B55" s="76" t="s">
        <v>2993</v>
      </c>
      <c r="C55" s="65" t="s">
        <v>1664</v>
      </c>
      <c r="D55" s="79">
        <v>1.90130248310139E-3</v>
      </c>
      <c r="E55" s="79">
        <v>9.3191473473794393E-3</v>
      </c>
      <c r="F55" s="79">
        <v>0.83834544150072299</v>
      </c>
      <c r="G55" s="79">
        <v>0.970311016841925</v>
      </c>
      <c r="H55" s="80">
        <v>1</v>
      </c>
      <c r="I55" s="79">
        <v>7.6698130934907604E-3</v>
      </c>
      <c r="J55" s="79">
        <v>9.2714198835708306E-3</v>
      </c>
      <c r="K55" s="79">
        <v>0.40813386234274701</v>
      </c>
      <c r="L55" s="79">
        <v>0.73034480629754694</v>
      </c>
      <c r="M55" s="80">
        <v>1</v>
      </c>
      <c r="N55" s="79">
        <v>-2.0083998239370099E-2</v>
      </c>
      <c r="O55" s="79">
        <v>9.2196733529411202E-3</v>
      </c>
      <c r="P55" s="79">
        <v>2.94246010115712E-2</v>
      </c>
      <c r="Q55" s="79">
        <v>0.500218217196711</v>
      </c>
      <c r="R55" s="80">
        <v>1</v>
      </c>
      <c r="S55" s="79">
        <v>-1.21851941674596E-2</v>
      </c>
      <c r="T55" s="79">
        <v>9.2029432682149102E-3</v>
      </c>
      <c r="U55" s="79">
        <v>0.18554644813924401</v>
      </c>
      <c r="V55" s="79">
        <v>0.852580329968193</v>
      </c>
      <c r="W55" s="80">
        <v>1</v>
      </c>
    </row>
    <row r="56" spans="2:23" x14ac:dyDescent="0.2">
      <c r="B56" s="76" t="s">
        <v>2994</v>
      </c>
      <c r="C56" s="65" t="s">
        <v>1594</v>
      </c>
      <c r="D56" s="79">
        <v>-9.4996680758449806E-3</v>
      </c>
      <c r="E56" s="79">
        <v>1.3016041252977799E-2</v>
      </c>
      <c r="F56" s="79">
        <v>0.46552052859022403</v>
      </c>
      <c r="G56" s="79">
        <v>0.95588112304684103</v>
      </c>
      <c r="H56" s="80">
        <v>1</v>
      </c>
      <c r="I56" s="79">
        <v>2.13975368297534E-2</v>
      </c>
      <c r="J56" s="79">
        <v>1.29469799287766E-2</v>
      </c>
      <c r="K56" s="79">
        <v>9.8454667057245301E-2</v>
      </c>
      <c r="L56" s="79">
        <v>0.38670597193600698</v>
      </c>
      <c r="M56" s="80">
        <v>1</v>
      </c>
      <c r="N56" s="79">
        <v>8.9159552799459793E-3</v>
      </c>
      <c r="O56" s="79">
        <v>1.2880345641774401E-2</v>
      </c>
      <c r="P56" s="79">
        <v>0.48883539028663697</v>
      </c>
      <c r="Q56" s="79">
        <v>0.90599199647750905</v>
      </c>
      <c r="R56" s="80">
        <v>1</v>
      </c>
      <c r="S56" s="79">
        <v>1.4305775754121499E-2</v>
      </c>
      <c r="T56" s="79">
        <v>1.2854623161415901E-2</v>
      </c>
      <c r="U56" s="79">
        <v>0.265809777829213</v>
      </c>
      <c r="V56" s="79">
        <v>0.852580329968193</v>
      </c>
      <c r="W56" s="80">
        <v>1</v>
      </c>
    </row>
    <row r="57" spans="2:23" x14ac:dyDescent="0.2">
      <c r="B57" s="76" t="s">
        <v>2995</v>
      </c>
      <c r="C57" s="65" t="s">
        <v>1662</v>
      </c>
      <c r="D57" s="79">
        <v>-6.2157312728887805E-4</v>
      </c>
      <c r="E57" s="79">
        <v>1.3279643224284699E-2</v>
      </c>
      <c r="F57" s="79">
        <v>0.96266938317464801</v>
      </c>
      <c r="G57" s="79">
        <v>0.98999289038954996</v>
      </c>
      <c r="H57" s="80">
        <v>1</v>
      </c>
      <c r="I57" s="79">
        <v>6.6252721287040003E-3</v>
      </c>
      <c r="J57" s="79">
        <v>1.32043664065722E-2</v>
      </c>
      <c r="K57" s="79">
        <v>0.61586712038347402</v>
      </c>
      <c r="L57" s="79">
        <v>0.79921926687507205</v>
      </c>
      <c r="M57" s="80">
        <v>1</v>
      </c>
      <c r="N57" s="79">
        <v>1.3478654881313E-2</v>
      </c>
      <c r="O57" s="79">
        <v>1.31368749454057E-2</v>
      </c>
      <c r="P57" s="79">
        <v>0.30493442749581001</v>
      </c>
      <c r="Q57" s="79">
        <v>0.90599199647750905</v>
      </c>
      <c r="R57" s="80">
        <v>1</v>
      </c>
      <c r="S57" s="79">
        <v>4.9209964899554204E-3</v>
      </c>
      <c r="T57" s="79">
        <v>1.31143049816722E-2</v>
      </c>
      <c r="U57" s="79">
        <v>0.707499089440767</v>
      </c>
      <c r="V57" s="79">
        <v>0.92345150921568397</v>
      </c>
      <c r="W57" s="80">
        <v>1</v>
      </c>
    </row>
    <row r="58" spans="2:23" x14ac:dyDescent="0.2">
      <c r="B58" s="76" t="s">
        <v>2996</v>
      </c>
      <c r="C58" s="65" t="s">
        <v>1600</v>
      </c>
      <c r="D58" s="79">
        <v>-3.2861374644772802E-3</v>
      </c>
      <c r="E58" s="79">
        <v>1.24904150741164E-2</v>
      </c>
      <c r="F58" s="79">
        <v>0.792490248705642</v>
      </c>
      <c r="G58" s="79">
        <v>0.96373678498625104</v>
      </c>
      <c r="H58" s="80">
        <v>1</v>
      </c>
      <c r="I58" s="79">
        <v>-2.15161836622382E-2</v>
      </c>
      <c r="J58" s="79">
        <v>1.2412658412494599E-2</v>
      </c>
      <c r="K58" s="79">
        <v>8.3087578509788804E-2</v>
      </c>
      <c r="L58" s="79">
        <v>0.38370426252996698</v>
      </c>
      <c r="M58" s="80">
        <v>1</v>
      </c>
      <c r="N58" s="79">
        <v>8.1975879208018403E-3</v>
      </c>
      <c r="O58" s="79">
        <v>1.2357877297607201E-2</v>
      </c>
      <c r="P58" s="79">
        <v>0.50713853063668002</v>
      </c>
      <c r="Q58" s="79">
        <v>0.90599199647750905</v>
      </c>
      <c r="R58" s="80">
        <v>1</v>
      </c>
      <c r="S58" s="79">
        <v>-9.0849607163024804E-3</v>
      </c>
      <c r="T58" s="79">
        <v>1.2333503852947099E-2</v>
      </c>
      <c r="U58" s="79">
        <v>0.46139620942600901</v>
      </c>
      <c r="V58" s="79">
        <v>0.85656360158064604</v>
      </c>
      <c r="W58" s="80">
        <v>1</v>
      </c>
    </row>
    <row r="59" spans="2:23" x14ac:dyDescent="0.2">
      <c r="B59" s="76" t="s">
        <v>2997</v>
      </c>
      <c r="C59" s="65" t="s">
        <v>1668</v>
      </c>
      <c r="D59" s="79">
        <v>-6.4091078787722596E-3</v>
      </c>
      <c r="E59" s="79">
        <v>1.28731004122424E-2</v>
      </c>
      <c r="F59" s="79">
        <v>0.61859958086865197</v>
      </c>
      <c r="G59" s="79">
        <v>0.95588112304684103</v>
      </c>
      <c r="H59" s="80">
        <v>1</v>
      </c>
      <c r="I59" s="79">
        <v>-1.5551814519787901E-2</v>
      </c>
      <c r="J59" s="79">
        <v>1.2798557274839001E-2</v>
      </c>
      <c r="K59" s="79">
        <v>0.22437955848609401</v>
      </c>
      <c r="L59" s="79">
        <v>0.469139209534566</v>
      </c>
      <c r="M59" s="80">
        <v>1</v>
      </c>
      <c r="N59" s="79">
        <v>3.1792887997358099E-3</v>
      </c>
      <c r="O59" s="79">
        <v>1.2737404138730601E-2</v>
      </c>
      <c r="P59" s="79">
        <v>0.80290537643316395</v>
      </c>
      <c r="Q59" s="79">
        <v>0.97587854018716103</v>
      </c>
      <c r="R59" s="80">
        <v>1</v>
      </c>
      <c r="S59" s="79">
        <v>-1.37283650310412E-2</v>
      </c>
      <c r="T59" s="79">
        <v>1.2711452121433899E-2</v>
      </c>
      <c r="U59" s="79">
        <v>0.28019631626309799</v>
      </c>
      <c r="V59" s="79">
        <v>0.852580329968193</v>
      </c>
      <c r="W59" s="80">
        <v>1</v>
      </c>
    </row>
    <row r="60" spans="2:23" x14ac:dyDescent="0.2">
      <c r="B60" s="76" t="s">
        <v>2998</v>
      </c>
      <c r="C60" s="65" t="s">
        <v>1602</v>
      </c>
      <c r="D60" s="79">
        <v>-5.83890527302531E-3</v>
      </c>
      <c r="E60" s="79">
        <v>7.9747646468383507E-3</v>
      </c>
      <c r="F60" s="79">
        <v>0.464098343658646</v>
      </c>
      <c r="G60" s="79">
        <v>0.95588112304684103</v>
      </c>
      <c r="H60" s="80">
        <v>1</v>
      </c>
      <c r="I60" s="79">
        <v>-1.03855664475547E-2</v>
      </c>
      <c r="J60" s="79">
        <v>7.9301003835861392E-3</v>
      </c>
      <c r="K60" s="79">
        <v>0.19038051598382</v>
      </c>
      <c r="L60" s="79">
        <v>0.44640948575516298</v>
      </c>
      <c r="M60" s="80">
        <v>1</v>
      </c>
      <c r="N60" s="79">
        <v>6.8001432121850896E-3</v>
      </c>
      <c r="O60" s="79">
        <v>7.8915149711692306E-3</v>
      </c>
      <c r="P60" s="79">
        <v>0.38889342601904298</v>
      </c>
      <c r="Q60" s="79">
        <v>0.90599199647750905</v>
      </c>
      <c r="R60" s="80">
        <v>1</v>
      </c>
      <c r="S60" s="79">
        <v>-1.19452574725604E-2</v>
      </c>
      <c r="T60" s="79">
        <v>7.8744819689210398E-3</v>
      </c>
      <c r="U60" s="79">
        <v>0.12934225561205101</v>
      </c>
      <c r="V60" s="79">
        <v>0.852580329968193</v>
      </c>
      <c r="W60" s="80">
        <v>1</v>
      </c>
    </row>
    <row r="61" spans="2:23" x14ac:dyDescent="0.2">
      <c r="B61" s="76" t="s">
        <v>2999</v>
      </c>
      <c r="C61" s="65" t="s">
        <v>1670</v>
      </c>
      <c r="D61" s="79">
        <v>-2.0640732658668399E-3</v>
      </c>
      <c r="E61" s="79">
        <v>8.4861333508461801E-3</v>
      </c>
      <c r="F61" s="79">
        <v>0.80783818741494595</v>
      </c>
      <c r="G61" s="79">
        <v>0.96373678498625104</v>
      </c>
      <c r="H61" s="80">
        <v>1</v>
      </c>
      <c r="I61" s="79">
        <v>-1.0168651537426901E-2</v>
      </c>
      <c r="J61" s="79">
        <v>8.4401745988951105E-3</v>
      </c>
      <c r="K61" s="79">
        <v>0.22834229537303199</v>
      </c>
      <c r="L61" s="79">
        <v>0.469139209534566</v>
      </c>
      <c r="M61" s="80">
        <v>1</v>
      </c>
      <c r="N61" s="79">
        <v>2.3032762289322E-4</v>
      </c>
      <c r="O61" s="79">
        <v>8.3980312892059407E-3</v>
      </c>
      <c r="P61" s="79">
        <v>0.97812077036551703</v>
      </c>
      <c r="Q61" s="79">
        <v>0.99245972237635305</v>
      </c>
      <c r="R61" s="80">
        <v>1</v>
      </c>
      <c r="S61" s="79">
        <v>-6.91338388530443E-3</v>
      </c>
      <c r="T61" s="79">
        <v>8.3795768857497701E-3</v>
      </c>
      <c r="U61" s="79">
        <v>0.40939584994649603</v>
      </c>
      <c r="V61" s="79">
        <v>0.85656360158064604</v>
      </c>
      <c r="W61" s="80">
        <v>1</v>
      </c>
    </row>
    <row r="62" spans="2:23" x14ac:dyDescent="0.2">
      <c r="B62" s="76" t="s">
        <v>3000</v>
      </c>
      <c r="C62" s="65" t="s">
        <v>1610</v>
      </c>
      <c r="D62" s="79">
        <v>6.9651391075357897E-3</v>
      </c>
      <c r="E62" s="79">
        <v>8.0820031537574399E-3</v>
      </c>
      <c r="F62" s="79">
        <v>0.38883529430931302</v>
      </c>
      <c r="G62" s="79">
        <v>0.95588112304684103</v>
      </c>
      <c r="H62" s="80">
        <v>1</v>
      </c>
      <c r="I62" s="79">
        <v>1.6556889609786501E-2</v>
      </c>
      <c r="J62" s="79">
        <v>8.0368461840981693E-3</v>
      </c>
      <c r="K62" s="79">
        <v>3.94403475317966E-2</v>
      </c>
      <c r="L62" s="79">
        <v>0.28717407994980498</v>
      </c>
      <c r="M62" s="80">
        <v>1</v>
      </c>
      <c r="N62" s="79">
        <v>1.39625990559686E-2</v>
      </c>
      <c r="O62" s="79">
        <v>7.9957992263145605E-3</v>
      </c>
      <c r="P62" s="79">
        <v>8.0832101320375493E-2</v>
      </c>
      <c r="Q62" s="79">
        <v>0.61073143219839299</v>
      </c>
      <c r="R62" s="80">
        <v>1</v>
      </c>
      <c r="S62" s="79">
        <v>1.05575865054585E-2</v>
      </c>
      <c r="T62" s="79">
        <v>7.9804134084978193E-3</v>
      </c>
      <c r="U62" s="79">
        <v>0.1859183471209</v>
      </c>
      <c r="V62" s="79">
        <v>0.852580329968193</v>
      </c>
      <c r="W62" s="80">
        <v>1</v>
      </c>
    </row>
    <row r="63" spans="2:23" x14ac:dyDescent="0.2">
      <c r="B63" s="76" t="s">
        <v>3001</v>
      </c>
      <c r="C63" s="65" t="s">
        <v>1678</v>
      </c>
      <c r="D63" s="79">
        <v>6.6926696478375597E-3</v>
      </c>
      <c r="E63" s="79">
        <v>7.7696159588229096E-3</v>
      </c>
      <c r="F63" s="79">
        <v>0.38906609310573498</v>
      </c>
      <c r="G63" s="79">
        <v>0.95588112304684103</v>
      </c>
      <c r="H63" s="80">
        <v>1</v>
      </c>
      <c r="I63" s="79">
        <v>1.0337411799785199E-2</v>
      </c>
      <c r="J63" s="79">
        <v>7.7253569525775403E-3</v>
      </c>
      <c r="K63" s="79">
        <v>0.180923044573775</v>
      </c>
      <c r="L63" s="79">
        <v>0.44640948575516298</v>
      </c>
      <c r="M63" s="80">
        <v>1</v>
      </c>
      <c r="N63" s="79">
        <v>6.5594254928704196E-3</v>
      </c>
      <c r="O63" s="79">
        <v>7.6881488841816798E-3</v>
      </c>
      <c r="P63" s="79">
        <v>0.39359838760897298</v>
      </c>
      <c r="Q63" s="79">
        <v>0.90599199647750905</v>
      </c>
      <c r="R63" s="80">
        <v>1</v>
      </c>
      <c r="S63" s="79">
        <v>8.5227528737772795E-3</v>
      </c>
      <c r="T63" s="79">
        <v>7.6722040694772002E-3</v>
      </c>
      <c r="U63" s="79">
        <v>0.266683606090794</v>
      </c>
      <c r="V63" s="79">
        <v>0.852580329968193</v>
      </c>
      <c r="W63" s="80">
        <v>1</v>
      </c>
    </row>
    <row r="64" spans="2:23" x14ac:dyDescent="0.2">
      <c r="B64" s="76" t="s">
        <v>3002</v>
      </c>
      <c r="C64" s="65" t="s">
        <v>1604</v>
      </c>
      <c r="D64" s="79">
        <v>2.7379215743759699E-3</v>
      </c>
      <c r="E64" s="79">
        <v>7.9522812875439299E-3</v>
      </c>
      <c r="F64" s="79">
        <v>0.73063970646148302</v>
      </c>
      <c r="G64" s="79">
        <v>0.95588112304684103</v>
      </c>
      <c r="H64" s="80">
        <v>1</v>
      </c>
      <c r="I64" s="79">
        <v>2.03214038925056E-4</v>
      </c>
      <c r="J64" s="79">
        <v>7.9153100741433096E-3</v>
      </c>
      <c r="K64" s="79">
        <v>0.97951875344763595</v>
      </c>
      <c r="L64" s="79">
        <v>0.98902148538128798</v>
      </c>
      <c r="M64" s="80">
        <v>1</v>
      </c>
      <c r="N64" s="79">
        <v>7.8493473840508896E-4</v>
      </c>
      <c r="O64" s="79">
        <v>7.8697520538681398E-3</v>
      </c>
      <c r="P64" s="79">
        <v>0.920554148392841</v>
      </c>
      <c r="Q64" s="79">
        <v>0.98806882131756602</v>
      </c>
      <c r="R64" s="80">
        <v>1</v>
      </c>
      <c r="S64" s="79">
        <v>6.1472941318892801E-3</v>
      </c>
      <c r="T64" s="79">
        <v>7.8523749266101606E-3</v>
      </c>
      <c r="U64" s="79">
        <v>0.433747428892307</v>
      </c>
      <c r="V64" s="79">
        <v>0.85656360158064604</v>
      </c>
      <c r="W64" s="80">
        <v>1</v>
      </c>
    </row>
    <row r="65" spans="2:23" x14ac:dyDescent="0.2">
      <c r="B65" s="76" t="s">
        <v>3003</v>
      </c>
      <c r="C65" s="65" t="s">
        <v>1672</v>
      </c>
      <c r="D65" s="79">
        <v>-3.2262026397589E-3</v>
      </c>
      <c r="E65" s="79">
        <v>8.3032797411841993E-3</v>
      </c>
      <c r="F65" s="79">
        <v>0.69762903070659499</v>
      </c>
      <c r="G65" s="79">
        <v>0.95588112304684103</v>
      </c>
      <c r="H65" s="80">
        <v>1</v>
      </c>
      <c r="I65" s="79">
        <v>4.0239936266975697E-3</v>
      </c>
      <c r="J65" s="79">
        <v>8.2621146911367703E-3</v>
      </c>
      <c r="K65" s="79">
        <v>0.62625058764885899</v>
      </c>
      <c r="L65" s="79">
        <v>0.79921926687507205</v>
      </c>
      <c r="M65" s="80">
        <v>1</v>
      </c>
      <c r="N65" s="79">
        <v>-3.9243119975017398E-3</v>
      </c>
      <c r="O65" s="79">
        <v>8.2174859879910103E-3</v>
      </c>
      <c r="P65" s="79">
        <v>0.63298714715985605</v>
      </c>
      <c r="Q65" s="79">
        <v>0.93813438499883295</v>
      </c>
      <c r="R65" s="80">
        <v>1</v>
      </c>
      <c r="S65" s="79">
        <v>-1.9846046081914101E-3</v>
      </c>
      <c r="T65" s="79">
        <v>8.1996004107868902E-3</v>
      </c>
      <c r="U65" s="79">
        <v>0.80876171709513101</v>
      </c>
      <c r="V65" s="79">
        <v>0.93610251373601405</v>
      </c>
      <c r="W65" s="80">
        <v>1</v>
      </c>
    </row>
    <row r="66" spans="2:23" x14ac:dyDescent="0.2">
      <c r="B66" s="76" t="s">
        <v>3004</v>
      </c>
      <c r="C66" s="65" t="s">
        <v>1606</v>
      </c>
      <c r="D66" s="79">
        <v>-1.4933308232980801E-3</v>
      </c>
      <c r="E66" s="79">
        <v>7.6969921870515597E-3</v>
      </c>
      <c r="F66" s="79">
        <v>0.84617225445723798</v>
      </c>
      <c r="G66" s="79">
        <v>0.970311016841925</v>
      </c>
      <c r="H66" s="80">
        <v>1</v>
      </c>
      <c r="I66" s="79">
        <v>4.03353020457543E-3</v>
      </c>
      <c r="J66" s="79">
        <v>7.6570204230013003E-3</v>
      </c>
      <c r="K66" s="79">
        <v>0.59837351763521696</v>
      </c>
      <c r="L66" s="79">
        <v>0.79921926687507205</v>
      </c>
      <c r="M66" s="80">
        <v>1</v>
      </c>
      <c r="N66" s="79">
        <v>4.9052836549516596E-3</v>
      </c>
      <c r="O66" s="79">
        <v>7.6170383168344897E-3</v>
      </c>
      <c r="P66" s="79">
        <v>0.51961305680327796</v>
      </c>
      <c r="Q66" s="79">
        <v>0.90599199647750905</v>
      </c>
      <c r="R66" s="80">
        <v>1</v>
      </c>
      <c r="S66" s="79">
        <v>2.4093744283482199E-3</v>
      </c>
      <c r="T66" s="79">
        <v>7.6006469251277504E-3</v>
      </c>
      <c r="U66" s="79">
        <v>0.75126011570849904</v>
      </c>
      <c r="V66" s="79">
        <v>0.92345150921568397</v>
      </c>
      <c r="W66" s="80">
        <v>1</v>
      </c>
    </row>
    <row r="67" spans="2:23" x14ac:dyDescent="0.2">
      <c r="B67" s="76" t="s">
        <v>3005</v>
      </c>
      <c r="C67" s="65" t="s">
        <v>1674</v>
      </c>
      <c r="D67" s="79">
        <v>-4.0727151658641403E-3</v>
      </c>
      <c r="E67" s="79">
        <v>8.1912450781849097E-3</v>
      </c>
      <c r="F67" s="79">
        <v>0.61906795469690601</v>
      </c>
      <c r="G67" s="79">
        <v>0.95588112304684103</v>
      </c>
      <c r="H67" s="80">
        <v>1</v>
      </c>
      <c r="I67" s="79">
        <v>2.38471221562956E-3</v>
      </c>
      <c r="J67" s="79">
        <v>8.1463868213697607E-3</v>
      </c>
      <c r="K67" s="79">
        <v>0.76973917484154497</v>
      </c>
      <c r="L67" s="79">
        <v>0.87237106482041704</v>
      </c>
      <c r="M67" s="80">
        <v>1</v>
      </c>
      <c r="N67" s="79">
        <v>3.4851588918274699E-3</v>
      </c>
      <c r="O67" s="79">
        <v>8.1053740456220897E-3</v>
      </c>
      <c r="P67" s="79">
        <v>0.66722828561744196</v>
      </c>
      <c r="Q67" s="79">
        <v>0.93813438499883295</v>
      </c>
      <c r="R67" s="80">
        <v>1</v>
      </c>
      <c r="S67" s="79">
        <v>-9.11881916958846E-4</v>
      </c>
      <c r="T67" s="79">
        <v>8.0889400315078998E-3</v>
      </c>
      <c r="U67" s="79">
        <v>0.91024770934274002</v>
      </c>
      <c r="V67" s="79">
        <v>0.96156574883480805</v>
      </c>
      <c r="W67" s="80">
        <v>1</v>
      </c>
    </row>
    <row r="68" spans="2:23" x14ac:dyDescent="0.2">
      <c r="B68" s="76" t="s">
        <v>3006</v>
      </c>
      <c r="C68" s="65" t="s">
        <v>1608</v>
      </c>
      <c r="D68" s="79">
        <v>1.9260450959150799E-2</v>
      </c>
      <c r="E68" s="79">
        <v>9.5434871063780902E-3</v>
      </c>
      <c r="F68" s="79">
        <v>4.3626545491614099E-2</v>
      </c>
      <c r="G68" s="79">
        <v>0.504215458027648</v>
      </c>
      <c r="H68" s="80">
        <v>1</v>
      </c>
      <c r="I68" s="79">
        <v>1.06646785404367E-3</v>
      </c>
      <c r="J68" s="79">
        <v>9.5012794969146792E-3</v>
      </c>
      <c r="K68" s="79">
        <v>0.91063400473384404</v>
      </c>
      <c r="L68" s="79">
        <v>0.96754863002970903</v>
      </c>
      <c r="M68" s="80">
        <v>1</v>
      </c>
      <c r="N68" s="79">
        <v>-6.5815415229625101E-4</v>
      </c>
      <c r="O68" s="79">
        <v>9.4498754912728695E-3</v>
      </c>
      <c r="P68" s="79">
        <v>0.94447754978885001</v>
      </c>
      <c r="Q68" s="79">
        <v>0.98806882131756602</v>
      </c>
      <c r="R68" s="80">
        <v>1</v>
      </c>
      <c r="S68" s="79">
        <v>7.63512949737953E-3</v>
      </c>
      <c r="T68" s="79">
        <v>9.4294860177120202E-3</v>
      </c>
      <c r="U68" s="79">
        <v>0.41814694432319299</v>
      </c>
      <c r="V68" s="79">
        <v>0.85656360158064604</v>
      </c>
      <c r="W68" s="80">
        <v>1</v>
      </c>
    </row>
    <row r="69" spans="2:23" x14ac:dyDescent="0.2">
      <c r="B69" s="76" t="s">
        <v>3007</v>
      </c>
      <c r="C69" s="65" t="s">
        <v>1676</v>
      </c>
      <c r="D69" s="79">
        <v>2.4535931981801099E-3</v>
      </c>
      <c r="E69" s="79">
        <v>9.4278776232522999E-3</v>
      </c>
      <c r="F69" s="79">
        <v>0.79468269612083298</v>
      </c>
      <c r="G69" s="79">
        <v>0.96373678498625104</v>
      </c>
      <c r="H69" s="80">
        <v>1</v>
      </c>
      <c r="I69" s="79">
        <v>-4.5853557136100401E-3</v>
      </c>
      <c r="J69" s="79">
        <v>9.3813999100519005E-3</v>
      </c>
      <c r="K69" s="79">
        <v>0.62502560525373396</v>
      </c>
      <c r="L69" s="79">
        <v>0.79921926687507205</v>
      </c>
      <c r="M69" s="80">
        <v>1</v>
      </c>
      <c r="N69" s="79">
        <v>-7.9324210158864192E-3</v>
      </c>
      <c r="O69" s="79">
        <v>9.32971411315856E-3</v>
      </c>
      <c r="P69" s="79">
        <v>0.39523713926449899</v>
      </c>
      <c r="Q69" s="79">
        <v>0.90599199647750905</v>
      </c>
      <c r="R69" s="80">
        <v>1</v>
      </c>
      <c r="S69" s="79">
        <v>6.41279520075385E-3</v>
      </c>
      <c r="T69" s="79">
        <v>9.3108208845091005E-3</v>
      </c>
      <c r="U69" s="79">
        <v>0.491014981550979</v>
      </c>
      <c r="V69" s="79">
        <v>0.85656360158064604</v>
      </c>
      <c r="W69" s="80">
        <v>1</v>
      </c>
    </row>
    <row r="70" spans="2:23" x14ac:dyDescent="0.2">
      <c r="B70" s="76" t="s">
        <v>3008</v>
      </c>
      <c r="C70" s="65" t="s">
        <v>1614</v>
      </c>
      <c r="D70" s="79">
        <v>3.9540713961979798E-3</v>
      </c>
      <c r="E70" s="79">
        <v>1.28921532281107E-2</v>
      </c>
      <c r="F70" s="79">
        <v>0.75908206830190295</v>
      </c>
      <c r="G70" s="79">
        <v>0.95588112304684103</v>
      </c>
      <c r="H70" s="80">
        <v>1</v>
      </c>
      <c r="I70" s="79">
        <v>-7.85730567970188E-3</v>
      </c>
      <c r="J70" s="79">
        <v>1.2816717420284699E-2</v>
      </c>
      <c r="K70" s="79">
        <v>0.53987149811845303</v>
      </c>
      <c r="L70" s="79">
        <v>0.79921926687507205</v>
      </c>
      <c r="M70" s="80">
        <v>1</v>
      </c>
      <c r="N70" s="79">
        <v>4.9691325860433799E-3</v>
      </c>
      <c r="O70" s="79">
        <v>1.2755075759340401E-2</v>
      </c>
      <c r="P70" s="79">
        <v>0.69686375968914005</v>
      </c>
      <c r="Q70" s="79">
        <v>0.93813438499883295</v>
      </c>
      <c r="R70" s="80">
        <v>1</v>
      </c>
      <c r="S70" s="79">
        <v>1.6907277038485002E-2</v>
      </c>
      <c r="T70" s="79">
        <v>1.27286190091646E-2</v>
      </c>
      <c r="U70" s="79">
        <v>0.184145501310126</v>
      </c>
      <c r="V70" s="79">
        <v>0.852580329968193</v>
      </c>
      <c r="W70" s="80">
        <v>1</v>
      </c>
    </row>
    <row r="71" spans="2:23" x14ac:dyDescent="0.2">
      <c r="B71" s="76" t="s">
        <v>3009</v>
      </c>
      <c r="C71" s="65" t="s">
        <v>1682</v>
      </c>
      <c r="D71" s="79">
        <v>1.67460101501417E-2</v>
      </c>
      <c r="E71" s="79">
        <v>1.26462461598091E-2</v>
      </c>
      <c r="F71" s="79">
        <v>0.18550390872040201</v>
      </c>
      <c r="G71" s="79">
        <v>0.90101898521338197</v>
      </c>
      <c r="H71" s="80">
        <v>1</v>
      </c>
      <c r="I71" s="79">
        <v>-7.8209662451490698E-3</v>
      </c>
      <c r="J71" s="79">
        <v>1.2572979049177599E-2</v>
      </c>
      <c r="K71" s="79">
        <v>0.53394199973258005</v>
      </c>
      <c r="L71" s="79">
        <v>0.79921926687507205</v>
      </c>
      <c r="M71" s="80">
        <v>1</v>
      </c>
      <c r="N71" s="79">
        <v>8.8868047516650808E-3</v>
      </c>
      <c r="O71" s="79">
        <v>1.2513327676272E-2</v>
      </c>
      <c r="P71" s="79">
        <v>0.47762298976117601</v>
      </c>
      <c r="Q71" s="79">
        <v>0.90599199647750905</v>
      </c>
      <c r="R71" s="80">
        <v>1</v>
      </c>
      <c r="S71" s="79">
        <v>1.29355535636172E-2</v>
      </c>
      <c r="T71" s="79">
        <v>1.24901536543421E-2</v>
      </c>
      <c r="U71" s="79">
        <v>0.30041329828732799</v>
      </c>
      <c r="V71" s="79">
        <v>0.852580329968193</v>
      </c>
      <c r="W71" s="80">
        <v>1</v>
      </c>
    </row>
    <row r="72" spans="2:23" x14ac:dyDescent="0.2">
      <c r="B72" s="76" t="s">
        <v>3010</v>
      </c>
      <c r="C72" s="65" t="s">
        <v>1616</v>
      </c>
      <c r="D72" s="79">
        <v>-4.1902686076807898E-3</v>
      </c>
      <c r="E72" s="79">
        <v>1.2256281040708399E-2</v>
      </c>
      <c r="F72" s="79">
        <v>0.73245026791427104</v>
      </c>
      <c r="G72" s="79">
        <v>0.95588112304684103</v>
      </c>
      <c r="H72" s="80">
        <v>1</v>
      </c>
      <c r="I72" s="79">
        <v>-1.3735919850644701E-3</v>
      </c>
      <c r="J72" s="79">
        <v>1.2188671197428501E-2</v>
      </c>
      <c r="K72" s="79">
        <v>0.91027770227217897</v>
      </c>
      <c r="L72" s="79">
        <v>0.96754863002970903</v>
      </c>
      <c r="M72" s="80">
        <v>1</v>
      </c>
      <c r="N72" s="79">
        <v>1.29602834730631E-2</v>
      </c>
      <c r="O72" s="79">
        <v>1.21256736805003E-2</v>
      </c>
      <c r="P72" s="79">
        <v>0.28519916829713798</v>
      </c>
      <c r="Q72" s="79">
        <v>0.90599199647750905</v>
      </c>
      <c r="R72" s="80">
        <v>1</v>
      </c>
      <c r="S72" s="79">
        <v>2.4509349265947101E-2</v>
      </c>
      <c r="T72" s="79">
        <v>1.21001477287842E-2</v>
      </c>
      <c r="U72" s="79">
        <v>4.2865984897153597E-2</v>
      </c>
      <c r="V72" s="79">
        <v>0.72872174325161099</v>
      </c>
      <c r="W72" s="80">
        <v>1</v>
      </c>
    </row>
    <row r="73" spans="2:23" x14ac:dyDescent="0.2">
      <c r="B73" s="77" t="s">
        <v>3011</v>
      </c>
      <c r="C73" s="66" t="s">
        <v>1684</v>
      </c>
      <c r="D73" s="86">
        <v>-2.04576871327662E-2</v>
      </c>
      <c r="E73" s="86">
        <v>1.22566865247679E-2</v>
      </c>
      <c r="F73" s="86">
        <v>9.5160544239206196E-2</v>
      </c>
      <c r="G73" s="86">
        <v>0.64709170082660195</v>
      </c>
      <c r="H73" s="87">
        <v>1</v>
      </c>
      <c r="I73" s="86">
        <v>-7.4033506768859097E-3</v>
      </c>
      <c r="J73" s="86">
        <v>1.21916748204838E-2</v>
      </c>
      <c r="K73" s="86">
        <v>0.54371578230057305</v>
      </c>
      <c r="L73" s="86">
        <v>0.79921926687507205</v>
      </c>
      <c r="M73" s="87">
        <v>1</v>
      </c>
      <c r="N73" s="86">
        <v>2.8576560074325599E-2</v>
      </c>
      <c r="O73" s="86">
        <v>1.2123671119619501E-2</v>
      </c>
      <c r="P73" s="86">
        <v>1.84581096708075E-2</v>
      </c>
      <c r="Q73" s="86">
        <v>0.41838381920496998</v>
      </c>
      <c r="R73" s="87">
        <v>1</v>
      </c>
      <c r="S73" s="86">
        <v>1.3376015023005901E-2</v>
      </c>
      <c r="T73" s="86">
        <v>1.21068710889297E-2</v>
      </c>
      <c r="U73" s="86">
        <v>0.269288195546801</v>
      </c>
      <c r="V73" s="86">
        <v>0.852580329968193</v>
      </c>
      <c r="W73" s="87">
        <v>1</v>
      </c>
    </row>
    <row r="74" spans="2:23" x14ac:dyDescent="0.2">
      <c r="B74" s="59" t="s">
        <v>2072</v>
      </c>
      <c r="D74" s="59"/>
      <c r="E74" s="59"/>
      <c r="F74" s="59"/>
      <c r="G74" s="59"/>
      <c r="H74" s="59"/>
      <c r="I74" s="59"/>
      <c r="J74" s="59"/>
      <c r="K74" s="59"/>
      <c r="L74" s="59"/>
      <c r="M74" s="59"/>
      <c r="N74" s="59"/>
      <c r="O74" s="59"/>
      <c r="P74" s="59"/>
      <c r="Q74" s="59"/>
      <c r="R74" s="59"/>
      <c r="S74" s="59"/>
      <c r="T74" s="59"/>
      <c r="U74" s="59"/>
      <c r="V74" s="59"/>
      <c r="W74" s="59"/>
    </row>
    <row r="75" spans="2:23" x14ac:dyDescent="0.2">
      <c r="C75" s="59"/>
      <c r="D75" s="59"/>
      <c r="E75" s="59"/>
      <c r="F75" s="59"/>
      <c r="G75" s="59"/>
      <c r="H75" s="59"/>
      <c r="I75" s="59"/>
      <c r="J75" s="59"/>
      <c r="K75" s="59"/>
      <c r="L75" s="59"/>
      <c r="M75" s="59"/>
      <c r="N75" s="59"/>
      <c r="O75" s="59"/>
      <c r="P75" s="59"/>
      <c r="Q75" s="59"/>
      <c r="R75" s="59"/>
      <c r="S75" s="59"/>
      <c r="T75" s="59"/>
      <c r="U75" s="59"/>
      <c r="V75" s="59"/>
      <c r="W75" s="59"/>
    </row>
    <row r="76" spans="2:23" x14ac:dyDescent="0.2">
      <c r="C76" s="59"/>
      <c r="D76" s="59"/>
      <c r="E76" s="59"/>
      <c r="F76" s="59"/>
      <c r="G76" s="59"/>
      <c r="H76" s="59"/>
      <c r="I76" s="59"/>
      <c r="J76" s="59"/>
      <c r="K76" s="59"/>
      <c r="L76" s="59"/>
      <c r="M76" s="59"/>
      <c r="N76" s="59"/>
      <c r="O76" s="59"/>
      <c r="P76" s="59"/>
      <c r="Q76" s="59"/>
      <c r="R76" s="59"/>
      <c r="S76" s="59"/>
      <c r="T76" s="59"/>
      <c r="U76" s="59"/>
      <c r="V76" s="59"/>
      <c r="W76" s="59"/>
    </row>
    <row r="77" spans="2:23" x14ac:dyDescent="0.2">
      <c r="C77" s="23"/>
    </row>
    <row r="78" spans="2:23" x14ac:dyDescent="0.2">
      <c r="C78" s="23"/>
    </row>
    <row r="79" spans="2:23" x14ac:dyDescent="0.2">
      <c r="C79" s="23"/>
    </row>
    <row r="80" spans="2:23" x14ac:dyDescent="0.2">
      <c r="C80" s="23"/>
    </row>
    <row r="81" spans="3:3" x14ac:dyDescent="0.2">
      <c r="C81" s="23"/>
    </row>
    <row r="82" spans="3:3" x14ac:dyDescent="0.2">
      <c r="C82" s="23"/>
    </row>
    <row r="83" spans="3:3" x14ac:dyDescent="0.2">
      <c r="C83" s="23"/>
    </row>
    <row r="84" spans="3:3" x14ac:dyDescent="0.2">
      <c r="C84" s="23"/>
    </row>
  </sheetData>
  <sortState xmlns:xlrd2="http://schemas.microsoft.com/office/spreadsheetml/2017/richdata2" ref="C6:W73">
    <sortCondition ref="C6:C73"/>
  </sortState>
  <mergeCells count="4">
    <mergeCell ref="D4:H4"/>
    <mergeCell ref="I4:M4"/>
    <mergeCell ref="N4:R4"/>
    <mergeCell ref="S4:W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BEFC9-D3B0-D44E-BF98-8A7933E21725}">
  <dimension ref="B2:W51"/>
  <sheetViews>
    <sheetView showGridLines="0" topLeftCell="B7" workbookViewId="0">
      <selection activeCell="B6" sqref="B6:W41"/>
    </sheetView>
  </sheetViews>
  <sheetFormatPr baseColWidth="10" defaultRowHeight="16" x14ac:dyDescent="0.2"/>
  <cols>
    <col min="2" max="2" width="28.6640625" customWidth="1"/>
    <col min="3" max="3" width="23.83203125" customWidth="1"/>
    <col min="8" max="8" width="13.1640625" customWidth="1"/>
  </cols>
  <sheetData>
    <row r="2" spans="2:23" x14ac:dyDescent="0.2">
      <c r="B2" s="51" t="s">
        <v>8547</v>
      </c>
    </row>
    <row r="3" spans="2:23" x14ac:dyDescent="0.2">
      <c r="C3" s="51"/>
    </row>
    <row r="4" spans="2:23" x14ac:dyDescent="0.2">
      <c r="D4" s="145" t="s">
        <v>79</v>
      </c>
      <c r="E4" s="145"/>
      <c r="F4" s="145"/>
      <c r="G4" s="145"/>
      <c r="H4" s="145"/>
      <c r="I4" s="145" t="s">
        <v>763</v>
      </c>
      <c r="J4" s="145"/>
      <c r="K4" s="145"/>
      <c r="L4" s="145"/>
      <c r="M4" s="145"/>
      <c r="N4" s="145" t="s">
        <v>764</v>
      </c>
      <c r="O4" s="145"/>
      <c r="P4" s="145"/>
      <c r="Q4" s="145"/>
      <c r="R4" s="145"/>
      <c r="S4" s="145" t="s">
        <v>765</v>
      </c>
      <c r="T4" s="145"/>
      <c r="U4" s="145"/>
      <c r="V4" s="145"/>
      <c r="W4" s="145"/>
    </row>
    <row r="5" spans="2:23" x14ac:dyDescent="0.2">
      <c r="B5" s="71" t="s">
        <v>2875</v>
      </c>
      <c r="C5" s="66" t="s">
        <v>2857</v>
      </c>
      <c r="D5" s="21" t="s">
        <v>81</v>
      </c>
      <c r="E5" s="21" t="s">
        <v>82</v>
      </c>
      <c r="F5" s="21" t="s">
        <v>83</v>
      </c>
      <c r="G5" s="21" t="s">
        <v>761</v>
      </c>
      <c r="H5" s="22" t="s">
        <v>762</v>
      </c>
      <c r="I5" s="21" t="s">
        <v>81</v>
      </c>
      <c r="J5" s="21" t="s">
        <v>82</v>
      </c>
      <c r="K5" s="21" t="s">
        <v>83</v>
      </c>
      <c r="L5" s="21" t="s">
        <v>761</v>
      </c>
      <c r="M5" s="22" t="s">
        <v>762</v>
      </c>
      <c r="N5" s="21" t="s">
        <v>81</v>
      </c>
      <c r="O5" s="21" t="s">
        <v>82</v>
      </c>
      <c r="P5" s="21" t="s">
        <v>83</v>
      </c>
      <c r="Q5" s="21" t="s">
        <v>761</v>
      </c>
      <c r="R5" s="22" t="s">
        <v>762</v>
      </c>
      <c r="S5" s="21" t="s">
        <v>81</v>
      </c>
      <c r="T5" s="21" t="s">
        <v>82</v>
      </c>
      <c r="U5" s="21" t="s">
        <v>83</v>
      </c>
      <c r="V5" s="21" t="s">
        <v>761</v>
      </c>
      <c r="W5" s="22" t="s">
        <v>762</v>
      </c>
    </row>
    <row r="6" spans="2:23" x14ac:dyDescent="0.2">
      <c r="B6" s="76" t="s">
        <v>3012</v>
      </c>
      <c r="C6" s="17" t="s">
        <v>1695</v>
      </c>
      <c r="D6" s="79">
        <v>5.8490832327846402E-3</v>
      </c>
      <c r="E6" s="79">
        <v>1.3999404416959399E-2</v>
      </c>
      <c r="F6" s="79">
        <v>0.67610414595246604</v>
      </c>
      <c r="G6" s="79">
        <v>0.84179939117942704</v>
      </c>
      <c r="H6" s="80">
        <v>1</v>
      </c>
      <c r="I6" s="79">
        <v>7.7302227318264503E-3</v>
      </c>
      <c r="J6" s="79">
        <v>1.392521416032E-2</v>
      </c>
      <c r="K6" s="79">
        <v>0.57883435559441998</v>
      </c>
      <c r="L6" s="79">
        <v>0.86722097696751399</v>
      </c>
      <c r="M6" s="80">
        <v>1</v>
      </c>
      <c r="N6" s="79">
        <v>-6.6982523614063597E-3</v>
      </c>
      <c r="O6" s="79">
        <v>1.3839926834858501E-2</v>
      </c>
      <c r="P6" s="79">
        <v>0.62842072888670897</v>
      </c>
      <c r="Q6" s="79">
        <v>0.78196962059738195</v>
      </c>
      <c r="R6" s="80">
        <v>1</v>
      </c>
      <c r="S6" s="79">
        <v>-1.7325034253120299E-2</v>
      </c>
      <c r="T6" s="79">
        <v>1.38163045490038E-2</v>
      </c>
      <c r="U6" s="79">
        <v>0.209915893391418</v>
      </c>
      <c r="V6" s="79">
        <v>0.56877294633462505</v>
      </c>
      <c r="W6" s="80">
        <v>1</v>
      </c>
    </row>
    <row r="7" spans="2:23" x14ac:dyDescent="0.2">
      <c r="B7" s="76" t="s">
        <v>3013</v>
      </c>
      <c r="C7" s="17" t="s">
        <v>1696</v>
      </c>
      <c r="D7" s="79">
        <v>1.0607126224335701E-2</v>
      </c>
      <c r="E7" s="79">
        <v>1.38384103995625E-2</v>
      </c>
      <c r="F7" s="79">
        <v>0.44341477290460501</v>
      </c>
      <c r="G7" s="79">
        <v>0.84179939117942704</v>
      </c>
      <c r="H7" s="80">
        <v>1</v>
      </c>
      <c r="I7" s="79">
        <v>4.9644424769571703E-3</v>
      </c>
      <c r="J7" s="79">
        <v>1.37748638038923E-2</v>
      </c>
      <c r="K7" s="79">
        <v>0.71856391328158198</v>
      </c>
      <c r="L7" s="79">
        <v>0.89820489160197703</v>
      </c>
      <c r="M7" s="80">
        <v>1</v>
      </c>
      <c r="N7" s="81">
        <v>-5.0691472965300501E-2</v>
      </c>
      <c r="O7" s="81">
        <v>1.36637704581297E-2</v>
      </c>
      <c r="P7" s="81">
        <v>2.0951554052879801E-4</v>
      </c>
      <c r="Q7" s="81">
        <v>7.3330439185079503E-3</v>
      </c>
      <c r="R7" s="82">
        <v>7.3330439185079503E-3</v>
      </c>
      <c r="S7" s="79">
        <v>2.6664149411016599E-3</v>
      </c>
      <c r="T7" s="79">
        <v>1.3660417811691E-2</v>
      </c>
      <c r="U7" s="79">
        <v>0.84524975481837805</v>
      </c>
      <c r="V7" s="79">
        <v>0.924491919332601</v>
      </c>
      <c r="W7" s="80">
        <v>1</v>
      </c>
    </row>
    <row r="8" spans="2:23" x14ac:dyDescent="0.2">
      <c r="B8" s="76" t="s">
        <v>3014</v>
      </c>
      <c r="C8" s="17" t="s">
        <v>1701</v>
      </c>
      <c r="D8" s="79">
        <v>1.62495283939941E-3</v>
      </c>
      <c r="E8" s="79">
        <v>1.0726029084877201E-2</v>
      </c>
      <c r="F8" s="79">
        <v>0.87959049425240599</v>
      </c>
      <c r="G8" s="79">
        <v>0.90546080290688802</v>
      </c>
      <c r="H8" s="80">
        <v>1</v>
      </c>
      <c r="I8" s="79">
        <v>-1.7436710827399499E-3</v>
      </c>
      <c r="J8" s="79">
        <v>1.0662843503276899E-2</v>
      </c>
      <c r="K8" s="79">
        <v>0.87010967016739404</v>
      </c>
      <c r="L8" s="79">
        <v>0.97676991344171904</v>
      </c>
      <c r="M8" s="80">
        <v>1</v>
      </c>
      <c r="N8" s="79">
        <v>4.2775680670909897E-3</v>
      </c>
      <c r="O8" s="79">
        <v>1.0605604570789301E-2</v>
      </c>
      <c r="P8" s="79">
        <v>0.68672233808673</v>
      </c>
      <c r="Q8" s="79">
        <v>0.79665696378001405</v>
      </c>
      <c r="R8" s="80">
        <v>1</v>
      </c>
      <c r="S8" s="79">
        <v>-6.3191871005037602E-3</v>
      </c>
      <c r="T8" s="79">
        <v>1.05883389343585E-2</v>
      </c>
      <c r="U8" s="79">
        <v>0.55066414470394098</v>
      </c>
      <c r="V8" s="79">
        <v>0.68833018087992703</v>
      </c>
      <c r="W8" s="80">
        <v>1</v>
      </c>
    </row>
    <row r="9" spans="2:23" x14ac:dyDescent="0.2">
      <c r="B9" s="76" t="s">
        <v>3015</v>
      </c>
      <c r="C9" s="17" t="s">
        <v>1713</v>
      </c>
      <c r="D9" s="79">
        <v>-4.8267882043687097E-3</v>
      </c>
      <c r="E9" s="79">
        <v>1.1139390901083899E-2</v>
      </c>
      <c r="F9" s="79">
        <v>0.66480965189849295</v>
      </c>
      <c r="G9" s="79">
        <v>0.84179939117942704</v>
      </c>
      <c r="H9" s="80">
        <v>1</v>
      </c>
      <c r="I9" s="79">
        <v>1.43847417050457E-4</v>
      </c>
      <c r="J9" s="79">
        <v>1.10763177297609E-2</v>
      </c>
      <c r="K9" s="79">
        <v>0.98963873845376704</v>
      </c>
      <c r="L9" s="79">
        <v>0.98963873845376704</v>
      </c>
      <c r="M9" s="80">
        <v>1</v>
      </c>
      <c r="N9" s="79">
        <v>-1.42687964119878E-2</v>
      </c>
      <c r="O9" s="79">
        <v>1.10086976099518E-2</v>
      </c>
      <c r="P9" s="79">
        <v>0.194987738383682</v>
      </c>
      <c r="Q9" s="79">
        <v>0.68245708434288799</v>
      </c>
      <c r="R9" s="80">
        <v>1</v>
      </c>
      <c r="S9" s="79">
        <v>-6.9103100659792397E-3</v>
      </c>
      <c r="T9" s="79">
        <v>1.09950098436129E-2</v>
      </c>
      <c r="U9" s="79">
        <v>0.52970834520786902</v>
      </c>
      <c r="V9" s="79">
        <v>0.68665896601020004</v>
      </c>
      <c r="W9" s="80">
        <v>1</v>
      </c>
    </row>
    <row r="10" spans="2:23" x14ac:dyDescent="0.2">
      <c r="B10" s="76" t="s">
        <v>3046</v>
      </c>
      <c r="C10" s="17" t="s">
        <v>1721</v>
      </c>
      <c r="D10" s="79">
        <v>4.8658307609910096E-3</v>
      </c>
      <c r="E10" s="79">
        <v>1.3916063670214999E-2</v>
      </c>
      <c r="F10" s="79">
        <v>0.72661170703565203</v>
      </c>
      <c r="G10" s="79">
        <v>0.84179939117942704</v>
      </c>
      <c r="H10" s="80">
        <v>1</v>
      </c>
      <c r="I10" s="79">
        <v>1.4036767843747E-2</v>
      </c>
      <c r="J10" s="79">
        <v>1.38398818421671E-2</v>
      </c>
      <c r="K10" s="79">
        <v>0.31052380609349201</v>
      </c>
      <c r="L10" s="79">
        <v>0.57489240654251705</v>
      </c>
      <c r="M10" s="80">
        <v>1</v>
      </c>
      <c r="N10" s="79">
        <v>-1.9766342755081601E-2</v>
      </c>
      <c r="O10" s="79">
        <v>1.3762310113652001E-2</v>
      </c>
      <c r="P10" s="79">
        <v>0.150988517097362</v>
      </c>
      <c r="Q10" s="79">
        <v>0.66057476230096002</v>
      </c>
      <c r="R10" s="80">
        <v>1</v>
      </c>
      <c r="S10" s="79">
        <v>-1.33994255448082E-2</v>
      </c>
      <c r="T10" s="79">
        <v>1.3735623864213901E-2</v>
      </c>
      <c r="U10" s="79">
        <v>0.32934732768347702</v>
      </c>
      <c r="V10" s="79">
        <v>0.59626848894219697</v>
      </c>
      <c r="W10" s="80">
        <v>1</v>
      </c>
    </row>
    <row r="11" spans="2:23" x14ac:dyDescent="0.2">
      <c r="B11" s="76" t="s">
        <v>3016</v>
      </c>
      <c r="C11" s="17" t="s">
        <v>1699</v>
      </c>
      <c r="D11" s="79">
        <v>-8.5230971553667406E-3</v>
      </c>
      <c r="E11" s="79">
        <v>1.02238571037221E-2</v>
      </c>
      <c r="F11" s="79">
        <v>0.40451921341048402</v>
      </c>
      <c r="G11" s="79">
        <v>0.84179939117942704</v>
      </c>
      <c r="H11" s="80">
        <v>1</v>
      </c>
      <c r="I11" s="79">
        <v>4.70570034053947E-3</v>
      </c>
      <c r="J11" s="79">
        <v>1.01683241675846E-2</v>
      </c>
      <c r="K11" s="79">
        <v>0.64354210347770602</v>
      </c>
      <c r="L11" s="79">
        <v>0.86722097696751399</v>
      </c>
      <c r="M11" s="80">
        <v>1</v>
      </c>
      <c r="N11" s="79">
        <v>-8.4795658539650095E-3</v>
      </c>
      <c r="O11" s="79">
        <v>1.01100837493377E-2</v>
      </c>
      <c r="P11" s="79">
        <v>0.40166451398646902</v>
      </c>
      <c r="Q11" s="79">
        <v>0.73509339475132596</v>
      </c>
      <c r="R11" s="80">
        <v>1</v>
      </c>
      <c r="S11" s="79">
        <v>-1.84907524609477E-4</v>
      </c>
      <c r="T11" s="79">
        <v>1.0093415284567701E-2</v>
      </c>
      <c r="U11" s="79">
        <v>0.98538460669980099</v>
      </c>
      <c r="V11" s="79">
        <v>0.98538460669980099</v>
      </c>
      <c r="W11" s="80">
        <v>1</v>
      </c>
    </row>
    <row r="12" spans="2:23" x14ac:dyDescent="0.2">
      <c r="B12" s="76" t="s">
        <v>3017</v>
      </c>
      <c r="C12" s="17" t="s">
        <v>1712</v>
      </c>
      <c r="D12" s="79">
        <v>-6.5882865062738697E-3</v>
      </c>
      <c r="E12" s="79">
        <v>1.0299559972219499E-2</v>
      </c>
      <c r="F12" s="79">
        <v>0.52241893318114097</v>
      </c>
      <c r="G12" s="79">
        <v>0.84179939117942704</v>
      </c>
      <c r="H12" s="80">
        <v>1</v>
      </c>
      <c r="I12" s="79">
        <v>-6.68411208630393E-3</v>
      </c>
      <c r="J12" s="79">
        <v>1.02395205521512E-2</v>
      </c>
      <c r="K12" s="79">
        <v>0.51393143690689502</v>
      </c>
      <c r="L12" s="79">
        <v>0.85655239484482504</v>
      </c>
      <c r="M12" s="80">
        <v>1</v>
      </c>
      <c r="N12" s="79">
        <v>-8.1360096794964604E-3</v>
      </c>
      <c r="O12" s="79">
        <v>1.018389660954E-2</v>
      </c>
      <c r="P12" s="79">
        <v>0.42438150735671298</v>
      </c>
      <c r="Q12" s="79">
        <v>0.73509339475132596</v>
      </c>
      <c r="R12" s="80">
        <v>1</v>
      </c>
      <c r="S12" s="79">
        <v>6.6199504624895001E-3</v>
      </c>
      <c r="T12" s="79">
        <v>1.0167956837966501E-2</v>
      </c>
      <c r="U12" s="79">
        <v>0.51503802783644104</v>
      </c>
      <c r="V12" s="79">
        <v>0.68665896601020004</v>
      </c>
      <c r="W12" s="80">
        <v>1</v>
      </c>
    </row>
    <row r="13" spans="2:23" x14ac:dyDescent="0.2">
      <c r="B13" s="76" t="s">
        <v>3018</v>
      </c>
      <c r="C13" s="17" t="s">
        <v>1697</v>
      </c>
      <c r="D13" s="79">
        <v>-1.36243563503277E-2</v>
      </c>
      <c r="E13" s="79">
        <v>9.4156872366401804E-3</v>
      </c>
      <c r="F13" s="79">
        <v>0.14796162398365101</v>
      </c>
      <c r="G13" s="79">
        <v>0.64733210492847304</v>
      </c>
      <c r="H13" s="80">
        <v>1</v>
      </c>
      <c r="I13" s="79">
        <v>-2.12506295722481E-2</v>
      </c>
      <c r="J13" s="79">
        <v>9.3768109056972301E-3</v>
      </c>
      <c r="K13" s="79">
        <v>2.34743276666514E-2</v>
      </c>
      <c r="L13" s="79">
        <v>0.1027001835416</v>
      </c>
      <c r="M13" s="80">
        <v>0.82160146833280001</v>
      </c>
      <c r="N13" s="79">
        <v>-1.98706765127733E-2</v>
      </c>
      <c r="O13" s="79">
        <v>9.3035046986189793E-3</v>
      </c>
      <c r="P13" s="79">
        <v>3.2740177106514202E-2</v>
      </c>
      <c r="Q13" s="79">
        <v>0.38196873290933298</v>
      </c>
      <c r="R13" s="80">
        <v>1</v>
      </c>
      <c r="S13" s="79">
        <v>-2.1244472278105001E-2</v>
      </c>
      <c r="T13" s="79">
        <v>9.2910061476596407E-3</v>
      </c>
      <c r="U13" s="79">
        <v>2.2261445671743301E-2</v>
      </c>
      <c r="V13" s="79">
        <v>0.23852001376002399</v>
      </c>
      <c r="W13" s="80">
        <v>0.77915059851101598</v>
      </c>
    </row>
    <row r="14" spans="2:23" x14ac:dyDescent="0.2">
      <c r="B14" s="76" t="s">
        <v>3019</v>
      </c>
      <c r="C14" s="17" t="s">
        <v>1692</v>
      </c>
      <c r="D14" s="79">
        <v>2.1033030581941298E-2</v>
      </c>
      <c r="E14" s="79">
        <v>1.0148608625126201E-2</v>
      </c>
      <c r="F14" s="79">
        <v>3.8268081201082299E-2</v>
      </c>
      <c r="G14" s="79">
        <v>0.51149625953327205</v>
      </c>
      <c r="H14" s="80">
        <v>1</v>
      </c>
      <c r="I14" s="79">
        <v>1.99455506856543E-2</v>
      </c>
      <c r="J14" s="79">
        <v>1.01051403698661E-2</v>
      </c>
      <c r="K14" s="79">
        <v>4.8457668516953302E-2</v>
      </c>
      <c r="L14" s="79">
        <v>0.15418349073575999</v>
      </c>
      <c r="M14" s="80">
        <v>1</v>
      </c>
      <c r="N14" s="79">
        <v>9.0821027801144694E-3</v>
      </c>
      <c r="O14" s="79">
        <v>1.00366499783644E-2</v>
      </c>
      <c r="P14" s="79">
        <v>0.36556385942603897</v>
      </c>
      <c r="Q14" s="79">
        <v>0.73509339475132596</v>
      </c>
      <c r="R14" s="80">
        <v>1</v>
      </c>
      <c r="S14" s="79">
        <v>1.5513501912016E-2</v>
      </c>
      <c r="T14" s="79">
        <v>1.0019458973865299E-2</v>
      </c>
      <c r="U14" s="79">
        <v>0.12160249243637899</v>
      </c>
      <c r="V14" s="79">
        <v>0.40636996976732398</v>
      </c>
      <c r="W14" s="80">
        <v>1</v>
      </c>
    </row>
    <row r="15" spans="2:23" x14ac:dyDescent="0.2">
      <c r="B15" s="76" t="s">
        <v>3020</v>
      </c>
      <c r="C15" s="17" t="s">
        <v>1708</v>
      </c>
      <c r="D15" s="79">
        <v>1.7096721773993701E-2</v>
      </c>
      <c r="E15" s="79">
        <v>1.0080540328259099E-2</v>
      </c>
      <c r="F15" s="79">
        <v>8.9944069063811596E-2</v>
      </c>
      <c r="G15" s="79">
        <v>0.62960848344668097</v>
      </c>
      <c r="H15" s="80">
        <v>1</v>
      </c>
      <c r="I15" s="79">
        <v>2.9152810987299302E-4</v>
      </c>
      <c r="J15" s="79">
        <v>1.0038591464069E-2</v>
      </c>
      <c r="K15" s="79">
        <v>0.97683323015997603</v>
      </c>
      <c r="L15" s="79">
        <v>0.98963873845376704</v>
      </c>
      <c r="M15" s="80">
        <v>1</v>
      </c>
      <c r="N15" s="79">
        <v>6.2633963980399197E-3</v>
      </c>
      <c r="O15" s="79">
        <v>9.9690269049239298E-3</v>
      </c>
      <c r="P15" s="79">
        <v>0.52984470119780902</v>
      </c>
      <c r="Q15" s="79">
        <v>0.75640826024234897</v>
      </c>
      <c r="R15" s="80">
        <v>1</v>
      </c>
      <c r="S15" s="79">
        <v>8.6462398670832507E-3</v>
      </c>
      <c r="T15" s="79">
        <v>9.9524959613461594E-3</v>
      </c>
      <c r="U15" s="79">
        <v>0.385023931792147</v>
      </c>
      <c r="V15" s="79">
        <v>0.59626848894219697</v>
      </c>
      <c r="W15" s="80">
        <v>1</v>
      </c>
    </row>
    <row r="16" spans="2:23" x14ac:dyDescent="0.2">
      <c r="B16" s="76" t="s">
        <v>3021</v>
      </c>
      <c r="C16" s="17" t="s">
        <v>1719</v>
      </c>
      <c r="D16" s="79">
        <v>4.45800074130047E-3</v>
      </c>
      <c r="E16" s="79">
        <v>1.2956897215201201E-2</v>
      </c>
      <c r="F16" s="79">
        <v>0.73081224804572298</v>
      </c>
      <c r="G16" s="79">
        <v>0.84179939117942704</v>
      </c>
      <c r="H16" s="80">
        <v>1</v>
      </c>
      <c r="I16" s="79">
        <v>-3.4097518604669301E-2</v>
      </c>
      <c r="J16" s="79">
        <v>1.2893096703006E-2</v>
      </c>
      <c r="K16" s="79">
        <v>8.2027734539409508E-3</v>
      </c>
      <c r="L16" s="79">
        <v>5.74194141775866E-2</v>
      </c>
      <c r="M16" s="80">
        <v>0.28709707088793301</v>
      </c>
      <c r="N16" s="79">
        <v>-7.1211556380831502E-3</v>
      </c>
      <c r="O16" s="79">
        <v>1.28085026241141E-2</v>
      </c>
      <c r="P16" s="79">
        <v>0.57825477588081398</v>
      </c>
      <c r="Q16" s="79">
        <v>0.77841989060878902</v>
      </c>
      <c r="R16" s="80">
        <v>1</v>
      </c>
      <c r="S16" s="79">
        <v>1.41852954453747E-3</v>
      </c>
      <c r="T16" s="79">
        <v>1.2789791890780101E-2</v>
      </c>
      <c r="U16" s="79">
        <v>0.91169117794851895</v>
      </c>
      <c r="V16" s="79">
        <v>0.93850562435877005</v>
      </c>
      <c r="W16" s="80">
        <v>1</v>
      </c>
    </row>
    <row r="17" spans="2:23" x14ac:dyDescent="0.2">
      <c r="B17" s="76" t="s">
        <v>3022</v>
      </c>
      <c r="C17" s="17" t="s">
        <v>1717</v>
      </c>
      <c r="D17" s="79">
        <v>2.0998090792759098E-2</v>
      </c>
      <c r="E17" s="79">
        <v>1.36622926363808E-2</v>
      </c>
      <c r="F17" s="79">
        <v>0.124370613363406</v>
      </c>
      <c r="G17" s="79">
        <v>0.64733210492847304</v>
      </c>
      <c r="H17" s="80">
        <v>1</v>
      </c>
      <c r="I17" s="79">
        <v>-2.35911496113618E-2</v>
      </c>
      <c r="J17" s="79">
        <v>1.35909872173538E-2</v>
      </c>
      <c r="K17" s="79">
        <v>8.2660970905317599E-2</v>
      </c>
      <c r="L17" s="79">
        <v>0.206652427263294</v>
      </c>
      <c r="M17" s="80">
        <v>1</v>
      </c>
      <c r="N17" s="79">
        <v>1.83687090326096E-4</v>
      </c>
      <c r="O17" s="79">
        <v>1.3507528050804799E-2</v>
      </c>
      <c r="P17" s="79">
        <v>0.98915053954215904</v>
      </c>
      <c r="Q17" s="79">
        <v>0.98915053954215904</v>
      </c>
      <c r="R17" s="80">
        <v>1</v>
      </c>
      <c r="S17" s="79">
        <v>1.5953029943724498E-2</v>
      </c>
      <c r="T17" s="79">
        <v>1.3486738885297099E-2</v>
      </c>
      <c r="U17" s="79">
        <v>0.236916631563024</v>
      </c>
      <c r="V17" s="79">
        <v>0.56877294633462505</v>
      </c>
      <c r="W17" s="80">
        <v>1</v>
      </c>
    </row>
    <row r="18" spans="2:23" x14ac:dyDescent="0.2">
      <c r="B18" s="76" t="s">
        <v>3023</v>
      </c>
      <c r="C18" s="17" t="s">
        <v>1718</v>
      </c>
      <c r="D18" s="79">
        <v>1.25632948525474E-2</v>
      </c>
      <c r="E18" s="79">
        <v>1.36551125846185E-2</v>
      </c>
      <c r="F18" s="79">
        <v>0.35759364094940199</v>
      </c>
      <c r="G18" s="79">
        <v>0.84179939117942704</v>
      </c>
      <c r="H18" s="80">
        <v>1</v>
      </c>
      <c r="I18" s="79">
        <v>-2.61976961488424E-2</v>
      </c>
      <c r="J18" s="79">
        <v>1.35844120007942E-2</v>
      </c>
      <c r="K18" s="79">
        <v>5.3847187785825298E-2</v>
      </c>
      <c r="L18" s="79">
        <v>0.15647427082572299</v>
      </c>
      <c r="M18" s="80">
        <v>1</v>
      </c>
      <c r="N18" s="79">
        <v>-9.7965841657629907E-3</v>
      </c>
      <c r="O18" s="79">
        <v>1.3500385914626E-2</v>
      </c>
      <c r="P18" s="79">
        <v>0.46808529425476503</v>
      </c>
      <c r="Q18" s="79">
        <v>0.74468114995076196</v>
      </c>
      <c r="R18" s="80">
        <v>1</v>
      </c>
      <c r="S18" s="79">
        <v>2.8139929059469701E-2</v>
      </c>
      <c r="T18" s="79">
        <v>1.3475088019895699E-2</v>
      </c>
      <c r="U18" s="79">
        <v>3.68208780268581E-2</v>
      </c>
      <c r="V18" s="79">
        <v>0.25774614618800601</v>
      </c>
      <c r="W18" s="80">
        <v>1</v>
      </c>
    </row>
    <row r="19" spans="2:23" x14ac:dyDescent="0.2">
      <c r="B19" s="76" t="s">
        <v>3024</v>
      </c>
      <c r="C19" s="17" t="s">
        <v>1716</v>
      </c>
      <c r="D19" s="79">
        <v>1.1942358384805601E-2</v>
      </c>
      <c r="E19" s="79">
        <v>1.3466949706434399E-2</v>
      </c>
      <c r="F19" s="79">
        <v>0.37523388656322698</v>
      </c>
      <c r="G19" s="79">
        <v>0.84179939117942704</v>
      </c>
      <c r="H19" s="80">
        <v>1</v>
      </c>
      <c r="I19" s="79">
        <v>-3.9331707785124903E-2</v>
      </c>
      <c r="J19" s="79">
        <v>1.33883716384304E-2</v>
      </c>
      <c r="K19" s="79">
        <v>3.32096299301257E-3</v>
      </c>
      <c r="L19" s="79">
        <v>5.7002702450900299E-2</v>
      </c>
      <c r="M19" s="80">
        <v>0.11623370475544</v>
      </c>
      <c r="N19" s="79">
        <v>-2.1824595517541501E-2</v>
      </c>
      <c r="O19" s="79">
        <v>1.3312505273340601E-2</v>
      </c>
      <c r="P19" s="79">
        <v>0.10119071389015701</v>
      </c>
      <c r="Q19" s="79">
        <v>0.54810633406863896</v>
      </c>
      <c r="R19" s="80">
        <v>1</v>
      </c>
      <c r="S19" s="79">
        <v>1.24969937051318E-2</v>
      </c>
      <c r="T19" s="79">
        <v>1.3293838405250899E-2</v>
      </c>
      <c r="U19" s="79">
        <v>0.34723194666060198</v>
      </c>
      <c r="V19" s="79">
        <v>0.59626848894219697</v>
      </c>
      <c r="W19" s="80">
        <v>1</v>
      </c>
    </row>
    <row r="20" spans="2:23" x14ac:dyDescent="0.2">
      <c r="B20" s="72" t="s">
        <v>3045</v>
      </c>
      <c r="C20" s="17" t="s">
        <v>1715</v>
      </c>
      <c r="D20" s="79">
        <v>2.2461485967196999E-2</v>
      </c>
      <c r="E20" s="79">
        <v>1.32083734824022E-2</v>
      </c>
      <c r="F20" s="79">
        <v>8.9087650460974804E-2</v>
      </c>
      <c r="G20" s="79">
        <v>0.62960848344668097</v>
      </c>
      <c r="H20" s="80">
        <v>1</v>
      </c>
      <c r="I20" s="79">
        <v>-3.1836536471980897E-2</v>
      </c>
      <c r="J20" s="79">
        <v>1.31513518280567E-2</v>
      </c>
      <c r="K20" s="79">
        <v>1.5521370671602201E-2</v>
      </c>
      <c r="L20" s="79">
        <v>7.7606853358010999E-2</v>
      </c>
      <c r="M20" s="80">
        <v>0.54324797350607701</v>
      </c>
      <c r="N20" s="79">
        <v>-1.00582217203142E-2</v>
      </c>
      <c r="O20" s="79">
        <v>1.30546522823044E-2</v>
      </c>
      <c r="P20" s="79">
        <v>0.44105603685079597</v>
      </c>
      <c r="Q20" s="79">
        <v>0.73509339475132596</v>
      </c>
      <c r="R20" s="80">
        <v>1</v>
      </c>
      <c r="S20" s="79">
        <v>1.1166181346535801E-2</v>
      </c>
      <c r="T20" s="79">
        <v>1.3038992703760599E-2</v>
      </c>
      <c r="U20" s="79">
        <v>0.39183357844772898</v>
      </c>
      <c r="V20" s="79">
        <v>0.59626848894219697</v>
      </c>
      <c r="W20" s="80">
        <v>1</v>
      </c>
    </row>
    <row r="21" spans="2:23" x14ac:dyDescent="0.2">
      <c r="B21" s="76" t="s">
        <v>3025</v>
      </c>
      <c r="C21" s="17" t="s">
        <v>1690</v>
      </c>
      <c r="D21" s="79">
        <v>-6.3530531450470698E-3</v>
      </c>
      <c r="E21" s="79">
        <v>1.10305421157279E-2</v>
      </c>
      <c r="F21" s="79">
        <v>0.56467320751378702</v>
      </c>
      <c r="G21" s="79">
        <v>0.84179939117942704</v>
      </c>
      <c r="H21" s="80">
        <v>1</v>
      </c>
      <c r="I21" s="79">
        <v>-2.8237542890744202E-2</v>
      </c>
      <c r="J21" s="79">
        <v>1.09810456274296E-2</v>
      </c>
      <c r="K21" s="79">
        <v>1.01541106002797E-2</v>
      </c>
      <c r="L21" s="79">
        <v>5.9232311834964697E-2</v>
      </c>
      <c r="M21" s="80">
        <v>0.35539387100978798</v>
      </c>
      <c r="N21" s="79">
        <v>-1.9258656336683E-2</v>
      </c>
      <c r="O21" s="79">
        <v>1.0898435147696299E-2</v>
      </c>
      <c r="P21" s="79">
        <v>7.7269742441455194E-2</v>
      </c>
      <c r="Q21" s="79">
        <v>0.54810633406863896</v>
      </c>
      <c r="R21" s="80">
        <v>1</v>
      </c>
      <c r="S21" s="79">
        <v>-2.7601351172425601E-2</v>
      </c>
      <c r="T21" s="79">
        <v>1.0881022474055899E-2</v>
      </c>
      <c r="U21" s="79">
        <v>1.12209270283597E-2</v>
      </c>
      <c r="V21" s="79">
        <v>0.200278947663594</v>
      </c>
      <c r="W21" s="80">
        <v>0.39273244599259</v>
      </c>
    </row>
    <row r="22" spans="2:23" x14ac:dyDescent="0.2">
      <c r="B22" s="76" t="s">
        <v>3026</v>
      </c>
      <c r="C22" s="17" t="s">
        <v>1706</v>
      </c>
      <c r="D22" s="79">
        <v>-7.8809696384046501E-3</v>
      </c>
      <c r="E22" s="79">
        <v>1.10346059015556E-2</v>
      </c>
      <c r="F22" s="79">
        <v>0.47513267056708802</v>
      </c>
      <c r="G22" s="79">
        <v>0.84179939117942704</v>
      </c>
      <c r="H22" s="80">
        <v>1</v>
      </c>
      <c r="I22" s="79">
        <v>-2.4115794170175099E-2</v>
      </c>
      <c r="J22" s="79">
        <v>1.09867222110379E-2</v>
      </c>
      <c r="K22" s="79">
        <v>2.8208277526208001E-2</v>
      </c>
      <c r="L22" s="79">
        <v>0.10969885704636401</v>
      </c>
      <c r="M22" s="80">
        <v>0.987289713417278</v>
      </c>
      <c r="N22" s="79">
        <v>-1.7449566265413399E-2</v>
      </c>
      <c r="O22" s="79">
        <v>1.09048040192272E-2</v>
      </c>
      <c r="P22" s="79">
        <v>0.109621266813728</v>
      </c>
      <c r="Q22" s="79">
        <v>0.54810633406863896</v>
      </c>
      <c r="R22" s="80">
        <v>1</v>
      </c>
      <c r="S22" s="79">
        <v>-2.7537861445968401E-2</v>
      </c>
      <c r="T22" s="79">
        <v>1.0885702337998199E-2</v>
      </c>
      <c r="U22" s="79">
        <v>1.14445112950625E-2</v>
      </c>
      <c r="V22" s="79">
        <v>0.200278947663594</v>
      </c>
      <c r="W22" s="80">
        <v>0.400557895327188</v>
      </c>
    </row>
    <row r="23" spans="2:23" x14ac:dyDescent="0.2">
      <c r="B23" s="76" t="s">
        <v>3027</v>
      </c>
      <c r="C23" s="17" t="s">
        <v>1689</v>
      </c>
      <c r="D23" s="79">
        <v>-6.1840776667646197E-3</v>
      </c>
      <c r="E23" s="79">
        <v>1.1927485656836099E-2</v>
      </c>
      <c r="F23" s="79">
        <v>0.60415066167446596</v>
      </c>
      <c r="G23" s="79">
        <v>0.84179939117942704</v>
      </c>
      <c r="H23" s="80">
        <v>1</v>
      </c>
      <c r="I23" s="79">
        <v>-3.34194316581874E-2</v>
      </c>
      <c r="J23" s="79">
        <v>1.1869039752516099E-2</v>
      </c>
      <c r="K23" s="79">
        <v>4.8859459243628797E-3</v>
      </c>
      <c r="L23" s="79">
        <v>5.7002702450900299E-2</v>
      </c>
      <c r="M23" s="80">
        <v>0.171008107352701</v>
      </c>
      <c r="N23" s="79">
        <v>5.4126788564137496E-3</v>
      </c>
      <c r="O23" s="79">
        <v>1.1792482868812199E-2</v>
      </c>
      <c r="P23" s="79">
        <v>0.64625782072370896</v>
      </c>
      <c r="Q23" s="79">
        <v>0.78196962059738195</v>
      </c>
      <c r="R23" s="80">
        <v>1</v>
      </c>
      <c r="S23" s="79">
        <v>-2.2437293760890101E-2</v>
      </c>
      <c r="T23" s="79">
        <v>1.1769466827205E-2</v>
      </c>
      <c r="U23" s="79">
        <v>5.6654120022452299E-2</v>
      </c>
      <c r="V23" s="79">
        <v>0.28327060011226102</v>
      </c>
      <c r="W23" s="80">
        <v>1</v>
      </c>
    </row>
    <row r="24" spans="2:23" x14ac:dyDescent="0.2">
      <c r="B24" s="76" t="s">
        <v>3028</v>
      </c>
      <c r="C24" s="17" t="s">
        <v>1705</v>
      </c>
      <c r="D24" s="79">
        <v>-1.5428421574628801E-2</v>
      </c>
      <c r="E24" s="79">
        <v>1.1510537337193099E-2</v>
      </c>
      <c r="F24" s="79">
        <v>0.18018287332500699</v>
      </c>
      <c r="G24" s="79">
        <v>0.69353035067742297</v>
      </c>
      <c r="H24" s="80">
        <v>1</v>
      </c>
      <c r="I24" s="79">
        <v>-2.46338724824357E-2</v>
      </c>
      <c r="J24" s="79">
        <v>1.14605481403802E-2</v>
      </c>
      <c r="K24" s="79">
        <v>3.16452141934788E-2</v>
      </c>
      <c r="L24" s="79">
        <v>0.110758249677176</v>
      </c>
      <c r="M24" s="80">
        <v>1</v>
      </c>
      <c r="N24" s="79">
        <v>-6.9697631099709901E-3</v>
      </c>
      <c r="O24" s="79">
        <v>1.1380825154574E-2</v>
      </c>
      <c r="P24" s="79">
        <v>0.54029161445882101</v>
      </c>
      <c r="Q24" s="79">
        <v>0.75640826024234897</v>
      </c>
      <c r="R24" s="80">
        <v>1</v>
      </c>
      <c r="S24" s="79">
        <v>-1.0682675866271999E-2</v>
      </c>
      <c r="T24" s="79">
        <v>1.13625483268887E-2</v>
      </c>
      <c r="U24" s="79">
        <v>0.347176668662451</v>
      </c>
      <c r="V24" s="79">
        <v>0.59626848894219697</v>
      </c>
      <c r="W24" s="80">
        <v>1</v>
      </c>
    </row>
    <row r="25" spans="2:23" x14ac:dyDescent="0.2">
      <c r="B25" s="76" t="s">
        <v>3029</v>
      </c>
      <c r="C25" s="17" t="s">
        <v>1700</v>
      </c>
      <c r="D25" s="79">
        <v>2.80834998277995E-2</v>
      </c>
      <c r="E25" s="79">
        <v>1.39296495788509E-2</v>
      </c>
      <c r="F25" s="79">
        <v>4.3842536531423303E-2</v>
      </c>
      <c r="G25" s="79">
        <v>0.51149625953327205</v>
      </c>
      <c r="H25" s="80">
        <v>1</v>
      </c>
      <c r="I25" s="79">
        <v>1.05966935660467E-2</v>
      </c>
      <c r="J25" s="79">
        <v>1.38650564433515E-2</v>
      </c>
      <c r="K25" s="79">
        <v>0.444739999051111</v>
      </c>
      <c r="L25" s="79">
        <v>0.77829499833944504</v>
      </c>
      <c r="M25" s="80">
        <v>1</v>
      </c>
      <c r="N25" s="79">
        <v>-3.94195222651373E-4</v>
      </c>
      <c r="O25" s="79">
        <v>1.37783636215923E-2</v>
      </c>
      <c r="P25" s="79">
        <v>0.97717697601498699</v>
      </c>
      <c r="Q25" s="79">
        <v>0.98915053954215904</v>
      </c>
      <c r="R25" s="80">
        <v>1</v>
      </c>
      <c r="S25" s="79">
        <v>-2.0951206506012201E-2</v>
      </c>
      <c r="T25" s="79">
        <v>1.37527602943878E-2</v>
      </c>
      <c r="U25" s="79">
        <v>0.12771627621258699</v>
      </c>
      <c r="V25" s="79">
        <v>0.40636996976732398</v>
      </c>
      <c r="W25" s="80">
        <v>1</v>
      </c>
    </row>
    <row r="26" spans="2:23" x14ac:dyDescent="0.2">
      <c r="B26" s="76" t="s">
        <v>3030</v>
      </c>
      <c r="C26" s="17" t="s">
        <v>1698</v>
      </c>
      <c r="D26" s="79">
        <v>-1.0865662252964199E-3</v>
      </c>
      <c r="E26" s="79">
        <v>1.03648380885095E-2</v>
      </c>
      <c r="F26" s="79">
        <v>0.91651331057707097</v>
      </c>
      <c r="G26" s="79">
        <v>0.91651331057707097</v>
      </c>
      <c r="H26" s="80">
        <v>1</v>
      </c>
      <c r="I26" s="79">
        <v>-1.0787043636986699E-3</v>
      </c>
      <c r="J26" s="79">
        <v>1.03109057547143E-2</v>
      </c>
      <c r="K26" s="79">
        <v>0.91668325267940398</v>
      </c>
      <c r="L26" s="79">
        <v>0.97676991344171904</v>
      </c>
      <c r="M26" s="80">
        <v>1</v>
      </c>
      <c r="N26" s="79">
        <v>1.36555887576808E-2</v>
      </c>
      <c r="O26" s="79">
        <v>1.0246044445051001E-2</v>
      </c>
      <c r="P26" s="79">
        <v>0.18266829131270501</v>
      </c>
      <c r="Q26" s="79">
        <v>0.68245708434288799</v>
      </c>
      <c r="R26" s="80">
        <v>1</v>
      </c>
      <c r="S26" s="79">
        <v>-1.19256825743175E-2</v>
      </c>
      <c r="T26" s="79">
        <v>1.0229820604058399E-2</v>
      </c>
      <c r="U26" s="79">
        <v>0.24375983414341101</v>
      </c>
      <c r="V26" s="79">
        <v>0.56877294633462505</v>
      </c>
      <c r="W26" s="80">
        <v>1</v>
      </c>
    </row>
    <row r="27" spans="2:23" x14ac:dyDescent="0.2">
      <c r="B27" s="76" t="s">
        <v>3031</v>
      </c>
      <c r="C27" s="17" t="s">
        <v>1711</v>
      </c>
      <c r="D27" s="79">
        <v>2.0924623900280799E-3</v>
      </c>
      <c r="E27" s="79">
        <v>9.9020862703739498E-3</v>
      </c>
      <c r="F27" s="79">
        <v>0.83264970101403002</v>
      </c>
      <c r="G27" s="79">
        <v>0.88311331925730496</v>
      </c>
      <c r="H27" s="80">
        <v>1</v>
      </c>
      <c r="I27" s="79">
        <v>3.0931207703511301E-3</v>
      </c>
      <c r="J27" s="79">
        <v>9.8505785654329492E-3</v>
      </c>
      <c r="K27" s="79">
        <v>0.75353095247631996</v>
      </c>
      <c r="L27" s="79">
        <v>0.90943390816107605</v>
      </c>
      <c r="M27" s="80">
        <v>1</v>
      </c>
      <c r="N27" s="79">
        <v>6.7395101477738997E-3</v>
      </c>
      <c r="O27" s="79">
        <v>9.7880643621577595E-3</v>
      </c>
      <c r="P27" s="79">
        <v>0.49114183133463801</v>
      </c>
      <c r="Q27" s="79">
        <v>0.74738974333531905</v>
      </c>
      <c r="R27" s="80">
        <v>1</v>
      </c>
      <c r="S27" s="79">
        <v>-7.9737387010640603E-3</v>
      </c>
      <c r="T27" s="79">
        <v>9.7731698609651203E-3</v>
      </c>
      <c r="U27" s="79">
        <v>0.41460665773731298</v>
      </c>
      <c r="V27" s="79">
        <v>0.60463470920024898</v>
      </c>
      <c r="W27" s="80">
        <v>1</v>
      </c>
    </row>
    <row r="28" spans="2:23" x14ac:dyDescent="0.2">
      <c r="B28" s="76" t="s">
        <v>3032</v>
      </c>
      <c r="C28" s="17" t="s">
        <v>1688</v>
      </c>
      <c r="D28" s="79">
        <v>-8.8737482015009608E-3</v>
      </c>
      <c r="E28" s="79">
        <v>1.4058159218916601E-2</v>
      </c>
      <c r="F28" s="79">
        <v>0.527927749961419</v>
      </c>
      <c r="G28" s="79">
        <v>0.84179939117942704</v>
      </c>
      <c r="H28" s="80">
        <v>1</v>
      </c>
      <c r="I28" s="79">
        <v>2.3112245448258802E-2</v>
      </c>
      <c r="J28" s="79">
        <v>1.3973469787543401E-2</v>
      </c>
      <c r="K28" s="79">
        <v>9.81894025698649E-2</v>
      </c>
      <c r="L28" s="79">
        <v>0.21478931812158</v>
      </c>
      <c r="M28" s="80">
        <v>1</v>
      </c>
      <c r="N28" s="79">
        <v>-1.08119906915601E-2</v>
      </c>
      <c r="O28" s="79">
        <v>1.39004734060826E-2</v>
      </c>
      <c r="P28" s="79">
        <v>0.43671544841728499</v>
      </c>
      <c r="Q28" s="79">
        <v>0.73509339475132596</v>
      </c>
      <c r="R28" s="80">
        <v>1</v>
      </c>
      <c r="S28" s="79">
        <v>5.9334036809691902E-3</v>
      </c>
      <c r="T28" s="79">
        <v>1.38782063003098E-2</v>
      </c>
      <c r="U28" s="79">
        <v>0.66900904229243696</v>
      </c>
      <c r="V28" s="79">
        <v>0.80742470621501095</v>
      </c>
      <c r="W28" s="80">
        <v>1</v>
      </c>
    </row>
    <row r="29" spans="2:23" x14ac:dyDescent="0.2">
      <c r="B29" s="76" t="s">
        <v>3033</v>
      </c>
      <c r="C29" s="17" t="s">
        <v>1704</v>
      </c>
      <c r="D29" s="79">
        <v>4.3154560437720499E-3</v>
      </c>
      <c r="E29" s="79">
        <v>1.38947381391326E-2</v>
      </c>
      <c r="F29" s="79">
        <v>0.75613156655289404</v>
      </c>
      <c r="G29" s="79">
        <v>0.84179939117942704</v>
      </c>
      <c r="H29" s="80">
        <v>1</v>
      </c>
      <c r="I29" s="79">
        <v>2.6166952497644998E-2</v>
      </c>
      <c r="J29" s="79">
        <v>1.38066254857237E-2</v>
      </c>
      <c r="K29" s="79">
        <v>5.8119014878125798E-2</v>
      </c>
      <c r="L29" s="79">
        <v>0.15647427082572299</v>
      </c>
      <c r="M29" s="80">
        <v>1</v>
      </c>
      <c r="N29" s="79">
        <v>-5.1897050910709001E-3</v>
      </c>
      <c r="O29" s="79">
        <v>1.3737376559278E-2</v>
      </c>
      <c r="P29" s="79">
        <v>0.70561045363372599</v>
      </c>
      <c r="Q29" s="79">
        <v>0.79665696378001405</v>
      </c>
      <c r="R29" s="80">
        <v>1</v>
      </c>
      <c r="S29" s="79">
        <v>-3.1838877789652298E-3</v>
      </c>
      <c r="T29" s="79">
        <v>1.37167951391555E-2</v>
      </c>
      <c r="U29" s="79">
        <v>0.81645758099673504</v>
      </c>
      <c r="V29" s="79">
        <v>0.924491919332601</v>
      </c>
      <c r="W29" s="80">
        <v>1</v>
      </c>
    </row>
    <row r="30" spans="2:23" x14ac:dyDescent="0.2">
      <c r="B30" s="72" t="s">
        <v>3044</v>
      </c>
      <c r="C30" s="17" t="s">
        <v>1720</v>
      </c>
      <c r="D30" s="79">
        <v>4.1977259793670703E-3</v>
      </c>
      <c r="E30" s="79">
        <v>1.3983727531864601E-2</v>
      </c>
      <c r="F30" s="79">
        <v>0.764047299499511</v>
      </c>
      <c r="G30" s="79">
        <v>0.84179939117942704</v>
      </c>
      <c r="H30" s="80">
        <v>1</v>
      </c>
      <c r="I30" s="79">
        <v>1.4058650776761199E-2</v>
      </c>
      <c r="J30" s="79">
        <v>1.3906240421696E-2</v>
      </c>
      <c r="K30" s="79">
        <v>0.31208444926593798</v>
      </c>
      <c r="L30" s="79">
        <v>0.57489240654251705</v>
      </c>
      <c r="M30" s="80">
        <v>1</v>
      </c>
      <c r="N30" s="79">
        <v>-1.5756001615395698E-2</v>
      </c>
      <c r="O30" s="79">
        <v>1.38299056227546E-2</v>
      </c>
      <c r="P30" s="79">
        <v>0.25464453950703803</v>
      </c>
      <c r="Q30" s="79">
        <v>0.73509339475132596</v>
      </c>
      <c r="R30" s="80">
        <v>1</v>
      </c>
      <c r="S30" s="79">
        <v>-1.37285387629624E-2</v>
      </c>
      <c r="T30" s="79">
        <v>1.3802408026092601E-2</v>
      </c>
      <c r="U30" s="79">
        <v>0.31995519037519998</v>
      </c>
      <c r="V30" s="79">
        <v>0.59626848894219697</v>
      </c>
      <c r="W30" s="80">
        <v>1</v>
      </c>
    </row>
    <row r="31" spans="2:23" x14ac:dyDescent="0.2">
      <c r="B31" s="76" t="s">
        <v>3034</v>
      </c>
      <c r="C31" s="17" t="s">
        <v>1687</v>
      </c>
      <c r="D31" s="79">
        <v>4.9484795354122601E-3</v>
      </c>
      <c r="E31" s="79">
        <v>1.4098410773378501E-2</v>
      </c>
      <c r="F31" s="79">
        <v>0.72560636240936804</v>
      </c>
      <c r="G31" s="79">
        <v>0.84179939117942704</v>
      </c>
      <c r="H31" s="80">
        <v>1</v>
      </c>
      <c r="I31" s="79">
        <v>1.7998062877635002E-2</v>
      </c>
      <c r="J31" s="79">
        <v>1.40205309745979E-2</v>
      </c>
      <c r="K31" s="79">
        <v>0.19930864863306599</v>
      </c>
      <c r="L31" s="79">
        <v>0.41034133542101803</v>
      </c>
      <c r="M31" s="80">
        <v>1</v>
      </c>
      <c r="N31" s="79">
        <v>-1.27905603764515E-2</v>
      </c>
      <c r="O31" s="79">
        <v>1.3939582556713801E-2</v>
      </c>
      <c r="P31" s="79">
        <v>0.35888728887442001</v>
      </c>
      <c r="Q31" s="79">
        <v>0.73509339475132596</v>
      </c>
      <c r="R31" s="80">
        <v>1</v>
      </c>
      <c r="S31" s="79">
        <v>-1.0145485281129501E-2</v>
      </c>
      <c r="T31" s="79">
        <v>1.3917240949830399E-2</v>
      </c>
      <c r="U31" s="79">
        <v>0.46604360223531099</v>
      </c>
      <c r="V31" s="79">
        <v>0.65246104312943498</v>
      </c>
      <c r="W31" s="80">
        <v>1</v>
      </c>
    </row>
    <row r="32" spans="2:23" x14ac:dyDescent="0.2">
      <c r="B32" s="76" t="s">
        <v>3035</v>
      </c>
      <c r="C32" s="17" t="s">
        <v>1703</v>
      </c>
      <c r="D32" s="79">
        <v>4.0909494153276897E-3</v>
      </c>
      <c r="E32" s="79">
        <v>1.3969203146978601E-2</v>
      </c>
      <c r="F32" s="79">
        <v>0.76964515764976205</v>
      </c>
      <c r="G32" s="79">
        <v>0.84179939117942704</v>
      </c>
      <c r="H32" s="80">
        <v>1</v>
      </c>
      <c r="I32" s="79">
        <v>6.1591168671804699E-3</v>
      </c>
      <c r="J32" s="79">
        <v>1.3891109080973499E-2</v>
      </c>
      <c r="K32" s="79">
        <v>0.65750608206755601</v>
      </c>
      <c r="L32" s="79">
        <v>0.86722097696751399</v>
      </c>
      <c r="M32" s="80">
        <v>1</v>
      </c>
      <c r="N32" s="79">
        <v>-1.6869796729344799E-2</v>
      </c>
      <c r="O32" s="79">
        <v>1.3812153144614901E-2</v>
      </c>
      <c r="P32" s="79">
        <v>0.222001944755361</v>
      </c>
      <c r="Q32" s="79">
        <v>0.70636982422160399</v>
      </c>
      <c r="R32" s="80">
        <v>1</v>
      </c>
      <c r="S32" s="79">
        <v>-1.6778798168617399E-2</v>
      </c>
      <c r="T32" s="79">
        <v>1.3789525838915699E-2</v>
      </c>
      <c r="U32" s="79">
        <v>0.22374560908600699</v>
      </c>
      <c r="V32" s="79">
        <v>0.56877294633462505</v>
      </c>
      <c r="W32" s="80">
        <v>1</v>
      </c>
    </row>
    <row r="33" spans="2:23" x14ac:dyDescent="0.2">
      <c r="B33" s="76" t="s">
        <v>3036</v>
      </c>
      <c r="C33" s="17" t="s">
        <v>1694</v>
      </c>
      <c r="D33" s="79">
        <v>-7.4932353677483899E-3</v>
      </c>
      <c r="E33" s="79">
        <v>1.1602154770512E-2</v>
      </c>
      <c r="F33" s="79">
        <v>0.51840842167254098</v>
      </c>
      <c r="G33" s="79">
        <v>0.84179939117942704</v>
      </c>
      <c r="H33" s="80">
        <v>1</v>
      </c>
      <c r="I33" s="79">
        <v>-4.9273990165686404E-3</v>
      </c>
      <c r="J33" s="79">
        <v>1.1524758570829701E-2</v>
      </c>
      <c r="K33" s="79">
        <v>0.66899903937493899</v>
      </c>
      <c r="L33" s="79">
        <v>0.86722097696751399</v>
      </c>
      <c r="M33" s="80">
        <v>1</v>
      </c>
      <c r="N33" s="79">
        <v>5.2356370590181901E-3</v>
      </c>
      <c r="O33" s="79">
        <v>1.1464412488557001E-2</v>
      </c>
      <c r="P33" s="79">
        <v>0.64791768563783103</v>
      </c>
      <c r="Q33" s="79">
        <v>0.78196962059738195</v>
      </c>
      <c r="R33" s="80">
        <v>1</v>
      </c>
      <c r="S33" s="79">
        <v>-1.13872742783208E-2</v>
      </c>
      <c r="T33" s="79">
        <v>1.14519217136123E-2</v>
      </c>
      <c r="U33" s="79">
        <v>0.32010053588175003</v>
      </c>
      <c r="V33" s="79">
        <v>0.59626848894219697</v>
      </c>
      <c r="W33" s="80">
        <v>1</v>
      </c>
    </row>
    <row r="34" spans="2:23" x14ac:dyDescent="0.2">
      <c r="B34" s="76" t="s">
        <v>3037</v>
      </c>
      <c r="C34" s="17" t="s">
        <v>1710</v>
      </c>
      <c r="D34" s="79">
        <v>-4.4048026104113996E-3</v>
      </c>
      <c r="E34" s="79">
        <v>9.6491072955659507E-3</v>
      </c>
      <c r="F34" s="79">
        <v>0.648051554633302</v>
      </c>
      <c r="G34" s="79">
        <v>0.84179939117942704</v>
      </c>
      <c r="H34" s="80">
        <v>1</v>
      </c>
      <c r="I34" s="79">
        <v>-4.4547686119938701E-3</v>
      </c>
      <c r="J34" s="79">
        <v>9.5924645054099398E-3</v>
      </c>
      <c r="K34" s="79">
        <v>0.64237962113536295</v>
      </c>
      <c r="L34" s="79">
        <v>0.86722097696751399</v>
      </c>
      <c r="M34" s="80">
        <v>1</v>
      </c>
      <c r="N34" s="79">
        <v>-3.00315230181494E-3</v>
      </c>
      <c r="O34" s="79">
        <v>9.5399428305068396E-3</v>
      </c>
      <c r="P34" s="79">
        <v>0.75292849341308898</v>
      </c>
      <c r="Q34" s="79">
        <v>0.82351553967056601</v>
      </c>
      <c r="R34" s="80">
        <v>1</v>
      </c>
      <c r="S34" s="79">
        <v>-1.1661575445011401E-3</v>
      </c>
      <c r="T34" s="79">
        <v>9.5253629078558607E-3</v>
      </c>
      <c r="U34" s="79">
        <v>0.90256615045564204</v>
      </c>
      <c r="V34" s="79">
        <v>0.93850562435877005</v>
      </c>
      <c r="W34" s="80">
        <v>1</v>
      </c>
    </row>
    <row r="35" spans="2:23" x14ac:dyDescent="0.2">
      <c r="B35" s="76" t="s">
        <v>3038</v>
      </c>
      <c r="C35" s="17" t="s">
        <v>1693</v>
      </c>
      <c r="D35" s="79">
        <v>-1.38755645833907E-2</v>
      </c>
      <c r="E35" s="79">
        <v>9.3831896259409103E-3</v>
      </c>
      <c r="F35" s="79">
        <v>0.13926434541107699</v>
      </c>
      <c r="G35" s="79">
        <v>0.64733210492847304</v>
      </c>
      <c r="H35" s="80">
        <v>1</v>
      </c>
      <c r="I35" s="79">
        <v>1.5868268508778E-2</v>
      </c>
      <c r="J35" s="79">
        <v>9.3349037405088299E-3</v>
      </c>
      <c r="K35" s="79">
        <v>8.92141073750089E-2</v>
      </c>
      <c r="L35" s="79">
        <v>0.208166250541687</v>
      </c>
      <c r="M35" s="80">
        <v>1</v>
      </c>
      <c r="N35" s="79">
        <v>2.4326043165882601E-3</v>
      </c>
      <c r="O35" s="79">
        <v>9.2800075585399693E-3</v>
      </c>
      <c r="P35" s="79">
        <v>0.79322887051796098</v>
      </c>
      <c r="Q35" s="79">
        <v>0.84130334751905</v>
      </c>
      <c r="R35" s="80">
        <v>1</v>
      </c>
      <c r="S35" s="79">
        <v>1.45668932230921E-2</v>
      </c>
      <c r="T35" s="79">
        <v>9.2630304751491598E-3</v>
      </c>
      <c r="U35" s="79">
        <v>0.115877542382278</v>
      </c>
      <c r="V35" s="79">
        <v>0.40636996976732398</v>
      </c>
      <c r="W35" s="80">
        <v>1</v>
      </c>
    </row>
    <row r="36" spans="2:23" x14ac:dyDescent="0.2">
      <c r="B36" s="76" t="s">
        <v>3039</v>
      </c>
      <c r="C36" s="17" t="s">
        <v>1709</v>
      </c>
      <c r="D36" s="79">
        <v>-2.1427177456639E-2</v>
      </c>
      <c r="E36" s="79">
        <v>8.7396286190136001E-3</v>
      </c>
      <c r="F36" s="79">
        <v>1.4250271680893999E-2</v>
      </c>
      <c r="G36" s="79">
        <v>0.498759508831288</v>
      </c>
      <c r="H36" s="80">
        <v>0.498759508831288</v>
      </c>
      <c r="I36" s="79">
        <v>4.0347945313232696E-3</v>
      </c>
      <c r="J36" s="79">
        <v>8.7052119603788693E-3</v>
      </c>
      <c r="K36" s="79">
        <v>0.64303153063086005</v>
      </c>
      <c r="L36" s="79">
        <v>0.86722097696751399</v>
      </c>
      <c r="M36" s="80">
        <v>1</v>
      </c>
      <c r="N36" s="79">
        <v>1.49555593210097E-2</v>
      </c>
      <c r="O36" s="79">
        <v>8.6421116846597708E-3</v>
      </c>
      <c r="P36" s="79">
        <v>8.3592859700411498E-2</v>
      </c>
      <c r="Q36" s="79">
        <v>0.54810633406863896</v>
      </c>
      <c r="R36" s="80">
        <v>1</v>
      </c>
      <c r="S36" s="79">
        <v>1.33181792512427E-2</v>
      </c>
      <c r="T36" s="79">
        <v>8.6301262461580593E-3</v>
      </c>
      <c r="U36" s="79">
        <v>0.122838950944627</v>
      </c>
      <c r="V36" s="79">
        <v>0.40636996976732398</v>
      </c>
      <c r="W36" s="80">
        <v>1</v>
      </c>
    </row>
    <row r="37" spans="2:23" x14ac:dyDescent="0.2">
      <c r="B37" s="76" t="s">
        <v>3040</v>
      </c>
      <c r="C37" s="17" t="s">
        <v>1691</v>
      </c>
      <c r="D37" s="79">
        <v>9.9218751563302492E-3</v>
      </c>
      <c r="E37" s="79">
        <v>7.7092891260683704E-3</v>
      </c>
      <c r="F37" s="79">
        <v>0.19815152876497799</v>
      </c>
      <c r="G37" s="79">
        <v>0.69353035067742297</v>
      </c>
      <c r="H37" s="80">
        <v>1</v>
      </c>
      <c r="I37" s="79">
        <v>-1.35637373798869E-3</v>
      </c>
      <c r="J37" s="79">
        <v>7.6740298575474104E-3</v>
      </c>
      <c r="K37" s="79">
        <v>0.85971290858893801</v>
      </c>
      <c r="L37" s="79">
        <v>0.97676991344171904</v>
      </c>
      <c r="M37" s="80">
        <v>1</v>
      </c>
      <c r="N37" s="79">
        <v>-7.3511507486541099E-3</v>
      </c>
      <c r="O37" s="79">
        <v>7.6216093507858801E-3</v>
      </c>
      <c r="P37" s="79">
        <v>0.33483363808966499</v>
      </c>
      <c r="Q37" s="79">
        <v>0.73509339475132596</v>
      </c>
      <c r="R37" s="80">
        <v>1</v>
      </c>
      <c r="S37" s="79">
        <v>-6.6885197899562996E-3</v>
      </c>
      <c r="T37" s="79">
        <v>7.6104882864098996E-3</v>
      </c>
      <c r="U37" s="79">
        <v>0.379520800614705</v>
      </c>
      <c r="V37" s="79">
        <v>0.59626848894219697</v>
      </c>
      <c r="W37" s="80">
        <v>1</v>
      </c>
    </row>
    <row r="38" spans="2:23" x14ac:dyDescent="0.2">
      <c r="B38" s="76" t="s">
        <v>3041</v>
      </c>
      <c r="C38" s="17" t="s">
        <v>1707</v>
      </c>
      <c r="D38" s="79">
        <v>5.9021782261047496E-3</v>
      </c>
      <c r="E38" s="79">
        <v>8.0604826743773204E-3</v>
      </c>
      <c r="F38" s="79">
        <v>0.46405853846738498</v>
      </c>
      <c r="G38" s="79">
        <v>0.84179939117942704</v>
      </c>
      <c r="H38" s="80">
        <v>1</v>
      </c>
      <c r="I38" s="79">
        <v>7.9565207700829101E-4</v>
      </c>
      <c r="J38" s="79">
        <v>8.0177366003240692E-3</v>
      </c>
      <c r="K38" s="79">
        <v>0.92095448981647698</v>
      </c>
      <c r="L38" s="79">
        <v>0.97676991344171904</v>
      </c>
      <c r="M38" s="80">
        <v>1</v>
      </c>
      <c r="N38" s="79">
        <v>-6.5296431249536203E-3</v>
      </c>
      <c r="O38" s="79">
        <v>7.9702432951285901E-3</v>
      </c>
      <c r="P38" s="79">
        <v>0.41268117256019599</v>
      </c>
      <c r="Q38" s="79">
        <v>0.73509339475132596</v>
      </c>
      <c r="R38" s="80">
        <v>1</v>
      </c>
      <c r="S38" s="79">
        <v>-1.67183267446763E-3</v>
      </c>
      <c r="T38" s="79">
        <v>7.9574140695527207E-3</v>
      </c>
      <c r="U38" s="79">
        <v>0.833600118204192</v>
      </c>
      <c r="V38" s="79">
        <v>0.924491919332601</v>
      </c>
      <c r="W38" s="80">
        <v>1</v>
      </c>
    </row>
    <row r="39" spans="2:23" x14ac:dyDescent="0.2">
      <c r="B39" s="76" t="s">
        <v>3042</v>
      </c>
      <c r="C39" s="17" t="s">
        <v>1702</v>
      </c>
      <c r="D39" s="79">
        <v>-2.9037197510948902E-3</v>
      </c>
      <c r="E39" s="79">
        <v>8.0945400557629107E-3</v>
      </c>
      <c r="F39" s="79">
        <v>0.71981535374925798</v>
      </c>
      <c r="G39" s="79">
        <v>0.84179939117942704</v>
      </c>
      <c r="H39" s="80">
        <v>1</v>
      </c>
      <c r="I39" s="79">
        <v>-2.1656912974050601E-2</v>
      </c>
      <c r="J39" s="79">
        <v>8.0459327853189804E-3</v>
      </c>
      <c r="K39" s="79">
        <v>7.1334579739919003E-3</v>
      </c>
      <c r="L39" s="79">
        <v>5.74194141775866E-2</v>
      </c>
      <c r="M39" s="80">
        <v>0.249671029089717</v>
      </c>
      <c r="N39" s="79">
        <v>-8.1675603330589701E-3</v>
      </c>
      <c r="O39" s="79">
        <v>8.0039830253817706E-3</v>
      </c>
      <c r="P39" s="79">
        <v>0.30757036989174302</v>
      </c>
      <c r="Q39" s="79">
        <v>0.73509339475132596</v>
      </c>
      <c r="R39" s="80">
        <v>1</v>
      </c>
      <c r="S39" s="79">
        <v>-1.7637373805901801E-2</v>
      </c>
      <c r="T39" s="79">
        <v>7.9863923499321407E-3</v>
      </c>
      <c r="U39" s="79">
        <v>2.72594301440028E-2</v>
      </c>
      <c r="V39" s="79">
        <v>0.23852001376002399</v>
      </c>
      <c r="W39" s="80">
        <v>0.95408005504009796</v>
      </c>
    </row>
    <row r="40" spans="2:23" x14ac:dyDescent="0.2">
      <c r="B40" s="76" t="s">
        <v>3043</v>
      </c>
      <c r="C40" s="22" t="s">
        <v>1714</v>
      </c>
      <c r="D40" s="79">
        <v>-3.48585529346725E-3</v>
      </c>
      <c r="E40" s="79">
        <v>8.5957159691005501E-3</v>
      </c>
      <c r="F40" s="79">
        <v>0.68510242587775905</v>
      </c>
      <c r="G40" s="79">
        <v>0.84179939117942704</v>
      </c>
      <c r="H40" s="87">
        <v>1</v>
      </c>
      <c r="I40" s="81">
        <v>-2.7884089282387999E-2</v>
      </c>
      <c r="J40" s="81">
        <v>8.5380545572591292E-3</v>
      </c>
      <c r="K40" s="81">
        <v>1.09876582790502E-3</v>
      </c>
      <c r="L40" s="81">
        <v>3.8456803976675502E-2</v>
      </c>
      <c r="M40" s="90">
        <v>3.8456803976675502E-2</v>
      </c>
      <c r="N40" s="79">
        <v>-2.4417778830342299E-2</v>
      </c>
      <c r="O40" s="79">
        <v>8.4926323531499207E-3</v>
      </c>
      <c r="P40" s="79">
        <v>4.0552038683831296E-3</v>
      </c>
      <c r="Q40" s="79">
        <v>7.0966067696704799E-2</v>
      </c>
      <c r="R40" s="87">
        <v>0.14193213539341001</v>
      </c>
      <c r="S40" s="79">
        <v>-1.67686782108671E-2</v>
      </c>
      <c r="T40" s="79">
        <v>8.4822999126643091E-3</v>
      </c>
      <c r="U40" s="79">
        <v>4.8107718574592201E-2</v>
      </c>
      <c r="V40" s="79">
        <v>0.28062835835178801</v>
      </c>
      <c r="W40" s="87">
        <v>1</v>
      </c>
    </row>
    <row r="41" spans="2:23" ht="16" customHeight="1" x14ac:dyDescent="0.2">
      <c r="B41" s="137" t="s">
        <v>2074</v>
      </c>
      <c r="C41" s="137"/>
      <c r="D41" s="137"/>
      <c r="E41" s="137"/>
      <c r="F41" s="137"/>
      <c r="G41" s="137"/>
      <c r="H41" s="137"/>
      <c r="I41" s="137"/>
      <c r="J41" s="137"/>
      <c r="K41" s="137"/>
      <c r="L41" s="137"/>
      <c r="M41" s="137"/>
      <c r="N41" s="137"/>
      <c r="O41" s="137"/>
      <c r="P41" s="137"/>
      <c r="Q41" s="137"/>
      <c r="R41" s="137"/>
      <c r="S41" s="137"/>
      <c r="T41" s="137"/>
      <c r="U41" s="137"/>
      <c r="V41" s="137"/>
      <c r="W41" s="137"/>
    </row>
    <row r="42" spans="2:23" x14ac:dyDescent="0.2">
      <c r="B42" s="54"/>
      <c r="C42" s="54"/>
      <c r="D42" s="54"/>
      <c r="E42" s="54"/>
      <c r="F42" s="54"/>
      <c r="G42" s="54"/>
      <c r="H42" s="54"/>
      <c r="I42" s="54"/>
      <c r="J42" s="54"/>
      <c r="K42" s="54"/>
      <c r="L42" s="54"/>
      <c r="M42" s="54"/>
      <c r="N42" s="54"/>
      <c r="O42" s="54"/>
      <c r="P42" s="54"/>
      <c r="Q42" s="54"/>
      <c r="R42" s="54"/>
      <c r="S42" s="54"/>
      <c r="T42" s="54"/>
      <c r="U42" s="54"/>
      <c r="V42" s="54"/>
    </row>
    <row r="43" spans="2:23" x14ac:dyDescent="0.2">
      <c r="C43" s="59"/>
      <c r="D43" s="59"/>
      <c r="E43" s="59"/>
      <c r="F43" s="59"/>
      <c r="G43" s="59"/>
      <c r="H43" s="59"/>
      <c r="I43" s="59"/>
      <c r="J43" s="59"/>
      <c r="K43" s="59"/>
      <c r="L43" s="59"/>
      <c r="M43" s="59"/>
      <c r="N43" s="59"/>
      <c r="O43" s="59"/>
      <c r="P43" s="59"/>
      <c r="Q43" s="59"/>
      <c r="R43" s="59"/>
      <c r="S43" s="59"/>
      <c r="T43" s="59"/>
      <c r="U43" s="59"/>
      <c r="V43" s="59"/>
      <c r="W43" s="59"/>
    </row>
    <row r="44" spans="2:23" x14ac:dyDescent="0.2">
      <c r="C44" s="23"/>
    </row>
    <row r="45" spans="2:23" x14ac:dyDescent="0.2">
      <c r="C45" s="23"/>
    </row>
    <row r="46" spans="2:23" x14ac:dyDescent="0.2">
      <c r="C46" s="23"/>
    </row>
    <row r="47" spans="2:23" x14ac:dyDescent="0.2">
      <c r="C47" s="23"/>
    </row>
    <row r="48" spans="2:23" x14ac:dyDescent="0.2">
      <c r="C48" s="23"/>
    </row>
    <row r="49" spans="3:3" x14ac:dyDescent="0.2">
      <c r="C49" s="23"/>
    </row>
    <row r="50" spans="3:3" x14ac:dyDescent="0.2">
      <c r="C50" s="23"/>
    </row>
    <row r="51" spans="3:3" x14ac:dyDescent="0.2">
      <c r="C51" s="23"/>
    </row>
  </sheetData>
  <sortState xmlns:xlrd2="http://schemas.microsoft.com/office/spreadsheetml/2017/richdata2" ref="C6:W40">
    <sortCondition ref="C6:C40"/>
  </sortState>
  <mergeCells count="5">
    <mergeCell ref="B41:W41"/>
    <mergeCell ref="D4:H4"/>
    <mergeCell ref="I4:M4"/>
    <mergeCell ref="N4:R4"/>
    <mergeCell ref="S4:W4"/>
  </mergeCells>
  <pageMargins left="0.7" right="0.7" top="0.75" bottom="0.7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C4F69-146F-9746-B700-8D952B9D3EFB}">
  <dimension ref="A1:O76"/>
  <sheetViews>
    <sheetView showGridLines="0" tabSelected="1" workbookViewId="0">
      <selection activeCell="I21" sqref="I21"/>
    </sheetView>
  </sheetViews>
  <sheetFormatPr baseColWidth="10" defaultRowHeight="16" x14ac:dyDescent="0.2"/>
  <cols>
    <col min="2" max="2" width="19.83203125" customWidth="1"/>
    <col min="3" max="3" width="59.33203125" customWidth="1"/>
    <col min="4" max="4" width="24.83203125" customWidth="1"/>
    <col min="5" max="6" width="9.6640625" customWidth="1"/>
    <col min="7" max="7" width="9.5" style="24" customWidth="1"/>
    <col min="8" max="8" width="16.1640625" style="24" customWidth="1"/>
    <col min="9" max="9" width="15" style="24" customWidth="1"/>
    <col min="10" max="10" width="19.83203125" customWidth="1"/>
  </cols>
  <sheetData>
    <row r="1" spans="1:10" x14ac:dyDescent="0.2">
      <c r="G1"/>
      <c r="H1"/>
      <c r="I1"/>
    </row>
    <row r="2" spans="1:10" x14ac:dyDescent="0.2">
      <c r="B2" s="53" t="s">
        <v>8529</v>
      </c>
    </row>
    <row r="3" spans="1:10" s="3" customFormat="1" ht="49" customHeight="1" x14ac:dyDescent="0.2">
      <c r="B3" s="34" t="s">
        <v>0</v>
      </c>
      <c r="C3" s="34" t="s">
        <v>1</v>
      </c>
      <c r="D3" s="34" t="s">
        <v>1768</v>
      </c>
      <c r="E3" s="34" t="s">
        <v>2</v>
      </c>
      <c r="F3" s="34" t="s">
        <v>3</v>
      </c>
      <c r="G3" s="35" t="s">
        <v>4</v>
      </c>
      <c r="H3" s="35" t="s">
        <v>5</v>
      </c>
      <c r="I3" s="35" t="s">
        <v>6</v>
      </c>
      <c r="J3" s="34" t="s">
        <v>56</v>
      </c>
    </row>
    <row r="4" spans="1:10" x14ac:dyDescent="0.2">
      <c r="B4" t="s">
        <v>7</v>
      </c>
      <c r="C4" t="s">
        <v>8</v>
      </c>
      <c r="D4" t="s">
        <v>1769</v>
      </c>
      <c r="J4" s="24"/>
    </row>
    <row r="5" spans="1:10" x14ac:dyDescent="0.2">
      <c r="C5" t="s">
        <v>51</v>
      </c>
      <c r="E5">
        <v>587</v>
      </c>
      <c r="F5">
        <v>10</v>
      </c>
      <c r="G5" s="24">
        <f>10/587</f>
        <v>1.7035775127768313E-2</v>
      </c>
      <c r="H5" s="24">
        <f>(587-10-(89+69+64+33+33+8+8))/587</f>
        <v>0.46507666098807493</v>
      </c>
      <c r="I5" s="24">
        <f>(89+69+64+33+33+8+8)/587</f>
        <v>0.51788756388415669</v>
      </c>
      <c r="J5" t="s">
        <v>1977</v>
      </c>
    </row>
    <row r="6" spans="1:10" x14ac:dyDescent="0.2">
      <c r="C6" t="s">
        <v>52</v>
      </c>
      <c r="E6">
        <v>9</v>
      </c>
      <c r="F6">
        <v>6</v>
      </c>
      <c r="G6" s="24">
        <f>6/9</f>
        <v>0.66666666666666663</v>
      </c>
      <c r="H6" s="24">
        <f>3/9</f>
        <v>0.33333333333333331</v>
      </c>
      <c r="I6" s="24">
        <v>0</v>
      </c>
      <c r="J6" t="s">
        <v>57</v>
      </c>
    </row>
    <row r="7" spans="1:10" x14ac:dyDescent="0.2">
      <c r="C7" t="s">
        <v>9</v>
      </c>
      <c r="E7">
        <f>7+6+8</f>
        <v>21</v>
      </c>
      <c r="F7">
        <v>7</v>
      </c>
      <c r="G7" s="24">
        <f>7/21</f>
        <v>0.33333333333333331</v>
      </c>
      <c r="H7" s="24">
        <f>1/21</f>
        <v>4.7619047619047616E-2</v>
      </c>
      <c r="I7" s="24">
        <f>13/21</f>
        <v>0.61904761904761907</v>
      </c>
      <c r="J7" t="s">
        <v>58</v>
      </c>
    </row>
    <row r="8" spans="1:10" x14ac:dyDescent="0.2">
      <c r="C8" s="25" t="s">
        <v>10</v>
      </c>
      <c r="D8" s="25"/>
      <c r="E8">
        <v>11</v>
      </c>
      <c r="F8">
        <v>4</v>
      </c>
      <c r="G8" s="24">
        <f>4/11</f>
        <v>0.36363636363636365</v>
      </c>
      <c r="H8" s="24">
        <f>5/11</f>
        <v>0.45454545454545453</v>
      </c>
      <c r="I8" s="24">
        <f>2/11</f>
        <v>0.18181818181818182</v>
      </c>
      <c r="J8" s="24"/>
    </row>
    <row r="9" spans="1:10" x14ac:dyDescent="0.2">
      <c r="C9" s="25" t="s">
        <v>11</v>
      </c>
      <c r="D9" s="25"/>
      <c r="E9">
        <v>10</v>
      </c>
      <c r="F9">
        <v>0</v>
      </c>
      <c r="G9" s="24">
        <v>0</v>
      </c>
      <c r="H9" s="24">
        <v>1</v>
      </c>
      <c r="I9" s="24">
        <v>0</v>
      </c>
    </row>
    <row r="10" spans="1:10" x14ac:dyDescent="0.2">
      <c r="C10" s="25" t="s">
        <v>12</v>
      </c>
      <c r="D10" s="25"/>
      <c r="E10">
        <v>8</v>
      </c>
      <c r="F10">
        <v>0</v>
      </c>
      <c r="G10" s="24">
        <v>0</v>
      </c>
      <c r="H10" s="24">
        <v>1</v>
      </c>
      <c r="I10" s="24">
        <v>0</v>
      </c>
    </row>
    <row r="11" spans="1:10" x14ac:dyDescent="0.2">
      <c r="A11" s="136"/>
      <c r="B11" s="136"/>
      <c r="C11" s="25" t="s">
        <v>13</v>
      </c>
      <c r="D11" s="25"/>
      <c r="E11">
        <v>9</v>
      </c>
      <c r="F11">
        <v>1</v>
      </c>
      <c r="G11" s="24">
        <v>0.1111</v>
      </c>
      <c r="H11" s="24">
        <v>0.88890000000000002</v>
      </c>
      <c r="I11" s="24">
        <v>0</v>
      </c>
    </row>
    <row r="12" spans="1:10" x14ac:dyDescent="0.2">
      <c r="A12" s="136"/>
      <c r="B12" s="136"/>
      <c r="C12" s="25" t="s">
        <v>14</v>
      </c>
      <c r="D12" s="25"/>
      <c r="E12">
        <f>12+6</f>
        <v>18</v>
      </c>
      <c r="F12">
        <v>0</v>
      </c>
      <c r="G12" s="24">
        <v>0</v>
      </c>
      <c r="H12" s="24">
        <f>15/18</f>
        <v>0.83333333333333337</v>
      </c>
      <c r="I12" s="24">
        <f>3/18</f>
        <v>0.16666666666666666</v>
      </c>
      <c r="J12" s="24"/>
    </row>
    <row r="13" spans="1:10" x14ac:dyDescent="0.2">
      <c r="A13" s="136"/>
      <c r="B13" s="136"/>
      <c r="C13" s="25" t="s">
        <v>15</v>
      </c>
      <c r="D13" s="25"/>
      <c r="E13">
        <f>9+6</f>
        <v>15</v>
      </c>
      <c r="F13">
        <v>0</v>
      </c>
      <c r="G13" s="24">
        <v>0</v>
      </c>
      <c r="H13" s="24">
        <f>12/15</f>
        <v>0.8</v>
      </c>
      <c r="I13" s="24">
        <f>3/15</f>
        <v>0.2</v>
      </c>
    </row>
    <row r="14" spans="1:10" x14ac:dyDescent="0.2">
      <c r="A14" s="136"/>
      <c r="B14" s="136"/>
      <c r="C14" s="25" t="s">
        <v>16</v>
      </c>
      <c r="D14" s="25"/>
      <c r="E14">
        <f>11+2</f>
        <v>13</v>
      </c>
      <c r="F14">
        <v>0</v>
      </c>
      <c r="G14" s="24">
        <v>0</v>
      </c>
      <c r="H14" s="24">
        <f>12/13</f>
        <v>0.92307692307692313</v>
      </c>
      <c r="I14" s="24">
        <f>1/13</f>
        <v>7.6923076923076927E-2</v>
      </c>
    </row>
    <row r="15" spans="1:10" x14ac:dyDescent="0.2">
      <c r="A15" s="136"/>
      <c r="B15" s="136"/>
      <c r="C15" s="25" t="s">
        <v>17</v>
      </c>
      <c r="D15" s="25"/>
      <c r="E15">
        <v>14</v>
      </c>
      <c r="F15">
        <v>0</v>
      </c>
      <c r="G15" s="24">
        <v>0</v>
      </c>
      <c r="H15" s="24">
        <v>1</v>
      </c>
      <c r="I15" s="24">
        <v>0</v>
      </c>
    </row>
    <row r="16" spans="1:10" x14ac:dyDescent="0.2">
      <c r="A16" s="136"/>
      <c r="B16" s="136"/>
      <c r="C16" s="25" t="s">
        <v>18</v>
      </c>
      <c r="D16" s="25"/>
      <c r="E16">
        <v>18</v>
      </c>
      <c r="F16">
        <v>0</v>
      </c>
      <c r="G16" s="24">
        <v>0</v>
      </c>
      <c r="H16" s="24">
        <v>1</v>
      </c>
      <c r="I16" s="24">
        <v>0</v>
      </c>
    </row>
    <row r="17" spans="2:10" x14ac:dyDescent="0.2">
      <c r="C17" s="25" t="s">
        <v>19</v>
      </c>
      <c r="D17" s="25"/>
      <c r="E17">
        <v>10</v>
      </c>
      <c r="F17">
        <v>0</v>
      </c>
      <c r="G17" s="24">
        <v>0</v>
      </c>
      <c r="H17" s="24">
        <v>1</v>
      </c>
      <c r="I17" s="24">
        <v>0</v>
      </c>
    </row>
    <row r="18" spans="2:10" x14ac:dyDescent="0.2">
      <c r="C18" s="25" t="s">
        <v>20</v>
      </c>
      <c r="D18" s="25"/>
      <c r="E18">
        <v>18</v>
      </c>
      <c r="F18">
        <v>0</v>
      </c>
      <c r="G18" s="24">
        <v>0</v>
      </c>
      <c r="H18" s="24">
        <v>1</v>
      </c>
      <c r="I18" s="24">
        <v>0</v>
      </c>
    </row>
    <row r="19" spans="2:10" x14ac:dyDescent="0.2">
      <c r="C19" s="25" t="s">
        <v>21</v>
      </c>
      <c r="D19" s="25"/>
      <c r="E19">
        <v>18</v>
      </c>
      <c r="F19">
        <v>0</v>
      </c>
      <c r="G19" s="24">
        <v>0</v>
      </c>
      <c r="H19" s="24">
        <v>1</v>
      </c>
      <c r="I19" s="24">
        <v>0</v>
      </c>
    </row>
    <row r="20" spans="2:10" x14ac:dyDescent="0.2">
      <c r="C20" s="25" t="s">
        <v>22</v>
      </c>
      <c r="D20" s="25" t="s">
        <v>1770</v>
      </c>
      <c r="E20">
        <v>9</v>
      </c>
      <c r="F20">
        <v>0</v>
      </c>
      <c r="G20" s="24">
        <v>0</v>
      </c>
      <c r="H20" s="24">
        <f>4/9</f>
        <v>0.44444444444444442</v>
      </c>
      <c r="I20" s="24">
        <f>5/9</f>
        <v>0.55555555555555558</v>
      </c>
    </row>
    <row r="21" spans="2:10" x14ac:dyDescent="0.2">
      <c r="C21" s="25" t="s">
        <v>23</v>
      </c>
      <c r="D21" s="25" t="s">
        <v>1771</v>
      </c>
      <c r="E21">
        <v>21</v>
      </c>
      <c r="F21">
        <v>0</v>
      </c>
      <c r="G21" s="24">
        <v>0</v>
      </c>
      <c r="H21" s="24">
        <f>6/21</f>
        <v>0.2857142857142857</v>
      </c>
      <c r="I21" s="24">
        <f>15/21</f>
        <v>0.7142857142857143</v>
      </c>
    </row>
    <row r="22" spans="2:10" x14ac:dyDescent="0.2">
      <c r="C22" s="25" t="s">
        <v>24</v>
      </c>
      <c r="D22" s="25" t="s">
        <v>1772</v>
      </c>
      <c r="E22">
        <v>90</v>
      </c>
      <c r="F22">
        <v>0</v>
      </c>
      <c r="G22" s="24">
        <v>0</v>
      </c>
      <c r="H22" s="24">
        <f>10/90</f>
        <v>0.1111111111111111</v>
      </c>
      <c r="I22" s="24">
        <f>80/90</f>
        <v>0.88888888888888884</v>
      </c>
      <c r="J22" t="s">
        <v>59</v>
      </c>
    </row>
    <row r="23" spans="2:10" x14ac:dyDescent="0.2">
      <c r="C23" s="25" t="s">
        <v>25</v>
      </c>
      <c r="D23" s="25" t="s">
        <v>1773</v>
      </c>
      <c r="E23">
        <v>24</v>
      </c>
      <c r="F23">
        <v>0</v>
      </c>
      <c r="G23" s="24">
        <v>0</v>
      </c>
      <c r="H23" s="24">
        <f>20/24</f>
        <v>0.83333333333333337</v>
      </c>
      <c r="I23" s="24">
        <f>4/24</f>
        <v>0.16666666666666666</v>
      </c>
    </row>
    <row r="24" spans="2:10" x14ac:dyDescent="0.2">
      <c r="C24" s="25" t="s">
        <v>1854</v>
      </c>
      <c r="D24" s="25" t="s">
        <v>1774</v>
      </c>
      <c r="E24">
        <v>10</v>
      </c>
      <c r="F24">
        <v>9</v>
      </c>
      <c r="G24" s="24">
        <f>9/10</f>
        <v>0.9</v>
      </c>
      <c r="H24" s="24">
        <v>0.1</v>
      </c>
      <c r="I24" s="24">
        <v>0</v>
      </c>
      <c r="J24" t="s">
        <v>60</v>
      </c>
    </row>
    <row r="25" spans="2:10" x14ac:dyDescent="0.2">
      <c r="C25" s="25" t="s">
        <v>26</v>
      </c>
      <c r="D25" s="25" t="s">
        <v>1775</v>
      </c>
      <c r="E25">
        <v>13</v>
      </c>
      <c r="F25">
        <v>9</v>
      </c>
      <c r="G25" s="24">
        <f>9/13</f>
        <v>0.69230769230769229</v>
      </c>
      <c r="H25" s="24">
        <f>4/13</f>
        <v>0.30769230769230771</v>
      </c>
      <c r="I25" s="24">
        <v>0</v>
      </c>
      <c r="J25" t="s">
        <v>61</v>
      </c>
    </row>
    <row r="26" spans="2:10" x14ac:dyDescent="0.2">
      <c r="C26" s="25"/>
    </row>
    <row r="27" spans="2:10" x14ac:dyDescent="0.2">
      <c r="B27" t="s">
        <v>55</v>
      </c>
      <c r="C27" t="s">
        <v>1776</v>
      </c>
      <c r="D27" s="25" t="s">
        <v>1777</v>
      </c>
      <c r="E27" s="26">
        <v>44</v>
      </c>
      <c r="F27" s="26">
        <f>2</f>
        <v>2</v>
      </c>
      <c r="G27" s="27">
        <f>2/44</f>
        <v>4.5454545454545456E-2</v>
      </c>
      <c r="H27" s="27">
        <f>40/44</f>
        <v>0.90909090909090906</v>
      </c>
      <c r="I27" s="27">
        <f>2/44</f>
        <v>4.5454545454545456E-2</v>
      </c>
      <c r="J27" s="26" t="s">
        <v>62</v>
      </c>
    </row>
    <row r="28" spans="2:10" x14ac:dyDescent="0.2">
      <c r="C28" t="s">
        <v>1778</v>
      </c>
      <c r="D28" s="25" t="s">
        <v>1779</v>
      </c>
      <c r="E28" s="26">
        <f>135</f>
        <v>135</v>
      </c>
      <c r="F28" s="26">
        <f>14+2</f>
        <v>16</v>
      </c>
      <c r="G28" s="27">
        <f>16/135</f>
        <v>0.11851851851851852</v>
      </c>
      <c r="H28" s="27">
        <f>119/135</f>
        <v>0.88148148148148153</v>
      </c>
      <c r="I28" s="27">
        <f>0</f>
        <v>0</v>
      </c>
      <c r="J28" s="28"/>
    </row>
    <row r="29" spans="2:10" x14ac:dyDescent="0.2">
      <c r="E29" s="26"/>
      <c r="F29" s="26"/>
      <c r="G29" s="27"/>
      <c r="H29" s="27"/>
      <c r="I29" s="27"/>
      <c r="J29" s="28"/>
    </row>
    <row r="30" spans="2:10" x14ac:dyDescent="0.2">
      <c r="B30" t="s">
        <v>47</v>
      </c>
      <c r="C30" t="s">
        <v>1780</v>
      </c>
      <c r="D30" s="25" t="s">
        <v>1781</v>
      </c>
      <c r="E30" s="29">
        <v>124</v>
      </c>
      <c r="F30" s="29">
        <v>27</v>
      </c>
      <c r="G30" s="30">
        <f>27/124</f>
        <v>0.21774193548387097</v>
      </c>
      <c r="H30" s="30">
        <f>35/124</f>
        <v>0.28225806451612906</v>
      </c>
      <c r="I30" s="30">
        <f>62/124</f>
        <v>0.5</v>
      </c>
      <c r="J30" s="31" t="s">
        <v>35</v>
      </c>
    </row>
    <row r="31" spans="2:10" x14ac:dyDescent="0.2">
      <c r="H31" s="67"/>
    </row>
    <row r="32" spans="2:10" x14ac:dyDescent="0.2">
      <c r="B32" t="s">
        <v>27</v>
      </c>
      <c r="C32" s="25" t="s">
        <v>1782</v>
      </c>
      <c r="D32" s="25" t="s">
        <v>1783</v>
      </c>
      <c r="E32">
        <v>97</v>
      </c>
      <c r="F32">
        <v>10</v>
      </c>
      <c r="G32" s="24">
        <f>10/97</f>
        <v>0.10309278350515463</v>
      </c>
      <c r="H32" s="24">
        <v>0</v>
      </c>
      <c r="I32" s="24">
        <f>87/97</f>
        <v>0.89690721649484539</v>
      </c>
      <c r="J32" t="s">
        <v>63</v>
      </c>
    </row>
    <row r="33" spans="2:10" x14ac:dyDescent="0.2">
      <c r="C33" s="32" t="s">
        <v>28</v>
      </c>
      <c r="D33" s="32" t="s">
        <v>1784</v>
      </c>
      <c r="E33">
        <v>50</v>
      </c>
      <c r="F33">
        <v>1</v>
      </c>
      <c r="G33" s="24">
        <f>1/50</f>
        <v>0.02</v>
      </c>
      <c r="H33" s="24">
        <v>0</v>
      </c>
      <c r="I33" s="24">
        <v>0.98</v>
      </c>
      <c r="J33" t="s">
        <v>64</v>
      </c>
    </row>
    <row r="34" spans="2:10" x14ac:dyDescent="0.2">
      <c r="C34" s="32" t="s">
        <v>1785</v>
      </c>
      <c r="D34" s="32" t="s">
        <v>1786</v>
      </c>
      <c r="E34">
        <v>24</v>
      </c>
      <c r="F34">
        <v>1</v>
      </c>
      <c r="G34" s="24">
        <f>1/24</f>
        <v>4.1666666666666664E-2</v>
      </c>
      <c r="H34" s="24">
        <v>0</v>
      </c>
      <c r="I34" s="24">
        <v>0.95833333333333304</v>
      </c>
      <c r="J34" t="s">
        <v>65</v>
      </c>
    </row>
    <row r="35" spans="2:10" x14ac:dyDescent="0.2">
      <c r="C35" s="32" t="s">
        <v>29</v>
      </c>
      <c r="D35" s="32" t="s">
        <v>1786</v>
      </c>
      <c r="E35">
        <v>36</v>
      </c>
      <c r="F35">
        <v>1</v>
      </c>
      <c r="G35" s="24">
        <f>1/36</f>
        <v>2.7777777777777776E-2</v>
      </c>
      <c r="H35" s="24">
        <v>0</v>
      </c>
      <c r="I35" s="24">
        <v>0.97222222222222199</v>
      </c>
      <c r="J35" t="s">
        <v>30</v>
      </c>
    </row>
    <row r="36" spans="2:10" x14ac:dyDescent="0.2">
      <c r="C36" s="32" t="s">
        <v>31</v>
      </c>
      <c r="D36" s="32" t="s">
        <v>1787</v>
      </c>
      <c r="E36">
        <v>1</v>
      </c>
      <c r="F36">
        <v>1</v>
      </c>
      <c r="G36" s="24">
        <v>1</v>
      </c>
      <c r="H36" s="24">
        <v>0</v>
      </c>
      <c r="I36" s="24">
        <v>0</v>
      </c>
      <c r="J36" t="s">
        <v>66</v>
      </c>
    </row>
    <row r="37" spans="2:10" x14ac:dyDescent="0.2">
      <c r="C37" s="32"/>
      <c r="D37" s="32"/>
    </row>
    <row r="38" spans="2:10" x14ac:dyDescent="0.2">
      <c r="B38" t="s">
        <v>32</v>
      </c>
      <c r="C38" s="32" t="s">
        <v>1788</v>
      </c>
      <c r="D38" s="32" t="s">
        <v>1789</v>
      </c>
      <c r="E38">
        <f>7</f>
        <v>7</v>
      </c>
      <c r="F38">
        <f>4</f>
        <v>4</v>
      </c>
      <c r="G38" s="24">
        <f>4/7</f>
        <v>0.5714285714285714</v>
      </c>
      <c r="H38" s="24">
        <f>0</f>
        <v>0</v>
      </c>
      <c r="I38" s="24">
        <f>3/7</f>
        <v>0.42857142857142855</v>
      </c>
    </row>
    <row r="39" spans="2:10" x14ac:dyDescent="0.2">
      <c r="C39" s="32" t="s">
        <v>1790</v>
      </c>
      <c r="D39" s="32" t="s">
        <v>1791</v>
      </c>
      <c r="E39">
        <f>3+4</f>
        <v>7</v>
      </c>
      <c r="F39">
        <f>4</f>
        <v>4</v>
      </c>
      <c r="G39" s="24">
        <f>4/7</f>
        <v>0.5714285714285714</v>
      </c>
      <c r="H39" s="24">
        <v>0</v>
      </c>
      <c r="I39" s="24">
        <f>3/7</f>
        <v>0.42857142857142855</v>
      </c>
    </row>
    <row r="40" spans="2:10" x14ac:dyDescent="0.2">
      <c r="C40" s="32" t="s">
        <v>67</v>
      </c>
      <c r="D40" s="32" t="s">
        <v>1792</v>
      </c>
      <c r="E40">
        <v>269</v>
      </c>
      <c r="F40">
        <v>45</v>
      </c>
      <c r="G40" s="24">
        <f>45/269</f>
        <v>0.16728624535315986</v>
      </c>
      <c r="H40" s="24">
        <f>8/269</f>
        <v>2.9739776951672861E-2</v>
      </c>
      <c r="I40" s="24">
        <f>216/269</f>
        <v>0.80297397769516732</v>
      </c>
      <c r="J40" t="s">
        <v>1966</v>
      </c>
    </row>
    <row r="41" spans="2:10" x14ac:dyDescent="0.2">
      <c r="C41" s="32" t="s">
        <v>1793</v>
      </c>
      <c r="D41" s="32" t="s">
        <v>1794</v>
      </c>
      <c r="E41">
        <f>12+9</f>
        <v>21</v>
      </c>
      <c r="F41">
        <f>12+3</f>
        <v>15</v>
      </c>
      <c r="G41" s="24">
        <f>15/21</f>
        <v>0.7142857142857143</v>
      </c>
      <c r="H41" s="24">
        <v>0</v>
      </c>
      <c r="I41" s="24">
        <f>6/21</f>
        <v>0.2857142857142857</v>
      </c>
    </row>
    <row r="42" spans="2:10" x14ac:dyDescent="0.2">
      <c r="C42" s="32" t="s">
        <v>1795</v>
      </c>
      <c r="D42" s="32" t="s">
        <v>1796</v>
      </c>
      <c r="E42">
        <f>12+6</f>
        <v>18</v>
      </c>
      <c r="F42">
        <f>12</f>
        <v>12</v>
      </c>
      <c r="G42" s="24">
        <f>12/18</f>
        <v>0.66666666666666663</v>
      </c>
      <c r="H42" s="24">
        <v>0</v>
      </c>
      <c r="I42" s="24">
        <f>6/18</f>
        <v>0.33333333333333331</v>
      </c>
    </row>
    <row r="43" spans="2:10" x14ac:dyDescent="0.2">
      <c r="C43" s="32" t="s">
        <v>1797</v>
      </c>
      <c r="D43" s="32" t="s">
        <v>1798</v>
      </c>
      <c r="E43">
        <f>14</f>
        <v>14</v>
      </c>
      <c r="F43">
        <f>10</f>
        <v>10</v>
      </c>
      <c r="G43" s="24">
        <f>10/14</f>
        <v>0.7142857142857143</v>
      </c>
      <c r="H43" s="24">
        <v>0</v>
      </c>
      <c r="I43" s="24">
        <f>4/14</f>
        <v>0.2857142857142857</v>
      </c>
    </row>
    <row r="44" spans="2:10" x14ac:dyDescent="0.2">
      <c r="C44" s="32" t="s">
        <v>1799</v>
      </c>
      <c r="D44" s="32" t="s">
        <v>1800</v>
      </c>
      <c r="E44">
        <f>9+5</f>
        <v>14</v>
      </c>
      <c r="F44">
        <f>10</f>
        <v>10</v>
      </c>
      <c r="G44" s="24">
        <f>10/14</f>
        <v>0.7142857142857143</v>
      </c>
      <c r="H44" s="24">
        <v>0</v>
      </c>
      <c r="I44" s="24">
        <f>4/14</f>
        <v>0.2857142857142857</v>
      </c>
    </row>
    <row r="45" spans="2:10" x14ac:dyDescent="0.2">
      <c r="C45" s="32" t="s">
        <v>1801</v>
      </c>
      <c r="D45" s="32" t="s">
        <v>1804</v>
      </c>
      <c r="E45">
        <f>3+3</f>
        <v>6</v>
      </c>
      <c r="F45">
        <f>4</f>
        <v>4</v>
      </c>
      <c r="G45" s="24">
        <f>4/6</f>
        <v>0.66666666666666663</v>
      </c>
      <c r="H45" s="24">
        <v>0</v>
      </c>
      <c r="I45" s="24">
        <f>2/6</f>
        <v>0.33333333333333331</v>
      </c>
    </row>
    <row r="46" spans="2:10" x14ac:dyDescent="0.2">
      <c r="C46" s="32" t="s">
        <v>1802</v>
      </c>
      <c r="D46" s="32" t="s">
        <v>1803</v>
      </c>
      <c r="E46">
        <v>1</v>
      </c>
      <c r="F46">
        <v>1</v>
      </c>
      <c r="G46" s="24">
        <v>1</v>
      </c>
      <c r="H46" s="24">
        <v>0</v>
      </c>
      <c r="I46" s="24">
        <v>0</v>
      </c>
    </row>
    <row r="47" spans="2:10" x14ac:dyDescent="0.2">
      <c r="C47" s="32" t="s">
        <v>1805</v>
      </c>
      <c r="D47" s="32" t="s">
        <v>1806</v>
      </c>
      <c r="E47">
        <f>5+3</f>
        <v>8</v>
      </c>
      <c r="F47">
        <v>6</v>
      </c>
      <c r="G47" s="24">
        <f>6/8</f>
        <v>0.75</v>
      </c>
      <c r="H47" s="24">
        <f>0</f>
        <v>0</v>
      </c>
      <c r="I47" s="24">
        <f>2/8</f>
        <v>0.25</v>
      </c>
    </row>
    <row r="48" spans="2:10" x14ac:dyDescent="0.2">
      <c r="G48" s="27"/>
      <c r="H48" s="27"/>
      <c r="I48" s="27"/>
    </row>
    <row r="49" spans="2:10" x14ac:dyDescent="0.2">
      <c r="B49" t="s">
        <v>36</v>
      </c>
      <c r="C49" t="s">
        <v>50</v>
      </c>
      <c r="D49" s="32" t="s">
        <v>1807</v>
      </c>
      <c r="E49">
        <v>268</v>
      </c>
      <c r="F49">
        <v>60</v>
      </c>
      <c r="G49" s="24">
        <f>F49/E49</f>
        <v>0.22388059701492538</v>
      </c>
      <c r="H49" s="24">
        <f>(268-60-11)/E49</f>
        <v>0.7350746268656716</v>
      </c>
      <c r="I49" s="24">
        <f>11/E49</f>
        <v>4.1044776119402986E-2</v>
      </c>
      <c r="J49" t="s">
        <v>69</v>
      </c>
    </row>
    <row r="50" spans="2:10" x14ac:dyDescent="0.2">
      <c r="C50" t="s">
        <v>1808</v>
      </c>
      <c r="D50" s="32" t="s">
        <v>1809</v>
      </c>
      <c r="E50">
        <f>38+16</f>
        <v>54</v>
      </c>
      <c r="F50">
        <v>6</v>
      </c>
      <c r="G50" s="24">
        <f>6/54</f>
        <v>0.1111111111111111</v>
      </c>
      <c r="H50" s="24">
        <f>(54-6)/54</f>
        <v>0.88888888888888884</v>
      </c>
      <c r="I50" s="24">
        <v>0</v>
      </c>
    </row>
    <row r="51" spans="2:10" x14ac:dyDescent="0.2">
      <c r="C51" t="s">
        <v>37</v>
      </c>
      <c r="D51" s="32" t="s">
        <v>1810</v>
      </c>
      <c r="E51">
        <v>71</v>
      </c>
      <c r="F51">
        <v>46</v>
      </c>
      <c r="G51" s="24">
        <f>F51/E51</f>
        <v>0.647887323943662</v>
      </c>
      <c r="H51" s="24">
        <f>(E51-48)/E51</f>
        <v>0.323943661971831</v>
      </c>
      <c r="I51" s="24">
        <f>2/E51</f>
        <v>2.8169014084507043E-2</v>
      </c>
      <c r="J51" t="s">
        <v>8539</v>
      </c>
    </row>
    <row r="52" spans="2:10" x14ac:dyDescent="0.2">
      <c r="C52" s="5" t="s">
        <v>1890</v>
      </c>
      <c r="D52" s="5" t="s">
        <v>1891</v>
      </c>
      <c r="E52" s="5">
        <v>359</v>
      </c>
      <c r="F52" s="5">
        <v>5</v>
      </c>
      <c r="G52" s="6">
        <f>5/E52</f>
        <v>1.3927576601671309E-2</v>
      </c>
      <c r="H52" s="6">
        <f>(359-24-5)/359</f>
        <v>0.91922005571030641</v>
      </c>
      <c r="I52" s="6">
        <f>24/359</f>
        <v>6.6852367688022288E-2</v>
      </c>
      <c r="J52" t="s">
        <v>68</v>
      </c>
    </row>
    <row r="53" spans="2:10" x14ac:dyDescent="0.2">
      <c r="C53" s="33" t="s">
        <v>1811</v>
      </c>
      <c r="D53" s="33" t="s">
        <v>1812</v>
      </c>
      <c r="E53" s="29">
        <v>47</v>
      </c>
      <c r="F53" s="29">
        <v>30</v>
      </c>
      <c r="G53" s="30">
        <v>0.63829999999999998</v>
      </c>
      <c r="H53" s="30">
        <v>6.3799999999999996E-2</v>
      </c>
      <c r="I53" s="30">
        <v>0.2979</v>
      </c>
    </row>
    <row r="54" spans="2:10" x14ac:dyDescent="0.2">
      <c r="C54" t="s">
        <v>1813</v>
      </c>
      <c r="D54" t="s">
        <v>1814</v>
      </c>
      <c r="E54" s="5">
        <v>303</v>
      </c>
      <c r="F54" s="5">
        <v>3</v>
      </c>
      <c r="G54" s="6">
        <f>3/303</f>
        <v>9.9009900990099011E-3</v>
      </c>
      <c r="H54" s="6">
        <v>0</v>
      </c>
      <c r="I54" s="6">
        <f>300/303</f>
        <v>0.99009900990099009</v>
      </c>
      <c r="J54" t="s">
        <v>70</v>
      </c>
    </row>
    <row r="55" spans="2:10" x14ac:dyDescent="0.2">
      <c r="C55" t="s">
        <v>1817</v>
      </c>
      <c r="D55" s="32" t="s">
        <v>1818</v>
      </c>
      <c r="E55">
        <f>16+12</f>
        <v>28</v>
      </c>
      <c r="F55">
        <v>8</v>
      </c>
      <c r="G55" s="24">
        <f>8/28</f>
        <v>0.2857142857142857</v>
      </c>
      <c r="H55" s="24">
        <f>10/28</f>
        <v>0.35714285714285715</v>
      </c>
      <c r="I55" s="24">
        <f>10/28</f>
        <v>0.35714285714285715</v>
      </c>
    </row>
    <row r="56" spans="2:10" x14ac:dyDescent="0.2">
      <c r="C56" t="s">
        <v>1815</v>
      </c>
      <c r="D56" t="s">
        <v>1816</v>
      </c>
      <c r="E56">
        <f>18+12</f>
        <v>30</v>
      </c>
      <c r="F56">
        <f>6+2</f>
        <v>8</v>
      </c>
      <c r="G56" s="24">
        <f>8/30</f>
        <v>0.26666666666666666</v>
      </c>
      <c r="H56" s="24">
        <f>12/30</f>
        <v>0.4</v>
      </c>
      <c r="I56" s="24">
        <f>10/30</f>
        <v>0.33333333333333331</v>
      </c>
      <c r="J56" t="s">
        <v>71</v>
      </c>
    </row>
    <row r="57" spans="2:10" x14ac:dyDescent="0.2">
      <c r="C57" t="s">
        <v>1819</v>
      </c>
      <c r="D57" t="s">
        <v>1820</v>
      </c>
      <c r="E57">
        <v>27</v>
      </c>
      <c r="F57">
        <v>3</v>
      </c>
      <c r="G57" s="24">
        <f>3/27</f>
        <v>0.1111111111111111</v>
      </c>
      <c r="H57" s="24">
        <f>0</f>
        <v>0</v>
      </c>
      <c r="I57" s="24">
        <f>24/27</f>
        <v>0.88888888888888884</v>
      </c>
      <c r="J57" t="s">
        <v>72</v>
      </c>
    </row>
    <row r="58" spans="2:10" x14ac:dyDescent="0.2">
      <c r="C58" t="s">
        <v>1821</v>
      </c>
      <c r="D58" t="s">
        <v>1822</v>
      </c>
      <c r="E58">
        <v>11</v>
      </c>
      <c r="F58">
        <v>3</v>
      </c>
      <c r="G58" s="24">
        <f>3/11</f>
        <v>0.27272727272727271</v>
      </c>
      <c r="H58" s="24">
        <f>0</f>
        <v>0</v>
      </c>
      <c r="I58" s="24">
        <f>8/11</f>
        <v>0.72727272727272729</v>
      </c>
    </row>
    <row r="60" spans="2:10" x14ac:dyDescent="0.2">
      <c r="B60" t="s">
        <v>53</v>
      </c>
      <c r="C60" s="33" t="s">
        <v>1823</v>
      </c>
      <c r="D60" s="33" t="s">
        <v>1824</v>
      </c>
      <c r="E60" s="29">
        <v>217</v>
      </c>
      <c r="F60" s="29">
        <v>141</v>
      </c>
      <c r="G60" s="30">
        <v>0.64980000000000004</v>
      </c>
      <c r="H60" s="30">
        <v>5.9900000000000002E-2</v>
      </c>
      <c r="I60" s="30">
        <v>0.2903</v>
      </c>
    </row>
    <row r="61" spans="2:10" x14ac:dyDescent="0.2">
      <c r="C61" s="33" t="s">
        <v>1825</v>
      </c>
      <c r="D61" s="33" t="s">
        <v>1826</v>
      </c>
      <c r="E61" s="1">
        <v>480</v>
      </c>
      <c r="F61" s="1">
        <v>98</v>
      </c>
      <c r="G61" s="108">
        <f>98/480</f>
        <v>0.20416666666666666</v>
      </c>
      <c r="H61" s="2">
        <f>382/480</f>
        <v>0.79583333333333328</v>
      </c>
      <c r="I61" s="2">
        <v>0</v>
      </c>
      <c r="J61" s="33" t="s">
        <v>1976</v>
      </c>
    </row>
    <row r="62" spans="2:10" x14ac:dyDescent="0.2">
      <c r="F62" s="26"/>
      <c r="G62" s="67"/>
      <c r="H62" s="67"/>
    </row>
    <row r="63" spans="2:10" x14ac:dyDescent="0.2">
      <c r="B63" t="s">
        <v>54</v>
      </c>
      <c r="C63" s="33" t="s">
        <v>1827</v>
      </c>
      <c r="D63" s="33" t="s">
        <v>1828</v>
      </c>
      <c r="E63" s="29">
        <v>950</v>
      </c>
      <c r="F63" s="29">
        <v>251</v>
      </c>
      <c r="G63" s="30">
        <f>251/950</f>
        <v>0.26421052631578945</v>
      </c>
      <c r="H63" s="30">
        <f>(950-251)/950</f>
        <v>0.73578947368421055</v>
      </c>
      <c r="I63" s="30">
        <v>0</v>
      </c>
      <c r="J63" t="s">
        <v>2604</v>
      </c>
    </row>
    <row r="64" spans="2:10" x14ac:dyDescent="0.2">
      <c r="C64" s="33" t="s">
        <v>1829</v>
      </c>
      <c r="D64" s="33" t="s">
        <v>1830</v>
      </c>
      <c r="E64" s="29">
        <v>951</v>
      </c>
      <c r="F64" s="29">
        <v>70</v>
      </c>
      <c r="G64" s="30">
        <f>70/951</f>
        <v>7.3606729758149317E-2</v>
      </c>
      <c r="H64" s="30">
        <f>(951-70)/951</f>
        <v>0.9263932702418507</v>
      </c>
      <c r="I64" s="30">
        <v>0</v>
      </c>
      <c r="J64" t="s">
        <v>33</v>
      </c>
    </row>
    <row r="65" spans="2:15" x14ac:dyDescent="0.2">
      <c r="C65" t="s">
        <v>1833</v>
      </c>
      <c r="D65" s="33" t="s">
        <v>1834</v>
      </c>
      <c r="E65" s="29">
        <v>80</v>
      </c>
      <c r="F65" s="29">
        <v>37</v>
      </c>
      <c r="G65" s="30">
        <f>37/80</f>
        <v>0.46250000000000002</v>
      </c>
      <c r="H65" s="30">
        <f>36/80</f>
        <v>0.45</v>
      </c>
      <c r="I65" s="30">
        <f>7/80</f>
        <v>8.7499999999999994E-2</v>
      </c>
      <c r="J65" t="s">
        <v>1980</v>
      </c>
    </row>
    <row r="66" spans="2:15" x14ac:dyDescent="0.2">
      <c r="C66" s="33" t="s">
        <v>1831</v>
      </c>
      <c r="D66" s="33" t="s">
        <v>1832</v>
      </c>
      <c r="E66" s="29">
        <v>60</v>
      </c>
      <c r="F66" s="29">
        <v>6</v>
      </c>
      <c r="G66" s="30">
        <f>6/60</f>
        <v>0.1</v>
      </c>
      <c r="H66" s="30">
        <f>10/60</f>
        <v>0.16666666666666666</v>
      </c>
      <c r="I66" s="30">
        <f>44/60</f>
        <v>0.73333333333333328</v>
      </c>
      <c r="J66" s="31" t="s">
        <v>34</v>
      </c>
    </row>
    <row r="67" spans="2:15" x14ac:dyDescent="0.2">
      <c r="B67" s="5"/>
      <c r="C67" s="1" t="s">
        <v>1948</v>
      </c>
      <c r="D67" s="1" t="s">
        <v>1949</v>
      </c>
      <c r="E67" s="1">
        <v>17</v>
      </c>
      <c r="F67" s="1">
        <v>6</v>
      </c>
      <c r="G67" s="2">
        <v>0.35289999999999999</v>
      </c>
      <c r="H67" s="2">
        <v>0.64710000000000001</v>
      </c>
      <c r="I67" s="2">
        <v>0</v>
      </c>
      <c r="J67" s="5"/>
      <c r="K67" s="5"/>
    </row>
    <row r="68" spans="2:15" x14ac:dyDescent="0.2">
      <c r="C68" s="33" t="s">
        <v>1835</v>
      </c>
      <c r="D68" s="33" t="s">
        <v>1836</v>
      </c>
      <c r="E68" s="29">
        <v>76</v>
      </c>
      <c r="F68" s="29">
        <v>61</v>
      </c>
      <c r="G68" s="30">
        <f>61/76</f>
        <v>0.80263157894736847</v>
      </c>
      <c r="H68" s="30">
        <f>(76-8-61)/76</f>
        <v>9.2105263157894732E-2</v>
      </c>
      <c r="I68" s="30">
        <f>8/76</f>
        <v>0.10526315789473684</v>
      </c>
    </row>
    <row r="69" spans="2:15" x14ac:dyDescent="0.2">
      <c r="C69" s="33" t="s">
        <v>1837</v>
      </c>
      <c r="D69" s="33" t="s">
        <v>1838</v>
      </c>
      <c r="E69" s="29">
        <v>201</v>
      </c>
      <c r="F69" s="29">
        <v>120</v>
      </c>
      <c r="G69" s="30">
        <f>120/201</f>
        <v>0.59701492537313428</v>
      </c>
      <c r="H69" s="30">
        <f>19/201</f>
        <v>9.4527363184079602E-2</v>
      </c>
      <c r="I69" s="30">
        <f>62/201</f>
        <v>0.30845771144278605</v>
      </c>
      <c r="J69" s="30"/>
    </row>
    <row r="70" spans="2:15" x14ac:dyDescent="0.2">
      <c r="C70" s="33" t="s">
        <v>1839</v>
      </c>
      <c r="D70" s="33" t="s">
        <v>1950</v>
      </c>
      <c r="E70" s="29">
        <f>18+28</f>
        <v>46</v>
      </c>
      <c r="F70" s="29">
        <f>17+4</f>
        <v>21</v>
      </c>
      <c r="G70" s="30">
        <f>21/46</f>
        <v>0.45652173913043476</v>
      </c>
      <c r="H70" s="30">
        <f>1/46</f>
        <v>2.1739130434782608E-2</v>
      </c>
      <c r="I70" s="30">
        <f>24/46</f>
        <v>0.52173913043478259</v>
      </c>
    </row>
    <row r="71" spans="2:15" x14ac:dyDescent="0.2">
      <c r="C71" s="33" t="s">
        <v>1840</v>
      </c>
      <c r="D71" s="33" t="s">
        <v>1841</v>
      </c>
      <c r="E71" s="29">
        <v>13</v>
      </c>
      <c r="F71" s="29">
        <v>10</v>
      </c>
      <c r="G71" s="30">
        <v>0.76919999999999999</v>
      </c>
      <c r="H71" s="30">
        <v>7.6899999999999996E-2</v>
      </c>
      <c r="I71" s="30">
        <v>0.15379999999999999</v>
      </c>
    </row>
    <row r="72" spans="2:15" x14ac:dyDescent="0.2">
      <c r="C72" s="33" t="s">
        <v>1842</v>
      </c>
      <c r="D72" s="33" t="s">
        <v>1843</v>
      </c>
      <c r="E72" s="29">
        <v>4</v>
      </c>
      <c r="F72" s="29">
        <v>4</v>
      </c>
      <c r="G72" s="30">
        <v>1</v>
      </c>
      <c r="H72" s="30">
        <v>0</v>
      </c>
      <c r="I72" s="30">
        <v>0</v>
      </c>
    </row>
    <row r="73" spans="2:15" x14ac:dyDescent="0.2">
      <c r="C73" s="33" t="s">
        <v>1844</v>
      </c>
      <c r="D73" s="33" t="s">
        <v>1845</v>
      </c>
      <c r="E73" s="29">
        <v>35</v>
      </c>
      <c r="F73" s="29">
        <v>25</v>
      </c>
      <c r="G73" s="30">
        <v>0.71430000000000005</v>
      </c>
      <c r="H73" s="30">
        <v>0</v>
      </c>
      <c r="I73" s="30">
        <v>0.28570000000000001</v>
      </c>
    </row>
    <row r="74" spans="2:15" x14ac:dyDescent="0.2">
      <c r="B74" s="21"/>
      <c r="C74" s="20" t="s">
        <v>1846</v>
      </c>
      <c r="D74" s="20" t="s">
        <v>1847</v>
      </c>
      <c r="E74" s="36">
        <v>41</v>
      </c>
      <c r="F74" s="36">
        <v>27</v>
      </c>
      <c r="G74" s="37">
        <v>0.65849999999999997</v>
      </c>
      <c r="H74" s="37">
        <v>0</v>
      </c>
      <c r="I74" s="37">
        <v>0.34150000000000003</v>
      </c>
      <c r="J74" s="21"/>
    </row>
    <row r="75" spans="2:15" ht="51" customHeight="1" x14ac:dyDescent="0.2">
      <c r="B75" s="135" t="s">
        <v>1729</v>
      </c>
      <c r="C75" s="135"/>
      <c r="D75" s="135"/>
      <c r="E75" s="135"/>
      <c r="F75" s="135"/>
      <c r="G75" s="135"/>
      <c r="H75" s="135"/>
      <c r="I75" s="135"/>
      <c r="J75" s="135"/>
      <c r="K75" s="135"/>
      <c r="L75" s="135"/>
      <c r="M75" s="135"/>
      <c r="N75" s="135"/>
      <c r="O75" s="135"/>
    </row>
    <row r="76" spans="2:15" x14ac:dyDescent="0.2">
      <c r="E76" s="26"/>
      <c r="F76" s="26"/>
      <c r="H76" s="67"/>
    </row>
  </sheetData>
  <mergeCells count="2">
    <mergeCell ref="B75:O75"/>
    <mergeCell ref="A11:B16"/>
  </mergeCells>
  <pageMargins left="0.7" right="0.7" top="0.75" bottom="0.75" header="0.3" footer="0.3"/>
  <pageSetup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F036E-9F38-6C45-8C8E-CC85EAE17460}">
  <dimension ref="B2:W107"/>
  <sheetViews>
    <sheetView showGridLines="0" topLeftCell="B66" workbookViewId="0">
      <selection activeCell="B6" sqref="B6:B96"/>
    </sheetView>
  </sheetViews>
  <sheetFormatPr baseColWidth="10" defaultRowHeight="16" x14ac:dyDescent="0.2"/>
  <cols>
    <col min="2" max="2" width="60.5" customWidth="1"/>
    <col min="3" max="3" width="23.83203125" customWidth="1"/>
    <col min="8" max="8" width="13.1640625" customWidth="1"/>
  </cols>
  <sheetData>
    <row r="2" spans="2:23" x14ac:dyDescent="0.2">
      <c r="B2" s="51" t="s">
        <v>8548</v>
      </c>
    </row>
    <row r="3" spans="2:23" x14ac:dyDescent="0.2">
      <c r="C3" s="51">
        <f>11875-5556</f>
        <v>6319</v>
      </c>
    </row>
    <row r="4" spans="2:23" x14ac:dyDescent="0.2">
      <c r="D4" s="145" t="s">
        <v>79</v>
      </c>
      <c r="E4" s="145"/>
      <c r="F4" s="145"/>
      <c r="G4" s="145"/>
      <c r="H4" s="145"/>
      <c r="I4" s="145" t="s">
        <v>763</v>
      </c>
      <c r="J4" s="145"/>
      <c r="K4" s="145"/>
      <c r="L4" s="145"/>
      <c r="M4" s="145"/>
      <c r="N4" s="145" t="s">
        <v>764</v>
      </c>
      <c r="O4" s="145"/>
      <c r="P4" s="145"/>
      <c r="Q4" s="145"/>
      <c r="R4" s="145"/>
      <c r="S4" s="145" t="s">
        <v>765</v>
      </c>
      <c r="T4" s="145"/>
      <c r="U4" s="145"/>
      <c r="V4" s="145"/>
      <c r="W4" s="145"/>
    </row>
    <row r="5" spans="2:23" x14ac:dyDescent="0.2">
      <c r="B5" s="66" t="s">
        <v>3138</v>
      </c>
      <c r="C5" s="22" t="s">
        <v>2857</v>
      </c>
      <c r="D5" s="21" t="s">
        <v>81</v>
      </c>
      <c r="E5" s="21" t="s">
        <v>82</v>
      </c>
      <c r="F5" s="21" t="s">
        <v>83</v>
      </c>
      <c r="G5" s="21" t="s">
        <v>761</v>
      </c>
      <c r="H5" s="22" t="s">
        <v>762</v>
      </c>
      <c r="I5" s="21" t="s">
        <v>81</v>
      </c>
      <c r="J5" s="21" t="s">
        <v>82</v>
      </c>
      <c r="K5" s="21" t="s">
        <v>83</v>
      </c>
      <c r="L5" s="21" t="s">
        <v>761</v>
      </c>
      <c r="M5" s="22" t="s">
        <v>762</v>
      </c>
      <c r="N5" s="21" t="s">
        <v>81</v>
      </c>
      <c r="O5" s="21" t="s">
        <v>82</v>
      </c>
      <c r="P5" s="21" t="s">
        <v>83</v>
      </c>
      <c r="Q5" s="21" t="s">
        <v>761</v>
      </c>
      <c r="R5" s="22" t="s">
        <v>762</v>
      </c>
      <c r="S5" s="21" t="s">
        <v>81</v>
      </c>
      <c r="T5" s="21" t="s">
        <v>82</v>
      </c>
      <c r="U5" s="21" t="s">
        <v>83</v>
      </c>
      <c r="V5" s="21" t="s">
        <v>761</v>
      </c>
      <c r="W5" s="22" t="s">
        <v>762</v>
      </c>
    </row>
    <row r="6" spans="2:23" x14ac:dyDescent="0.2">
      <c r="B6" s="89" t="s">
        <v>3047</v>
      </c>
      <c r="C6" s="18" t="s">
        <v>1534</v>
      </c>
      <c r="D6" s="15">
        <v>-2.9125045523046899E-4</v>
      </c>
      <c r="E6" s="15">
        <v>1.40198993344159E-2</v>
      </c>
      <c r="F6" s="15">
        <v>0.98342675330866702</v>
      </c>
      <c r="G6" s="15">
        <v>0.99653379190677804</v>
      </c>
      <c r="H6" s="18">
        <v>1</v>
      </c>
      <c r="I6" s="15">
        <v>-7.0158551653410903E-3</v>
      </c>
      <c r="J6" s="15">
        <v>1.3971986258305201E-2</v>
      </c>
      <c r="K6" s="15">
        <v>0.61559460266814403</v>
      </c>
      <c r="L6" s="15">
        <v>0.74692145123734699</v>
      </c>
      <c r="M6" s="18">
        <v>1</v>
      </c>
      <c r="N6" s="15">
        <v>2.1769324408135401E-3</v>
      </c>
      <c r="O6" s="15">
        <v>1.3944933110723401E-2</v>
      </c>
      <c r="P6" s="15">
        <v>0.87595360559675295</v>
      </c>
      <c r="Q6" s="15">
        <v>0.91752684958374497</v>
      </c>
      <c r="R6" s="18">
        <v>1</v>
      </c>
      <c r="S6" s="15">
        <v>-9.2535393036484697E-4</v>
      </c>
      <c r="T6" s="15">
        <v>1.3901147318925999E-2</v>
      </c>
      <c r="U6" s="15">
        <v>0.94692944075104502</v>
      </c>
      <c r="V6" s="15">
        <v>0.967178716610677</v>
      </c>
      <c r="W6" s="18">
        <v>1</v>
      </c>
    </row>
    <row r="7" spans="2:23" x14ac:dyDescent="0.2">
      <c r="B7" s="76" t="s">
        <v>3048</v>
      </c>
      <c r="C7" s="18" t="s">
        <v>2077</v>
      </c>
      <c r="D7" s="15">
        <v>1.4289469459445501E-3</v>
      </c>
      <c r="E7" s="15">
        <v>1.4094450901454799E-2</v>
      </c>
      <c r="F7" s="15">
        <v>0.91925025545559302</v>
      </c>
      <c r="G7" s="15">
        <v>0.99653379190677804</v>
      </c>
      <c r="H7" s="18">
        <v>1</v>
      </c>
      <c r="I7" s="15">
        <v>9.1515730006589396E-3</v>
      </c>
      <c r="J7" s="15">
        <v>1.40410951013524E-2</v>
      </c>
      <c r="K7" s="15">
        <v>0.51458163484419805</v>
      </c>
      <c r="L7" s="15">
        <v>0.74692145123734699</v>
      </c>
      <c r="M7" s="18">
        <v>1</v>
      </c>
      <c r="N7" s="15">
        <v>-5.1391466550727198E-3</v>
      </c>
      <c r="O7" s="15">
        <v>1.40140037656073E-2</v>
      </c>
      <c r="P7" s="15">
        <v>0.713848186883005</v>
      </c>
      <c r="Q7" s="15">
        <v>0.91752684958374497</v>
      </c>
      <c r="R7" s="18">
        <v>1</v>
      </c>
      <c r="S7" s="15">
        <v>7.6604403075473497E-3</v>
      </c>
      <c r="T7" s="15">
        <v>1.3970865003042799E-2</v>
      </c>
      <c r="U7" s="15">
        <v>0.58350151469295897</v>
      </c>
      <c r="V7" s="15">
        <v>0.96693680251300396</v>
      </c>
      <c r="W7" s="18">
        <v>1</v>
      </c>
    </row>
    <row r="8" spans="2:23" x14ac:dyDescent="0.2">
      <c r="B8" s="76" t="s">
        <v>3049</v>
      </c>
      <c r="C8" s="18" t="s">
        <v>2076</v>
      </c>
      <c r="D8" s="15">
        <v>6.5550494628996599E-3</v>
      </c>
      <c r="E8" s="15">
        <v>1.3964794692440901E-2</v>
      </c>
      <c r="F8" s="15">
        <v>0.63880704725095705</v>
      </c>
      <c r="G8" s="15">
        <v>0.99653379190677804</v>
      </c>
      <c r="H8" s="18">
        <v>1</v>
      </c>
      <c r="I8" s="15">
        <v>-1.53677335234132E-2</v>
      </c>
      <c r="J8" s="15">
        <v>1.39120158884238E-2</v>
      </c>
      <c r="K8" s="15">
        <v>0.26937472626829601</v>
      </c>
      <c r="L8" s="15">
        <v>0.60965743865607303</v>
      </c>
      <c r="M8" s="18">
        <v>1</v>
      </c>
      <c r="N8" s="15">
        <v>9.1396978310475507E-3</v>
      </c>
      <c r="O8" s="15">
        <v>1.3892347316226499E-2</v>
      </c>
      <c r="P8" s="15">
        <v>0.51063870695928604</v>
      </c>
      <c r="Q8" s="15">
        <v>0.90504021958853598</v>
      </c>
      <c r="R8" s="18">
        <v>1</v>
      </c>
      <c r="S8" s="15">
        <v>-3.8206375000095398E-3</v>
      </c>
      <c r="T8" s="15">
        <v>1.3844641966675701E-2</v>
      </c>
      <c r="U8" s="15">
        <v>0.78258717118013899</v>
      </c>
      <c r="V8" s="15">
        <v>0.96693680251300396</v>
      </c>
      <c r="W8" s="18">
        <v>1</v>
      </c>
    </row>
    <row r="9" spans="2:23" x14ac:dyDescent="0.2">
      <c r="B9" s="76" t="s">
        <v>3050</v>
      </c>
      <c r="C9" s="18" t="s">
        <v>2079</v>
      </c>
      <c r="D9" s="15">
        <v>-6.4058108810154902E-3</v>
      </c>
      <c r="E9" s="15">
        <v>1.40680804844292E-2</v>
      </c>
      <c r="F9" s="15">
        <v>0.64888394829325002</v>
      </c>
      <c r="G9" s="15">
        <v>0.99653379190677804</v>
      </c>
      <c r="H9" s="18">
        <v>1</v>
      </c>
      <c r="I9" s="15">
        <v>-7.7058509595882303E-3</v>
      </c>
      <c r="J9" s="15">
        <v>1.40172820089984E-2</v>
      </c>
      <c r="K9" s="15">
        <v>0.58252591947792498</v>
      </c>
      <c r="L9" s="15">
        <v>0.74692145123734699</v>
      </c>
      <c r="M9" s="18">
        <v>1</v>
      </c>
      <c r="N9" s="15">
        <v>-4.9151153168343602E-3</v>
      </c>
      <c r="O9" s="15">
        <v>1.39967923967847E-2</v>
      </c>
      <c r="P9" s="15">
        <v>0.72548468426248902</v>
      </c>
      <c r="Q9" s="15">
        <v>0.91752684958374497</v>
      </c>
      <c r="R9" s="18">
        <v>1</v>
      </c>
      <c r="S9" s="15">
        <v>-1.8024593173567301E-2</v>
      </c>
      <c r="T9" s="15">
        <v>1.39475390704302E-2</v>
      </c>
      <c r="U9" s="15">
        <v>0.19631485275489199</v>
      </c>
      <c r="V9" s="15">
        <v>0.96693680251300396</v>
      </c>
      <c r="W9" s="18">
        <v>1</v>
      </c>
    </row>
    <row r="10" spans="2:23" x14ac:dyDescent="0.2">
      <c r="B10" s="76" t="s">
        <v>3051</v>
      </c>
      <c r="C10" s="18" t="s">
        <v>2078</v>
      </c>
      <c r="D10" s="15">
        <v>7.1598752828424704E-3</v>
      </c>
      <c r="E10" s="15">
        <v>1.4040147103077501E-2</v>
      </c>
      <c r="F10" s="15">
        <v>0.61010546079918204</v>
      </c>
      <c r="G10" s="15">
        <v>0.99653379190677804</v>
      </c>
      <c r="H10" s="18">
        <v>1</v>
      </c>
      <c r="I10" s="15">
        <v>-1.2381524012988299E-2</v>
      </c>
      <c r="J10" s="15">
        <v>1.3987693049092999E-2</v>
      </c>
      <c r="K10" s="15">
        <v>0.37610966933152801</v>
      </c>
      <c r="L10" s="15">
        <v>0.68451959818338004</v>
      </c>
      <c r="M10" s="18">
        <v>1</v>
      </c>
      <c r="N10" s="15">
        <v>-1.75439856508341E-2</v>
      </c>
      <c r="O10" s="15">
        <v>1.3967117024609E-2</v>
      </c>
      <c r="P10" s="15">
        <v>0.20914542349311299</v>
      </c>
      <c r="Q10" s="15">
        <v>0.72744802076840298</v>
      </c>
      <c r="R10" s="18">
        <v>1</v>
      </c>
      <c r="S10" s="15">
        <v>2.5363668637113299E-3</v>
      </c>
      <c r="T10" s="15">
        <v>1.39236859232471E-2</v>
      </c>
      <c r="U10" s="15">
        <v>0.85546346722794697</v>
      </c>
      <c r="V10" s="15">
        <v>0.96693680251300396</v>
      </c>
      <c r="W10" s="18">
        <v>1</v>
      </c>
    </row>
    <row r="11" spans="2:23" x14ac:dyDescent="0.2">
      <c r="B11" s="76" t="s">
        <v>3052</v>
      </c>
      <c r="C11" s="18" t="s">
        <v>2080</v>
      </c>
      <c r="D11" s="15">
        <v>-2.61142952141259E-2</v>
      </c>
      <c r="E11" s="15">
        <v>1.4146609958184999E-2</v>
      </c>
      <c r="F11" s="15">
        <v>6.4957296237782805E-2</v>
      </c>
      <c r="G11" s="15">
        <v>0.48537483418377098</v>
      </c>
      <c r="H11" s="18">
        <v>1</v>
      </c>
      <c r="I11" s="15">
        <v>-3.8470710390305002E-2</v>
      </c>
      <c r="J11" s="15">
        <v>1.40923244430812E-2</v>
      </c>
      <c r="K11" s="15">
        <v>6.35862476632527E-3</v>
      </c>
      <c r="L11" s="15">
        <v>0.11572697074712</v>
      </c>
      <c r="M11" s="18">
        <v>0.57863485373559997</v>
      </c>
      <c r="N11" s="15">
        <v>-1.8096725028057301E-2</v>
      </c>
      <c r="O11" s="15">
        <v>1.40776973289951E-2</v>
      </c>
      <c r="P11" s="15">
        <v>0.19868348107924</v>
      </c>
      <c r="Q11" s="15">
        <v>0.72744802076840298</v>
      </c>
      <c r="R11" s="18">
        <v>1</v>
      </c>
      <c r="S11" s="15">
        <v>-1.6089902293581499E-2</v>
      </c>
      <c r="T11" s="15">
        <v>1.40336424287271E-2</v>
      </c>
      <c r="U11" s="15">
        <v>0.25163564252158799</v>
      </c>
      <c r="V11" s="15">
        <v>0.96693680251300396</v>
      </c>
      <c r="W11" s="18">
        <v>1</v>
      </c>
    </row>
    <row r="12" spans="2:23" x14ac:dyDescent="0.2">
      <c r="B12" s="76" t="s">
        <v>3053</v>
      </c>
      <c r="C12" s="18" t="s">
        <v>2081</v>
      </c>
      <c r="D12" s="15">
        <v>1.4656774008280001E-2</v>
      </c>
      <c r="E12" s="15">
        <v>1.41679492284718E-2</v>
      </c>
      <c r="F12" s="15">
        <v>0.30095617973024502</v>
      </c>
      <c r="G12" s="15">
        <v>0.72071085145927105</v>
      </c>
      <c r="H12" s="18">
        <v>1</v>
      </c>
      <c r="I12" s="15">
        <v>-1.40593301461519E-2</v>
      </c>
      <c r="J12" s="15">
        <v>1.4106155390999501E-2</v>
      </c>
      <c r="K12" s="15">
        <v>0.31897327966196098</v>
      </c>
      <c r="L12" s="15">
        <v>0.65377709995214905</v>
      </c>
      <c r="M12" s="18">
        <v>1</v>
      </c>
      <c r="N12" s="15">
        <v>9.2860373791373296E-3</v>
      </c>
      <c r="O12" s="15">
        <v>1.40915745355837E-2</v>
      </c>
      <c r="P12" s="15">
        <v>0.50994321059756897</v>
      </c>
      <c r="Q12" s="15">
        <v>0.90504021958853598</v>
      </c>
      <c r="R12" s="18">
        <v>1</v>
      </c>
      <c r="S12" s="15">
        <v>1.6031331294414301E-2</v>
      </c>
      <c r="T12" s="15">
        <v>1.40383764266043E-2</v>
      </c>
      <c r="U12" s="15">
        <v>0.25352854013437698</v>
      </c>
      <c r="V12" s="15">
        <v>0.96693680251300396</v>
      </c>
      <c r="W12" s="18">
        <v>1</v>
      </c>
    </row>
    <row r="13" spans="2:23" x14ac:dyDescent="0.2">
      <c r="B13" s="76" t="s">
        <v>3054</v>
      </c>
      <c r="C13" s="18" t="s">
        <v>2082</v>
      </c>
      <c r="D13" s="15">
        <v>1.95162132214331E-3</v>
      </c>
      <c r="E13" s="15">
        <v>1.40847854078177E-2</v>
      </c>
      <c r="F13" s="15">
        <v>0.889801835635459</v>
      </c>
      <c r="G13" s="15">
        <v>0.99653379190677804</v>
      </c>
      <c r="H13" s="18">
        <v>1</v>
      </c>
      <c r="I13" s="15">
        <v>8.7986607321406598E-4</v>
      </c>
      <c r="J13" s="15">
        <v>1.40407820900406E-2</v>
      </c>
      <c r="K13" s="15">
        <v>0.95003590330250798</v>
      </c>
      <c r="L13" s="15">
        <v>0.96059185778364697</v>
      </c>
      <c r="M13" s="18">
        <v>1</v>
      </c>
      <c r="N13" s="15">
        <v>2.4606853531770299E-2</v>
      </c>
      <c r="O13" s="15">
        <v>1.4007559734850201E-2</v>
      </c>
      <c r="P13" s="15">
        <v>7.9035943597323202E-2</v>
      </c>
      <c r="Q13" s="15">
        <v>0.72744802076840298</v>
      </c>
      <c r="R13" s="18">
        <v>1</v>
      </c>
      <c r="S13" s="15">
        <v>2.07704412146511E-2</v>
      </c>
      <c r="T13" s="15">
        <v>1.3963533405955599E-2</v>
      </c>
      <c r="U13" s="15">
        <v>0.13695490234701599</v>
      </c>
      <c r="V13" s="15">
        <v>0.96693680251300396</v>
      </c>
      <c r="W13" s="18">
        <v>1</v>
      </c>
    </row>
    <row r="14" spans="2:23" x14ac:dyDescent="0.2">
      <c r="B14" s="76" t="s">
        <v>3055</v>
      </c>
      <c r="C14" s="18" t="s">
        <v>2085</v>
      </c>
      <c r="D14" s="15">
        <v>1.48116720683597E-2</v>
      </c>
      <c r="E14" s="15">
        <v>1.40868115163209E-2</v>
      </c>
      <c r="F14" s="15">
        <v>0.29309829210170402</v>
      </c>
      <c r="G14" s="15">
        <v>0.72071085145927105</v>
      </c>
      <c r="H14" s="18">
        <v>1</v>
      </c>
      <c r="I14" s="15">
        <v>-3.4648554238203601E-2</v>
      </c>
      <c r="J14" s="15">
        <v>1.4017844234038601E-2</v>
      </c>
      <c r="K14" s="15">
        <v>1.34776594142079E-2</v>
      </c>
      <c r="L14" s="15">
        <v>0.15109494866714199</v>
      </c>
      <c r="M14" s="18">
        <v>1</v>
      </c>
      <c r="N14" s="15">
        <v>-5.14137661270999E-3</v>
      </c>
      <c r="O14" s="15">
        <v>1.4000553321428799E-2</v>
      </c>
      <c r="P14" s="15">
        <v>0.71346512482758395</v>
      </c>
      <c r="Q14" s="15">
        <v>0.91752684958374497</v>
      </c>
      <c r="R14" s="18">
        <v>1</v>
      </c>
      <c r="S14" s="15">
        <v>-1.7014599105342699E-3</v>
      </c>
      <c r="T14" s="15">
        <v>1.3962274787215199E-2</v>
      </c>
      <c r="U14" s="15">
        <v>0.90301369449287405</v>
      </c>
      <c r="V14" s="15">
        <v>0.96693680251300396</v>
      </c>
      <c r="W14" s="18">
        <v>1</v>
      </c>
    </row>
    <row r="15" spans="2:23" x14ac:dyDescent="0.2">
      <c r="B15" s="76" t="s">
        <v>3056</v>
      </c>
      <c r="C15" s="18" t="s">
        <v>2083</v>
      </c>
      <c r="D15" s="15">
        <v>9.2910929927139899E-3</v>
      </c>
      <c r="E15" s="15">
        <v>1.40320631255475E-2</v>
      </c>
      <c r="F15" s="15">
        <v>0.50791829305393199</v>
      </c>
      <c r="G15" s="15">
        <v>0.943276829957303</v>
      </c>
      <c r="H15" s="18">
        <v>1</v>
      </c>
      <c r="I15" s="15">
        <v>7.9346357061472594E-3</v>
      </c>
      <c r="J15" s="15">
        <v>1.3998560528900099E-2</v>
      </c>
      <c r="K15" s="15">
        <v>0.57086517202700005</v>
      </c>
      <c r="L15" s="15">
        <v>0.74692145123734699</v>
      </c>
      <c r="M15" s="18">
        <v>1</v>
      </c>
      <c r="N15" s="15">
        <v>5.4348512303052801E-3</v>
      </c>
      <c r="O15" s="15">
        <v>1.3969015737446199E-2</v>
      </c>
      <c r="P15" s="15">
        <v>0.69724581818003994</v>
      </c>
      <c r="Q15" s="15">
        <v>0.91752684958374497</v>
      </c>
      <c r="R15" s="18">
        <v>1</v>
      </c>
      <c r="S15" s="15">
        <v>-6.3612555193966599E-3</v>
      </c>
      <c r="T15" s="15">
        <v>1.39241747792084E-2</v>
      </c>
      <c r="U15" s="15">
        <v>0.64780005092382897</v>
      </c>
      <c r="V15" s="15">
        <v>0.96693680251300396</v>
      </c>
      <c r="W15" s="18">
        <v>1</v>
      </c>
    </row>
    <row r="16" spans="2:23" x14ac:dyDescent="0.2">
      <c r="B16" s="76" t="s">
        <v>3057</v>
      </c>
      <c r="C16" s="18" t="s">
        <v>2084</v>
      </c>
      <c r="D16" s="15">
        <v>2.4873718359170401E-2</v>
      </c>
      <c r="E16" s="15">
        <v>1.4188540950543499E-2</v>
      </c>
      <c r="F16" s="15">
        <v>7.9652481504117106E-2</v>
      </c>
      <c r="G16" s="15">
        <v>0.48537483418377098</v>
      </c>
      <c r="H16" s="18">
        <v>1</v>
      </c>
      <c r="I16" s="15">
        <v>1.7110994402628699E-2</v>
      </c>
      <c r="J16" s="15">
        <v>1.4143488097803201E-2</v>
      </c>
      <c r="K16" s="15">
        <v>0.22641164961611601</v>
      </c>
      <c r="L16" s="15">
        <v>0.58867028900190199</v>
      </c>
      <c r="M16" s="18">
        <v>1</v>
      </c>
      <c r="N16" s="15">
        <v>7.2686444955197297E-3</v>
      </c>
      <c r="O16" s="15">
        <v>1.4122819549410999E-2</v>
      </c>
      <c r="P16" s="15">
        <v>0.60680516736218404</v>
      </c>
      <c r="Q16" s="15">
        <v>0.90504021958853598</v>
      </c>
      <c r="R16" s="18">
        <v>1</v>
      </c>
      <c r="S16" s="15">
        <v>-1.5844913283587801E-2</v>
      </c>
      <c r="T16" s="15">
        <v>1.4075747268036299E-2</v>
      </c>
      <c r="U16" s="15">
        <v>0.26035446961702302</v>
      </c>
      <c r="V16" s="15">
        <v>0.96693680251300396</v>
      </c>
      <c r="W16" s="18">
        <v>1</v>
      </c>
    </row>
    <row r="17" spans="2:23" x14ac:dyDescent="0.2">
      <c r="B17" s="76" t="s">
        <v>3058</v>
      </c>
      <c r="C17" s="18" t="s">
        <v>2087</v>
      </c>
      <c r="D17" s="15">
        <v>-6.6630004434796901E-3</v>
      </c>
      <c r="E17" s="15">
        <v>1.41100437491969E-2</v>
      </c>
      <c r="F17" s="15">
        <v>0.63679405253596999</v>
      </c>
      <c r="G17" s="15">
        <v>0.99653379190677804</v>
      </c>
      <c r="H17" s="18">
        <v>1</v>
      </c>
      <c r="I17" s="15">
        <v>2.3397032782762301E-2</v>
      </c>
      <c r="J17" s="15">
        <v>1.40594936042102E-2</v>
      </c>
      <c r="K17" s="15">
        <v>9.6151443378561699E-2</v>
      </c>
      <c r="L17" s="15">
        <v>0.39771733397496001</v>
      </c>
      <c r="M17" s="18">
        <v>1</v>
      </c>
      <c r="N17" s="15">
        <v>-2.74012850677966E-3</v>
      </c>
      <c r="O17" s="15">
        <v>1.4040953818537399E-2</v>
      </c>
      <c r="P17" s="15">
        <v>0.845281982934319</v>
      </c>
      <c r="Q17" s="15">
        <v>0.91752684958374497</v>
      </c>
      <c r="R17" s="18">
        <v>1</v>
      </c>
      <c r="S17" s="15">
        <v>4.0585156380040996E-3</v>
      </c>
      <c r="T17" s="15">
        <v>1.3994457547637699E-2</v>
      </c>
      <c r="U17" s="15">
        <v>0.77182237189323799</v>
      </c>
      <c r="V17" s="15">
        <v>0.96693680251300396</v>
      </c>
      <c r="W17" s="18">
        <v>1</v>
      </c>
    </row>
    <row r="18" spans="2:23" x14ac:dyDescent="0.2">
      <c r="B18" s="76" t="s">
        <v>3059</v>
      </c>
      <c r="C18" s="18" t="s">
        <v>2086</v>
      </c>
      <c r="D18" s="15">
        <v>3.59928024766479E-3</v>
      </c>
      <c r="E18" s="15">
        <v>1.40419639452905E-2</v>
      </c>
      <c r="F18" s="15">
        <v>0.79771159378184897</v>
      </c>
      <c r="G18" s="15">
        <v>0.99653379190677804</v>
      </c>
      <c r="H18" s="18">
        <v>1</v>
      </c>
      <c r="I18" s="15">
        <v>-4.88052833280946E-3</v>
      </c>
      <c r="J18" s="15">
        <v>1.39836774903132E-2</v>
      </c>
      <c r="K18" s="15">
        <v>0.72709153083689204</v>
      </c>
      <c r="L18" s="15">
        <v>0.797172642242858</v>
      </c>
      <c r="M18" s="18">
        <v>1</v>
      </c>
      <c r="N18" s="15">
        <v>1.27054399699066E-2</v>
      </c>
      <c r="O18" s="15">
        <v>1.39697126436531E-2</v>
      </c>
      <c r="P18" s="15">
        <v>0.363129411794474</v>
      </c>
      <c r="Q18" s="15">
        <v>0.90504021958853598</v>
      </c>
      <c r="R18" s="18">
        <v>1</v>
      </c>
      <c r="S18" s="15">
        <v>2.2780029756950398E-2</v>
      </c>
      <c r="T18" s="15">
        <v>1.39180600994692E-2</v>
      </c>
      <c r="U18" s="15">
        <v>0.10174925999086</v>
      </c>
      <c r="V18" s="15">
        <v>0.96693680251300396</v>
      </c>
      <c r="W18" s="18">
        <v>1</v>
      </c>
    </row>
    <row r="19" spans="2:23" x14ac:dyDescent="0.2">
      <c r="B19" s="76" t="s">
        <v>3060</v>
      </c>
      <c r="C19" s="18" t="s">
        <v>1536</v>
      </c>
      <c r="D19" s="15">
        <v>1.8556475982211E-3</v>
      </c>
      <c r="E19" s="15">
        <v>1.3780336704544101E-2</v>
      </c>
      <c r="F19" s="15">
        <v>0.89288701208281096</v>
      </c>
      <c r="G19" s="15">
        <v>0.99653379190677804</v>
      </c>
      <c r="H19" s="18">
        <v>1</v>
      </c>
      <c r="I19" s="15">
        <v>1.9876521054104899E-2</v>
      </c>
      <c r="J19" s="15">
        <v>1.37350056412019E-2</v>
      </c>
      <c r="K19" s="15">
        <v>0.14792209084887201</v>
      </c>
      <c r="L19" s="15">
        <v>0.53843641068989401</v>
      </c>
      <c r="M19" s="18">
        <v>1</v>
      </c>
      <c r="N19" s="15">
        <v>3.2770325068885702E-3</v>
      </c>
      <c r="O19" s="15">
        <v>1.37110006658394E-2</v>
      </c>
      <c r="P19" s="15">
        <v>0.81110983323702901</v>
      </c>
      <c r="Q19" s="15">
        <v>0.91752684958374497</v>
      </c>
      <c r="R19" s="18">
        <v>1</v>
      </c>
      <c r="S19" s="15">
        <v>1.53959922172735E-2</v>
      </c>
      <c r="T19" s="15">
        <v>1.3664983781633999E-2</v>
      </c>
      <c r="U19" s="15">
        <v>0.25993572947459898</v>
      </c>
      <c r="V19" s="15">
        <v>0.96693680251300396</v>
      </c>
      <c r="W19" s="18">
        <v>1</v>
      </c>
    </row>
    <row r="20" spans="2:23" x14ac:dyDescent="0.2">
      <c r="B20" s="76" t="s">
        <v>3061</v>
      </c>
      <c r="C20" s="18" t="s">
        <v>2098</v>
      </c>
      <c r="D20" s="15">
        <v>1.21947100479111E-2</v>
      </c>
      <c r="E20" s="15">
        <v>1.41704406042438E-2</v>
      </c>
      <c r="F20" s="15">
        <v>0.38951583715082</v>
      </c>
      <c r="G20" s="15">
        <v>0.84773255315398599</v>
      </c>
      <c r="H20" s="18">
        <v>1</v>
      </c>
      <c r="I20" s="15">
        <v>2.6135681878936098E-2</v>
      </c>
      <c r="J20" s="15">
        <v>1.41235372618739E-2</v>
      </c>
      <c r="K20" s="15">
        <v>6.4302815056454701E-2</v>
      </c>
      <c r="L20" s="15">
        <v>0.32237810137241701</v>
      </c>
      <c r="M20" s="18">
        <v>1</v>
      </c>
      <c r="N20" s="15">
        <v>-9.3140543178540803E-3</v>
      </c>
      <c r="O20" s="15">
        <v>1.41025024314536E-2</v>
      </c>
      <c r="P20" s="15">
        <v>0.50899423599498805</v>
      </c>
      <c r="Q20" s="15">
        <v>0.90504021958853598</v>
      </c>
      <c r="R20" s="18">
        <v>1</v>
      </c>
      <c r="S20" s="15">
        <v>8.8964846350288607E-3</v>
      </c>
      <c r="T20" s="15">
        <v>1.4050142540100501E-2</v>
      </c>
      <c r="U20" s="15">
        <v>0.52663625252699997</v>
      </c>
      <c r="V20" s="15">
        <v>0.96693680251300396</v>
      </c>
      <c r="W20" s="18">
        <v>1</v>
      </c>
    </row>
    <row r="21" spans="2:23" x14ac:dyDescent="0.2">
      <c r="B21" s="76" t="s">
        <v>3062</v>
      </c>
      <c r="C21" s="18" t="s">
        <v>2100</v>
      </c>
      <c r="D21" s="15">
        <v>3.8300638959659601E-3</v>
      </c>
      <c r="E21" s="15">
        <v>1.4086016311461299E-2</v>
      </c>
      <c r="F21" s="15">
        <v>0.78570657761918705</v>
      </c>
      <c r="G21" s="15">
        <v>0.99653379190677804</v>
      </c>
      <c r="H21" s="18">
        <v>1</v>
      </c>
      <c r="I21" s="15">
        <v>1.6625752749963599E-2</v>
      </c>
      <c r="J21" s="15">
        <v>1.40370461150526E-2</v>
      </c>
      <c r="K21" s="15">
        <v>0.236306918503079</v>
      </c>
      <c r="L21" s="15">
        <v>0.59733137732722597</v>
      </c>
      <c r="M21" s="18">
        <v>1</v>
      </c>
      <c r="N21" s="15">
        <v>-2.9778917746248398E-2</v>
      </c>
      <c r="O21" s="15">
        <v>1.4003693718274E-2</v>
      </c>
      <c r="P21" s="15">
        <v>3.3512775191665498E-2</v>
      </c>
      <c r="Q21" s="15">
        <v>0.50827709040692703</v>
      </c>
      <c r="R21" s="18">
        <v>1</v>
      </c>
      <c r="S21" s="15">
        <v>-9.66670751643375E-3</v>
      </c>
      <c r="T21" s="15">
        <v>1.39645487698704E-2</v>
      </c>
      <c r="U21" s="15">
        <v>0.48882546887788197</v>
      </c>
      <c r="V21" s="15">
        <v>0.96693680251300396</v>
      </c>
      <c r="W21" s="18">
        <v>1</v>
      </c>
    </row>
    <row r="22" spans="2:23" x14ac:dyDescent="0.2">
      <c r="B22" s="76" t="s">
        <v>3063</v>
      </c>
      <c r="C22" s="18" t="s">
        <v>2099</v>
      </c>
      <c r="D22" s="15">
        <v>-2.1625310185010099E-2</v>
      </c>
      <c r="E22" s="15">
        <v>1.4231215001733201E-2</v>
      </c>
      <c r="F22" s="15">
        <v>0.12868545855737001</v>
      </c>
      <c r="G22" s="15">
        <v>0.48537483418377098</v>
      </c>
      <c r="H22" s="18">
        <v>1</v>
      </c>
      <c r="I22" s="15">
        <v>-1.9081814102040202E-2</v>
      </c>
      <c r="J22" s="15">
        <v>1.41809208547127E-2</v>
      </c>
      <c r="K22" s="15">
        <v>0.17849674039367699</v>
      </c>
      <c r="L22" s="15">
        <v>0.58156529042903604</v>
      </c>
      <c r="M22" s="18">
        <v>1</v>
      </c>
      <c r="N22" s="15">
        <v>7.1540826694123996E-3</v>
      </c>
      <c r="O22" s="15">
        <v>1.41571579844327E-2</v>
      </c>
      <c r="P22" s="15">
        <v>0.61334806983416801</v>
      </c>
      <c r="Q22" s="15">
        <v>0.90504021958853598</v>
      </c>
      <c r="R22" s="18">
        <v>1</v>
      </c>
      <c r="S22" s="15">
        <v>6.5394234388296002E-3</v>
      </c>
      <c r="T22" s="15">
        <v>1.4111525714270301E-2</v>
      </c>
      <c r="U22" s="15">
        <v>0.64309150448605501</v>
      </c>
      <c r="V22" s="15">
        <v>0.96693680251300396</v>
      </c>
      <c r="W22" s="18">
        <v>1</v>
      </c>
    </row>
    <row r="23" spans="2:23" x14ac:dyDescent="0.2">
      <c r="B23" s="76" t="s">
        <v>3064</v>
      </c>
      <c r="C23" s="18" t="s">
        <v>2101</v>
      </c>
      <c r="D23" s="15">
        <v>3.4939937775479201E-3</v>
      </c>
      <c r="E23" s="15">
        <v>1.4180850729844799E-2</v>
      </c>
      <c r="F23" s="15">
        <v>0.80539239164063403</v>
      </c>
      <c r="G23" s="15">
        <v>0.99653379190677804</v>
      </c>
      <c r="H23" s="18">
        <v>1</v>
      </c>
      <c r="I23" s="15">
        <v>1.52233142336116E-2</v>
      </c>
      <c r="J23" s="15">
        <v>1.41303684818867E-2</v>
      </c>
      <c r="K23" s="15">
        <v>0.281380356302803</v>
      </c>
      <c r="L23" s="15">
        <v>0.60965743865607303</v>
      </c>
      <c r="M23" s="18">
        <v>1</v>
      </c>
      <c r="N23" s="15">
        <v>-4.35662069938852E-2</v>
      </c>
      <c r="O23" s="15">
        <v>1.4091511784685099E-2</v>
      </c>
      <c r="P23" s="15">
        <v>2.0019152484949299E-3</v>
      </c>
      <c r="Q23" s="15">
        <v>0.182174287613039</v>
      </c>
      <c r="R23" s="18">
        <v>0.182174287613039</v>
      </c>
      <c r="S23" s="15">
        <v>-1.6723997058108599E-2</v>
      </c>
      <c r="T23" s="15">
        <v>1.4059426407709E-2</v>
      </c>
      <c r="U23" s="15">
        <v>0.23429359100330899</v>
      </c>
      <c r="V23" s="15">
        <v>0.96693680251300396</v>
      </c>
      <c r="W23" s="18">
        <v>1</v>
      </c>
    </row>
    <row r="24" spans="2:23" x14ac:dyDescent="0.2">
      <c r="B24" s="76" t="s">
        <v>3065</v>
      </c>
      <c r="C24" s="18" t="s">
        <v>2102</v>
      </c>
      <c r="D24" s="15">
        <v>2.5479896104074E-3</v>
      </c>
      <c r="E24" s="15">
        <v>1.4275241819661E-2</v>
      </c>
      <c r="F24" s="15">
        <v>0.85834576291617204</v>
      </c>
      <c r="G24" s="15">
        <v>0.99653379190677804</v>
      </c>
      <c r="H24" s="18">
        <v>1</v>
      </c>
      <c r="I24" s="15">
        <v>-8.7693469489436293E-3</v>
      </c>
      <c r="J24" s="15">
        <v>1.42148496778967E-2</v>
      </c>
      <c r="K24" s="15">
        <v>0.53732134672319998</v>
      </c>
      <c r="L24" s="15">
        <v>0.74692145123734699</v>
      </c>
      <c r="M24" s="18">
        <v>1</v>
      </c>
      <c r="N24" s="15">
        <v>-1.8752286711466101E-2</v>
      </c>
      <c r="O24" s="15">
        <v>1.4188886501675199E-2</v>
      </c>
      <c r="P24" s="15">
        <v>0.18635977926309499</v>
      </c>
      <c r="Q24" s="15">
        <v>0.72744802076840298</v>
      </c>
      <c r="R24" s="18">
        <v>1</v>
      </c>
      <c r="S24" s="15">
        <v>-1.72046292820113E-3</v>
      </c>
      <c r="T24" s="15">
        <v>1.41429230013433E-2</v>
      </c>
      <c r="U24" s="15">
        <v>0.903182727622037</v>
      </c>
      <c r="V24" s="15">
        <v>0.96693680251300396</v>
      </c>
      <c r="W24" s="18">
        <v>1</v>
      </c>
    </row>
    <row r="25" spans="2:23" x14ac:dyDescent="0.2">
      <c r="B25" s="76" t="s">
        <v>3066</v>
      </c>
      <c r="C25" s="18" t="s">
        <v>2103</v>
      </c>
      <c r="D25" s="15">
        <v>2.0251161398744399E-2</v>
      </c>
      <c r="E25" s="15">
        <v>1.42649815505126E-2</v>
      </c>
      <c r="F25" s="15">
        <v>0.15577734579810401</v>
      </c>
      <c r="G25" s="15">
        <v>0.50627637384383795</v>
      </c>
      <c r="H25" s="18">
        <v>1</v>
      </c>
      <c r="I25" s="15">
        <v>9.2244895624845006E-3</v>
      </c>
      <c r="J25" s="15">
        <v>1.42167672359669E-2</v>
      </c>
      <c r="K25" s="15">
        <v>0.51646962487008297</v>
      </c>
      <c r="L25" s="15">
        <v>0.74692145123734699</v>
      </c>
      <c r="M25" s="18">
        <v>1</v>
      </c>
      <c r="N25" s="15">
        <v>-3.6175875116966302E-3</v>
      </c>
      <c r="O25" s="15">
        <v>1.4193527390668899E-2</v>
      </c>
      <c r="P25" s="15">
        <v>0.79882996815620899</v>
      </c>
      <c r="Q25" s="15">
        <v>0.91752684958374497</v>
      </c>
      <c r="R25" s="18">
        <v>1</v>
      </c>
      <c r="S25" s="15">
        <v>8.1202844581150704E-3</v>
      </c>
      <c r="T25" s="15">
        <v>1.4147197513394799E-2</v>
      </c>
      <c r="U25" s="15">
        <v>0.56600472886934305</v>
      </c>
      <c r="V25" s="15">
        <v>0.96693680251300396</v>
      </c>
      <c r="W25" s="18">
        <v>1</v>
      </c>
    </row>
    <row r="26" spans="2:23" x14ac:dyDescent="0.2">
      <c r="B26" s="76" t="s">
        <v>3067</v>
      </c>
      <c r="C26" s="18" t="s">
        <v>2106</v>
      </c>
      <c r="D26" s="15">
        <v>6.7476510762102897E-4</v>
      </c>
      <c r="E26" s="15">
        <v>1.40393614928706E-2</v>
      </c>
      <c r="F26" s="15">
        <v>0.961668555843878</v>
      </c>
      <c r="G26" s="15">
        <v>0.99653379190677804</v>
      </c>
      <c r="H26" s="18">
        <v>1</v>
      </c>
      <c r="I26" s="15">
        <v>4.3120156576717097E-2</v>
      </c>
      <c r="J26" s="15">
        <v>1.39708064464775E-2</v>
      </c>
      <c r="K26" s="15">
        <v>2.0375058386706501E-3</v>
      </c>
      <c r="L26" s="15">
        <v>6.18043437730098E-2</v>
      </c>
      <c r="M26" s="18">
        <v>0.185413031319029</v>
      </c>
      <c r="N26" s="15">
        <v>-1.20461790622286E-2</v>
      </c>
      <c r="O26" s="15">
        <v>1.39659977403981E-2</v>
      </c>
      <c r="P26" s="15">
        <v>0.38843623981090503</v>
      </c>
      <c r="Q26" s="15">
        <v>0.90504021958853598</v>
      </c>
      <c r="R26" s="18">
        <v>1</v>
      </c>
      <c r="S26" s="15">
        <v>1.1725022444703401E-2</v>
      </c>
      <c r="T26" s="15">
        <v>1.39211580107908E-2</v>
      </c>
      <c r="U26" s="15">
        <v>0.39969346874282202</v>
      </c>
      <c r="V26" s="15">
        <v>0.96693680251300396</v>
      </c>
      <c r="W26" s="18">
        <v>1</v>
      </c>
    </row>
    <row r="27" spans="2:23" x14ac:dyDescent="0.2">
      <c r="B27" s="76" t="s">
        <v>3068</v>
      </c>
      <c r="C27" s="18" t="s">
        <v>2104</v>
      </c>
      <c r="D27" s="15">
        <v>-2.86093823162704E-3</v>
      </c>
      <c r="E27" s="15">
        <v>1.39450855069448E-2</v>
      </c>
      <c r="F27" s="15">
        <v>0.83745788180105896</v>
      </c>
      <c r="G27" s="15">
        <v>0.99653379190677804</v>
      </c>
      <c r="H27" s="18">
        <v>1</v>
      </c>
      <c r="I27" s="15">
        <v>7.3824136054055798E-3</v>
      </c>
      <c r="J27" s="15">
        <v>1.3910941832445E-2</v>
      </c>
      <c r="K27" s="15">
        <v>0.59565784313897596</v>
      </c>
      <c r="L27" s="15">
        <v>0.74692145123734699</v>
      </c>
      <c r="M27" s="18">
        <v>1</v>
      </c>
      <c r="N27" s="15">
        <v>7.3245170141923903E-3</v>
      </c>
      <c r="O27" s="15">
        <v>1.3880847810944501E-2</v>
      </c>
      <c r="P27" s="15">
        <v>0.59775250109973299</v>
      </c>
      <c r="Q27" s="15">
        <v>0.90504021958853598</v>
      </c>
      <c r="R27" s="18">
        <v>1</v>
      </c>
      <c r="S27" s="15">
        <v>4.3242521771698099E-3</v>
      </c>
      <c r="T27" s="15">
        <v>1.38384541926203E-2</v>
      </c>
      <c r="U27" s="15">
        <v>0.75468876480355196</v>
      </c>
      <c r="V27" s="15">
        <v>0.96693680251300396</v>
      </c>
      <c r="W27" s="18">
        <v>1</v>
      </c>
    </row>
    <row r="28" spans="2:23" x14ac:dyDescent="0.2">
      <c r="B28" s="76" t="s">
        <v>3069</v>
      </c>
      <c r="C28" s="18" t="s">
        <v>2105</v>
      </c>
      <c r="D28" s="15">
        <v>7.7397491778825704E-3</v>
      </c>
      <c r="E28" s="15">
        <v>1.4086189032127701E-2</v>
      </c>
      <c r="F28" s="15">
        <v>0.58271600570672699</v>
      </c>
      <c r="G28" s="15">
        <v>0.98222732763831799</v>
      </c>
      <c r="H28" s="18">
        <v>1</v>
      </c>
      <c r="I28" s="15">
        <v>7.1165372302967201E-3</v>
      </c>
      <c r="J28" s="15">
        <v>1.40259759481177E-2</v>
      </c>
      <c r="K28" s="15">
        <v>0.61190808742765401</v>
      </c>
      <c r="L28" s="15">
        <v>0.74692145123734699</v>
      </c>
      <c r="M28" s="18">
        <v>1</v>
      </c>
      <c r="N28" s="15">
        <v>4.5008227012187704E-3</v>
      </c>
      <c r="O28" s="15">
        <v>1.40043534736514E-2</v>
      </c>
      <c r="P28" s="15">
        <v>0.74792990492204903</v>
      </c>
      <c r="Q28" s="15">
        <v>0.91752684958374497</v>
      </c>
      <c r="R28" s="18">
        <v>1</v>
      </c>
      <c r="S28" s="15">
        <v>-1.0836913744179601E-3</v>
      </c>
      <c r="T28" s="15">
        <v>1.3964092084572499E-2</v>
      </c>
      <c r="U28" s="15">
        <v>0.938144827756071</v>
      </c>
      <c r="V28" s="15">
        <v>0.967178716610677</v>
      </c>
      <c r="W28" s="18">
        <v>1</v>
      </c>
    </row>
    <row r="29" spans="2:23" x14ac:dyDescent="0.2">
      <c r="B29" s="76" t="s">
        <v>3070</v>
      </c>
      <c r="C29" s="18" t="s">
        <v>2108</v>
      </c>
      <c r="D29" s="15">
        <v>8.4250956190943605E-5</v>
      </c>
      <c r="E29" s="15">
        <v>1.41569698858964E-2</v>
      </c>
      <c r="F29" s="15">
        <v>0.99525190477466197</v>
      </c>
      <c r="G29" s="15">
        <v>0.99653379190677804</v>
      </c>
      <c r="H29" s="18">
        <v>1</v>
      </c>
      <c r="I29" s="15">
        <v>-5.56196381014249E-3</v>
      </c>
      <c r="J29" s="15">
        <v>1.41106689582297E-2</v>
      </c>
      <c r="K29" s="15">
        <v>0.69347522988755605</v>
      </c>
      <c r="L29" s="15">
        <v>0.76958836487521398</v>
      </c>
      <c r="M29" s="18">
        <v>1</v>
      </c>
      <c r="N29" s="15">
        <v>2.21187175022378E-2</v>
      </c>
      <c r="O29" s="15">
        <v>1.4082561311998599E-2</v>
      </c>
      <c r="P29" s="15">
        <v>0.116330761090481</v>
      </c>
      <c r="Q29" s="15">
        <v>0.72744802076840298</v>
      </c>
      <c r="R29" s="18">
        <v>1</v>
      </c>
      <c r="S29" s="15">
        <v>-6.4630290835119902E-3</v>
      </c>
      <c r="T29" s="15">
        <v>1.4039581342097001E-2</v>
      </c>
      <c r="U29" s="15">
        <v>0.64529055104509103</v>
      </c>
      <c r="V29" s="15">
        <v>0.96693680251300396</v>
      </c>
      <c r="W29" s="18">
        <v>1</v>
      </c>
    </row>
    <row r="30" spans="2:23" x14ac:dyDescent="0.2">
      <c r="B30" s="76" t="s">
        <v>3071</v>
      </c>
      <c r="C30" s="18" t="s">
        <v>2107</v>
      </c>
      <c r="D30" s="15">
        <v>-1.56415957547744E-2</v>
      </c>
      <c r="E30" s="15">
        <v>1.42275311687961E-2</v>
      </c>
      <c r="F30" s="15">
        <v>0.27165426161316297</v>
      </c>
      <c r="G30" s="15">
        <v>0.70650948021228199</v>
      </c>
      <c r="H30" s="18">
        <v>1</v>
      </c>
      <c r="I30" s="15">
        <v>-3.5128907729223002E-2</v>
      </c>
      <c r="J30" s="15">
        <v>1.41691110618196E-2</v>
      </c>
      <c r="K30" s="15">
        <v>1.32005602283256E-2</v>
      </c>
      <c r="L30" s="15">
        <v>0.15109494866714199</v>
      </c>
      <c r="M30" s="18">
        <v>1</v>
      </c>
      <c r="N30" s="15">
        <v>-2.83189753148738E-3</v>
      </c>
      <c r="O30" s="15">
        <v>1.41562053898236E-2</v>
      </c>
      <c r="P30" s="15">
        <v>0.84145292988155596</v>
      </c>
      <c r="Q30" s="15">
        <v>0.91752684958374497</v>
      </c>
      <c r="R30" s="18">
        <v>1</v>
      </c>
      <c r="S30" s="15">
        <v>9.9337840345847094E-3</v>
      </c>
      <c r="T30" s="15">
        <v>1.41031414990805E-2</v>
      </c>
      <c r="U30" s="15">
        <v>0.48123908488946598</v>
      </c>
      <c r="V30" s="15">
        <v>0.96693680251300396</v>
      </c>
      <c r="W30" s="18">
        <v>1</v>
      </c>
    </row>
    <row r="31" spans="2:23" x14ac:dyDescent="0.2">
      <c r="B31" s="76" t="s">
        <v>3072</v>
      </c>
      <c r="C31" s="18" t="s">
        <v>1535</v>
      </c>
      <c r="D31" s="15">
        <v>2.1883244132857801E-2</v>
      </c>
      <c r="E31" s="15">
        <v>1.3470239574629899E-2</v>
      </c>
      <c r="F31" s="15">
        <v>0.10432078851184901</v>
      </c>
      <c r="G31" s="15">
        <v>0.48537483418377098</v>
      </c>
      <c r="H31" s="18">
        <v>1</v>
      </c>
      <c r="I31" s="15">
        <v>-2.34908058343864E-2</v>
      </c>
      <c r="J31" s="15">
        <v>1.34310650681969E-2</v>
      </c>
      <c r="K31" s="15">
        <v>8.0356419322608397E-2</v>
      </c>
      <c r="L31" s="15">
        <v>0.36562170791786802</v>
      </c>
      <c r="M31" s="18">
        <v>1</v>
      </c>
      <c r="N31" s="15">
        <v>8.0174886896582503E-3</v>
      </c>
      <c r="O31" s="15">
        <v>1.34109421508484E-2</v>
      </c>
      <c r="P31" s="15">
        <v>0.54997999469492298</v>
      </c>
      <c r="Q31" s="15">
        <v>0.90504021958853598</v>
      </c>
      <c r="R31" s="18">
        <v>1</v>
      </c>
      <c r="S31" s="15">
        <v>-9.3601165179070904E-3</v>
      </c>
      <c r="T31" s="15">
        <v>1.33594381271717E-2</v>
      </c>
      <c r="U31" s="15">
        <v>0.483563150442613</v>
      </c>
      <c r="V31" s="15">
        <v>0.96693680251300396</v>
      </c>
      <c r="W31" s="18">
        <v>1</v>
      </c>
    </row>
    <row r="32" spans="2:23" x14ac:dyDescent="0.2">
      <c r="B32" s="76" t="s">
        <v>3073</v>
      </c>
      <c r="C32" s="18" t="s">
        <v>2089</v>
      </c>
      <c r="D32" s="15">
        <v>-9.7233826101007208E-3</v>
      </c>
      <c r="E32" s="15">
        <v>1.41205463843329E-2</v>
      </c>
      <c r="F32" s="15">
        <v>0.49111005771308203</v>
      </c>
      <c r="G32" s="15">
        <v>0.943276829957303</v>
      </c>
      <c r="H32" s="18">
        <v>1</v>
      </c>
      <c r="I32" s="15">
        <v>-1.7280969307722799E-2</v>
      </c>
      <c r="J32" s="15">
        <v>1.4069782125786899E-2</v>
      </c>
      <c r="K32" s="15">
        <v>0.219421669431976</v>
      </c>
      <c r="L32" s="15">
        <v>0.58727564465617099</v>
      </c>
      <c r="M32" s="18">
        <v>1</v>
      </c>
      <c r="N32" s="15">
        <v>-1.76910058261932E-2</v>
      </c>
      <c r="O32" s="15">
        <v>1.4050578822643199E-2</v>
      </c>
      <c r="P32" s="15">
        <v>0.20805868466465599</v>
      </c>
      <c r="Q32" s="15">
        <v>0.72744802076840298</v>
      </c>
      <c r="R32" s="18">
        <v>1</v>
      </c>
      <c r="S32" s="15">
        <v>-3.5757910690117301E-2</v>
      </c>
      <c r="T32" s="15">
        <v>1.39911348705569E-2</v>
      </c>
      <c r="U32" s="15">
        <v>1.0626887635593401E-2</v>
      </c>
      <c r="V32" s="15">
        <v>0.38407491970769297</v>
      </c>
      <c r="W32" s="18">
        <v>0.96704677483900003</v>
      </c>
    </row>
    <row r="33" spans="2:23" x14ac:dyDescent="0.2">
      <c r="B33" s="76" t="s">
        <v>3074</v>
      </c>
      <c r="C33" s="18" t="s">
        <v>2088</v>
      </c>
      <c r="D33" s="15">
        <v>3.5973363412834698E-3</v>
      </c>
      <c r="E33" s="15">
        <v>1.30685320945703E-2</v>
      </c>
      <c r="F33" s="15">
        <v>0.78312290969312204</v>
      </c>
      <c r="G33" s="15">
        <v>0.99653379190677804</v>
      </c>
      <c r="H33" s="18">
        <v>1</v>
      </c>
      <c r="I33" s="15">
        <v>1.2308978721657799E-2</v>
      </c>
      <c r="J33" s="15">
        <v>1.3029224966791099E-2</v>
      </c>
      <c r="K33" s="15">
        <v>0.34484945931541899</v>
      </c>
      <c r="L33" s="15">
        <v>0.65377709995214905</v>
      </c>
      <c r="M33" s="18">
        <v>1</v>
      </c>
      <c r="N33" s="15">
        <v>-1.7505200080014699E-3</v>
      </c>
      <c r="O33" s="15">
        <v>1.30100674136446E-2</v>
      </c>
      <c r="P33" s="15">
        <v>0.892972371609557</v>
      </c>
      <c r="Q33" s="15">
        <v>0.92341461155079196</v>
      </c>
      <c r="R33" s="18">
        <v>1</v>
      </c>
      <c r="S33" s="15">
        <v>1.25310584888472E-2</v>
      </c>
      <c r="T33" s="15">
        <v>1.2957720965268199E-2</v>
      </c>
      <c r="U33" s="15">
        <v>0.33355633566996601</v>
      </c>
      <c r="V33" s="15">
        <v>0.96693680251300396</v>
      </c>
      <c r="W33" s="18">
        <v>1</v>
      </c>
    </row>
    <row r="34" spans="2:23" x14ac:dyDescent="0.2">
      <c r="B34" s="76" t="s">
        <v>3075</v>
      </c>
      <c r="C34" s="18" t="s">
        <v>2090</v>
      </c>
      <c r="D34" s="15">
        <v>-8.6205021007670496E-3</v>
      </c>
      <c r="E34" s="15">
        <v>1.3979513095613299E-2</v>
      </c>
      <c r="F34" s="15">
        <v>0.53749307995587203</v>
      </c>
      <c r="G34" s="15">
        <v>0.97823740551968696</v>
      </c>
      <c r="H34" s="18">
        <v>1</v>
      </c>
      <c r="I34" s="15">
        <v>-2.3298709113158601E-2</v>
      </c>
      <c r="J34" s="15">
        <v>1.3931545203467901E-2</v>
      </c>
      <c r="K34" s="15">
        <v>9.4516853226386893E-2</v>
      </c>
      <c r="L34" s="15">
        <v>0.39771733397496001</v>
      </c>
      <c r="M34" s="18">
        <v>1</v>
      </c>
      <c r="N34" s="15">
        <v>-4.6486448754388702E-3</v>
      </c>
      <c r="O34" s="15">
        <v>1.39169193981443E-2</v>
      </c>
      <c r="P34" s="15">
        <v>0.73837274032225497</v>
      </c>
      <c r="Q34" s="15">
        <v>0.91752684958374497</v>
      </c>
      <c r="R34" s="18">
        <v>1</v>
      </c>
      <c r="S34" s="15">
        <v>-1.1124908861989601E-2</v>
      </c>
      <c r="T34" s="15">
        <v>1.38631539585125E-2</v>
      </c>
      <c r="U34" s="15">
        <v>0.422314688582757</v>
      </c>
      <c r="V34" s="15">
        <v>0.96693680251300396</v>
      </c>
      <c r="W34" s="18">
        <v>1</v>
      </c>
    </row>
    <row r="35" spans="2:23" x14ac:dyDescent="0.2">
      <c r="B35" s="76" t="s">
        <v>3076</v>
      </c>
      <c r="C35" s="18" t="s">
        <v>2091</v>
      </c>
      <c r="D35" s="15">
        <v>1.44175577496749E-2</v>
      </c>
      <c r="E35" s="15">
        <v>1.37780555962248E-2</v>
      </c>
      <c r="F35" s="15">
        <v>0.29542357547129</v>
      </c>
      <c r="G35" s="15">
        <v>0.72071085145927105</v>
      </c>
      <c r="H35" s="18">
        <v>1</v>
      </c>
      <c r="I35" s="15">
        <v>-7.9995619245930797E-3</v>
      </c>
      <c r="J35" s="15">
        <v>1.37297345769325E-2</v>
      </c>
      <c r="K35" s="15">
        <v>0.56016064278824795</v>
      </c>
      <c r="L35" s="15">
        <v>0.74692145123734699</v>
      </c>
      <c r="M35" s="18">
        <v>1</v>
      </c>
      <c r="N35" s="15">
        <v>1.69645230810971E-2</v>
      </c>
      <c r="O35" s="15">
        <v>1.3708953369282399E-2</v>
      </c>
      <c r="P35" s="15">
        <v>0.215971751359227</v>
      </c>
      <c r="Q35" s="15">
        <v>0.72744802076840298</v>
      </c>
      <c r="R35" s="18">
        <v>1</v>
      </c>
      <c r="S35" s="15">
        <v>2.35378483097552E-3</v>
      </c>
      <c r="T35" s="15">
        <v>1.36545430990451E-2</v>
      </c>
      <c r="U35" s="15">
        <v>0.86314537726068896</v>
      </c>
      <c r="V35" s="15">
        <v>0.96693680251300396</v>
      </c>
      <c r="W35" s="18">
        <v>1</v>
      </c>
    </row>
    <row r="36" spans="2:23" x14ac:dyDescent="0.2">
      <c r="B36" s="76" t="s">
        <v>3077</v>
      </c>
      <c r="C36" s="18" t="s">
        <v>2092</v>
      </c>
      <c r="D36" s="15">
        <v>-7.6454488728087602E-3</v>
      </c>
      <c r="E36" s="15">
        <v>1.3675671653775799E-2</v>
      </c>
      <c r="F36" s="15">
        <v>0.57615055628617196</v>
      </c>
      <c r="G36" s="15">
        <v>0.98222732763831799</v>
      </c>
      <c r="H36" s="18">
        <v>1</v>
      </c>
      <c r="I36" s="15">
        <v>1.29087729403695E-2</v>
      </c>
      <c r="J36" s="15">
        <v>1.3631078060890801E-2</v>
      </c>
      <c r="K36" s="15">
        <v>0.34368185596022499</v>
      </c>
      <c r="L36" s="15">
        <v>0.65377709995214905</v>
      </c>
      <c r="M36" s="18">
        <v>1</v>
      </c>
      <c r="N36" s="15">
        <v>8.7408361404078191E-3</v>
      </c>
      <c r="O36" s="15">
        <v>1.3611953345173801E-2</v>
      </c>
      <c r="P36" s="15">
        <v>0.52081038613466202</v>
      </c>
      <c r="Q36" s="15">
        <v>0.90504021958853598</v>
      </c>
      <c r="R36" s="18">
        <v>1</v>
      </c>
      <c r="S36" s="15">
        <v>5.3162296214292002E-3</v>
      </c>
      <c r="T36" s="15">
        <v>1.3561068030747501E-2</v>
      </c>
      <c r="U36" s="15">
        <v>0.69505982047197001</v>
      </c>
      <c r="V36" s="15">
        <v>0.96693680251300396</v>
      </c>
      <c r="W36" s="18">
        <v>1</v>
      </c>
    </row>
    <row r="37" spans="2:23" x14ac:dyDescent="0.2">
      <c r="B37" s="76" t="s">
        <v>3078</v>
      </c>
      <c r="C37" s="18" t="s">
        <v>2095</v>
      </c>
      <c r="D37" s="15">
        <v>3.3750848828428701E-2</v>
      </c>
      <c r="E37" s="15">
        <v>1.43023330318302E-2</v>
      </c>
      <c r="F37" s="15">
        <v>1.8324618633882499E-2</v>
      </c>
      <c r="G37" s="15">
        <v>0.48537483418377098</v>
      </c>
      <c r="H37" s="18">
        <v>1</v>
      </c>
      <c r="I37" s="15">
        <v>6.6537801474672604E-3</v>
      </c>
      <c r="J37" s="15">
        <v>1.4260162404096799E-2</v>
      </c>
      <c r="K37" s="15">
        <v>0.64080854018660005</v>
      </c>
      <c r="L37" s="15">
        <v>0.75245799403406899</v>
      </c>
      <c r="M37" s="18">
        <v>1</v>
      </c>
      <c r="N37" s="15">
        <v>-1.2743261806404499E-2</v>
      </c>
      <c r="O37" s="15">
        <v>1.42325519543554E-2</v>
      </c>
      <c r="P37" s="15">
        <v>0.37064038977529901</v>
      </c>
      <c r="Q37" s="15">
        <v>0.90504021958853598</v>
      </c>
      <c r="R37" s="18">
        <v>1</v>
      </c>
      <c r="S37" s="15">
        <v>1.49944560969915E-2</v>
      </c>
      <c r="T37" s="15">
        <v>1.41816405473114E-2</v>
      </c>
      <c r="U37" s="15">
        <v>0.29042220971011401</v>
      </c>
      <c r="V37" s="15">
        <v>0.96693680251300396</v>
      </c>
      <c r="W37" s="18">
        <v>1</v>
      </c>
    </row>
    <row r="38" spans="2:23" x14ac:dyDescent="0.2">
      <c r="B38" s="76" t="s">
        <v>3079</v>
      </c>
      <c r="C38" s="18" t="s">
        <v>2093</v>
      </c>
      <c r="D38" s="15">
        <v>1.1613982922013299E-2</v>
      </c>
      <c r="E38" s="15">
        <v>1.40494940370882E-2</v>
      </c>
      <c r="F38" s="15">
        <v>0.40847810153772002</v>
      </c>
      <c r="G38" s="15">
        <v>0.85375988283180804</v>
      </c>
      <c r="H38" s="18">
        <v>1</v>
      </c>
      <c r="I38" s="15">
        <v>-9.6342520287692208E-3</v>
      </c>
      <c r="J38" s="15">
        <v>1.40205733228119E-2</v>
      </c>
      <c r="K38" s="15">
        <v>0.49202129103978898</v>
      </c>
      <c r="L38" s="15">
        <v>0.74692145123734699</v>
      </c>
      <c r="M38" s="18">
        <v>1</v>
      </c>
      <c r="N38" s="15">
        <v>-2.5965070733973299E-3</v>
      </c>
      <c r="O38" s="15">
        <v>1.3990159192103301E-2</v>
      </c>
      <c r="P38" s="15">
        <v>0.85277006649013798</v>
      </c>
      <c r="Q38" s="15">
        <v>0.91752684958374497</v>
      </c>
      <c r="R38" s="18">
        <v>1</v>
      </c>
      <c r="S38" s="15">
        <v>1.13639111281705E-3</v>
      </c>
      <c r="T38" s="15">
        <v>1.39446302753007E-2</v>
      </c>
      <c r="U38" s="15">
        <v>0.93505322795152301</v>
      </c>
      <c r="V38" s="15">
        <v>0.967178716610677</v>
      </c>
      <c r="W38" s="18">
        <v>1</v>
      </c>
    </row>
    <row r="39" spans="2:23" ht="16" customHeight="1" x14ac:dyDescent="0.2">
      <c r="B39" s="76" t="s">
        <v>3080</v>
      </c>
      <c r="C39" s="18" t="s">
        <v>2094</v>
      </c>
      <c r="D39" s="15">
        <v>2.16120685573013E-2</v>
      </c>
      <c r="E39" s="15">
        <v>1.4147144995176201E-2</v>
      </c>
      <c r="F39" s="15">
        <v>0.126664210272911</v>
      </c>
      <c r="G39" s="15">
        <v>0.48537483418377098</v>
      </c>
      <c r="H39" s="18">
        <v>1</v>
      </c>
      <c r="I39" s="15">
        <v>2.00051680355843E-2</v>
      </c>
      <c r="J39" s="15">
        <v>1.4097986310494999E-2</v>
      </c>
      <c r="K39" s="15">
        <v>0.15596438357221001</v>
      </c>
      <c r="L39" s="15">
        <v>0.54587534250273395</v>
      </c>
      <c r="M39" s="18">
        <v>1</v>
      </c>
      <c r="N39" s="15">
        <v>2.0487141904009801E-2</v>
      </c>
      <c r="O39" s="15">
        <v>1.40777587252729E-2</v>
      </c>
      <c r="P39" s="15">
        <v>0.145658124463101</v>
      </c>
      <c r="Q39" s="15">
        <v>0.72744802076840298</v>
      </c>
      <c r="R39" s="18">
        <v>1</v>
      </c>
      <c r="S39" s="15">
        <v>-2.5837534579709401E-3</v>
      </c>
      <c r="T39" s="15">
        <v>1.40312100467661E-2</v>
      </c>
      <c r="U39" s="15">
        <v>0.85390903897075898</v>
      </c>
      <c r="V39" s="15">
        <v>0.96693680251300396</v>
      </c>
      <c r="W39" s="18">
        <v>1</v>
      </c>
    </row>
    <row r="40" spans="2:23" x14ac:dyDescent="0.2">
      <c r="B40" s="76" t="s">
        <v>3081</v>
      </c>
      <c r="C40" s="18" t="s">
        <v>2097</v>
      </c>
      <c r="D40" s="15">
        <v>-3.9759746833008501E-3</v>
      </c>
      <c r="E40" s="15">
        <v>1.4105421197064901E-2</v>
      </c>
      <c r="F40" s="15">
        <v>0.77805117353070197</v>
      </c>
      <c r="G40" s="15">
        <v>0.99653379190677804</v>
      </c>
      <c r="H40" s="18">
        <v>1</v>
      </c>
      <c r="I40" s="15">
        <v>1.80338075092135E-2</v>
      </c>
      <c r="J40" s="15">
        <v>1.40584432715463E-2</v>
      </c>
      <c r="K40" s="15">
        <v>0.19963468167477</v>
      </c>
      <c r="L40" s="15">
        <v>0.58156529042903604</v>
      </c>
      <c r="M40" s="18">
        <v>1</v>
      </c>
      <c r="N40" s="15">
        <v>-8.6085473604111794E-3</v>
      </c>
      <c r="O40" s="15">
        <v>1.40410525428657E-2</v>
      </c>
      <c r="P40" s="15">
        <v>0.53984070583736399</v>
      </c>
      <c r="Q40" s="15">
        <v>0.90504021958853598</v>
      </c>
      <c r="R40" s="18">
        <v>1</v>
      </c>
      <c r="S40" s="15">
        <v>6.4124239252155097E-3</v>
      </c>
      <c r="T40" s="15">
        <v>1.3988614706340699E-2</v>
      </c>
      <c r="U40" s="15">
        <v>0.64668389726593101</v>
      </c>
      <c r="V40" s="15">
        <v>0.96693680251300396</v>
      </c>
      <c r="W40" s="18">
        <v>1</v>
      </c>
    </row>
    <row r="41" spans="2:23" x14ac:dyDescent="0.2">
      <c r="B41" s="76" t="s">
        <v>3082</v>
      </c>
      <c r="C41" s="18" t="s">
        <v>2096</v>
      </c>
      <c r="D41" s="15">
        <v>1.25100629813302E-2</v>
      </c>
      <c r="E41" s="15">
        <v>1.3882302525666501E-2</v>
      </c>
      <c r="F41" s="15">
        <v>0.36755343205737701</v>
      </c>
      <c r="G41" s="15">
        <v>0.83618405793053296</v>
      </c>
      <c r="H41" s="18">
        <v>1</v>
      </c>
      <c r="I41" s="15">
        <v>-7.1575196788058997E-3</v>
      </c>
      <c r="J41" s="15">
        <v>1.38346610468264E-2</v>
      </c>
      <c r="K41" s="15">
        <v>0.60492838494298395</v>
      </c>
      <c r="L41" s="15">
        <v>0.74692145123734699</v>
      </c>
      <c r="M41" s="18">
        <v>1</v>
      </c>
      <c r="N41" s="15">
        <v>1.2934083647231E-2</v>
      </c>
      <c r="O41" s="15">
        <v>1.3813083059203901E-2</v>
      </c>
      <c r="P41" s="15">
        <v>0.34913331361467898</v>
      </c>
      <c r="Q41" s="15">
        <v>0.90504021958853598</v>
      </c>
      <c r="R41" s="18">
        <v>1</v>
      </c>
      <c r="S41" s="15">
        <v>1.6918646365009001E-2</v>
      </c>
      <c r="T41" s="15">
        <v>1.3759840040446E-2</v>
      </c>
      <c r="U41" s="15">
        <v>0.218920422982086</v>
      </c>
      <c r="V41" s="15">
        <v>0.96693680251300396</v>
      </c>
      <c r="W41" s="18">
        <v>1</v>
      </c>
    </row>
    <row r="42" spans="2:23" x14ac:dyDescent="0.2">
      <c r="B42" s="76" t="s">
        <v>3083</v>
      </c>
      <c r="C42" s="18" t="s">
        <v>1538</v>
      </c>
      <c r="D42" s="15">
        <v>-2.0216820340596901E-2</v>
      </c>
      <c r="E42" s="15">
        <v>1.38352723030115E-2</v>
      </c>
      <c r="F42" s="15">
        <v>0.144012313439141</v>
      </c>
      <c r="G42" s="15">
        <v>0.48537483418377098</v>
      </c>
      <c r="H42" s="18">
        <v>1</v>
      </c>
      <c r="I42" s="15">
        <v>-7.9707428865278106E-3</v>
      </c>
      <c r="J42" s="15">
        <v>1.3792927949965599E-2</v>
      </c>
      <c r="K42" s="15">
        <v>0.56336860571810898</v>
      </c>
      <c r="L42" s="15">
        <v>0.74692145123734699</v>
      </c>
      <c r="M42" s="18">
        <v>1</v>
      </c>
      <c r="N42" s="15">
        <v>-1.2982231341914801E-2</v>
      </c>
      <c r="O42" s="15">
        <v>1.3762579569800801E-2</v>
      </c>
      <c r="P42" s="15">
        <v>0.34557579645648401</v>
      </c>
      <c r="Q42" s="15">
        <v>0.90504021958853598</v>
      </c>
      <c r="R42" s="18">
        <v>1</v>
      </c>
      <c r="S42" s="15">
        <v>-3.1884374022479803E-2</v>
      </c>
      <c r="T42" s="15">
        <v>1.37111091715984E-2</v>
      </c>
      <c r="U42" s="15">
        <v>2.0090235639628799E-2</v>
      </c>
      <c r="V42" s="15">
        <v>0.45705286080155499</v>
      </c>
      <c r="W42" s="18">
        <v>1</v>
      </c>
    </row>
    <row r="43" spans="2:23" x14ac:dyDescent="0.2">
      <c r="B43" s="76" t="s">
        <v>3084</v>
      </c>
      <c r="C43" s="18" t="s">
        <v>2117</v>
      </c>
      <c r="D43" s="15">
        <v>2.0978311722451202E-3</v>
      </c>
      <c r="E43" s="15">
        <v>1.3047232846345199E-2</v>
      </c>
      <c r="F43" s="15">
        <v>0.87226763642238603</v>
      </c>
      <c r="G43" s="15">
        <v>0.99653379190677804</v>
      </c>
      <c r="H43" s="18">
        <v>1</v>
      </c>
      <c r="I43" s="15">
        <v>8.1127482472242406E-3</v>
      </c>
      <c r="J43" s="15">
        <v>1.3006854596763401E-2</v>
      </c>
      <c r="K43" s="15">
        <v>0.53283598943090005</v>
      </c>
      <c r="L43" s="15">
        <v>0.74692145123734699</v>
      </c>
      <c r="M43" s="18">
        <v>1</v>
      </c>
      <c r="N43" s="15">
        <v>3.4880873882775699E-4</v>
      </c>
      <c r="O43" s="15">
        <v>1.29818487878684E-2</v>
      </c>
      <c r="P43" s="15">
        <v>0.97856537846488501</v>
      </c>
      <c r="Q43" s="15">
        <v>0.98963699906000802</v>
      </c>
      <c r="R43" s="18">
        <v>1</v>
      </c>
      <c r="S43" s="15">
        <v>3.4109391015704003E-2</v>
      </c>
      <c r="T43" s="15">
        <v>1.2926732744342201E-2</v>
      </c>
      <c r="U43" s="15">
        <v>8.3502657958574901E-3</v>
      </c>
      <c r="V43" s="15">
        <v>0.38407491970769297</v>
      </c>
      <c r="W43" s="18">
        <v>0.75987418742303103</v>
      </c>
    </row>
    <row r="44" spans="2:23" x14ac:dyDescent="0.2">
      <c r="B44" s="76" t="s">
        <v>3085</v>
      </c>
      <c r="C44" s="18" t="s">
        <v>2118</v>
      </c>
      <c r="D44" s="15">
        <v>2.0703651823688701E-2</v>
      </c>
      <c r="E44" s="15">
        <v>1.40131918014572E-2</v>
      </c>
      <c r="F44" s="15">
        <v>0.13962428950540801</v>
      </c>
      <c r="G44" s="15">
        <v>0.48537483418377098</v>
      </c>
      <c r="H44" s="18">
        <v>1</v>
      </c>
      <c r="I44" s="15">
        <v>2.8610387713423498E-2</v>
      </c>
      <c r="J44" s="15">
        <v>1.3967465098484099E-2</v>
      </c>
      <c r="K44" s="15">
        <v>4.0580564932436197E-2</v>
      </c>
      <c r="L44" s="15">
        <v>0.24110144014328</v>
      </c>
      <c r="M44" s="18">
        <v>1</v>
      </c>
      <c r="N44" s="15">
        <v>1.0560428856871701E-2</v>
      </c>
      <c r="O44" s="15">
        <v>1.3944352687144701E-2</v>
      </c>
      <c r="P44" s="15">
        <v>0.44889196591425301</v>
      </c>
      <c r="Q44" s="15">
        <v>0.90504021958853598</v>
      </c>
      <c r="R44" s="18">
        <v>1</v>
      </c>
      <c r="S44" s="15">
        <v>9.6729729345668997E-3</v>
      </c>
      <c r="T44" s="15">
        <v>1.3897782716855499E-2</v>
      </c>
      <c r="U44" s="15">
        <v>0.48645777118815298</v>
      </c>
      <c r="V44" s="15">
        <v>0.96693680251300396</v>
      </c>
      <c r="W44" s="18">
        <v>1</v>
      </c>
    </row>
    <row r="45" spans="2:23" x14ac:dyDescent="0.2">
      <c r="B45" s="76" t="s">
        <v>3086</v>
      </c>
      <c r="C45" s="18" t="s">
        <v>2119</v>
      </c>
      <c r="D45" s="15">
        <v>2.45836976040575E-2</v>
      </c>
      <c r="E45" s="15">
        <v>1.3913628664668999E-2</v>
      </c>
      <c r="F45" s="15">
        <v>7.7314233422304507E-2</v>
      </c>
      <c r="G45" s="15">
        <v>0.48537483418377098</v>
      </c>
      <c r="H45" s="18">
        <v>1</v>
      </c>
      <c r="I45" s="15">
        <v>1.8103934693542E-3</v>
      </c>
      <c r="J45" s="15">
        <v>1.38541223203107E-2</v>
      </c>
      <c r="K45" s="15">
        <v>0.89603718211571903</v>
      </c>
      <c r="L45" s="15">
        <v>0.91617284912955499</v>
      </c>
      <c r="M45" s="18">
        <v>1</v>
      </c>
      <c r="N45" s="15">
        <v>-1.9005820662106002E-2</v>
      </c>
      <c r="O45" s="15">
        <v>1.3834141575987601E-2</v>
      </c>
      <c r="P45" s="15">
        <v>0.16955978323051399</v>
      </c>
      <c r="Q45" s="15">
        <v>0.72744802076840298</v>
      </c>
      <c r="R45" s="18">
        <v>1</v>
      </c>
      <c r="S45" s="15">
        <v>1.9580350548263601E-2</v>
      </c>
      <c r="T45" s="15">
        <v>1.3784151301684601E-2</v>
      </c>
      <c r="U45" s="15">
        <v>0.15553757097137999</v>
      </c>
      <c r="V45" s="15">
        <v>0.96693680251300396</v>
      </c>
      <c r="W45" s="18">
        <v>1</v>
      </c>
    </row>
    <row r="46" spans="2:23" x14ac:dyDescent="0.2">
      <c r="B46" s="76" t="s">
        <v>3087</v>
      </c>
      <c r="C46" s="18" t="s">
        <v>2120</v>
      </c>
      <c r="D46" s="15">
        <v>4.0981905584441198E-3</v>
      </c>
      <c r="E46" s="15">
        <v>1.4106991467313999E-2</v>
      </c>
      <c r="F46" s="15">
        <v>0.77144054337743195</v>
      </c>
      <c r="G46" s="15">
        <v>0.99653379190677804</v>
      </c>
      <c r="H46" s="18">
        <v>1</v>
      </c>
      <c r="I46" s="15">
        <v>-7.8220726495589095E-3</v>
      </c>
      <c r="J46" s="15">
        <v>1.4060766719253799E-2</v>
      </c>
      <c r="K46" s="15">
        <v>0.57802910739541902</v>
      </c>
      <c r="L46" s="15">
        <v>0.74692145123734699</v>
      </c>
      <c r="M46" s="18">
        <v>1</v>
      </c>
      <c r="N46" s="15">
        <v>-2.1120240574874601E-2</v>
      </c>
      <c r="O46" s="15">
        <v>1.40331994320713E-2</v>
      </c>
      <c r="P46" s="15">
        <v>0.13238583949594901</v>
      </c>
      <c r="Q46" s="15">
        <v>0.72744802076840298</v>
      </c>
      <c r="R46" s="18">
        <v>1</v>
      </c>
      <c r="S46" s="15">
        <v>-1.1002784656030501E-2</v>
      </c>
      <c r="T46" s="15">
        <v>1.3989431918706699E-2</v>
      </c>
      <c r="U46" s="15">
        <v>0.431609947743612</v>
      </c>
      <c r="V46" s="15">
        <v>0.96693680251300396</v>
      </c>
      <c r="W46" s="18">
        <v>1</v>
      </c>
    </row>
    <row r="47" spans="2:23" x14ac:dyDescent="0.2">
      <c r="B47" s="76" t="s">
        <v>3088</v>
      </c>
      <c r="C47" s="18" t="s">
        <v>2123</v>
      </c>
      <c r="D47" s="15">
        <v>2.8432417879500401E-2</v>
      </c>
      <c r="E47" s="15">
        <v>1.40871585405565E-2</v>
      </c>
      <c r="F47" s="15">
        <v>4.3615944819404798E-2</v>
      </c>
      <c r="G47" s="15">
        <v>0.48537483418377098</v>
      </c>
      <c r="H47" s="18">
        <v>1</v>
      </c>
      <c r="I47" s="15">
        <v>2.81463395563465E-2</v>
      </c>
      <c r="J47" s="15">
        <v>1.40392622164581E-2</v>
      </c>
      <c r="K47" s="15">
        <v>4.5040928378415002E-2</v>
      </c>
      <c r="L47" s="15">
        <v>0.24110144014328</v>
      </c>
      <c r="M47" s="18">
        <v>1</v>
      </c>
      <c r="N47" s="15">
        <v>-2.27496739199613E-2</v>
      </c>
      <c r="O47" s="15">
        <v>1.4017197669396599E-2</v>
      </c>
      <c r="P47" s="15">
        <v>0.104662018765816</v>
      </c>
      <c r="Q47" s="15">
        <v>0.72744802076840298</v>
      </c>
      <c r="R47" s="18">
        <v>1</v>
      </c>
      <c r="S47" s="15">
        <v>3.4823703887869803E-2</v>
      </c>
      <c r="T47" s="15">
        <v>1.3962286565400699E-2</v>
      </c>
      <c r="U47" s="15">
        <v>1.26618105398141E-2</v>
      </c>
      <c r="V47" s="15">
        <v>0.38407491970769297</v>
      </c>
      <c r="W47" s="18">
        <v>1</v>
      </c>
    </row>
    <row r="48" spans="2:23" x14ac:dyDescent="0.2">
      <c r="B48" s="76" t="s">
        <v>3089</v>
      </c>
      <c r="C48" s="18" t="s">
        <v>2121</v>
      </c>
      <c r="D48" s="15">
        <v>1.7186454895045802E-2</v>
      </c>
      <c r="E48" s="15">
        <v>1.4085682205511299E-2</v>
      </c>
      <c r="F48" s="15">
        <v>0.222474675381437</v>
      </c>
      <c r="G48" s="15">
        <v>0.65307082128099303</v>
      </c>
      <c r="H48" s="18">
        <v>1</v>
      </c>
      <c r="I48" s="15">
        <v>1.4743624564557601E-2</v>
      </c>
      <c r="J48" s="15">
        <v>1.40526164171146E-2</v>
      </c>
      <c r="K48" s="15">
        <v>0.29415344089325002</v>
      </c>
      <c r="L48" s="15">
        <v>0.62251077026246004</v>
      </c>
      <c r="M48" s="18">
        <v>1</v>
      </c>
      <c r="N48" s="15">
        <v>4.6045233282242101E-3</v>
      </c>
      <c r="O48" s="15">
        <v>1.40267647587148E-2</v>
      </c>
      <c r="P48" s="15">
        <v>0.74272453469005595</v>
      </c>
      <c r="Q48" s="15">
        <v>0.91752684958374497</v>
      </c>
      <c r="R48" s="18">
        <v>1</v>
      </c>
      <c r="S48" s="15">
        <v>-7.5481953239091197E-3</v>
      </c>
      <c r="T48" s="15">
        <v>1.39826365473737E-2</v>
      </c>
      <c r="U48" s="15">
        <v>0.58934246307382299</v>
      </c>
      <c r="V48" s="15">
        <v>0.96693680251300396</v>
      </c>
      <c r="W48" s="18">
        <v>1</v>
      </c>
    </row>
    <row r="49" spans="2:23" x14ac:dyDescent="0.2">
      <c r="B49" s="76" t="s">
        <v>3090</v>
      </c>
      <c r="C49" s="18" t="s">
        <v>2122</v>
      </c>
      <c r="D49" s="15">
        <v>-4.8309944328101097E-3</v>
      </c>
      <c r="E49" s="15">
        <v>1.39797456776479E-2</v>
      </c>
      <c r="F49" s="15">
        <v>0.72967930315903395</v>
      </c>
      <c r="G49" s="15">
        <v>0.99653379190677804</v>
      </c>
      <c r="H49" s="18">
        <v>1</v>
      </c>
      <c r="I49" s="15">
        <v>-1.06011598526212E-2</v>
      </c>
      <c r="J49" s="15">
        <v>1.3924918320802501E-2</v>
      </c>
      <c r="K49" s="15">
        <v>0.44650769657359402</v>
      </c>
      <c r="L49" s="15">
        <v>0.74692145123734699</v>
      </c>
      <c r="M49" s="18">
        <v>1</v>
      </c>
      <c r="N49" s="15">
        <v>1.7323757048931802E-2</v>
      </c>
      <c r="O49" s="15">
        <v>1.3903184328899599E-2</v>
      </c>
      <c r="P49" s="15">
        <v>0.212810874255491</v>
      </c>
      <c r="Q49" s="15">
        <v>0.72744802076840298</v>
      </c>
      <c r="R49" s="18">
        <v>1</v>
      </c>
      <c r="S49" s="15">
        <v>-9.5554484781590204E-3</v>
      </c>
      <c r="T49" s="15">
        <v>1.38610851174266E-2</v>
      </c>
      <c r="U49" s="15">
        <v>0.49062010556032698</v>
      </c>
      <c r="V49" s="15">
        <v>0.96693680251300396</v>
      </c>
      <c r="W49" s="18">
        <v>1</v>
      </c>
    </row>
    <row r="50" spans="2:23" x14ac:dyDescent="0.2">
      <c r="B50" s="76" t="s">
        <v>3091</v>
      </c>
      <c r="C50" s="18" t="s">
        <v>2125</v>
      </c>
      <c r="D50" s="15">
        <v>-1.81118485222293E-3</v>
      </c>
      <c r="E50" s="15">
        <v>1.4027373320011499E-2</v>
      </c>
      <c r="F50" s="15">
        <v>0.89726987681416903</v>
      </c>
      <c r="G50" s="15">
        <v>0.99653379190677804</v>
      </c>
      <c r="H50" s="18">
        <v>1</v>
      </c>
      <c r="I50" s="15">
        <v>-1.5483266324687699E-2</v>
      </c>
      <c r="J50" s="15">
        <v>1.3981879763084199E-2</v>
      </c>
      <c r="K50" s="15">
        <v>0.26818655226495902</v>
      </c>
      <c r="L50" s="15">
        <v>0.60965743865607303</v>
      </c>
      <c r="M50" s="18">
        <v>1</v>
      </c>
      <c r="N50" s="15">
        <v>-1.28861277726777E-2</v>
      </c>
      <c r="O50" s="15">
        <v>1.39552523457018E-2</v>
      </c>
      <c r="P50" s="15">
        <v>0.35585179399973998</v>
      </c>
      <c r="Q50" s="15">
        <v>0.90504021958853598</v>
      </c>
      <c r="R50" s="18">
        <v>1</v>
      </c>
      <c r="S50" s="15">
        <v>-2.3669027544833E-2</v>
      </c>
      <c r="T50" s="15">
        <v>1.3902724828076101E-2</v>
      </c>
      <c r="U50" s="15">
        <v>8.8732546643296897E-2</v>
      </c>
      <c r="V50" s="15">
        <v>0.96693680251300396</v>
      </c>
      <c r="W50" s="18">
        <v>1</v>
      </c>
    </row>
    <row r="51" spans="2:23" x14ac:dyDescent="0.2">
      <c r="B51" s="76" t="s">
        <v>3092</v>
      </c>
      <c r="C51" s="18" t="s">
        <v>2124</v>
      </c>
      <c r="D51" s="15">
        <v>7.8231028426646709E-3</v>
      </c>
      <c r="E51" s="15">
        <v>1.3877583343469099E-2</v>
      </c>
      <c r="F51" s="15">
        <v>0.57296972288703196</v>
      </c>
      <c r="G51" s="15">
        <v>0.98222732763831799</v>
      </c>
      <c r="H51" s="18">
        <v>1</v>
      </c>
      <c r="I51" s="15">
        <v>8.5787051178825204E-3</v>
      </c>
      <c r="J51" s="15">
        <v>1.3837213681558399E-2</v>
      </c>
      <c r="K51" s="15">
        <v>0.53530530214934102</v>
      </c>
      <c r="L51" s="15">
        <v>0.74692145123734699</v>
      </c>
      <c r="M51" s="18">
        <v>1</v>
      </c>
      <c r="N51" s="15">
        <v>4.5083911118350799E-3</v>
      </c>
      <c r="O51" s="15">
        <v>1.38134914662224E-2</v>
      </c>
      <c r="P51" s="15">
        <v>0.74415429214762296</v>
      </c>
      <c r="Q51" s="15">
        <v>0.91752684958374497</v>
      </c>
      <c r="R51" s="18">
        <v>1</v>
      </c>
      <c r="S51" s="15">
        <v>2.6365676706927701E-2</v>
      </c>
      <c r="T51" s="15">
        <v>1.37546040668942E-2</v>
      </c>
      <c r="U51" s="15">
        <v>5.5315267404809E-2</v>
      </c>
      <c r="V51" s="15">
        <v>0.71909847626251699</v>
      </c>
      <c r="W51" s="18">
        <v>1</v>
      </c>
    </row>
    <row r="52" spans="2:23" x14ac:dyDescent="0.2">
      <c r="B52" s="76" t="s">
        <v>3093</v>
      </c>
      <c r="C52" s="18" t="s">
        <v>1537</v>
      </c>
      <c r="D52" s="15">
        <v>5.2473261778115598E-3</v>
      </c>
      <c r="E52" s="15">
        <v>1.3521435833123501E-2</v>
      </c>
      <c r="F52" s="15">
        <v>0.69797802319999502</v>
      </c>
      <c r="G52" s="15">
        <v>0.99653379190677804</v>
      </c>
      <c r="H52" s="18">
        <v>1</v>
      </c>
      <c r="I52" s="15">
        <v>-3.5745132244372098E-3</v>
      </c>
      <c r="J52" s="15">
        <v>1.3478339660299E-2</v>
      </c>
      <c r="K52" s="15">
        <v>0.79086361752669299</v>
      </c>
      <c r="L52" s="15">
        <v>0.84668928464622495</v>
      </c>
      <c r="M52" s="18">
        <v>1</v>
      </c>
      <c r="N52" s="15">
        <v>4.8015458454190099E-3</v>
      </c>
      <c r="O52" s="15">
        <v>1.34519197367872E-2</v>
      </c>
      <c r="P52" s="15">
        <v>0.72115142117013897</v>
      </c>
      <c r="Q52" s="15">
        <v>0.91752684958374497</v>
      </c>
      <c r="R52" s="18">
        <v>1</v>
      </c>
      <c r="S52" s="15">
        <v>-8.9748679286316396E-3</v>
      </c>
      <c r="T52" s="15">
        <v>1.3407099841190999E-2</v>
      </c>
      <c r="U52" s="15">
        <v>0.50326513303854303</v>
      </c>
      <c r="V52" s="15">
        <v>0.96693680251300396</v>
      </c>
      <c r="W52" s="18">
        <v>1</v>
      </c>
    </row>
    <row r="53" spans="2:23" x14ac:dyDescent="0.2">
      <c r="B53" s="76" t="s">
        <v>3094</v>
      </c>
      <c r="C53" s="18" t="s">
        <v>2109</v>
      </c>
      <c r="D53" s="15">
        <v>1.6431180159908599E-3</v>
      </c>
      <c r="E53" s="15">
        <v>1.3713459060944099E-2</v>
      </c>
      <c r="F53" s="15">
        <v>0.90463257240267703</v>
      </c>
      <c r="G53" s="15">
        <v>0.99653379190677804</v>
      </c>
      <c r="H53" s="18">
        <v>1</v>
      </c>
      <c r="I53" s="15">
        <v>2.9066272019054099E-2</v>
      </c>
      <c r="J53" s="15">
        <v>1.36505924379756E-2</v>
      </c>
      <c r="K53" s="15">
        <v>3.3282319600559197E-2</v>
      </c>
      <c r="L53" s="15">
        <v>0.24110144014328</v>
      </c>
      <c r="M53" s="18">
        <v>1</v>
      </c>
      <c r="N53" s="15">
        <v>1.2233432501113899E-2</v>
      </c>
      <c r="O53" s="15">
        <v>1.36426308488345E-2</v>
      </c>
      <c r="P53" s="15">
        <v>0.369922279904425</v>
      </c>
      <c r="Q53" s="15">
        <v>0.90504021958853598</v>
      </c>
      <c r="R53" s="18">
        <v>1</v>
      </c>
      <c r="S53" s="15">
        <v>1.92415974077896E-3</v>
      </c>
      <c r="T53" s="15">
        <v>1.35995607025858E-2</v>
      </c>
      <c r="U53" s="15">
        <v>0.88749144044513095</v>
      </c>
      <c r="V53" s="15">
        <v>0.96693680251300396</v>
      </c>
      <c r="W53" s="18">
        <v>1</v>
      </c>
    </row>
    <row r="54" spans="2:23" x14ac:dyDescent="0.2">
      <c r="B54" s="76" t="s">
        <v>3095</v>
      </c>
      <c r="C54" s="18" t="s">
        <v>2110</v>
      </c>
      <c r="D54" s="15">
        <v>-3.79532906511169E-4</v>
      </c>
      <c r="E54" s="15">
        <v>1.31490281315771E-2</v>
      </c>
      <c r="F54" s="15">
        <v>0.97697431431123605</v>
      </c>
      <c r="G54" s="15">
        <v>0.99653379190677804</v>
      </c>
      <c r="H54" s="18">
        <v>1</v>
      </c>
      <c r="I54" s="15">
        <v>-1.28956071865396E-2</v>
      </c>
      <c r="J54" s="15">
        <v>1.3096122238912E-2</v>
      </c>
      <c r="K54" s="15">
        <v>0.32482784477666699</v>
      </c>
      <c r="L54" s="15">
        <v>0.65377709995214905</v>
      </c>
      <c r="M54" s="18">
        <v>1</v>
      </c>
      <c r="N54" s="15">
        <v>-1.9870808487305401E-2</v>
      </c>
      <c r="O54" s="15">
        <v>1.30760867126288E-2</v>
      </c>
      <c r="P54" s="15">
        <v>0.128670916991871</v>
      </c>
      <c r="Q54" s="15">
        <v>0.72744802076840298</v>
      </c>
      <c r="R54" s="18">
        <v>1</v>
      </c>
      <c r="S54" s="15">
        <v>-1.6421352365477801E-2</v>
      </c>
      <c r="T54" s="15">
        <v>1.3027794279118101E-2</v>
      </c>
      <c r="U54" s="15">
        <v>0.20755622824813</v>
      </c>
      <c r="V54" s="15">
        <v>0.96693680251300396</v>
      </c>
      <c r="W54" s="18">
        <v>1</v>
      </c>
    </row>
    <row r="55" spans="2:23" x14ac:dyDescent="0.2">
      <c r="B55" s="76" t="s">
        <v>3096</v>
      </c>
      <c r="C55" s="18" t="s">
        <v>2111</v>
      </c>
      <c r="D55" s="15">
        <v>-1.3797527104376201E-2</v>
      </c>
      <c r="E55" s="15">
        <v>1.4043168859366101E-2</v>
      </c>
      <c r="F55" s="15">
        <v>0.32590012841898403</v>
      </c>
      <c r="G55" s="15">
        <v>0.760433632977628</v>
      </c>
      <c r="H55" s="18">
        <v>1</v>
      </c>
      <c r="I55" s="15">
        <v>-1.8143127556032999E-2</v>
      </c>
      <c r="J55" s="15">
        <v>1.39883903797089E-2</v>
      </c>
      <c r="K55" s="15">
        <v>0.19469108785434799</v>
      </c>
      <c r="L55" s="15">
        <v>0.58156529042903604</v>
      </c>
      <c r="M55" s="18">
        <v>1</v>
      </c>
      <c r="N55" s="15">
        <v>-1.69930687831415E-2</v>
      </c>
      <c r="O55" s="15">
        <v>1.39680500483585E-2</v>
      </c>
      <c r="P55" s="15">
        <v>0.22383016023643201</v>
      </c>
      <c r="Q55" s="15">
        <v>0.72744802076840298</v>
      </c>
      <c r="R55" s="18">
        <v>1</v>
      </c>
      <c r="S55" s="15">
        <v>6.5332353723828399E-3</v>
      </c>
      <c r="T55" s="15">
        <v>1.39267811484179E-2</v>
      </c>
      <c r="U55" s="15">
        <v>0.63901053267980201</v>
      </c>
      <c r="V55" s="15">
        <v>0.96693680251300396</v>
      </c>
      <c r="W55" s="18">
        <v>1</v>
      </c>
    </row>
    <row r="56" spans="2:23" x14ac:dyDescent="0.2">
      <c r="B56" s="76" t="s">
        <v>3097</v>
      </c>
      <c r="C56" s="18" t="s">
        <v>2114</v>
      </c>
      <c r="D56" s="15">
        <v>-2.3583282920089099E-2</v>
      </c>
      <c r="E56" s="15">
        <v>1.4173111879889601E-2</v>
      </c>
      <c r="F56" s="15">
        <v>9.6189862494561407E-2</v>
      </c>
      <c r="G56" s="15">
        <v>0.48537483418377098</v>
      </c>
      <c r="H56" s="18">
        <v>1</v>
      </c>
      <c r="I56" s="15">
        <v>6.1785144964407301E-3</v>
      </c>
      <c r="J56" s="15">
        <v>1.41247232915361E-2</v>
      </c>
      <c r="K56" s="15">
        <v>0.66182308120984601</v>
      </c>
      <c r="L56" s="15">
        <v>0.762000516248862</v>
      </c>
      <c r="M56" s="18">
        <v>1</v>
      </c>
      <c r="N56" s="15">
        <v>3.2463302654337001E-2</v>
      </c>
      <c r="O56" s="15">
        <v>1.40893510340841E-2</v>
      </c>
      <c r="P56" s="15">
        <v>2.12603143533182E-2</v>
      </c>
      <c r="Q56" s="15">
        <v>0.39292791400238902</v>
      </c>
      <c r="R56" s="18">
        <v>1</v>
      </c>
      <c r="S56" s="15">
        <v>-9.5305872759784398E-3</v>
      </c>
      <c r="T56" s="15">
        <v>1.40543124491017E-2</v>
      </c>
      <c r="U56" s="15">
        <v>0.497725411559442</v>
      </c>
      <c r="V56" s="15">
        <v>0.96693680251300396</v>
      </c>
      <c r="W56" s="18">
        <v>1</v>
      </c>
    </row>
    <row r="57" spans="2:23" x14ac:dyDescent="0.2">
      <c r="B57" s="76" t="s">
        <v>3098</v>
      </c>
      <c r="C57" s="18" t="s">
        <v>2112</v>
      </c>
      <c r="D57" s="15">
        <v>-1.0229424542314E-2</v>
      </c>
      <c r="E57" s="15">
        <v>1.40070270774526E-2</v>
      </c>
      <c r="F57" s="15">
        <v>0.46523873820205403</v>
      </c>
      <c r="G57" s="15">
        <v>0.92036359079102104</v>
      </c>
      <c r="H57" s="18">
        <v>1</v>
      </c>
      <c r="I57" s="15">
        <v>-2.9123756357029601E-2</v>
      </c>
      <c r="J57" s="15">
        <v>1.39665605117484E-2</v>
      </c>
      <c r="K57" s="15">
        <v>3.7100478274141702E-2</v>
      </c>
      <c r="L57" s="15">
        <v>0.24110144014328</v>
      </c>
      <c r="M57" s="18">
        <v>1</v>
      </c>
      <c r="N57" s="15">
        <v>1.0365372625880401E-2</v>
      </c>
      <c r="O57" s="15">
        <v>1.39463520786333E-2</v>
      </c>
      <c r="P57" s="15">
        <v>0.45737804596602599</v>
      </c>
      <c r="Q57" s="15">
        <v>0.90504021958853598</v>
      </c>
      <c r="R57" s="18">
        <v>1</v>
      </c>
      <c r="S57" s="15">
        <v>2.5015273256678498E-3</v>
      </c>
      <c r="T57" s="15">
        <v>1.3902178811727599E-2</v>
      </c>
      <c r="U57" s="15">
        <v>0.85720905957632498</v>
      </c>
      <c r="V57" s="15">
        <v>0.96693680251300396</v>
      </c>
      <c r="W57" s="18">
        <v>1</v>
      </c>
    </row>
    <row r="58" spans="2:23" x14ac:dyDescent="0.2">
      <c r="B58" s="76" t="s">
        <v>3099</v>
      </c>
      <c r="C58" s="18" t="s">
        <v>2113</v>
      </c>
      <c r="D58" s="15">
        <v>2.1091639661910199E-4</v>
      </c>
      <c r="E58" s="15">
        <v>1.42877180187995E-2</v>
      </c>
      <c r="F58" s="15">
        <v>0.98822262166765096</v>
      </c>
      <c r="G58" s="15">
        <v>0.99653379190677804</v>
      </c>
      <c r="H58" s="18">
        <v>1</v>
      </c>
      <c r="I58" s="15">
        <v>-9.1064101841193505E-3</v>
      </c>
      <c r="J58" s="15">
        <v>1.4233181736150201E-2</v>
      </c>
      <c r="K58" s="15">
        <v>0.52233335419159599</v>
      </c>
      <c r="L58" s="15">
        <v>0.74692145123734699</v>
      </c>
      <c r="M58" s="18">
        <v>1</v>
      </c>
      <c r="N58" s="15">
        <v>-1.59001444512002E-4</v>
      </c>
      <c r="O58" s="15">
        <v>1.4212255572551499E-2</v>
      </c>
      <c r="P58" s="15">
        <v>0.99107422574477599</v>
      </c>
      <c r="Q58" s="15">
        <v>0.99107422574477599</v>
      </c>
      <c r="R58" s="18">
        <v>1</v>
      </c>
      <c r="S58" s="15">
        <v>6.0717215655065101E-3</v>
      </c>
      <c r="T58" s="15">
        <v>1.4166883223356999E-2</v>
      </c>
      <c r="U58" s="15">
        <v>0.66824450735218199</v>
      </c>
      <c r="V58" s="15">
        <v>0.96693680251300396</v>
      </c>
      <c r="W58" s="18">
        <v>1</v>
      </c>
    </row>
    <row r="59" spans="2:23" x14ac:dyDescent="0.2">
      <c r="B59" s="76" t="s">
        <v>3100</v>
      </c>
      <c r="C59" s="18" t="s">
        <v>2116</v>
      </c>
      <c r="D59" s="15">
        <v>-2.38446425916298E-2</v>
      </c>
      <c r="E59" s="15">
        <v>1.3899526357964501E-2</v>
      </c>
      <c r="F59" s="15">
        <v>8.6319327498286996E-2</v>
      </c>
      <c r="G59" s="15">
        <v>0.48537483418377098</v>
      </c>
      <c r="H59" s="18">
        <v>1</v>
      </c>
      <c r="I59" s="15">
        <v>-1.08435492006605E-2</v>
      </c>
      <c r="J59" s="15">
        <v>1.38492913138139E-2</v>
      </c>
      <c r="K59" s="15">
        <v>0.43368592888634999</v>
      </c>
      <c r="L59" s="15">
        <v>0.74692145123734699</v>
      </c>
      <c r="M59" s="18">
        <v>1</v>
      </c>
      <c r="N59" s="15">
        <v>-5.0306586736057696E-3</v>
      </c>
      <c r="O59" s="15">
        <v>1.38246811315912E-2</v>
      </c>
      <c r="P59" s="15">
        <v>0.71595676551220699</v>
      </c>
      <c r="Q59" s="15">
        <v>0.91752684958374497</v>
      </c>
      <c r="R59" s="18">
        <v>1</v>
      </c>
      <c r="S59" s="15">
        <v>9.1037910919036895E-3</v>
      </c>
      <c r="T59" s="15">
        <v>1.3781545477201101E-2</v>
      </c>
      <c r="U59" s="15">
        <v>0.50891502278872203</v>
      </c>
      <c r="V59" s="15">
        <v>0.96693680251300396</v>
      </c>
      <c r="W59" s="18">
        <v>1</v>
      </c>
    </row>
    <row r="60" spans="2:23" x14ac:dyDescent="0.2">
      <c r="B60" s="76" t="s">
        <v>3101</v>
      </c>
      <c r="C60" s="18" t="s">
        <v>2115</v>
      </c>
      <c r="D60" s="15">
        <v>1.75258344321443E-2</v>
      </c>
      <c r="E60" s="15">
        <v>1.40137985488332E-2</v>
      </c>
      <c r="F60" s="15">
        <v>0.21113784826895701</v>
      </c>
      <c r="G60" s="15">
        <v>0.64045147308250305</v>
      </c>
      <c r="H60" s="18">
        <v>1</v>
      </c>
      <c r="I60" s="15">
        <v>7.0646624730530501E-3</v>
      </c>
      <c r="J60" s="15">
        <v>1.39705939393993E-2</v>
      </c>
      <c r="K60" s="15">
        <v>0.61310460556314506</v>
      </c>
      <c r="L60" s="15">
        <v>0.74692145123734699</v>
      </c>
      <c r="M60" s="18">
        <v>1</v>
      </c>
      <c r="N60" s="15">
        <v>-2.27316110675603E-2</v>
      </c>
      <c r="O60" s="15">
        <v>1.3949839998865199E-2</v>
      </c>
      <c r="P60" s="15">
        <v>0.103268653746012</v>
      </c>
      <c r="Q60" s="15">
        <v>0.72744802076840298</v>
      </c>
      <c r="R60" s="18">
        <v>1</v>
      </c>
      <c r="S60" s="15">
        <v>-1.34570957390471E-2</v>
      </c>
      <c r="T60" s="15">
        <v>1.3897615541857099E-2</v>
      </c>
      <c r="U60" s="15">
        <v>0.33294289331211901</v>
      </c>
      <c r="V60" s="15">
        <v>0.96693680251300396</v>
      </c>
      <c r="W60" s="18">
        <v>1</v>
      </c>
    </row>
    <row r="61" spans="2:23" x14ac:dyDescent="0.2">
      <c r="B61" s="76" t="s">
        <v>3102</v>
      </c>
      <c r="C61" s="18" t="s">
        <v>1539</v>
      </c>
      <c r="D61" s="74">
        <v>4.8925574317925498E-2</v>
      </c>
      <c r="E61" s="74">
        <v>1.37921899742113E-2</v>
      </c>
      <c r="F61" s="74">
        <v>3.9300136736745202E-4</v>
      </c>
      <c r="G61" s="74">
        <v>3.5763124430438102E-2</v>
      </c>
      <c r="H61" s="75">
        <v>3.5763124430438102E-2</v>
      </c>
      <c r="I61" s="15">
        <v>3.6100990860114E-2</v>
      </c>
      <c r="J61" s="15">
        <v>1.3745091169164199E-2</v>
      </c>
      <c r="K61" s="15">
        <v>8.6565784317797698E-3</v>
      </c>
      <c r="L61" s="15">
        <v>0.13129143954865999</v>
      </c>
      <c r="M61" s="18">
        <v>0.78774863729195899</v>
      </c>
      <c r="N61" s="15">
        <v>7.4791298382978801E-3</v>
      </c>
      <c r="O61" s="15">
        <v>1.3736867820394001E-2</v>
      </c>
      <c r="P61" s="15">
        <v>0.58615354137411002</v>
      </c>
      <c r="Q61" s="15">
        <v>0.90504021958853598</v>
      </c>
      <c r="R61" s="18">
        <v>1</v>
      </c>
      <c r="S61" s="15">
        <v>-4.0541069257724197E-3</v>
      </c>
      <c r="T61" s="15">
        <v>1.3694842366882801E-2</v>
      </c>
      <c r="U61" s="15">
        <v>0.76721917641440696</v>
      </c>
      <c r="V61" s="15">
        <v>0.96693680251300396</v>
      </c>
      <c r="W61" s="18">
        <v>1</v>
      </c>
    </row>
    <row r="62" spans="2:23" x14ac:dyDescent="0.2">
      <c r="B62" s="76" t="s">
        <v>3103</v>
      </c>
      <c r="C62" s="18" t="s">
        <v>2126</v>
      </c>
      <c r="D62" s="15">
        <v>-1.8411679988472099E-3</v>
      </c>
      <c r="E62" s="15">
        <v>1.3901059287892399E-2</v>
      </c>
      <c r="F62" s="15">
        <v>0.89463553468389201</v>
      </c>
      <c r="G62" s="15">
        <v>0.99653379190677804</v>
      </c>
      <c r="H62" s="18">
        <v>1</v>
      </c>
      <c r="I62" s="15">
        <v>-7.3249315480114997E-3</v>
      </c>
      <c r="J62" s="15">
        <v>1.3843389478241101E-2</v>
      </c>
      <c r="K62" s="15">
        <v>0.59674135993446498</v>
      </c>
      <c r="L62" s="15">
        <v>0.74692145123734699</v>
      </c>
      <c r="M62" s="18">
        <v>1</v>
      </c>
      <c r="N62" s="15">
        <v>-2.3212664197914501E-3</v>
      </c>
      <c r="O62" s="15">
        <v>1.38268592054676E-2</v>
      </c>
      <c r="P62" s="15">
        <v>0.86668409147798997</v>
      </c>
      <c r="Q62" s="15">
        <v>0.91752684958374497</v>
      </c>
      <c r="R62" s="18">
        <v>1</v>
      </c>
      <c r="S62" s="15">
        <v>1.1111291580452E-2</v>
      </c>
      <c r="T62" s="15">
        <v>1.37758031275466E-2</v>
      </c>
      <c r="U62" s="15">
        <v>0.419948727859774</v>
      </c>
      <c r="V62" s="15">
        <v>0.96693680251300396</v>
      </c>
      <c r="W62" s="18">
        <v>1</v>
      </c>
    </row>
    <row r="63" spans="2:23" x14ac:dyDescent="0.2">
      <c r="B63" s="76" t="s">
        <v>3104</v>
      </c>
      <c r="C63" s="18" t="s">
        <v>2127</v>
      </c>
      <c r="D63" s="15">
        <v>-2.7761497739971702E-2</v>
      </c>
      <c r="E63" s="15">
        <v>1.42259679076968E-2</v>
      </c>
      <c r="F63" s="15">
        <v>5.1061707193000801E-2</v>
      </c>
      <c r="G63" s="15">
        <v>0.48537483418377098</v>
      </c>
      <c r="H63" s="18">
        <v>1</v>
      </c>
      <c r="I63" s="15">
        <v>2.2939076482127299E-2</v>
      </c>
      <c r="J63" s="15">
        <v>1.4174405335340199E-2</v>
      </c>
      <c r="K63" s="15">
        <v>0.10565736824329</v>
      </c>
      <c r="L63" s="15">
        <v>0.40885832226091501</v>
      </c>
      <c r="M63" s="18">
        <v>1</v>
      </c>
      <c r="N63" s="15">
        <v>-1.16564017900449E-2</v>
      </c>
      <c r="O63" s="15">
        <v>1.4154680907133999E-2</v>
      </c>
      <c r="P63" s="15">
        <v>0.41026530647375897</v>
      </c>
      <c r="Q63" s="15">
        <v>0.90504021958853598</v>
      </c>
      <c r="R63" s="18">
        <v>1</v>
      </c>
      <c r="S63" s="15">
        <v>1.0418804182562399E-2</v>
      </c>
      <c r="T63" s="15">
        <v>1.4111091364430299E-2</v>
      </c>
      <c r="U63" s="15">
        <v>0.46034431364850698</v>
      </c>
      <c r="V63" s="15">
        <v>0.96693680251300396</v>
      </c>
      <c r="W63" s="18">
        <v>1</v>
      </c>
    </row>
    <row r="64" spans="2:23" x14ac:dyDescent="0.2">
      <c r="B64" s="76" t="s">
        <v>3105</v>
      </c>
      <c r="C64" s="18" t="s">
        <v>2130</v>
      </c>
      <c r="D64" s="15">
        <v>1.5649224674311801E-2</v>
      </c>
      <c r="E64" s="15">
        <v>1.40388786058859E-2</v>
      </c>
      <c r="F64" s="15">
        <v>0.26503306719562197</v>
      </c>
      <c r="G64" s="15">
        <v>0.70650948021228199</v>
      </c>
      <c r="H64" s="18">
        <v>1</v>
      </c>
      <c r="I64" s="15">
        <v>2.4958150011216598E-3</v>
      </c>
      <c r="J64" s="15">
        <v>1.3992462407163E-2</v>
      </c>
      <c r="K64" s="15">
        <v>0.85844130522852702</v>
      </c>
      <c r="L64" s="15">
        <v>0.89790987098616104</v>
      </c>
      <c r="M64" s="18">
        <v>1</v>
      </c>
      <c r="N64" s="15">
        <v>-9.48088868637572E-3</v>
      </c>
      <c r="O64" s="15">
        <v>1.3966032454152099E-2</v>
      </c>
      <c r="P64" s="15">
        <v>0.49726403393996599</v>
      </c>
      <c r="Q64" s="15">
        <v>0.90504021958853598</v>
      </c>
      <c r="R64" s="18">
        <v>1</v>
      </c>
      <c r="S64" s="15">
        <v>-5.4181466551179603E-3</v>
      </c>
      <c r="T64" s="15">
        <v>1.39214808736509E-2</v>
      </c>
      <c r="U64" s="15">
        <v>0.69715071073512203</v>
      </c>
      <c r="V64" s="15">
        <v>0.96693680251300396</v>
      </c>
      <c r="W64" s="18">
        <v>1</v>
      </c>
    </row>
    <row r="65" spans="2:23" x14ac:dyDescent="0.2">
      <c r="B65" s="76" t="s">
        <v>3106</v>
      </c>
      <c r="C65" s="18" t="s">
        <v>2128</v>
      </c>
      <c r="D65" s="15">
        <v>-2.3242243037251E-2</v>
      </c>
      <c r="E65" s="15">
        <v>1.40862513215357E-2</v>
      </c>
      <c r="F65" s="15">
        <v>9.9010738402567897E-2</v>
      </c>
      <c r="G65" s="15">
        <v>0.48537483418377098</v>
      </c>
      <c r="H65" s="18">
        <v>1</v>
      </c>
      <c r="I65" s="15">
        <v>-2.2596373850316199E-2</v>
      </c>
      <c r="J65" s="15">
        <v>1.40495814519352E-2</v>
      </c>
      <c r="K65" s="15">
        <v>0.10783076631057099</v>
      </c>
      <c r="L65" s="15">
        <v>0.40885832226091501</v>
      </c>
      <c r="M65" s="18">
        <v>1</v>
      </c>
      <c r="N65" s="15">
        <v>1.7612640270613999E-2</v>
      </c>
      <c r="O65" s="15">
        <v>1.4026068295795601E-2</v>
      </c>
      <c r="P65" s="15">
        <v>0.209284420772646</v>
      </c>
      <c r="Q65" s="15">
        <v>0.72744802076840298</v>
      </c>
      <c r="R65" s="18">
        <v>1</v>
      </c>
      <c r="S65" s="15">
        <v>1.79262788687897E-3</v>
      </c>
      <c r="T65" s="15">
        <v>1.3983967273700101E-2</v>
      </c>
      <c r="U65" s="15">
        <v>0.89800277637849502</v>
      </c>
      <c r="V65" s="15">
        <v>0.96693680251300396</v>
      </c>
      <c r="W65" s="18">
        <v>1</v>
      </c>
    </row>
    <row r="66" spans="2:23" x14ac:dyDescent="0.2">
      <c r="B66" s="76" t="s">
        <v>3107</v>
      </c>
      <c r="C66" s="18" t="s">
        <v>2129</v>
      </c>
      <c r="D66" s="15">
        <v>-1.5692868788294598E-2</v>
      </c>
      <c r="E66" s="15">
        <v>1.4276544319087399E-2</v>
      </c>
      <c r="F66" s="15">
        <v>0.27173441546626198</v>
      </c>
      <c r="G66" s="15">
        <v>0.70650948021228199</v>
      </c>
      <c r="H66" s="18">
        <v>1</v>
      </c>
      <c r="I66" s="15">
        <v>-4.3924020044661498E-2</v>
      </c>
      <c r="J66" s="15">
        <v>1.42119521435152E-2</v>
      </c>
      <c r="K66" s="15">
        <v>2.0091380907217302E-3</v>
      </c>
      <c r="L66" s="15">
        <v>6.18043437730098E-2</v>
      </c>
      <c r="M66" s="18">
        <v>0.18283156625567801</v>
      </c>
      <c r="N66" s="15">
        <v>9.2917804677451407E-3</v>
      </c>
      <c r="O66" s="15">
        <v>1.41987292799953E-2</v>
      </c>
      <c r="P66" s="15">
        <v>0.51288023450803399</v>
      </c>
      <c r="Q66" s="15">
        <v>0.90504021958853598</v>
      </c>
      <c r="R66" s="18">
        <v>1</v>
      </c>
      <c r="S66" s="15">
        <v>-6.9194729029871298E-3</v>
      </c>
      <c r="T66" s="15">
        <v>1.4154643612844501E-2</v>
      </c>
      <c r="U66" s="15">
        <v>0.62497193987168698</v>
      </c>
      <c r="V66" s="15">
        <v>0.96693680251300396</v>
      </c>
      <c r="W66" s="18">
        <v>1</v>
      </c>
    </row>
    <row r="67" spans="2:23" x14ac:dyDescent="0.2">
      <c r="B67" s="76" t="s">
        <v>3108</v>
      </c>
      <c r="C67" s="18" t="s">
        <v>2132</v>
      </c>
      <c r="D67" s="15">
        <v>-3.0112533072803701E-2</v>
      </c>
      <c r="E67" s="15">
        <v>1.3916163678727399E-2</v>
      </c>
      <c r="F67" s="15">
        <v>3.05265279149987E-2</v>
      </c>
      <c r="G67" s="15">
        <v>0.48537483418377098</v>
      </c>
      <c r="H67" s="18">
        <v>1</v>
      </c>
      <c r="I67" s="15">
        <v>-3.32125010728022E-2</v>
      </c>
      <c r="J67" s="15">
        <v>1.3860207433389501E-2</v>
      </c>
      <c r="K67" s="15">
        <v>1.6603840512872801E-2</v>
      </c>
      <c r="L67" s="15">
        <v>0.15109494866714199</v>
      </c>
      <c r="M67" s="18">
        <v>1</v>
      </c>
      <c r="N67" s="15">
        <v>-3.6441947183187301E-2</v>
      </c>
      <c r="O67" s="15">
        <v>1.3833491968720401E-2</v>
      </c>
      <c r="P67" s="15">
        <v>8.4585666558387694E-3</v>
      </c>
      <c r="Q67" s="15">
        <v>0.384864782840664</v>
      </c>
      <c r="R67" s="18">
        <v>0.769729565681328</v>
      </c>
      <c r="S67" s="15">
        <v>4.3834062491680202E-4</v>
      </c>
      <c r="T67" s="15">
        <v>1.38038906863688E-2</v>
      </c>
      <c r="U67" s="15">
        <v>0.97466891036436998</v>
      </c>
      <c r="V67" s="15">
        <v>0.97466891036436998</v>
      </c>
      <c r="W67" s="18">
        <v>1</v>
      </c>
    </row>
    <row r="68" spans="2:23" x14ac:dyDescent="0.2">
      <c r="B68" s="76" t="s">
        <v>3109</v>
      </c>
      <c r="C68" s="18" t="s">
        <v>2131</v>
      </c>
      <c r="D68" s="15">
        <v>2.7808247121311799E-3</v>
      </c>
      <c r="E68" s="15">
        <v>1.4076898820207601E-2</v>
      </c>
      <c r="F68" s="15">
        <v>0.84340939948668603</v>
      </c>
      <c r="G68" s="15">
        <v>0.99653379190677804</v>
      </c>
      <c r="H68" s="18">
        <v>1</v>
      </c>
      <c r="I68" s="15">
        <v>-1.6225621421043199E-2</v>
      </c>
      <c r="J68" s="15">
        <v>1.4023939467683299E-2</v>
      </c>
      <c r="K68" s="15">
        <v>0.24733412248460901</v>
      </c>
      <c r="L68" s="15">
        <v>0.60830824719187604</v>
      </c>
      <c r="M68" s="18">
        <v>1</v>
      </c>
      <c r="N68" s="15">
        <v>-7.0732775318441904E-3</v>
      </c>
      <c r="O68" s="15">
        <v>1.40116320603189E-2</v>
      </c>
      <c r="P68" s="15">
        <v>0.61371268805599999</v>
      </c>
      <c r="Q68" s="15">
        <v>0.90504021958853598</v>
      </c>
      <c r="R68" s="18">
        <v>1</v>
      </c>
      <c r="S68" s="15">
        <v>-1.2186059872319401E-3</v>
      </c>
      <c r="T68" s="15">
        <v>1.3959219096699499E-2</v>
      </c>
      <c r="U68" s="15">
        <v>0.930438696135516</v>
      </c>
      <c r="V68" s="15">
        <v>0.967178716610677</v>
      </c>
      <c r="W68" s="18">
        <v>1</v>
      </c>
    </row>
    <row r="69" spans="2:23" x14ac:dyDescent="0.2">
      <c r="B69" s="76" t="s">
        <v>3110</v>
      </c>
      <c r="C69" s="18" t="s">
        <v>1540</v>
      </c>
      <c r="D69" s="15">
        <v>-2.0910457393552798E-2</v>
      </c>
      <c r="E69" s="15">
        <v>1.36550334796974E-2</v>
      </c>
      <c r="F69" s="15">
        <v>0.12575472930826101</v>
      </c>
      <c r="G69" s="15">
        <v>0.48537483418377098</v>
      </c>
      <c r="H69" s="18">
        <v>1</v>
      </c>
      <c r="I69" s="15">
        <v>-1.47987629727267E-2</v>
      </c>
      <c r="J69" s="15">
        <v>1.35977056981509E-2</v>
      </c>
      <c r="K69" s="15">
        <v>0.27650811715457801</v>
      </c>
      <c r="L69" s="15">
        <v>0.60965743865607303</v>
      </c>
      <c r="M69" s="18">
        <v>1</v>
      </c>
      <c r="N69" s="15">
        <v>3.06137480900281E-3</v>
      </c>
      <c r="O69" s="15">
        <v>1.3582973264527501E-2</v>
      </c>
      <c r="P69" s="15">
        <v>0.82169115205841703</v>
      </c>
      <c r="Q69" s="15">
        <v>0.91752684958374497</v>
      </c>
      <c r="R69" s="18">
        <v>1</v>
      </c>
      <c r="S69" s="15">
        <v>-1.43248708375071E-2</v>
      </c>
      <c r="T69" s="15">
        <v>1.3533905398751401E-2</v>
      </c>
      <c r="U69" s="15">
        <v>0.28990885543217298</v>
      </c>
      <c r="V69" s="15">
        <v>0.96693680251300396</v>
      </c>
      <c r="W69" s="18">
        <v>1</v>
      </c>
    </row>
    <row r="70" spans="2:23" x14ac:dyDescent="0.2">
      <c r="B70" s="76" t="s">
        <v>3111</v>
      </c>
      <c r="C70" s="18" t="s">
        <v>2133</v>
      </c>
      <c r="D70" s="15">
        <v>2.53559941854688E-2</v>
      </c>
      <c r="E70" s="15">
        <v>1.42641013827373E-2</v>
      </c>
      <c r="F70" s="15">
        <v>7.5532566383749902E-2</v>
      </c>
      <c r="G70" s="15">
        <v>0.48537483418377098</v>
      </c>
      <c r="H70" s="18">
        <v>1</v>
      </c>
      <c r="I70" s="15">
        <v>2.9450547750703399E-2</v>
      </c>
      <c r="J70" s="15">
        <v>1.42038820143212E-2</v>
      </c>
      <c r="K70" s="15">
        <v>3.8188540636398101E-2</v>
      </c>
      <c r="L70" s="15">
        <v>0.24110144014328</v>
      </c>
      <c r="M70" s="18">
        <v>1</v>
      </c>
      <c r="N70" s="15">
        <v>-3.2579267645543399E-2</v>
      </c>
      <c r="O70" s="15">
        <v>1.41754895122214E-2</v>
      </c>
      <c r="P70" s="15">
        <v>2.1589445824307101E-2</v>
      </c>
      <c r="Q70" s="15">
        <v>0.39292791400238902</v>
      </c>
      <c r="R70" s="18">
        <v>1</v>
      </c>
      <c r="S70" s="15">
        <v>8.7968442553698397E-3</v>
      </c>
      <c r="T70" s="15">
        <v>1.4136371676795699E-2</v>
      </c>
      <c r="U70" s="15">
        <v>0.53378493464099297</v>
      </c>
      <c r="V70" s="15">
        <v>0.96693680251300396</v>
      </c>
      <c r="W70" s="18">
        <v>1</v>
      </c>
    </row>
    <row r="71" spans="2:23" x14ac:dyDescent="0.2">
      <c r="B71" s="76" t="s">
        <v>3112</v>
      </c>
      <c r="C71" s="18" t="s">
        <v>2136</v>
      </c>
      <c r="D71" s="15">
        <v>-2.1068371835284198E-2</v>
      </c>
      <c r="E71" s="15">
        <v>1.4047205852661599E-2</v>
      </c>
      <c r="F71" s="15">
        <v>0.13372598105473801</v>
      </c>
      <c r="G71" s="15">
        <v>0.48537483418377098</v>
      </c>
      <c r="H71" s="18">
        <v>1</v>
      </c>
      <c r="I71" s="15">
        <v>-1.7557448327695201E-2</v>
      </c>
      <c r="J71" s="15">
        <v>1.39971431267902E-2</v>
      </c>
      <c r="K71" s="15">
        <v>0.209774023463561</v>
      </c>
      <c r="L71" s="15">
        <v>0.58156529042903604</v>
      </c>
      <c r="M71" s="18">
        <v>1</v>
      </c>
      <c r="N71" s="15">
        <v>-7.9434027356148403E-3</v>
      </c>
      <c r="O71" s="15">
        <v>1.39737275953415E-2</v>
      </c>
      <c r="P71" s="15">
        <v>0.569754576518963</v>
      </c>
      <c r="Q71" s="15">
        <v>0.90504021958853598</v>
      </c>
      <c r="R71" s="18">
        <v>1</v>
      </c>
      <c r="S71" s="15">
        <v>-3.0178070442398199E-2</v>
      </c>
      <c r="T71" s="15">
        <v>1.39172896372239E-2</v>
      </c>
      <c r="U71" s="15">
        <v>3.0178803731496399E-2</v>
      </c>
      <c r="V71" s="15">
        <v>0.54925422791323497</v>
      </c>
      <c r="W71" s="18">
        <v>1</v>
      </c>
    </row>
    <row r="72" spans="2:23" x14ac:dyDescent="0.2">
      <c r="B72" s="76" t="s">
        <v>3113</v>
      </c>
      <c r="C72" s="18" t="s">
        <v>2134</v>
      </c>
      <c r="D72" s="15">
        <v>2.08047579877698E-2</v>
      </c>
      <c r="E72" s="15">
        <v>1.4118354150718101E-2</v>
      </c>
      <c r="F72" s="15">
        <v>0.140660434989204</v>
      </c>
      <c r="G72" s="15">
        <v>0.48537483418377098</v>
      </c>
      <c r="H72" s="18">
        <v>1</v>
      </c>
      <c r="I72" s="15">
        <v>-6.6292998928387898E-3</v>
      </c>
      <c r="J72" s="15">
        <v>1.407314810145E-2</v>
      </c>
      <c r="K72" s="15">
        <v>0.63762112085866496</v>
      </c>
      <c r="L72" s="15">
        <v>0.75245799403406899</v>
      </c>
      <c r="M72" s="18">
        <v>1</v>
      </c>
      <c r="N72" s="15">
        <v>7.8888858004492399E-3</v>
      </c>
      <c r="O72" s="15">
        <v>1.4048112247171E-2</v>
      </c>
      <c r="P72" s="15">
        <v>0.574442672515727</v>
      </c>
      <c r="Q72" s="15">
        <v>0.90504021958853598</v>
      </c>
      <c r="R72" s="18">
        <v>1</v>
      </c>
      <c r="S72" s="15">
        <v>4.6424055189029298E-3</v>
      </c>
      <c r="T72" s="15">
        <v>1.4001248693409201E-2</v>
      </c>
      <c r="U72" s="15">
        <v>0.74022883849665599</v>
      </c>
      <c r="V72" s="15">
        <v>0.96693680251300396</v>
      </c>
      <c r="W72" s="18">
        <v>1</v>
      </c>
    </row>
    <row r="73" spans="2:23" x14ac:dyDescent="0.2">
      <c r="B73" s="76" t="s">
        <v>3114</v>
      </c>
      <c r="C73" s="18" t="s">
        <v>2135</v>
      </c>
      <c r="D73" s="15">
        <v>-4.5238615958141E-3</v>
      </c>
      <c r="E73" s="15">
        <v>1.4155533495843999E-2</v>
      </c>
      <c r="F73" s="15">
        <v>0.749299181393285</v>
      </c>
      <c r="G73" s="15">
        <v>0.99653379190677804</v>
      </c>
      <c r="H73" s="18">
        <v>1</v>
      </c>
      <c r="I73" s="15">
        <v>-2.5777942569824599E-2</v>
      </c>
      <c r="J73" s="15">
        <v>1.4086031767061E-2</v>
      </c>
      <c r="K73" s="15">
        <v>6.7309713473361898E-2</v>
      </c>
      <c r="L73" s="15">
        <v>0.32237810137241701</v>
      </c>
      <c r="M73" s="18">
        <v>1</v>
      </c>
      <c r="N73" s="15">
        <v>3.6531258022782401E-3</v>
      </c>
      <c r="O73" s="15">
        <v>1.40731846992233E-2</v>
      </c>
      <c r="P73" s="15">
        <v>0.79519886145451402</v>
      </c>
      <c r="Q73" s="15">
        <v>0.91752684958374497</v>
      </c>
      <c r="R73" s="18">
        <v>1</v>
      </c>
      <c r="S73" s="15">
        <v>1.28816215730569E-2</v>
      </c>
      <c r="T73" s="15">
        <v>1.40235789578464E-2</v>
      </c>
      <c r="U73" s="15">
        <v>0.35836893457864</v>
      </c>
      <c r="V73" s="15">
        <v>0.96693680251300396</v>
      </c>
      <c r="W73" s="18">
        <v>1</v>
      </c>
    </row>
    <row r="74" spans="2:23" x14ac:dyDescent="0.2">
      <c r="B74" s="76" t="s">
        <v>3115</v>
      </c>
      <c r="C74" s="18" t="s">
        <v>2138</v>
      </c>
      <c r="D74" s="15">
        <v>-4.4379528763786001E-3</v>
      </c>
      <c r="E74" s="15">
        <v>1.3818955179860801E-2</v>
      </c>
      <c r="F74" s="15">
        <v>0.74811004329750097</v>
      </c>
      <c r="G74" s="15">
        <v>0.99653379190677804</v>
      </c>
      <c r="H74" s="18">
        <v>1</v>
      </c>
      <c r="I74" s="15">
        <v>1.3223841454385399E-2</v>
      </c>
      <c r="J74" s="15">
        <v>1.3754619281850001E-2</v>
      </c>
      <c r="K74" s="15">
        <v>0.33639084131337899</v>
      </c>
      <c r="L74" s="15">
        <v>0.65377709995214905</v>
      </c>
      <c r="M74" s="18">
        <v>1</v>
      </c>
      <c r="N74" s="15">
        <v>-1.1960001150075301E-2</v>
      </c>
      <c r="O74" s="15">
        <v>1.3739181302357999E-2</v>
      </c>
      <c r="P74" s="15">
        <v>0.38406614110385401</v>
      </c>
      <c r="Q74" s="15">
        <v>0.90504021958853598</v>
      </c>
      <c r="R74" s="18">
        <v>1</v>
      </c>
      <c r="S74" s="15">
        <v>9.1207955733130994E-3</v>
      </c>
      <c r="T74" s="15">
        <v>1.36928637124718E-2</v>
      </c>
      <c r="U74" s="15">
        <v>0.50537807150589298</v>
      </c>
      <c r="V74" s="15">
        <v>0.96693680251300396</v>
      </c>
      <c r="W74" s="18">
        <v>1</v>
      </c>
    </row>
    <row r="75" spans="2:23" x14ac:dyDescent="0.2">
      <c r="B75" s="76" t="s">
        <v>3116</v>
      </c>
      <c r="C75" s="18" t="s">
        <v>2137</v>
      </c>
      <c r="D75" s="15">
        <v>-1.7752482857588001E-2</v>
      </c>
      <c r="E75" s="15">
        <v>1.38257287544854E-2</v>
      </c>
      <c r="F75" s="15">
        <v>0.199200187393613</v>
      </c>
      <c r="G75" s="15">
        <v>0.62507645009720003</v>
      </c>
      <c r="H75" s="18">
        <v>1</v>
      </c>
      <c r="I75" s="15">
        <v>-3.0863330500633698E-3</v>
      </c>
      <c r="J75" s="15">
        <v>1.37644143007968E-2</v>
      </c>
      <c r="K75" s="15">
        <v>0.82259191622155803</v>
      </c>
      <c r="L75" s="15">
        <v>0.87041702762978801</v>
      </c>
      <c r="M75" s="18">
        <v>1</v>
      </c>
      <c r="N75" s="15">
        <v>-1.57636607340505E-2</v>
      </c>
      <c r="O75" s="15">
        <v>1.37538506994643E-2</v>
      </c>
      <c r="P75" s="15">
        <v>0.25180228434928198</v>
      </c>
      <c r="Q75" s="15">
        <v>0.76380026252615696</v>
      </c>
      <c r="R75" s="18">
        <v>1</v>
      </c>
      <c r="S75" s="15">
        <v>-2.1884261880021402E-2</v>
      </c>
      <c r="T75" s="15">
        <v>1.36979440056371E-2</v>
      </c>
      <c r="U75" s="15">
        <v>0.110193612842187</v>
      </c>
      <c r="V75" s="15">
        <v>0.96693680251300396</v>
      </c>
      <c r="W75" s="18">
        <v>1</v>
      </c>
    </row>
    <row r="76" spans="2:23" x14ac:dyDescent="0.2">
      <c r="B76" s="76" t="s">
        <v>3117</v>
      </c>
      <c r="C76" s="18" t="s">
        <v>1541</v>
      </c>
      <c r="D76" s="15">
        <v>2.83098703883213E-2</v>
      </c>
      <c r="E76" s="15">
        <v>1.3434064620598001E-2</v>
      </c>
      <c r="F76" s="15">
        <v>3.51427995432761E-2</v>
      </c>
      <c r="G76" s="15">
        <v>0.48537483418377098</v>
      </c>
      <c r="H76" s="18">
        <v>1</v>
      </c>
      <c r="I76" s="15">
        <v>-3.0643938094102198E-4</v>
      </c>
      <c r="J76" s="15">
        <v>1.3389764793026801E-2</v>
      </c>
      <c r="K76" s="15">
        <v>0.98174212240889003</v>
      </c>
      <c r="L76" s="15">
        <v>0.98174212240889003</v>
      </c>
      <c r="M76" s="18">
        <v>1</v>
      </c>
      <c r="N76" s="15">
        <v>-1.7615018568875498E-2</v>
      </c>
      <c r="O76" s="15">
        <v>1.3367632842111701E-2</v>
      </c>
      <c r="P76" s="15">
        <v>0.18765632318494799</v>
      </c>
      <c r="Q76" s="15">
        <v>0.72744802076840298</v>
      </c>
      <c r="R76" s="18">
        <v>1</v>
      </c>
      <c r="S76" s="15">
        <v>7.2062156788409498E-3</v>
      </c>
      <c r="T76" s="15">
        <v>1.3325300412788101E-2</v>
      </c>
      <c r="U76" s="15">
        <v>0.58867665967327598</v>
      </c>
      <c r="V76" s="15">
        <v>0.96693680251300396</v>
      </c>
      <c r="W76" s="18">
        <v>1</v>
      </c>
    </row>
    <row r="77" spans="2:23" x14ac:dyDescent="0.2">
      <c r="B77" s="76" t="s">
        <v>3118</v>
      </c>
      <c r="C77" s="18" t="s">
        <v>2141</v>
      </c>
      <c r="D77" s="15">
        <v>-8.0383240590984901E-4</v>
      </c>
      <c r="E77" s="15">
        <v>1.3958312969895401E-2</v>
      </c>
      <c r="F77" s="15">
        <v>0.95407922340177898</v>
      </c>
      <c r="G77" s="15">
        <v>0.99653379190677804</v>
      </c>
      <c r="H77" s="18">
        <v>1</v>
      </c>
      <c r="I77" s="15">
        <v>3.0456952927729899E-2</v>
      </c>
      <c r="J77" s="15">
        <v>1.3895089194429701E-2</v>
      </c>
      <c r="K77" s="15">
        <v>2.84353492768964E-2</v>
      </c>
      <c r="L77" s="15">
        <v>0.23523788947250601</v>
      </c>
      <c r="M77" s="18">
        <v>1</v>
      </c>
      <c r="N77" s="15">
        <v>3.5481010441074301E-3</v>
      </c>
      <c r="O77" s="15">
        <v>1.38834796583113E-2</v>
      </c>
      <c r="P77" s="15">
        <v>0.79829979940964102</v>
      </c>
      <c r="Q77" s="15">
        <v>0.91752684958374497</v>
      </c>
      <c r="R77" s="18">
        <v>1</v>
      </c>
      <c r="S77" s="15">
        <v>-5.5418668670498099E-3</v>
      </c>
      <c r="T77" s="15">
        <v>1.38397470389004E-2</v>
      </c>
      <c r="U77" s="15">
        <v>0.68885735005318305</v>
      </c>
      <c r="V77" s="15">
        <v>0.96693680251300396</v>
      </c>
      <c r="W77" s="18">
        <v>1</v>
      </c>
    </row>
    <row r="78" spans="2:23" x14ac:dyDescent="0.2">
      <c r="B78" s="76" t="s">
        <v>3119</v>
      </c>
      <c r="C78" s="18" t="s">
        <v>2139</v>
      </c>
      <c r="D78" s="15">
        <v>-3.8609086366417299E-3</v>
      </c>
      <c r="E78" s="15">
        <v>1.4154903143988099E-2</v>
      </c>
      <c r="F78" s="15">
        <v>0.78504878608846695</v>
      </c>
      <c r="G78" s="15">
        <v>0.99653379190677804</v>
      </c>
      <c r="H78" s="18">
        <v>1</v>
      </c>
      <c r="I78" s="15">
        <v>5.7191013610224601E-3</v>
      </c>
      <c r="J78" s="15">
        <v>1.4118954546248799E-2</v>
      </c>
      <c r="K78" s="15">
        <v>0.68544808875214702</v>
      </c>
      <c r="L78" s="15">
        <v>0.76958836487521398</v>
      </c>
      <c r="M78" s="18">
        <v>1</v>
      </c>
      <c r="N78" s="15">
        <v>-2.74646627060319E-3</v>
      </c>
      <c r="O78" s="15">
        <v>1.4089287601394799E-2</v>
      </c>
      <c r="P78" s="15">
        <v>0.84545390166416701</v>
      </c>
      <c r="Q78" s="15">
        <v>0.91752684958374497</v>
      </c>
      <c r="R78" s="18">
        <v>1</v>
      </c>
      <c r="S78" s="15">
        <v>-5.2933182277051299E-3</v>
      </c>
      <c r="T78" s="15">
        <v>1.40453682539824E-2</v>
      </c>
      <c r="U78" s="15">
        <v>0.70628511465501798</v>
      </c>
      <c r="V78" s="15">
        <v>0.96693680251300396</v>
      </c>
      <c r="W78" s="18">
        <v>1</v>
      </c>
    </row>
    <row r="79" spans="2:23" x14ac:dyDescent="0.2">
      <c r="B79" s="76" t="s">
        <v>3120</v>
      </c>
      <c r="C79" s="18" t="s">
        <v>2140</v>
      </c>
      <c r="D79" s="15">
        <v>-2.3118426320784999E-3</v>
      </c>
      <c r="E79" s="15">
        <v>1.4269408523767299E-2</v>
      </c>
      <c r="F79" s="15">
        <v>0.87130177925128105</v>
      </c>
      <c r="G79" s="15">
        <v>0.99653379190677804</v>
      </c>
      <c r="H79" s="18">
        <v>1</v>
      </c>
      <c r="I79" s="15">
        <v>-1.31858421545532E-2</v>
      </c>
      <c r="J79" s="15">
        <v>1.42145836466923E-2</v>
      </c>
      <c r="K79" s="15">
        <v>0.35364831799117502</v>
      </c>
      <c r="L79" s="15">
        <v>0.65677544769789697</v>
      </c>
      <c r="M79" s="18">
        <v>1</v>
      </c>
      <c r="N79" s="15">
        <v>-4.6407758213712503E-3</v>
      </c>
      <c r="O79" s="15">
        <v>1.41857887077849E-2</v>
      </c>
      <c r="P79" s="15">
        <v>0.74357448246931102</v>
      </c>
      <c r="Q79" s="15">
        <v>0.91752684958374497</v>
      </c>
      <c r="R79" s="18">
        <v>1</v>
      </c>
      <c r="S79" s="15">
        <v>1.14002412554642E-2</v>
      </c>
      <c r="T79" s="15">
        <v>1.4142301171705699E-2</v>
      </c>
      <c r="U79" s="15">
        <v>0.42022009631200002</v>
      </c>
      <c r="V79" s="15">
        <v>0.96693680251300396</v>
      </c>
      <c r="W79" s="18">
        <v>1</v>
      </c>
    </row>
    <row r="80" spans="2:23" x14ac:dyDescent="0.2">
      <c r="B80" s="76" t="s">
        <v>3121</v>
      </c>
      <c r="C80" s="18" t="s">
        <v>2143</v>
      </c>
      <c r="D80" s="15">
        <v>2.0929674433906399E-2</v>
      </c>
      <c r="E80" s="15">
        <v>1.4157344014428501E-2</v>
      </c>
      <c r="F80" s="15">
        <v>0.13937718197586199</v>
      </c>
      <c r="G80" s="15">
        <v>0.48537483418377098</v>
      </c>
      <c r="H80" s="18">
        <v>1</v>
      </c>
      <c r="I80" s="15">
        <v>-4.6617654427731203E-3</v>
      </c>
      <c r="J80" s="15">
        <v>1.41141198771573E-2</v>
      </c>
      <c r="K80" s="15">
        <v>0.74119487199052103</v>
      </c>
      <c r="L80" s="15">
        <v>0.80296111132306502</v>
      </c>
      <c r="M80" s="18">
        <v>1</v>
      </c>
      <c r="N80" s="15">
        <v>9.7924252406971397E-3</v>
      </c>
      <c r="O80" s="15">
        <v>1.40890154051418E-2</v>
      </c>
      <c r="P80" s="15">
        <v>0.48706435158412498</v>
      </c>
      <c r="Q80" s="15">
        <v>0.90504021958853598</v>
      </c>
      <c r="R80" s="18">
        <v>1</v>
      </c>
      <c r="S80" s="15">
        <v>2.1864294737088102E-3</v>
      </c>
      <c r="T80" s="15">
        <v>1.40435628521479E-2</v>
      </c>
      <c r="U80" s="15">
        <v>0.87628469848002</v>
      </c>
      <c r="V80" s="15">
        <v>0.96693680251300396</v>
      </c>
      <c r="W80" s="18">
        <v>1</v>
      </c>
    </row>
    <row r="81" spans="2:23" x14ac:dyDescent="0.2">
      <c r="B81" s="76" t="s">
        <v>3122</v>
      </c>
      <c r="C81" s="18" t="s">
        <v>2142</v>
      </c>
      <c r="D81" s="15">
        <v>-1.5346039294708701E-2</v>
      </c>
      <c r="E81" s="15">
        <v>1.3939620732966101E-2</v>
      </c>
      <c r="F81" s="15">
        <v>0.27100051672386299</v>
      </c>
      <c r="G81" s="15">
        <v>0.70650948021228199</v>
      </c>
      <c r="H81" s="18">
        <v>1</v>
      </c>
      <c r="I81" s="15">
        <v>-5.9205616405891897E-3</v>
      </c>
      <c r="J81" s="15">
        <v>1.3887403929633E-2</v>
      </c>
      <c r="K81" s="15">
        <v>0.66989056373526301</v>
      </c>
      <c r="L81" s="15">
        <v>0.762000516248862</v>
      </c>
      <c r="M81" s="18">
        <v>1</v>
      </c>
      <c r="N81" s="15">
        <v>1.88009301190688E-2</v>
      </c>
      <c r="O81" s="15">
        <v>1.3866913827674901E-2</v>
      </c>
      <c r="P81" s="15">
        <v>0.17522563157542201</v>
      </c>
      <c r="Q81" s="15">
        <v>0.72744802076840298</v>
      </c>
      <c r="R81" s="18">
        <v>1</v>
      </c>
      <c r="S81" s="15">
        <v>6.6709180252134299E-3</v>
      </c>
      <c r="T81" s="15">
        <v>1.3819723653663201E-2</v>
      </c>
      <c r="U81" s="15">
        <v>0.62932464358608498</v>
      </c>
      <c r="V81" s="15">
        <v>0.96693680251300396</v>
      </c>
      <c r="W81" s="18">
        <v>1</v>
      </c>
    </row>
    <row r="82" spans="2:23" x14ac:dyDescent="0.2">
      <c r="B82" s="76" t="s">
        <v>3123</v>
      </c>
      <c r="C82" s="18" t="s">
        <v>1544</v>
      </c>
      <c r="D82" s="15">
        <v>-1.10581997963523E-2</v>
      </c>
      <c r="E82" s="15">
        <v>1.42225419116797E-2</v>
      </c>
      <c r="F82" s="15">
        <v>0.43689582882980699</v>
      </c>
      <c r="G82" s="15">
        <v>0.88350045385583198</v>
      </c>
      <c r="H82" s="18">
        <v>1</v>
      </c>
      <c r="I82" s="15">
        <v>-9.0941998692370407E-3</v>
      </c>
      <c r="J82" s="15">
        <v>1.4170258396683301E-2</v>
      </c>
      <c r="K82" s="15">
        <v>0.52104729351145695</v>
      </c>
      <c r="L82" s="15">
        <v>0.74692145123734699</v>
      </c>
      <c r="M82" s="18">
        <v>1</v>
      </c>
      <c r="N82" s="15">
        <v>-1.9027971131298799E-2</v>
      </c>
      <c r="O82" s="15">
        <v>1.41498297736694E-2</v>
      </c>
      <c r="P82" s="15">
        <v>0.17877135906019601</v>
      </c>
      <c r="Q82" s="15">
        <v>0.72744802076840298</v>
      </c>
      <c r="R82" s="18">
        <v>1</v>
      </c>
      <c r="S82" s="15">
        <v>-9.5988404589796295E-3</v>
      </c>
      <c r="T82" s="15">
        <v>1.41039414579849E-2</v>
      </c>
      <c r="U82" s="15">
        <v>0.496171753709093</v>
      </c>
      <c r="V82" s="15">
        <v>0.96693680251300396</v>
      </c>
      <c r="W82" s="18">
        <v>1</v>
      </c>
    </row>
    <row r="83" spans="2:23" x14ac:dyDescent="0.2">
      <c r="B83" s="76" t="s">
        <v>3124</v>
      </c>
      <c r="C83" s="18" t="s">
        <v>2149</v>
      </c>
      <c r="D83" s="15">
        <v>1.21834057563393E-2</v>
      </c>
      <c r="E83" s="15">
        <v>1.4209491519402701E-2</v>
      </c>
      <c r="F83" s="15">
        <v>0.39126117837876301</v>
      </c>
      <c r="G83" s="15">
        <v>0.84773255315398599</v>
      </c>
      <c r="H83" s="18">
        <v>1</v>
      </c>
      <c r="I83" s="15">
        <v>-2.8692734122840499E-2</v>
      </c>
      <c r="J83" s="15">
        <v>1.41676153082489E-2</v>
      </c>
      <c r="K83" s="15">
        <v>4.2901852255443899E-2</v>
      </c>
      <c r="L83" s="15">
        <v>0.24110144014328</v>
      </c>
      <c r="M83" s="18">
        <v>1</v>
      </c>
      <c r="N83" s="15">
        <v>7.0750428886268103E-3</v>
      </c>
      <c r="O83" s="15">
        <v>1.4144674381635299E-2</v>
      </c>
      <c r="P83" s="15">
        <v>0.61696431003497698</v>
      </c>
      <c r="Q83" s="15">
        <v>0.90504021958853598</v>
      </c>
      <c r="R83" s="18">
        <v>1</v>
      </c>
      <c r="S83" s="15">
        <v>1.5674761355688099E-2</v>
      </c>
      <c r="T83" s="15">
        <v>1.4097696901679601E-2</v>
      </c>
      <c r="U83" s="15">
        <v>0.26625337275945898</v>
      </c>
      <c r="V83" s="15">
        <v>0.96693680251300396</v>
      </c>
      <c r="W83" s="18">
        <v>1</v>
      </c>
    </row>
    <row r="84" spans="2:23" x14ac:dyDescent="0.2">
      <c r="B84" s="76" t="s">
        <v>3125</v>
      </c>
      <c r="C84" s="18" t="s">
        <v>2150</v>
      </c>
      <c r="D84" s="15">
        <v>5.8948077575257801E-3</v>
      </c>
      <c r="E84" s="15">
        <v>1.4237660336917301E-2</v>
      </c>
      <c r="F84" s="15">
        <v>0.67886995120504701</v>
      </c>
      <c r="G84" s="15">
        <v>0.99653379190677804</v>
      </c>
      <c r="H84" s="18">
        <v>1</v>
      </c>
      <c r="I84" s="15">
        <v>-1.06828468589211E-2</v>
      </c>
      <c r="J84" s="15">
        <v>1.41743361176797E-2</v>
      </c>
      <c r="K84" s="15">
        <v>0.45107871883813699</v>
      </c>
      <c r="L84" s="15">
        <v>0.74692145123734699</v>
      </c>
      <c r="M84" s="18">
        <v>1</v>
      </c>
      <c r="N84" s="15">
        <v>-2.1864163792836401E-3</v>
      </c>
      <c r="O84" s="15">
        <v>1.4148591759294201E-2</v>
      </c>
      <c r="P84" s="15">
        <v>0.87719599905259205</v>
      </c>
      <c r="Q84" s="15">
        <v>0.91752684958374497</v>
      </c>
      <c r="R84" s="18">
        <v>1</v>
      </c>
      <c r="S84" s="15">
        <v>3.2080547382261899E-3</v>
      </c>
      <c r="T84" s="15">
        <v>1.41101275024263E-2</v>
      </c>
      <c r="U84" s="15">
        <v>0.82015419627350405</v>
      </c>
      <c r="V84" s="15">
        <v>0.96693680251300396</v>
      </c>
      <c r="W84" s="18">
        <v>1</v>
      </c>
    </row>
    <row r="85" spans="2:23" x14ac:dyDescent="0.2">
      <c r="B85" s="76" t="s">
        <v>3126</v>
      </c>
      <c r="C85" s="18" t="s">
        <v>2152</v>
      </c>
      <c r="D85" s="15">
        <v>7.7403832181634899E-3</v>
      </c>
      <c r="E85" s="15">
        <v>1.4092623138170101E-2</v>
      </c>
      <c r="F85" s="15">
        <v>0.582860172444716</v>
      </c>
      <c r="G85" s="15">
        <v>0.98222732763831799</v>
      </c>
      <c r="H85" s="18">
        <v>1</v>
      </c>
      <c r="I85" s="15">
        <v>6.46678957415351E-3</v>
      </c>
      <c r="J85" s="15">
        <v>1.40338167752541E-2</v>
      </c>
      <c r="K85" s="15">
        <v>0.64496399488634504</v>
      </c>
      <c r="L85" s="15">
        <v>0.75245799403406899</v>
      </c>
      <c r="M85" s="18">
        <v>1</v>
      </c>
      <c r="N85" s="15">
        <v>-1.9638313243387301E-2</v>
      </c>
      <c r="O85" s="15">
        <v>1.40013146629724E-2</v>
      </c>
      <c r="P85" s="15">
        <v>0.160803105542589</v>
      </c>
      <c r="Q85" s="15">
        <v>0.72744802076840298</v>
      </c>
      <c r="R85" s="18">
        <v>1</v>
      </c>
      <c r="S85" s="15">
        <v>3.01768546672114E-3</v>
      </c>
      <c r="T85" s="15">
        <v>1.3966645222342E-2</v>
      </c>
      <c r="U85" s="15">
        <v>0.82894770187092803</v>
      </c>
      <c r="V85" s="15">
        <v>0.96693680251300396</v>
      </c>
      <c r="W85" s="18">
        <v>1</v>
      </c>
    </row>
    <row r="86" spans="2:23" x14ac:dyDescent="0.2">
      <c r="B86" s="76" t="s">
        <v>3127</v>
      </c>
      <c r="C86" s="18" t="s">
        <v>2151</v>
      </c>
      <c r="D86" s="15">
        <v>-2.3019497713274599E-2</v>
      </c>
      <c r="E86" s="15">
        <v>1.3981521536764401E-2</v>
      </c>
      <c r="F86" s="15">
        <v>9.9744527139198194E-2</v>
      </c>
      <c r="G86" s="15">
        <v>0.48537483418377098</v>
      </c>
      <c r="H86" s="18">
        <v>1</v>
      </c>
      <c r="I86" s="15">
        <v>-3.8416247644698802E-2</v>
      </c>
      <c r="J86" s="15">
        <v>1.39194391819689E-2</v>
      </c>
      <c r="K86" s="15">
        <v>5.8050046070822698E-3</v>
      </c>
      <c r="L86" s="15">
        <v>0.11572697074712</v>
      </c>
      <c r="M86" s="18">
        <v>0.52825541924448605</v>
      </c>
      <c r="N86" s="15">
        <v>8.0470945705420193E-3</v>
      </c>
      <c r="O86" s="15">
        <v>1.3919373121118701E-2</v>
      </c>
      <c r="P86" s="15">
        <v>0.56320997113971705</v>
      </c>
      <c r="Q86" s="15">
        <v>0.90504021958853598</v>
      </c>
      <c r="R86" s="18">
        <v>1</v>
      </c>
      <c r="S86" s="15">
        <v>-1.19724647115093E-2</v>
      </c>
      <c r="T86" s="15">
        <v>1.3867948723482701E-2</v>
      </c>
      <c r="U86" s="15">
        <v>0.38800669862638998</v>
      </c>
      <c r="V86" s="15">
        <v>0.96693680251300396</v>
      </c>
      <c r="W86" s="18">
        <v>1</v>
      </c>
    </row>
    <row r="87" spans="2:23" x14ac:dyDescent="0.2">
      <c r="B87" s="76" t="s">
        <v>3128</v>
      </c>
      <c r="C87" s="18" t="s">
        <v>1542</v>
      </c>
      <c r="D87" s="15">
        <v>9.5196660813398008E-3</v>
      </c>
      <c r="E87" s="15">
        <v>1.4167261893734901E-2</v>
      </c>
      <c r="F87" s="15">
        <v>0.50164937489862205</v>
      </c>
      <c r="G87" s="15">
        <v>0.943276829957303</v>
      </c>
      <c r="H87" s="18">
        <v>1</v>
      </c>
      <c r="I87" s="15">
        <v>9.5728793160950697E-3</v>
      </c>
      <c r="J87" s="15">
        <v>1.4135120122134E-2</v>
      </c>
      <c r="K87" s="15">
        <v>0.49828660990111001</v>
      </c>
      <c r="L87" s="15">
        <v>0.74692145123734699</v>
      </c>
      <c r="M87" s="18">
        <v>1</v>
      </c>
      <c r="N87" s="15">
        <v>2.85102966293076E-2</v>
      </c>
      <c r="O87" s="15">
        <v>1.4099746426951699E-2</v>
      </c>
      <c r="P87" s="15">
        <v>4.3227825691982399E-2</v>
      </c>
      <c r="Q87" s="15">
        <v>0.56196173399577198</v>
      </c>
      <c r="R87" s="18">
        <v>1</v>
      </c>
      <c r="S87" s="15">
        <v>-2.3534149777622399E-3</v>
      </c>
      <c r="T87" s="15">
        <v>1.4060018239762301E-2</v>
      </c>
      <c r="U87" s="15">
        <v>0.86707542899607504</v>
      </c>
      <c r="V87" s="15">
        <v>0.96693680251300396</v>
      </c>
      <c r="W87" s="18">
        <v>1</v>
      </c>
    </row>
    <row r="88" spans="2:23" x14ac:dyDescent="0.2">
      <c r="B88" s="76" t="s">
        <v>3129</v>
      </c>
      <c r="C88" s="18" t="s">
        <v>2144</v>
      </c>
      <c r="D88" s="15">
        <v>-6.2285914027229695E-4</v>
      </c>
      <c r="E88" s="15">
        <v>1.41291810273842E-2</v>
      </c>
      <c r="F88" s="15">
        <v>0.96483999500532203</v>
      </c>
      <c r="G88" s="15">
        <v>0.99653379190677804</v>
      </c>
      <c r="H88" s="18">
        <v>1</v>
      </c>
      <c r="I88" s="15">
        <v>1.76285367155651E-2</v>
      </c>
      <c r="J88" s="15">
        <v>1.40884401412248E-2</v>
      </c>
      <c r="K88" s="15">
        <v>0.21089730312261701</v>
      </c>
      <c r="L88" s="15">
        <v>0.58156529042903604</v>
      </c>
      <c r="M88" s="18">
        <v>1</v>
      </c>
      <c r="N88" s="15">
        <v>1.36859683935312E-2</v>
      </c>
      <c r="O88" s="15">
        <v>1.40665210108198E-2</v>
      </c>
      <c r="P88" s="15">
        <v>0.330630660150178</v>
      </c>
      <c r="Q88" s="15">
        <v>0.90504021958853598</v>
      </c>
      <c r="R88" s="18">
        <v>1</v>
      </c>
      <c r="S88" s="15">
        <v>4.0411185418217999E-3</v>
      </c>
      <c r="T88" s="15">
        <v>1.40227217573844E-2</v>
      </c>
      <c r="U88" s="15">
        <v>0.77321900845660896</v>
      </c>
      <c r="V88" s="15">
        <v>0.96693680251300396</v>
      </c>
      <c r="W88" s="18">
        <v>1</v>
      </c>
    </row>
    <row r="89" spans="2:23" x14ac:dyDescent="0.2">
      <c r="B89" s="76" t="s">
        <v>3130</v>
      </c>
      <c r="C89" s="18" t="s">
        <v>2146</v>
      </c>
      <c r="D89" s="15">
        <v>4.7814263687706599E-3</v>
      </c>
      <c r="E89" s="15">
        <v>1.40514601693315E-2</v>
      </c>
      <c r="F89" s="15">
        <v>0.73366077088892501</v>
      </c>
      <c r="G89" s="15">
        <v>0.99653379190677804</v>
      </c>
      <c r="H89" s="18">
        <v>1</v>
      </c>
      <c r="I89" s="15">
        <v>3.3947252130382001E-2</v>
      </c>
      <c r="J89" s="15">
        <v>1.4017403649635E-2</v>
      </c>
      <c r="K89" s="15">
        <v>1.5481219479533201E-2</v>
      </c>
      <c r="L89" s="15">
        <v>0.15109494866714199</v>
      </c>
      <c r="M89" s="18">
        <v>1</v>
      </c>
      <c r="N89" s="15">
        <v>-7.3242570445260701E-3</v>
      </c>
      <c r="O89" s="15">
        <v>1.3990990242320599E-2</v>
      </c>
      <c r="P89" s="15">
        <v>0.60065171961507502</v>
      </c>
      <c r="Q89" s="15">
        <v>0.90504021958853598</v>
      </c>
      <c r="R89" s="18">
        <v>1</v>
      </c>
      <c r="S89" s="15">
        <v>-3.7561712166286599E-3</v>
      </c>
      <c r="T89" s="15">
        <v>1.3944476234611E-2</v>
      </c>
      <c r="U89" s="15">
        <v>0.78765938637667998</v>
      </c>
      <c r="V89" s="15">
        <v>0.96693680251300396</v>
      </c>
      <c r="W89" s="18">
        <v>1</v>
      </c>
    </row>
    <row r="90" spans="2:23" x14ac:dyDescent="0.2">
      <c r="B90" s="76" t="s">
        <v>3131</v>
      </c>
      <c r="C90" s="18" t="s">
        <v>2145</v>
      </c>
      <c r="D90" s="15">
        <v>-2.0566189625876299E-3</v>
      </c>
      <c r="E90" s="15">
        <v>1.4154556513877E-2</v>
      </c>
      <c r="F90" s="15">
        <v>0.88448250087172597</v>
      </c>
      <c r="G90" s="15">
        <v>0.99653379190677804</v>
      </c>
      <c r="H90" s="18">
        <v>1</v>
      </c>
      <c r="I90" s="15">
        <v>-2.2042496229777099E-3</v>
      </c>
      <c r="J90" s="15">
        <v>1.41207385348506E-2</v>
      </c>
      <c r="K90" s="15">
        <v>0.875961018409951</v>
      </c>
      <c r="L90" s="15">
        <v>0.90582332585574499</v>
      </c>
      <c r="M90" s="18">
        <v>1</v>
      </c>
      <c r="N90" s="15">
        <v>2.7766606766524101E-3</v>
      </c>
      <c r="O90" s="15">
        <v>1.4091969065142901E-2</v>
      </c>
      <c r="P90" s="15">
        <v>0.84380610156571501</v>
      </c>
      <c r="Q90" s="15">
        <v>0.91752684958374497</v>
      </c>
      <c r="R90" s="18">
        <v>1</v>
      </c>
      <c r="S90" s="15">
        <v>-5.1813409916756899E-3</v>
      </c>
      <c r="T90" s="15">
        <v>1.4046784282029399E-2</v>
      </c>
      <c r="U90" s="15">
        <v>0.71224666581557305</v>
      </c>
      <c r="V90" s="15">
        <v>0.96693680251300396</v>
      </c>
      <c r="W90" s="18">
        <v>1</v>
      </c>
    </row>
    <row r="91" spans="2:23" x14ac:dyDescent="0.2">
      <c r="B91" s="76" t="s">
        <v>3132</v>
      </c>
      <c r="C91" s="18" t="s">
        <v>1543</v>
      </c>
      <c r="D91" s="15">
        <v>2.49099682792981E-2</v>
      </c>
      <c r="E91" s="15">
        <v>1.41271605567218E-2</v>
      </c>
      <c r="F91" s="15">
        <v>7.7918614254166796E-2</v>
      </c>
      <c r="G91" s="15">
        <v>0.48537483418377098</v>
      </c>
      <c r="H91" s="18">
        <v>1</v>
      </c>
      <c r="I91" s="15">
        <v>4.5425952295960803E-2</v>
      </c>
      <c r="J91" s="15">
        <v>1.40739296933794E-2</v>
      </c>
      <c r="K91" s="15">
        <v>1.2564702959685899E-3</v>
      </c>
      <c r="L91" s="15">
        <v>6.18043437730098E-2</v>
      </c>
      <c r="M91" s="18">
        <v>0.114338796933142</v>
      </c>
      <c r="N91" s="15">
        <v>-1.9853091606749199E-2</v>
      </c>
      <c r="O91" s="15">
        <v>1.4057469233669399E-2</v>
      </c>
      <c r="P91" s="15">
        <v>0.15793176833431999</v>
      </c>
      <c r="Q91" s="15">
        <v>0.72744802076840298</v>
      </c>
      <c r="R91" s="18">
        <v>1</v>
      </c>
      <c r="S91" s="15">
        <v>-2.7866722589758201E-2</v>
      </c>
      <c r="T91" s="15">
        <v>1.4006686470289E-2</v>
      </c>
      <c r="U91" s="15">
        <v>4.6699068850223999E-2</v>
      </c>
      <c r="V91" s="15">
        <v>0.70826921089506401</v>
      </c>
      <c r="W91" s="18">
        <v>1</v>
      </c>
    </row>
    <row r="92" spans="2:23" x14ac:dyDescent="0.2">
      <c r="B92" s="76" t="s">
        <v>3133</v>
      </c>
      <c r="C92" s="18" t="s">
        <v>2148</v>
      </c>
      <c r="D92" s="15">
        <v>-1.16312263641393E-2</v>
      </c>
      <c r="E92" s="15">
        <v>1.42010666586937E-2</v>
      </c>
      <c r="F92" s="15">
        <v>0.41280697631428098</v>
      </c>
      <c r="G92" s="15">
        <v>0.85375988283180804</v>
      </c>
      <c r="H92" s="18">
        <v>1</v>
      </c>
      <c r="I92" s="15">
        <v>1.5910470348651201E-2</v>
      </c>
      <c r="J92" s="15">
        <v>1.41452682810319E-2</v>
      </c>
      <c r="K92" s="15">
        <v>0.260737800098372</v>
      </c>
      <c r="L92" s="15">
        <v>0.60965743865607303</v>
      </c>
      <c r="M92" s="18">
        <v>1</v>
      </c>
      <c r="N92" s="15">
        <v>-1.18151165565679E-2</v>
      </c>
      <c r="O92" s="15">
        <v>1.41290329021101E-2</v>
      </c>
      <c r="P92" s="15">
        <v>0.40306968280402</v>
      </c>
      <c r="Q92" s="15">
        <v>0.90504021958853598</v>
      </c>
      <c r="R92" s="18">
        <v>1</v>
      </c>
      <c r="S92" s="15">
        <v>-5.9624559042383502E-3</v>
      </c>
      <c r="T92" s="15">
        <v>1.4083821784478E-2</v>
      </c>
      <c r="U92" s="15">
        <v>0.67205625595813201</v>
      </c>
      <c r="V92" s="15">
        <v>0.96693680251300396</v>
      </c>
      <c r="W92" s="18">
        <v>1</v>
      </c>
    </row>
    <row r="93" spans="2:23" x14ac:dyDescent="0.2">
      <c r="B93" s="76" t="s">
        <v>3134</v>
      </c>
      <c r="C93" s="18" t="s">
        <v>2147</v>
      </c>
      <c r="D93" s="15">
        <v>-6.1632769835941002E-5</v>
      </c>
      <c r="E93" s="15">
        <v>1.41863835151465E-2</v>
      </c>
      <c r="F93" s="15">
        <v>0.99653379190677804</v>
      </c>
      <c r="G93" s="15">
        <v>0.99653379190677804</v>
      </c>
      <c r="H93" s="18">
        <v>1</v>
      </c>
      <c r="I93" s="15">
        <v>-9.06865543264114E-3</v>
      </c>
      <c r="J93" s="15">
        <v>1.4126842157104399E-2</v>
      </c>
      <c r="K93" s="15">
        <v>0.52094213967442404</v>
      </c>
      <c r="L93" s="15">
        <v>0.74692145123734699</v>
      </c>
      <c r="M93" s="18">
        <v>1</v>
      </c>
      <c r="N93" s="15">
        <v>3.4874404632351599E-2</v>
      </c>
      <c r="O93" s="15">
        <v>1.4106437786842001E-2</v>
      </c>
      <c r="P93" s="15">
        <v>1.34645263701978E-2</v>
      </c>
      <c r="Q93" s="15">
        <v>0.39292791400238902</v>
      </c>
      <c r="R93" s="18">
        <v>1</v>
      </c>
      <c r="S93" s="15">
        <v>1.8236455182744901E-2</v>
      </c>
      <c r="T93" s="15">
        <v>1.4063360535954399E-2</v>
      </c>
      <c r="U93" s="15">
        <v>0.19478796615811</v>
      </c>
      <c r="V93" s="15">
        <v>0.96693680251300396</v>
      </c>
      <c r="W93" s="18">
        <v>1</v>
      </c>
    </row>
    <row r="94" spans="2:23" x14ac:dyDescent="0.2">
      <c r="B94" s="76" t="s">
        <v>3135</v>
      </c>
      <c r="C94" s="18" t="s">
        <v>1546</v>
      </c>
      <c r="D94" s="15">
        <v>2.7926118347648202E-2</v>
      </c>
      <c r="E94" s="15">
        <v>1.3577838087584599E-2</v>
      </c>
      <c r="F94" s="15">
        <v>3.97651187628962E-2</v>
      </c>
      <c r="G94" s="15">
        <v>0.48537483418377098</v>
      </c>
      <c r="H94" s="18">
        <v>1</v>
      </c>
      <c r="I94" s="15">
        <v>-1.7834738170367698E-2</v>
      </c>
      <c r="J94" s="15">
        <v>1.35398095200883E-2</v>
      </c>
      <c r="K94" s="15">
        <v>0.187832924565693</v>
      </c>
      <c r="L94" s="15">
        <v>0.58156529042903604</v>
      </c>
      <c r="M94" s="18">
        <v>1</v>
      </c>
      <c r="N94" s="15">
        <v>6.5762422540040803E-3</v>
      </c>
      <c r="O94" s="15">
        <v>1.35147644198121E-2</v>
      </c>
      <c r="P94" s="15">
        <v>0.62656630586898698</v>
      </c>
      <c r="Q94" s="15">
        <v>0.90504021958853598</v>
      </c>
      <c r="R94" s="18">
        <v>1</v>
      </c>
      <c r="S94" s="15">
        <v>-1.1789227258962601E-2</v>
      </c>
      <c r="T94" s="15">
        <v>1.34684851533107E-2</v>
      </c>
      <c r="U94" s="15">
        <v>0.38144402248384002</v>
      </c>
      <c r="V94" s="15">
        <v>0.96693680251300396</v>
      </c>
      <c r="W94" s="18">
        <v>1</v>
      </c>
    </row>
    <row r="95" spans="2:23" x14ac:dyDescent="0.2">
      <c r="B95" s="76" t="s">
        <v>3136</v>
      </c>
      <c r="C95" s="18" t="s">
        <v>2153</v>
      </c>
      <c r="D95" s="15">
        <v>-2.8717547093803801E-2</v>
      </c>
      <c r="E95" s="15">
        <v>1.39390134513826E-2</v>
      </c>
      <c r="F95" s="15">
        <v>3.94325710787789E-2</v>
      </c>
      <c r="G95" s="15">
        <v>0.48537483418377098</v>
      </c>
      <c r="H95" s="18">
        <v>1</v>
      </c>
      <c r="I95" s="15">
        <v>-1.7836963097329801E-2</v>
      </c>
      <c r="J95" s="15">
        <v>1.3888093952739201E-2</v>
      </c>
      <c r="K95" s="15">
        <v>0.199090196635195</v>
      </c>
      <c r="L95" s="15">
        <v>0.58156529042903604</v>
      </c>
      <c r="M95" s="18">
        <v>1</v>
      </c>
      <c r="N95" s="15">
        <v>-3.6948713780699303E-4</v>
      </c>
      <c r="O95" s="15">
        <v>1.38786810657063E-2</v>
      </c>
      <c r="P95" s="15">
        <v>0.97876186720220504</v>
      </c>
      <c r="Q95" s="15">
        <v>0.98963699906000802</v>
      </c>
      <c r="R95" s="18">
        <v>1</v>
      </c>
      <c r="S95" s="15">
        <v>7.3217128647839703E-3</v>
      </c>
      <c r="T95" s="15">
        <v>1.3826671892651301E-2</v>
      </c>
      <c r="U95" s="15">
        <v>0.59645948391956205</v>
      </c>
      <c r="V95" s="15">
        <v>0.96693680251300396</v>
      </c>
      <c r="W95" s="18">
        <v>1</v>
      </c>
    </row>
    <row r="96" spans="2:23" x14ac:dyDescent="0.2">
      <c r="B96" s="77" t="s">
        <v>3137</v>
      </c>
      <c r="C96" s="44" t="s">
        <v>1545</v>
      </c>
      <c r="D96" s="43">
        <v>2.1293449389944999E-2</v>
      </c>
      <c r="E96" s="43">
        <v>1.3865452031272801E-2</v>
      </c>
      <c r="F96" s="43">
        <v>0.124675053457127</v>
      </c>
      <c r="G96" s="43">
        <v>0.48537483418377098</v>
      </c>
      <c r="H96" s="44">
        <v>1</v>
      </c>
      <c r="I96" s="43">
        <v>8.1531631982690502E-3</v>
      </c>
      <c r="J96" s="43">
        <v>1.38171443926532E-2</v>
      </c>
      <c r="K96" s="43">
        <v>0.55516885411051597</v>
      </c>
      <c r="L96" s="43">
        <v>0.74692145123734699</v>
      </c>
      <c r="M96" s="44">
        <v>1</v>
      </c>
      <c r="N96" s="43">
        <v>-1.6492086246578198E-2</v>
      </c>
      <c r="O96" s="43">
        <v>1.3800662986186599E-2</v>
      </c>
      <c r="P96" s="43">
        <v>0.23213965857360799</v>
      </c>
      <c r="Q96" s="43">
        <v>0.72843823897235505</v>
      </c>
      <c r="R96" s="44">
        <v>1</v>
      </c>
      <c r="S96" s="43">
        <v>7.4925626041524201E-4</v>
      </c>
      <c r="T96" s="43">
        <v>1.3751379190489601E-2</v>
      </c>
      <c r="U96" s="43">
        <v>0.956550379065505</v>
      </c>
      <c r="V96" s="43">
        <v>0.967178716610677</v>
      </c>
      <c r="W96" s="44">
        <v>1</v>
      </c>
    </row>
    <row r="97" spans="2:23" ht="16" customHeight="1" x14ac:dyDescent="0.2">
      <c r="B97" s="135" t="s">
        <v>2075</v>
      </c>
      <c r="C97" s="135"/>
      <c r="D97" s="135"/>
      <c r="E97" s="135"/>
      <c r="F97" s="135"/>
      <c r="G97" s="135"/>
      <c r="H97" s="135"/>
      <c r="I97" s="135"/>
      <c r="J97" s="135"/>
      <c r="K97" s="135"/>
      <c r="L97" s="135"/>
      <c r="M97" s="135"/>
      <c r="N97" s="135"/>
      <c r="O97" s="135"/>
      <c r="P97" s="135"/>
      <c r="Q97" s="135"/>
      <c r="R97" s="135"/>
      <c r="S97" s="135"/>
      <c r="T97" s="135"/>
      <c r="U97" s="135"/>
      <c r="V97" s="135"/>
      <c r="W97" s="135"/>
    </row>
    <row r="98" spans="2:23" ht="16" customHeight="1" x14ac:dyDescent="0.2">
      <c r="B98" s="54"/>
      <c r="C98" s="54"/>
      <c r="D98" s="54"/>
      <c r="E98" s="54"/>
      <c r="F98" s="54"/>
      <c r="G98" s="54"/>
      <c r="H98" s="54"/>
      <c r="I98" s="54"/>
      <c r="J98" s="54"/>
      <c r="K98" s="54"/>
      <c r="L98" s="54"/>
      <c r="M98" s="54"/>
      <c r="N98" s="54"/>
      <c r="O98" s="54"/>
      <c r="P98" s="54"/>
      <c r="Q98" s="54"/>
      <c r="R98" s="54"/>
      <c r="S98" s="54"/>
      <c r="T98" s="54"/>
      <c r="U98" s="54"/>
      <c r="V98" s="54"/>
      <c r="W98" s="54"/>
    </row>
    <row r="99" spans="2:23" x14ac:dyDescent="0.2">
      <c r="C99" s="59"/>
      <c r="D99" s="54"/>
      <c r="E99" s="54"/>
      <c r="F99" s="54"/>
      <c r="G99" s="54"/>
      <c r="H99" s="54"/>
      <c r="I99" s="54"/>
      <c r="J99" s="54"/>
      <c r="K99" s="54"/>
      <c r="L99" s="54"/>
      <c r="M99" s="54"/>
      <c r="N99" s="54"/>
      <c r="O99" s="54"/>
      <c r="P99" s="54"/>
      <c r="Q99" s="54"/>
      <c r="R99" s="54"/>
      <c r="S99" s="54"/>
      <c r="T99" s="54"/>
      <c r="U99" s="54"/>
      <c r="V99" s="54"/>
      <c r="W99" s="54"/>
    </row>
    <row r="100" spans="2:23" x14ac:dyDescent="0.2">
      <c r="C100" s="23"/>
      <c r="D100" s="59"/>
      <c r="E100" s="59"/>
      <c r="F100" s="59"/>
      <c r="G100" s="59"/>
      <c r="H100" s="59"/>
    </row>
    <row r="101" spans="2:23" x14ac:dyDescent="0.2">
      <c r="C101" s="23"/>
    </row>
    <row r="102" spans="2:23" x14ac:dyDescent="0.2">
      <c r="C102" s="23"/>
    </row>
    <row r="103" spans="2:23" x14ac:dyDescent="0.2">
      <c r="C103" s="23"/>
    </row>
    <row r="104" spans="2:23" x14ac:dyDescent="0.2">
      <c r="C104" s="23"/>
    </row>
    <row r="105" spans="2:23" x14ac:dyDescent="0.2">
      <c r="C105" s="23"/>
    </row>
    <row r="106" spans="2:23" x14ac:dyDescent="0.2">
      <c r="C106" s="23"/>
    </row>
    <row r="107" spans="2:23" x14ac:dyDescent="0.2">
      <c r="C107" s="23"/>
    </row>
  </sheetData>
  <sortState xmlns:xlrd2="http://schemas.microsoft.com/office/spreadsheetml/2017/richdata2" ref="C6:W97">
    <sortCondition ref="C6:C97"/>
  </sortState>
  <mergeCells count="5">
    <mergeCell ref="B97:W97"/>
    <mergeCell ref="D4:H4"/>
    <mergeCell ref="I4:M4"/>
    <mergeCell ref="N4:R4"/>
    <mergeCell ref="S4:W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25652-54B1-6B44-B20C-FDE4FC40F2F2}">
  <dimension ref="B2:W53"/>
  <sheetViews>
    <sheetView showGridLines="0" workbookViewId="0">
      <selection activeCell="C26" sqref="C26"/>
    </sheetView>
  </sheetViews>
  <sheetFormatPr baseColWidth="10" defaultRowHeight="16" x14ac:dyDescent="0.2"/>
  <cols>
    <col min="2" max="2" width="40.5" customWidth="1"/>
    <col min="3" max="3" width="23.83203125" customWidth="1"/>
    <col min="8" max="8" width="13.1640625" customWidth="1"/>
  </cols>
  <sheetData>
    <row r="2" spans="2:23" x14ac:dyDescent="0.2">
      <c r="B2" s="51" t="s">
        <v>8549</v>
      </c>
    </row>
    <row r="3" spans="2:23" x14ac:dyDescent="0.2">
      <c r="C3" s="51"/>
    </row>
    <row r="4" spans="2:23" x14ac:dyDescent="0.2">
      <c r="D4" s="145" t="s">
        <v>79</v>
      </c>
      <c r="E4" s="145"/>
      <c r="F4" s="145"/>
      <c r="G4" s="145"/>
      <c r="H4" s="145"/>
      <c r="I4" s="145" t="s">
        <v>763</v>
      </c>
      <c r="J4" s="145"/>
      <c r="K4" s="145"/>
      <c r="L4" s="145"/>
      <c r="M4" s="145"/>
      <c r="N4" s="145" t="s">
        <v>764</v>
      </c>
      <c r="O4" s="145"/>
      <c r="P4" s="145"/>
      <c r="Q4" s="145"/>
      <c r="R4" s="145"/>
      <c r="S4" s="145" t="s">
        <v>765</v>
      </c>
      <c r="T4" s="145"/>
      <c r="U4" s="145"/>
      <c r="V4" s="145"/>
      <c r="W4" s="145"/>
    </row>
    <row r="5" spans="2:23" x14ac:dyDescent="0.2">
      <c r="B5" s="71" t="s">
        <v>2875</v>
      </c>
      <c r="C5" s="66" t="s">
        <v>2857</v>
      </c>
      <c r="D5" s="21" t="s">
        <v>81</v>
      </c>
      <c r="E5" s="21" t="s">
        <v>82</v>
      </c>
      <c r="F5" s="21" t="s">
        <v>83</v>
      </c>
      <c r="G5" s="21" t="s">
        <v>761</v>
      </c>
      <c r="H5" s="22" t="s">
        <v>762</v>
      </c>
      <c r="I5" s="21" t="s">
        <v>81</v>
      </c>
      <c r="J5" s="21" t="s">
        <v>82</v>
      </c>
      <c r="K5" s="21" t="s">
        <v>83</v>
      </c>
      <c r="L5" s="21" t="s">
        <v>761</v>
      </c>
      <c r="M5" s="22" t="s">
        <v>762</v>
      </c>
      <c r="N5" s="21" t="s">
        <v>81</v>
      </c>
      <c r="O5" s="21" t="s">
        <v>82</v>
      </c>
      <c r="P5" s="21" t="s">
        <v>83</v>
      </c>
      <c r="Q5" s="21" t="s">
        <v>761</v>
      </c>
      <c r="R5" s="22" t="s">
        <v>762</v>
      </c>
      <c r="S5" s="21" t="s">
        <v>81</v>
      </c>
      <c r="T5" s="21" t="s">
        <v>82</v>
      </c>
      <c r="U5" s="21" t="s">
        <v>83</v>
      </c>
      <c r="V5" s="21" t="s">
        <v>761</v>
      </c>
      <c r="W5" s="22" t="s">
        <v>762</v>
      </c>
    </row>
    <row r="6" spans="2:23" x14ac:dyDescent="0.2">
      <c r="B6" s="76" t="s">
        <v>3139</v>
      </c>
      <c r="C6" s="17" t="s">
        <v>2164</v>
      </c>
      <c r="D6" s="79">
        <v>-1.55892239037718E-2</v>
      </c>
      <c r="E6" s="79">
        <v>9.9803552810176308E-3</v>
      </c>
      <c r="F6" s="79">
        <v>0.118357886763891</v>
      </c>
      <c r="G6" s="79">
        <v>0.95220253949438205</v>
      </c>
      <c r="H6" s="80">
        <v>1</v>
      </c>
      <c r="I6" s="79">
        <v>-5.1916246249520803E-3</v>
      </c>
      <c r="J6" s="79">
        <v>9.9253770517485299E-3</v>
      </c>
      <c r="K6" s="79">
        <v>0.60095335886641099</v>
      </c>
      <c r="L6" s="79">
        <v>0.85664074802210199</v>
      </c>
      <c r="M6" s="80">
        <v>1</v>
      </c>
      <c r="N6" s="79">
        <v>9.2577435887626607E-3</v>
      </c>
      <c r="O6" s="79">
        <v>9.8794686214833307E-3</v>
      </c>
      <c r="P6" s="79">
        <v>0.34877125769620498</v>
      </c>
      <c r="Q6" s="79">
        <v>0.76527023957399498</v>
      </c>
      <c r="R6" s="80">
        <v>1</v>
      </c>
      <c r="S6" s="79">
        <v>-8.0085506533217003E-3</v>
      </c>
      <c r="T6" s="79">
        <v>9.8412397316214404E-3</v>
      </c>
      <c r="U6" s="79">
        <v>0.41581545185722801</v>
      </c>
      <c r="V6" s="79">
        <v>0.66892050950945303</v>
      </c>
      <c r="W6" s="80">
        <v>1</v>
      </c>
    </row>
    <row r="7" spans="2:23" x14ac:dyDescent="0.2">
      <c r="B7" s="76" t="s">
        <v>3140</v>
      </c>
      <c r="C7" s="17" t="s">
        <v>2163</v>
      </c>
      <c r="D7" s="79">
        <v>-9.53551638473838E-4</v>
      </c>
      <c r="E7" s="79">
        <v>1.03315192113651E-2</v>
      </c>
      <c r="F7" s="79">
        <v>0.92646733572426399</v>
      </c>
      <c r="G7" s="79">
        <v>0.95220253949438205</v>
      </c>
      <c r="H7" s="80">
        <v>1</v>
      </c>
      <c r="I7" s="79">
        <v>1.9862421963638102E-2</v>
      </c>
      <c r="J7" s="79">
        <v>1.02662411718557E-2</v>
      </c>
      <c r="K7" s="79">
        <v>5.3084165871845397E-2</v>
      </c>
      <c r="L7" s="79">
        <v>0.28058773389404001</v>
      </c>
      <c r="M7" s="80">
        <v>1</v>
      </c>
      <c r="N7" s="79">
        <v>2.8106744328925798E-3</v>
      </c>
      <c r="O7" s="79">
        <v>1.02278278541818E-2</v>
      </c>
      <c r="P7" s="79">
        <v>0.78347702650381101</v>
      </c>
      <c r="Q7" s="79">
        <v>0.94688940467190996</v>
      </c>
      <c r="R7" s="80">
        <v>1</v>
      </c>
      <c r="S7" s="79">
        <v>1.05120387723272E-2</v>
      </c>
      <c r="T7" s="79">
        <v>1.01864420429317E-2</v>
      </c>
      <c r="U7" s="79">
        <v>0.30214277044288701</v>
      </c>
      <c r="V7" s="79">
        <v>0.63261546451800099</v>
      </c>
      <c r="W7" s="80">
        <v>1</v>
      </c>
    </row>
    <row r="8" spans="2:23" x14ac:dyDescent="0.2">
      <c r="B8" s="76" t="s">
        <v>3141</v>
      </c>
      <c r="C8" s="17" t="s">
        <v>1549</v>
      </c>
      <c r="D8" s="79">
        <v>2.56623209956595E-3</v>
      </c>
      <c r="E8" s="79">
        <v>4.8833988426391396E-3</v>
      </c>
      <c r="F8" s="79">
        <v>0.59925957736075497</v>
      </c>
      <c r="G8" s="79">
        <v>0.95220253949438205</v>
      </c>
      <c r="H8" s="80">
        <v>1</v>
      </c>
      <c r="I8" s="81">
        <v>-1.7198799472586301E-2</v>
      </c>
      <c r="J8" s="81">
        <v>4.8504974450424001E-3</v>
      </c>
      <c r="K8" s="81">
        <v>3.9526567984058102E-4</v>
      </c>
      <c r="L8" s="81">
        <v>1.4624830154101501E-2</v>
      </c>
      <c r="M8" s="82">
        <v>1.4624830154101501E-2</v>
      </c>
      <c r="N8" s="79">
        <v>2.3128006438711398E-3</v>
      </c>
      <c r="O8" s="79">
        <v>4.8312794414159298E-3</v>
      </c>
      <c r="P8" s="79">
        <v>0.63216433588371301</v>
      </c>
      <c r="Q8" s="79">
        <v>0.86629927509990301</v>
      </c>
      <c r="R8" s="80">
        <v>1</v>
      </c>
      <c r="S8" s="79">
        <v>4.4012908001242598E-4</v>
      </c>
      <c r="T8" s="79">
        <v>4.81351502137218E-3</v>
      </c>
      <c r="U8" s="79">
        <v>0.92714995672537104</v>
      </c>
      <c r="V8" s="79">
        <v>0.98012995425253502</v>
      </c>
      <c r="W8" s="80">
        <v>1</v>
      </c>
    </row>
    <row r="9" spans="2:23" x14ac:dyDescent="0.2">
      <c r="B9" s="76" t="s">
        <v>3142</v>
      </c>
      <c r="C9" s="17" t="s">
        <v>2158</v>
      </c>
      <c r="D9" s="79">
        <v>4.71340777400553E-3</v>
      </c>
      <c r="E9" s="79">
        <v>1.1630253605345101E-2</v>
      </c>
      <c r="F9" s="79">
        <v>0.68529664095775</v>
      </c>
      <c r="G9" s="79">
        <v>0.95220253949438205</v>
      </c>
      <c r="H9" s="80">
        <v>1</v>
      </c>
      <c r="I9" s="79">
        <v>-1.0127897628771801E-2</v>
      </c>
      <c r="J9" s="79">
        <v>1.15620519349569E-2</v>
      </c>
      <c r="K9" s="79">
        <v>0.38109669396962997</v>
      </c>
      <c r="L9" s="79">
        <v>0.73862515934867701</v>
      </c>
      <c r="M9" s="80">
        <v>1</v>
      </c>
      <c r="N9" s="79">
        <v>2.3186486797850701E-2</v>
      </c>
      <c r="O9" s="79">
        <v>1.1505784215615499E-2</v>
      </c>
      <c r="P9" s="79">
        <v>4.3940237094553899E-2</v>
      </c>
      <c r="Q9" s="79">
        <v>0.76527023957399498</v>
      </c>
      <c r="R9" s="80">
        <v>1</v>
      </c>
      <c r="S9" s="79">
        <v>-4.6608750076520397E-3</v>
      </c>
      <c r="T9" s="79">
        <v>1.14662732859411E-2</v>
      </c>
      <c r="U9" s="79">
        <v>0.68440436923988501</v>
      </c>
      <c r="V9" s="79">
        <v>0.82719598401585004</v>
      </c>
      <c r="W9" s="80">
        <v>1</v>
      </c>
    </row>
    <row r="10" spans="2:23" x14ac:dyDescent="0.2">
      <c r="B10" s="76" t="s">
        <v>3143</v>
      </c>
      <c r="C10" s="17" t="s">
        <v>2157</v>
      </c>
      <c r="D10" s="79">
        <v>-1.26849019221462E-3</v>
      </c>
      <c r="E10" s="79">
        <v>1.21626790651372E-2</v>
      </c>
      <c r="F10" s="79">
        <v>0.91694085817134696</v>
      </c>
      <c r="G10" s="79">
        <v>0.95220253949438205</v>
      </c>
      <c r="H10" s="80">
        <v>1</v>
      </c>
      <c r="I10" s="79">
        <v>1.08232173913712E-3</v>
      </c>
      <c r="J10" s="79">
        <v>1.20894604107187E-2</v>
      </c>
      <c r="K10" s="79">
        <v>0.92866775127758405</v>
      </c>
      <c r="L10" s="79">
        <v>0.96787823574958098</v>
      </c>
      <c r="M10" s="80">
        <v>1</v>
      </c>
      <c r="N10" s="79">
        <v>3.57055111388919E-2</v>
      </c>
      <c r="O10" s="79">
        <v>1.20311335481259E-2</v>
      </c>
      <c r="P10" s="79">
        <v>3.0151575992009498E-3</v>
      </c>
      <c r="Q10" s="79">
        <v>0.111560831170435</v>
      </c>
      <c r="R10" s="80">
        <v>0.111560831170435</v>
      </c>
      <c r="S10" s="79">
        <v>-6.7186181953922596E-3</v>
      </c>
      <c r="T10" s="79">
        <v>1.19939946411085E-2</v>
      </c>
      <c r="U10" s="79">
        <v>0.57539393235916803</v>
      </c>
      <c r="V10" s="79">
        <v>0.818829826818817</v>
      </c>
      <c r="W10" s="80">
        <v>1</v>
      </c>
    </row>
    <row r="11" spans="2:23" x14ac:dyDescent="0.2">
      <c r="B11" s="76" t="s">
        <v>3144</v>
      </c>
      <c r="C11" s="17" t="s">
        <v>2160</v>
      </c>
      <c r="D11" s="79">
        <v>6.2920591565402799E-3</v>
      </c>
      <c r="E11" s="79">
        <v>1.14017673463919E-2</v>
      </c>
      <c r="F11" s="79">
        <v>0.581078372425201</v>
      </c>
      <c r="G11" s="79">
        <v>0.95220253949438205</v>
      </c>
      <c r="H11" s="80">
        <v>1</v>
      </c>
      <c r="I11" s="79">
        <v>2.6132802680105802E-2</v>
      </c>
      <c r="J11" s="79">
        <v>1.1328170951645599E-2</v>
      </c>
      <c r="K11" s="79">
        <v>2.11056397945984E-2</v>
      </c>
      <c r="L11" s="79">
        <v>0.13015144540002299</v>
      </c>
      <c r="M11" s="80">
        <v>0.78090867240013995</v>
      </c>
      <c r="N11" s="79">
        <v>1.62304564151762E-2</v>
      </c>
      <c r="O11" s="79">
        <v>1.1286567697339701E-2</v>
      </c>
      <c r="P11" s="79">
        <v>0.15049259617673499</v>
      </c>
      <c r="Q11" s="79">
        <v>0.76527023957399498</v>
      </c>
      <c r="R11" s="80">
        <v>1</v>
      </c>
      <c r="S11" s="79">
        <v>3.6435153217861801E-3</v>
      </c>
      <c r="T11" s="79">
        <v>1.1244496748978001E-2</v>
      </c>
      <c r="U11" s="79">
        <v>0.745932665958708</v>
      </c>
      <c r="V11" s="79">
        <v>0.86248464501475597</v>
      </c>
      <c r="W11" s="80">
        <v>1</v>
      </c>
    </row>
    <row r="12" spans="2:23" x14ac:dyDescent="0.2">
      <c r="B12" s="76" t="s">
        <v>3145</v>
      </c>
      <c r="C12" s="17" t="s">
        <v>2159</v>
      </c>
      <c r="D12" s="79">
        <v>9.8933301510087893E-3</v>
      </c>
      <c r="E12" s="79">
        <v>1.1607379930979499E-2</v>
      </c>
      <c r="F12" s="79">
        <v>0.39407485443353701</v>
      </c>
      <c r="G12" s="79">
        <v>0.95220253949438205</v>
      </c>
      <c r="H12" s="80">
        <v>1</v>
      </c>
      <c r="I12" s="79">
        <v>-4.4476839866444302E-3</v>
      </c>
      <c r="J12" s="79">
        <v>1.1538578015466899E-2</v>
      </c>
      <c r="K12" s="79">
        <v>0.69991304473524296</v>
      </c>
      <c r="L12" s="79">
        <v>0.88029962693416497</v>
      </c>
      <c r="M12" s="80">
        <v>1</v>
      </c>
      <c r="N12" s="79">
        <v>9.8658425388196292E-3</v>
      </c>
      <c r="O12" s="79">
        <v>1.1491790743102401E-2</v>
      </c>
      <c r="P12" s="79">
        <v>0.390654296071128</v>
      </c>
      <c r="Q12" s="79">
        <v>0.76527023957399498</v>
      </c>
      <c r="R12" s="80">
        <v>1</v>
      </c>
      <c r="S12" s="79">
        <v>-5.34129658106745E-3</v>
      </c>
      <c r="T12" s="79">
        <v>1.14469470944052E-2</v>
      </c>
      <c r="U12" s="79">
        <v>0.64079871140201194</v>
      </c>
      <c r="V12" s="79">
        <v>0.82719598401585004</v>
      </c>
      <c r="W12" s="80">
        <v>1</v>
      </c>
    </row>
    <row r="13" spans="2:23" x14ac:dyDescent="0.2">
      <c r="B13" s="76" t="s">
        <v>3146</v>
      </c>
      <c r="C13" s="17" t="s">
        <v>2162</v>
      </c>
      <c r="D13" s="79">
        <v>2.0525391114380098E-3</v>
      </c>
      <c r="E13" s="79">
        <v>1.06737142348456E-2</v>
      </c>
      <c r="F13" s="79">
        <v>0.84751677549145599</v>
      </c>
      <c r="G13" s="79">
        <v>0.95220253949438205</v>
      </c>
      <c r="H13" s="80">
        <v>1</v>
      </c>
      <c r="I13" s="79">
        <v>-3.19995846025724E-3</v>
      </c>
      <c r="J13" s="79">
        <v>1.0610497441646501E-2</v>
      </c>
      <c r="K13" s="79">
        <v>0.762982521814069</v>
      </c>
      <c r="L13" s="79">
        <v>0.88029962693416497</v>
      </c>
      <c r="M13" s="80">
        <v>1</v>
      </c>
      <c r="N13" s="79">
        <v>-8.8510901089756608E-3</v>
      </c>
      <c r="O13" s="79">
        <v>1.05647304966522E-2</v>
      </c>
      <c r="P13" s="79">
        <v>0.40218795034705501</v>
      </c>
      <c r="Q13" s="79">
        <v>0.76527023957399498</v>
      </c>
      <c r="R13" s="80">
        <v>1</v>
      </c>
      <c r="S13" s="79">
        <v>-2.7451703194916001E-2</v>
      </c>
      <c r="T13" s="79">
        <v>1.0517251587346101E-2</v>
      </c>
      <c r="U13" s="79">
        <v>9.0788493367792295E-3</v>
      </c>
      <c r="V13" s="79">
        <v>0.29870492131542298</v>
      </c>
      <c r="W13" s="80">
        <v>0.33591742546083198</v>
      </c>
    </row>
    <row r="14" spans="2:23" x14ac:dyDescent="0.2">
      <c r="B14" s="76" t="s">
        <v>3147</v>
      </c>
      <c r="C14" s="17" t="s">
        <v>2161</v>
      </c>
      <c r="D14" s="79">
        <v>-1.1128103590028499E-3</v>
      </c>
      <c r="E14" s="79">
        <v>1.0590248662903401E-2</v>
      </c>
      <c r="F14" s="79">
        <v>0.91631783270748801</v>
      </c>
      <c r="G14" s="79">
        <v>0.95220253949438205</v>
      </c>
      <c r="H14" s="80">
        <v>1</v>
      </c>
      <c r="I14" s="79">
        <v>5.3377538620313202E-3</v>
      </c>
      <c r="J14" s="79">
        <v>1.0528348452453901E-2</v>
      </c>
      <c r="K14" s="79">
        <v>0.61218682952265902</v>
      </c>
      <c r="L14" s="79">
        <v>0.85664074802210199</v>
      </c>
      <c r="M14" s="80">
        <v>1</v>
      </c>
      <c r="N14" s="79">
        <v>-1.3731519113041201E-2</v>
      </c>
      <c r="O14" s="79">
        <v>1.04811127973345E-2</v>
      </c>
      <c r="P14" s="79">
        <v>0.19021950563918399</v>
      </c>
      <c r="Q14" s="79">
        <v>0.76527023957399498</v>
      </c>
      <c r="R14" s="80">
        <v>1</v>
      </c>
      <c r="S14" s="79">
        <v>-2.0998718385990201E-2</v>
      </c>
      <c r="T14" s="79">
        <v>1.0436886501540499E-2</v>
      </c>
      <c r="U14" s="79">
        <v>4.4280334251072702E-2</v>
      </c>
      <c r="V14" s="79">
        <v>0.40959309182242198</v>
      </c>
      <c r="W14" s="80">
        <v>1</v>
      </c>
    </row>
    <row r="15" spans="2:23" x14ac:dyDescent="0.2">
      <c r="B15" s="76" t="s">
        <v>3148</v>
      </c>
      <c r="C15" s="17" t="s">
        <v>1547</v>
      </c>
      <c r="D15" s="79">
        <v>9.0270501664301301E-3</v>
      </c>
      <c r="E15" s="79">
        <v>9.9630332957429592E-3</v>
      </c>
      <c r="F15" s="79">
        <v>0.36495479214747301</v>
      </c>
      <c r="G15" s="79">
        <v>0.95220253949438205</v>
      </c>
      <c r="H15" s="80">
        <v>1</v>
      </c>
      <c r="I15" s="79">
        <v>-1.41790858047158E-2</v>
      </c>
      <c r="J15" s="79">
        <v>9.8994510554669297E-3</v>
      </c>
      <c r="K15" s="79">
        <v>0.152123691123635</v>
      </c>
      <c r="L15" s="79">
        <v>0.51168877923404399</v>
      </c>
      <c r="M15" s="80">
        <v>1</v>
      </c>
      <c r="N15" s="79">
        <v>-5.6303491168828903E-3</v>
      </c>
      <c r="O15" s="79">
        <v>9.8671285357143194E-3</v>
      </c>
      <c r="P15" s="79">
        <v>0.56828737384209005</v>
      </c>
      <c r="Q15" s="79">
        <v>0.84106531328629297</v>
      </c>
      <c r="R15" s="80">
        <v>1</v>
      </c>
      <c r="S15" s="79">
        <v>1.2946629557693001E-2</v>
      </c>
      <c r="T15" s="79">
        <v>9.8259129563919804E-3</v>
      </c>
      <c r="U15" s="79">
        <v>0.18770317974121301</v>
      </c>
      <c r="V15" s="79">
        <v>0.63261546451800099</v>
      </c>
      <c r="W15" s="80">
        <v>1</v>
      </c>
    </row>
    <row r="16" spans="2:23" x14ac:dyDescent="0.2">
      <c r="B16" s="76" t="s">
        <v>3149</v>
      </c>
      <c r="C16" s="17" t="s">
        <v>1548</v>
      </c>
      <c r="D16" s="79">
        <v>-4.0509211940651596E-3</v>
      </c>
      <c r="E16" s="79">
        <v>7.4753326810621697E-3</v>
      </c>
      <c r="F16" s="79">
        <v>0.58791016169687405</v>
      </c>
      <c r="G16" s="79">
        <v>0.95220253949438205</v>
      </c>
      <c r="H16" s="80">
        <v>1</v>
      </c>
      <c r="I16" s="79">
        <v>-9.0837329234771409E-3</v>
      </c>
      <c r="J16" s="79">
        <v>7.4312685517379396E-3</v>
      </c>
      <c r="K16" s="79">
        <v>0.22163202443678601</v>
      </c>
      <c r="L16" s="79">
        <v>0.60537498825923997</v>
      </c>
      <c r="M16" s="80">
        <v>1</v>
      </c>
      <c r="N16" s="79">
        <v>8.3891289793562394E-3</v>
      </c>
      <c r="O16" s="79">
        <v>7.3980163086014503E-3</v>
      </c>
      <c r="P16" s="79">
        <v>0.25686594449163302</v>
      </c>
      <c r="Q16" s="79">
        <v>0.76527023957399498</v>
      </c>
      <c r="R16" s="80">
        <v>1</v>
      </c>
      <c r="S16" s="79">
        <v>-3.03346987870529E-3</v>
      </c>
      <c r="T16" s="79">
        <v>7.3702884294694401E-3</v>
      </c>
      <c r="U16" s="79">
        <v>0.68066577734582201</v>
      </c>
      <c r="V16" s="79">
        <v>0.82719598401585004</v>
      </c>
      <c r="W16" s="80">
        <v>1</v>
      </c>
    </row>
    <row r="17" spans="2:23" x14ac:dyDescent="0.2">
      <c r="B17" s="76" t="s">
        <v>3150</v>
      </c>
      <c r="C17" s="17" t="s">
        <v>2180</v>
      </c>
      <c r="D17" s="79">
        <v>-5.2215333231251705E-4</v>
      </c>
      <c r="E17" s="79">
        <v>1.0414586244074899E-2</v>
      </c>
      <c r="F17" s="79">
        <v>0.96001558498376405</v>
      </c>
      <c r="G17" s="79">
        <v>0.96001558498376405</v>
      </c>
      <c r="H17" s="80">
        <v>1</v>
      </c>
      <c r="I17" s="79">
        <v>1.1287650378724E-2</v>
      </c>
      <c r="J17" s="79">
        <v>1.0352395076485299E-2</v>
      </c>
      <c r="K17" s="79">
        <v>0.27561929081210601</v>
      </c>
      <c r="L17" s="79">
        <v>0.67916044662902597</v>
      </c>
      <c r="M17" s="80">
        <v>1</v>
      </c>
      <c r="N17" s="79">
        <v>-1.58368540627336E-2</v>
      </c>
      <c r="O17" s="79">
        <v>1.03055476854397E-2</v>
      </c>
      <c r="P17" s="79">
        <v>0.12442701206496699</v>
      </c>
      <c r="Q17" s="79">
        <v>0.76527023957399498</v>
      </c>
      <c r="R17" s="80">
        <v>1</v>
      </c>
      <c r="S17" s="79">
        <v>-1.0433925228152899E-2</v>
      </c>
      <c r="T17" s="79">
        <v>1.02671030024279E-2</v>
      </c>
      <c r="U17" s="79">
        <v>0.30956398905963001</v>
      </c>
      <c r="V17" s="79">
        <v>0.63261546451800099</v>
      </c>
      <c r="W17" s="80">
        <v>1</v>
      </c>
    </row>
    <row r="18" spans="2:23" x14ac:dyDescent="0.2">
      <c r="B18" s="76" t="s">
        <v>3151</v>
      </c>
      <c r="C18" s="17" t="s">
        <v>2179</v>
      </c>
      <c r="D18" s="79">
        <v>-4.73346863148925E-3</v>
      </c>
      <c r="E18" s="79">
        <v>1.05847095244344E-2</v>
      </c>
      <c r="F18" s="79">
        <v>0.65475259691582799</v>
      </c>
      <c r="G18" s="79">
        <v>0.95220253949438205</v>
      </c>
      <c r="H18" s="80">
        <v>1</v>
      </c>
      <c r="I18" s="79">
        <v>5.14246776006383E-3</v>
      </c>
      <c r="J18" s="79">
        <v>1.05239303077361E-2</v>
      </c>
      <c r="K18" s="79">
        <v>0.62511622152964197</v>
      </c>
      <c r="L18" s="79">
        <v>0.85664074802210199</v>
      </c>
      <c r="M18" s="80">
        <v>1</v>
      </c>
      <c r="N18" s="79">
        <v>-1.51034664573266E-2</v>
      </c>
      <c r="O18" s="79">
        <v>1.04728786855729E-2</v>
      </c>
      <c r="P18" s="79">
        <v>0.14932758322884501</v>
      </c>
      <c r="Q18" s="79">
        <v>0.76527023957399498</v>
      </c>
      <c r="R18" s="80">
        <v>1</v>
      </c>
      <c r="S18" s="79">
        <v>-1.4817332556263199E-2</v>
      </c>
      <c r="T18" s="79">
        <v>1.0433248244142299E-2</v>
      </c>
      <c r="U18" s="79">
        <v>0.15561597395302901</v>
      </c>
      <c r="V18" s="79">
        <v>0.63261546451800099</v>
      </c>
      <c r="W18" s="80">
        <v>1</v>
      </c>
    </row>
    <row r="19" spans="2:23" x14ac:dyDescent="0.2">
      <c r="B19" s="76" t="s">
        <v>3152</v>
      </c>
      <c r="C19" s="17" t="s">
        <v>2188</v>
      </c>
      <c r="D19" s="79">
        <v>-1.55059535753035E-2</v>
      </c>
      <c r="E19" s="79">
        <v>1.28234975946858E-2</v>
      </c>
      <c r="F19" s="79">
        <v>0.22665493869475101</v>
      </c>
      <c r="G19" s="79">
        <v>0.95220253949438205</v>
      </c>
      <c r="H19" s="80">
        <v>1</v>
      </c>
      <c r="I19" s="79">
        <v>-1.7558414233558702E-2</v>
      </c>
      <c r="J19" s="79">
        <v>1.27454405033135E-2</v>
      </c>
      <c r="K19" s="79">
        <v>0.16838715114073199</v>
      </c>
      <c r="L19" s="79">
        <v>0.51919371601725595</v>
      </c>
      <c r="M19" s="80">
        <v>1</v>
      </c>
      <c r="N19" s="79">
        <v>-7.9084027994560796E-3</v>
      </c>
      <c r="O19" s="79">
        <v>1.26985127386905E-2</v>
      </c>
      <c r="P19" s="79">
        <v>0.53345871854012605</v>
      </c>
      <c r="Q19" s="79">
        <v>0.82241552441602805</v>
      </c>
      <c r="R19" s="80">
        <v>1</v>
      </c>
      <c r="S19" s="79">
        <v>2.4564668452190501E-4</v>
      </c>
      <c r="T19" s="79">
        <v>1.2647973097267E-2</v>
      </c>
      <c r="U19" s="79">
        <v>0.98450544416970798</v>
      </c>
      <c r="V19" s="79">
        <v>0.98775418788999902</v>
      </c>
      <c r="W19" s="80">
        <v>1</v>
      </c>
    </row>
    <row r="20" spans="2:23" x14ac:dyDescent="0.2">
      <c r="B20" s="76" t="s">
        <v>3153</v>
      </c>
      <c r="C20" s="17" t="s">
        <v>2187</v>
      </c>
      <c r="D20" s="79">
        <v>-1.43430089974392E-2</v>
      </c>
      <c r="E20" s="79">
        <v>1.3020651527295399E-2</v>
      </c>
      <c r="F20" s="79">
        <v>0.27071085032037101</v>
      </c>
      <c r="G20" s="79">
        <v>0.95220253949438205</v>
      </c>
      <c r="H20" s="80">
        <v>1</v>
      </c>
      <c r="I20" s="79">
        <v>9.4647954000057796E-4</v>
      </c>
      <c r="J20" s="79">
        <v>1.2945435552789901E-2</v>
      </c>
      <c r="K20" s="79">
        <v>0.94171936451310501</v>
      </c>
      <c r="L20" s="79">
        <v>0.96787823574958098</v>
      </c>
      <c r="M20" s="80">
        <v>1</v>
      </c>
      <c r="N20" s="79">
        <v>-2.9512486874308901E-3</v>
      </c>
      <c r="O20" s="79">
        <v>1.2891345104777E-2</v>
      </c>
      <c r="P20" s="79">
        <v>0.81893137701354402</v>
      </c>
      <c r="Q20" s="79">
        <v>0.94688940467190996</v>
      </c>
      <c r="R20" s="80">
        <v>1</v>
      </c>
      <c r="S20" s="79">
        <v>5.0685864292435304E-3</v>
      </c>
      <c r="T20" s="79">
        <v>1.28404579570797E-2</v>
      </c>
      <c r="U20" s="79">
        <v>0.69305609471598195</v>
      </c>
      <c r="V20" s="79">
        <v>0.82719598401585004</v>
      </c>
      <c r="W20" s="80">
        <v>1</v>
      </c>
    </row>
    <row r="21" spans="2:23" x14ac:dyDescent="0.2">
      <c r="B21" s="76" t="s">
        <v>3154</v>
      </c>
      <c r="C21" s="17" t="s">
        <v>2156</v>
      </c>
      <c r="D21" s="79">
        <v>-2.1990669585214201E-2</v>
      </c>
      <c r="E21" s="79">
        <v>1.22342854049258E-2</v>
      </c>
      <c r="F21" s="79">
        <v>7.2327256663885398E-2</v>
      </c>
      <c r="G21" s="79">
        <v>0.95220253949438205</v>
      </c>
      <c r="H21" s="80">
        <v>1</v>
      </c>
      <c r="I21" s="79">
        <v>-3.9734981197648601E-3</v>
      </c>
      <c r="J21" s="79">
        <v>1.21670615064099E-2</v>
      </c>
      <c r="K21" s="79">
        <v>0.74400163635045302</v>
      </c>
      <c r="L21" s="79">
        <v>0.88029962693416497</v>
      </c>
      <c r="M21" s="80">
        <v>1</v>
      </c>
      <c r="N21" s="79">
        <v>-1.11474271019313E-2</v>
      </c>
      <c r="O21" s="79">
        <v>1.21112653593624E-2</v>
      </c>
      <c r="P21" s="79">
        <v>0.35740195795861202</v>
      </c>
      <c r="Q21" s="79">
        <v>0.76527023957399498</v>
      </c>
      <c r="R21" s="80">
        <v>1</v>
      </c>
      <c r="S21" s="79">
        <v>-1.0959116065372899E-2</v>
      </c>
      <c r="T21" s="79">
        <v>1.2064904247377699E-2</v>
      </c>
      <c r="U21" s="79">
        <v>0.36374210701505599</v>
      </c>
      <c r="V21" s="79">
        <v>0.63308699643516997</v>
      </c>
      <c r="W21" s="80">
        <v>1</v>
      </c>
    </row>
    <row r="22" spans="2:23" x14ac:dyDescent="0.2">
      <c r="B22" s="76" t="s">
        <v>3155</v>
      </c>
      <c r="C22" s="17" t="s">
        <v>2155</v>
      </c>
      <c r="D22" s="79">
        <v>-1.17286810211876E-2</v>
      </c>
      <c r="E22" s="79">
        <v>1.17011524633783E-2</v>
      </c>
      <c r="F22" s="79">
        <v>0.31622597101156302</v>
      </c>
      <c r="G22" s="79">
        <v>0.95220253949438205</v>
      </c>
      <c r="H22" s="80">
        <v>1</v>
      </c>
      <c r="I22" s="79">
        <v>-1.01816905074545E-2</v>
      </c>
      <c r="J22" s="79">
        <v>1.1632512233885299E-2</v>
      </c>
      <c r="K22" s="79">
        <v>0.38146805265317502</v>
      </c>
      <c r="L22" s="79">
        <v>0.73862515934867701</v>
      </c>
      <c r="M22" s="80">
        <v>1</v>
      </c>
      <c r="N22" s="79">
        <v>-1.8873425567332801E-2</v>
      </c>
      <c r="O22" s="79">
        <v>1.1581630564409501E-2</v>
      </c>
      <c r="P22" s="79">
        <v>0.103254043644381</v>
      </c>
      <c r="Q22" s="79">
        <v>0.76527023957399498</v>
      </c>
      <c r="R22" s="80">
        <v>1</v>
      </c>
      <c r="S22" s="79">
        <v>-1.7770167628312E-2</v>
      </c>
      <c r="T22" s="79">
        <v>1.1535770822658701E-2</v>
      </c>
      <c r="U22" s="79">
        <v>0.123521488746389</v>
      </c>
      <c r="V22" s="79">
        <v>0.63261546451800099</v>
      </c>
      <c r="W22" s="80">
        <v>1</v>
      </c>
    </row>
    <row r="23" spans="2:23" x14ac:dyDescent="0.2">
      <c r="B23" s="76" t="s">
        <v>3156</v>
      </c>
      <c r="C23" s="17" t="s">
        <v>2170</v>
      </c>
      <c r="D23" s="79">
        <v>5.87956092518229E-3</v>
      </c>
      <c r="E23" s="79">
        <v>9.4119637379371703E-3</v>
      </c>
      <c r="F23" s="79">
        <v>0.53220535334365504</v>
      </c>
      <c r="G23" s="79">
        <v>0.95220253949438205</v>
      </c>
      <c r="H23" s="80">
        <v>1</v>
      </c>
      <c r="I23" s="79">
        <v>-3.76484070979655E-4</v>
      </c>
      <c r="J23" s="79">
        <v>9.3556901107162693E-3</v>
      </c>
      <c r="K23" s="79">
        <v>0.96790259012256996</v>
      </c>
      <c r="L23" s="79">
        <v>0.96790259012256996</v>
      </c>
      <c r="M23" s="80">
        <v>1</v>
      </c>
      <c r="N23" s="79">
        <v>-3.70271518245363E-3</v>
      </c>
      <c r="O23" s="79">
        <v>9.3187078147661095E-3</v>
      </c>
      <c r="P23" s="79">
        <v>0.691133493447602</v>
      </c>
      <c r="Q23" s="79">
        <v>0.88179100888142303</v>
      </c>
      <c r="R23" s="80">
        <v>1</v>
      </c>
      <c r="S23" s="79">
        <v>2.1815570011060998E-3</v>
      </c>
      <c r="T23" s="79">
        <v>9.2816703286794401E-3</v>
      </c>
      <c r="U23" s="79">
        <v>0.81418866066064099</v>
      </c>
      <c r="V23" s="79">
        <v>0.91287819528617398</v>
      </c>
      <c r="W23" s="80">
        <v>1</v>
      </c>
    </row>
    <row r="24" spans="2:23" x14ac:dyDescent="0.2">
      <c r="B24" s="76" t="s">
        <v>3157</v>
      </c>
      <c r="C24" s="17" t="s">
        <v>2169</v>
      </c>
      <c r="D24" s="79">
        <v>1.07231603781607E-2</v>
      </c>
      <c r="E24" s="79">
        <v>9.3189306342737095E-3</v>
      </c>
      <c r="F24" s="79">
        <v>0.249921257926107</v>
      </c>
      <c r="G24" s="79">
        <v>0.95220253949438205</v>
      </c>
      <c r="H24" s="80">
        <v>1</v>
      </c>
      <c r="I24" s="79">
        <v>7.8106416103211097E-3</v>
      </c>
      <c r="J24" s="79">
        <v>9.2649882029330905E-3</v>
      </c>
      <c r="K24" s="79">
        <v>0.39925684289117702</v>
      </c>
      <c r="L24" s="79">
        <v>0.73862515934867701</v>
      </c>
      <c r="M24" s="80">
        <v>1</v>
      </c>
      <c r="N24" s="79">
        <v>-9.9976562166454001E-3</v>
      </c>
      <c r="O24" s="79">
        <v>9.2255312859758493E-3</v>
      </c>
      <c r="P24" s="79">
        <v>0.27855672905620199</v>
      </c>
      <c r="Q24" s="79">
        <v>0.76527023957399498</v>
      </c>
      <c r="R24" s="80">
        <v>1</v>
      </c>
      <c r="S24" s="79">
        <v>1.28826105207385E-2</v>
      </c>
      <c r="T24" s="79">
        <v>9.1891406863500898E-3</v>
      </c>
      <c r="U24" s="79">
        <v>0.161000707591967</v>
      </c>
      <c r="V24" s="79">
        <v>0.63261546451800099</v>
      </c>
      <c r="W24" s="80">
        <v>1</v>
      </c>
    </row>
    <row r="25" spans="2:23" x14ac:dyDescent="0.2">
      <c r="B25" s="76" t="s">
        <v>3158</v>
      </c>
      <c r="C25" s="17" t="s">
        <v>2186</v>
      </c>
      <c r="D25" s="79">
        <v>-2.47202331837117E-3</v>
      </c>
      <c r="E25" s="79">
        <v>9.1489566519871099E-3</v>
      </c>
      <c r="F25" s="79">
        <v>0.78702061863684003</v>
      </c>
      <c r="G25" s="79">
        <v>0.95220253949438205</v>
      </c>
      <c r="H25" s="80">
        <v>1</v>
      </c>
      <c r="I25" s="79">
        <v>2.7961682528143201E-2</v>
      </c>
      <c r="J25" s="79">
        <v>9.0845621433224902E-3</v>
      </c>
      <c r="K25" s="79">
        <v>2.0967534075902201E-3</v>
      </c>
      <c r="L25" s="79">
        <v>2.5859958693612701E-2</v>
      </c>
      <c r="M25" s="80">
        <v>7.7579876080837995E-2</v>
      </c>
      <c r="N25" s="79">
        <v>-1.0445454065531601E-2</v>
      </c>
      <c r="O25" s="79">
        <v>9.0574218398188702E-3</v>
      </c>
      <c r="P25" s="79">
        <v>0.24886830796002801</v>
      </c>
      <c r="Q25" s="79">
        <v>0.76527023957399498</v>
      </c>
      <c r="R25" s="80">
        <v>1</v>
      </c>
      <c r="S25" s="79">
        <v>9.7111960505806404E-3</v>
      </c>
      <c r="T25" s="79">
        <v>9.0207459163486603E-3</v>
      </c>
      <c r="U25" s="79">
        <v>0.281742090675761</v>
      </c>
      <c r="V25" s="79">
        <v>0.63261546451800099</v>
      </c>
      <c r="W25" s="80">
        <v>1</v>
      </c>
    </row>
    <row r="26" spans="2:23" x14ac:dyDescent="0.2">
      <c r="B26" s="76" t="s">
        <v>3159</v>
      </c>
      <c r="C26" s="17" t="s">
        <v>2185</v>
      </c>
      <c r="D26" s="79">
        <v>-3.6717616316295498E-3</v>
      </c>
      <c r="E26" s="79">
        <v>9.7197557216964093E-3</v>
      </c>
      <c r="F26" s="79">
        <v>0.70562418125248005</v>
      </c>
      <c r="G26" s="79">
        <v>0.95220253949438205</v>
      </c>
      <c r="H26" s="80">
        <v>1</v>
      </c>
      <c r="I26" s="79">
        <v>2.45995494656818E-2</v>
      </c>
      <c r="J26" s="79">
        <v>9.6560398821632695E-3</v>
      </c>
      <c r="K26" s="79">
        <v>1.0879424956156999E-2</v>
      </c>
      <c r="L26" s="79">
        <v>0.100634680844453</v>
      </c>
      <c r="M26" s="80">
        <v>0.40253872337780999</v>
      </c>
      <c r="N26" s="79">
        <v>-4.4059261440097997E-4</v>
      </c>
      <c r="O26" s="79">
        <v>9.6225157025353995E-3</v>
      </c>
      <c r="P26" s="79">
        <v>0.96348145013363196</v>
      </c>
      <c r="Q26" s="79">
        <v>0.96348145013363196</v>
      </c>
      <c r="R26" s="80">
        <v>1</v>
      </c>
      <c r="S26" s="79">
        <v>9.6649751689516002E-3</v>
      </c>
      <c r="T26" s="79">
        <v>9.5827640223693292E-3</v>
      </c>
      <c r="U26" s="79">
        <v>0.313229159719013</v>
      </c>
      <c r="V26" s="79">
        <v>0.63261546451800099</v>
      </c>
      <c r="W26" s="80">
        <v>1</v>
      </c>
    </row>
    <row r="27" spans="2:23" x14ac:dyDescent="0.2">
      <c r="B27" s="76" t="s">
        <v>3160</v>
      </c>
      <c r="C27" s="17" t="s">
        <v>2168</v>
      </c>
      <c r="D27" s="79">
        <v>6.9205634658138599E-3</v>
      </c>
      <c r="E27" s="79">
        <v>1.08169032807165E-2</v>
      </c>
      <c r="F27" s="79">
        <v>0.52233942898488905</v>
      </c>
      <c r="G27" s="79">
        <v>0.95220253949438205</v>
      </c>
      <c r="H27" s="80">
        <v>1</v>
      </c>
      <c r="I27" s="79">
        <v>2.64387752557067E-2</v>
      </c>
      <c r="J27" s="79">
        <v>1.07481788813545E-2</v>
      </c>
      <c r="K27" s="79">
        <v>1.39359363904734E-2</v>
      </c>
      <c r="L27" s="79">
        <v>0.103125929289503</v>
      </c>
      <c r="M27" s="80">
        <v>0.51562964644751696</v>
      </c>
      <c r="N27" s="79">
        <v>8.3694377690650707E-3</v>
      </c>
      <c r="O27" s="79">
        <v>1.0704670343155301E-2</v>
      </c>
      <c r="P27" s="79">
        <v>0.43434256840686197</v>
      </c>
      <c r="Q27" s="79">
        <v>0.76527023957399498</v>
      </c>
      <c r="R27" s="80">
        <v>1</v>
      </c>
      <c r="S27" s="79">
        <v>1.63690187147435E-4</v>
      </c>
      <c r="T27" s="79">
        <v>1.0664363252723401E-2</v>
      </c>
      <c r="U27" s="79">
        <v>0.98775418788999902</v>
      </c>
      <c r="V27" s="79">
        <v>0.98775418788999902</v>
      </c>
      <c r="W27" s="80">
        <v>1</v>
      </c>
    </row>
    <row r="28" spans="2:23" x14ac:dyDescent="0.2">
      <c r="B28" s="76" t="s">
        <v>3161</v>
      </c>
      <c r="C28" s="17" t="s">
        <v>2167</v>
      </c>
      <c r="D28" s="79">
        <v>-1.47721411592173E-2</v>
      </c>
      <c r="E28" s="79">
        <v>1.05542457627603E-2</v>
      </c>
      <c r="F28" s="79">
        <v>0.16168817949514799</v>
      </c>
      <c r="G28" s="79">
        <v>0.95220253949438205</v>
      </c>
      <c r="H28" s="80">
        <v>1</v>
      </c>
      <c r="I28" s="79">
        <v>3.3043809031573203E-2</v>
      </c>
      <c r="J28" s="79">
        <v>1.0482757496731601E-2</v>
      </c>
      <c r="K28" s="79">
        <v>1.63079191582267E-3</v>
      </c>
      <c r="L28" s="79">
        <v>2.5859958693612701E-2</v>
      </c>
      <c r="M28" s="80">
        <v>6.0339300885438901E-2</v>
      </c>
      <c r="N28" s="79">
        <v>-8.7963219776911808E-3</v>
      </c>
      <c r="O28" s="79">
        <v>1.04499248750338E-2</v>
      </c>
      <c r="P28" s="79">
        <v>0.39996591945643301</v>
      </c>
      <c r="Q28" s="79">
        <v>0.76527023957399498</v>
      </c>
      <c r="R28" s="80">
        <v>1</v>
      </c>
      <c r="S28" s="79">
        <v>2.2438225929416699E-2</v>
      </c>
      <c r="T28" s="79">
        <v>1.04048037853524E-2</v>
      </c>
      <c r="U28" s="79">
        <v>3.1093789106889501E-2</v>
      </c>
      <c r="V28" s="79">
        <v>0.38349006565163701</v>
      </c>
      <c r="W28" s="80">
        <v>1</v>
      </c>
    </row>
    <row r="29" spans="2:23" x14ac:dyDescent="0.2">
      <c r="B29" s="76" t="s">
        <v>3162</v>
      </c>
      <c r="C29" s="17" t="s">
        <v>2182</v>
      </c>
      <c r="D29" s="79">
        <v>5.6676372324188998E-3</v>
      </c>
      <c r="E29" s="79">
        <v>1.08515780011837E-2</v>
      </c>
      <c r="F29" s="79">
        <v>0.60149544411133304</v>
      </c>
      <c r="G29" s="79">
        <v>0.95220253949438205</v>
      </c>
      <c r="H29" s="80">
        <v>1</v>
      </c>
      <c r="I29" s="79">
        <v>1.09060951504335E-2</v>
      </c>
      <c r="J29" s="79">
        <v>1.0786933136701701E-2</v>
      </c>
      <c r="K29" s="79">
        <v>0.31204669169441701</v>
      </c>
      <c r="L29" s="79">
        <v>0.67916044662902597</v>
      </c>
      <c r="M29" s="80">
        <v>1</v>
      </c>
      <c r="N29" s="79">
        <v>1.0948090346444E-3</v>
      </c>
      <c r="O29" s="79">
        <v>1.07419398786852E-2</v>
      </c>
      <c r="P29" s="79">
        <v>0.91882524818339295</v>
      </c>
      <c r="Q29" s="79">
        <v>0.96348145013363196</v>
      </c>
      <c r="R29" s="80">
        <v>1</v>
      </c>
      <c r="S29" s="79">
        <v>-1.1457246120453001E-2</v>
      </c>
      <c r="T29" s="79">
        <v>1.06987916785279E-2</v>
      </c>
      <c r="U29" s="79">
        <v>0.28427356778262802</v>
      </c>
      <c r="V29" s="79">
        <v>0.63261546451800099</v>
      </c>
      <c r="W29" s="80">
        <v>1</v>
      </c>
    </row>
    <row r="30" spans="2:23" x14ac:dyDescent="0.2">
      <c r="B30" s="76" t="s">
        <v>3163</v>
      </c>
      <c r="C30" s="17" t="s">
        <v>2181</v>
      </c>
      <c r="D30" s="79">
        <v>-3.09752107050706E-3</v>
      </c>
      <c r="E30" s="79">
        <v>1.0865542230793101E-2</v>
      </c>
      <c r="F30" s="79">
        <v>0.77559757836012899</v>
      </c>
      <c r="G30" s="79">
        <v>0.95220253949438205</v>
      </c>
      <c r="H30" s="80">
        <v>1</v>
      </c>
      <c r="I30" s="79">
        <v>4.5417747276829696E-3</v>
      </c>
      <c r="J30" s="79">
        <v>1.0801187595517301E-2</v>
      </c>
      <c r="K30" s="79">
        <v>0.67414826164382402</v>
      </c>
      <c r="L30" s="79">
        <v>0.88029962693416497</v>
      </c>
      <c r="M30" s="80">
        <v>1</v>
      </c>
      <c r="N30" s="79">
        <v>-7.0122299910398396E-3</v>
      </c>
      <c r="O30" s="79">
        <v>1.07555182233242E-2</v>
      </c>
      <c r="P30" s="79">
        <v>0.51445550713221899</v>
      </c>
      <c r="Q30" s="79">
        <v>0.82241552441602805</v>
      </c>
      <c r="R30" s="80">
        <v>1</v>
      </c>
      <c r="S30" s="79">
        <v>-1.0181526005609899E-2</v>
      </c>
      <c r="T30" s="79">
        <v>1.0712790160264701E-2</v>
      </c>
      <c r="U30" s="79">
        <v>0.34195430514486502</v>
      </c>
      <c r="V30" s="79">
        <v>0.63261546451800099</v>
      </c>
      <c r="W30" s="80">
        <v>1</v>
      </c>
    </row>
    <row r="31" spans="2:23" x14ac:dyDescent="0.2">
      <c r="B31" s="76" t="s">
        <v>3164</v>
      </c>
      <c r="C31" s="17" t="s">
        <v>2176</v>
      </c>
      <c r="D31" s="79">
        <v>-1.2911662191484601E-3</v>
      </c>
      <c r="E31" s="79">
        <v>9.0125860449122505E-3</v>
      </c>
      <c r="F31" s="79">
        <v>0.88608915101183305</v>
      </c>
      <c r="G31" s="79">
        <v>0.95220253949438205</v>
      </c>
      <c r="H31" s="80">
        <v>1</v>
      </c>
      <c r="I31" s="79">
        <v>4.7762674199850396E-3</v>
      </c>
      <c r="J31" s="79">
        <v>8.9565635905152E-3</v>
      </c>
      <c r="K31" s="79">
        <v>0.59387276000440803</v>
      </c>
      <c r="L31" s="79">
        <v>0.85664074802210199</v>
      </c>
      <c r="M31" s="80">
        <v>1</v>
      </c>
      <c r="N31" s="79">
        <v>-8.0491810714705594E-3</v>
      </c>
      <c r="O31" s="79">
        <v>8.9242097822508897E-3</v>
      </c>
      <c r="P31" s="79">
        <v>0.367131494585546</v>
      </c>
      <c r="Q31" s="79">
        <v>0.76527023957399498</v>
      </c>
      <c r="R31" s="80">
        <v>1</v>
      </c>
      <c r="S31" s="79">
        <v>-1.15884682119821E-2</v>
      </c>
      <c r="T31" s="79">
        <v>8.8868211956254703E-3</v>
      </c>
      <c r="U31" s="79">
        <v>0.19229721738466099</v>
      </c>
      <c r="V31" s="79">
        <v>0.63261546451800099</v>
      </c>
      <c r="W31" s="80">
        <v>1</v>
      </c>
    </row>
    <row r="32" spans="2:23" x14ac:dyDescent="0.2">
      <c r="B32" s="76" t="s">
        <v>3165</v>
      </c>
      <c r="C32" s="17" t="s">
        <v>2175</v>
      </c>
      <c r="D32" s="79">
        <v>-3.9437330260899102E-3</v>
      </c>
      <c r="E32" s="79">
        <v>9.4861301353093407E-3</v>
      </c>
      <c r="F32" s="79">
        <v>0.67762201182773996</v>
      </c>
      <c r="G32" s="79">
        <v>0.95220253949438205</v>
      </c>
      <c r="H32" s="80">
        <v>1</v>
      </c>
      <c r="I32" s="79">
        <v>1.39908435165618E-2</v>
      </c>
      <c r="J32" s="79">
        <v>9.4272639138798103E-3</v>
      </c>
      <c r="K32" s="79">
        <v>0.13785555898406801</v>
      </c>
      <c r="L32" s="79">
        <v>0.51006556824104998</v>
      </c>
      <c r="M32" s="80">
        <v>1</v>
      </c>
      <c r="N32" s="79">
        <v>-5.9849755583090704E-4</v>
      </c>
      <c r="O32" s="79">
        <v>9.3909198535799404E-3</v>
      </c>
      <c r="P32" s="79">
        <v>0.94918676156625603</v>
      </c>
      <c r="Q32" s="79">
        <v>0.96348145013363196</v>
      </c>
      <c r="R32" s="80">
        <v>1</v>
      </c>
      <c r="S32" s="79">
        <v>1.63391728803087E-2</v>
      </c>
      <c r="T32" s="79">
        <v>9.3500778845842306E-3</v>
      </c>
      <c r="U32" s="79">
        <v>8.0618730025124805E-2</v>
      </c>
      <c r="V32" s="79">
        <v>0.49714883515493702</v>
      </c>
      <c r="W32" s="80">
        <v>1</v>
      </c>
    </row>
    <row r="33" spans="2:23" x14ac:dyDescent="0.2">
      <c r="B33" s="76" t="s">
        <v>3166</v>
      </c>
      <c r="C33" s="17" t="s">
        <v>2178</v>
      </c>
      <c r="D33" s="79">
        <v>4.1703389307494601E-3</v>
      </c>
      <c r="E33" s="79">
        <v>1.0059624575152699E-2</v>
      </c>
      <c r="F33" s="79">
        <v>0.67848160485016695</v>
      </c>
      <c r="G33" s="79">
        <v>0.95220253949438205</v>
      </c>
      <c r="H33" s="80">
        <v>1</v>
      </c>
      <c r="I33" s="79">
        <v>1.20288206733379E-2</v>
      </c>
      <c r="J33" s="79">
        <v>9.9995180901923993E-3</v>
      </c>
      <c r="K33" s="79">
        <v>0.22906080636836099</v>
      </c>
      <c r="L33" s="79">
        <v>0.60537498825923997</v>
      </c>
      <c r="M33" s="80">
        <v>1</v>
      </c>
      <c r="N33" s="79">
        <v>-4.8067664232171597E-3</v>
      </c>
      <c r="O33" s="79">
        <v>9.9562003468617894E-3</v>
      </c>
      <c r="P33" s="79">
        <v>0.62926654987061204</v>
      </c>
      <c r="Q33" s="79">
        <v>0.86629927509990301</v>
      </c>
      <c r="R33" s="80">
        <v>1</v>
      </c>
      <c r="S33" s="79">
        <v>-9.66616332021813E-3</v>
      </c>
      <c r="T33" s="79">
        <v>9.9170120944446806E-3</v>
      </c>
      <c r="U33" s="79">
        <v>0.32975698586462299</v>
      </c>
      <c r="V33" s="79">
        <v>0.63261546451800099</v>
      </c>
      <c r="W33" s="80">
        <v>1</v>
      </c>
    </row>
    <row r="34" spans="2:23" x14ac:dyDescent="0.2">
      <c r="B34" s="76" t="s">
        <v>3167</v>
      </c>
      <c r="C34" s="17" t="s">
        <v>2177</v>
      </c>
      <c r="D34" s="79">
        <v>-2.2839822146708999E-3</v>
      </c>
      <c r="E34" s="79">
        <v>1.0640243986909799E-2</v>
      </c>
      <c r="F34" s="79">
        <v>0.83004571784513004</v>
      </c>
      <c r="G34" s="79">
        <v>0.95220253949438205</v>
      </c>
      <c r="H34" s="80">
        <v>1</v>
      </c>
      <c r="I34" s="79">
        <v>6.0898252662803199E-3</v>
      </c>
      <c r="J34" s="79">
        <v>1.0577728746392999E-2</v>
      </c>
      <c r="K34" s="79">
        <v>0.56483153056429702</v>
      </c>
      <c r="L34" s="79">
        <v>0.85664074802210199</v>
      </c>
      <c r="M34" s="80">
        <v>1</v>
      </c>
      <c r="N34" s="79">
        <v>-8.3266179471600602E-3</v>
      </c>
      <c r="O34" s="79">
        <v>1.05309619795437E-2</v>
      </c>
      <c r="P34" s="79">
        <v>0.42917123781461097</v>
      </c>
      <c r="Q34" s="79">
        <v>0.76527023957399498</v>
      </c>
      <c r="R34" s="80">
        <v>1</v>
      </c>
      <c r="S34" s="79">
        <v>-1.07086975932829E-2</v>
      </c>
      <c r="T34" s="79">
        <v>1.04897007740104E-2</v>
      </c>
      <c r="U34" s="79">
        <v>0.307365752214108</v>
      </c>
      <c r="V34" s="79">
        <v>0.63261546451800099</v>
      </c>
      <c r="W34" s="80">
        <v>1</v>
      </c>
    </row>
    <row r="35" spans="2:23" x14ac:dyDescent="0.2">
      <c r="B35" s="76" t="s">
        <v>3168</v>
      </c>
      <c r="C35" s="17" t="s">
        <v>2184</v>
      </c>
      <c r="D35" s="79">
        <v>-7.9327504967897401E-3</v>
      </c>
      <c r="E35" s="79">
        <v>9.5611914007921704E-3</v>
      </c>
      <c r="F35" s="79">
        <v>0.40676157359109999</v>
      </c>
      <c r="G35" s="79">
        <v>0.95220253949438205</v>
      </c>
      <c r="H35" s="80">
        <v>1</v>
      </c>
      <c r="I35" s="79">
        <v>-2.0889352785039899E-3</v>
      </c>
      <c r="J35" s="79">
        <v>9.5042886232240293E-3</v>
      </c>
      <c r="K35" s="79">
        <v>0.82604551475879395</v>
      </c>
      <c r="L35" s="79">
        <v>0.89893188370809896</v>
      </c>
      <c r="M35" s="80">
        <v>1</v>
      </c>
      <c r="N35" s="79">
        <v>-6.7757535431461997E-3</v>
      </c>
      <c r="O35" s="79">
        <v>9.4656536529578502E-3</v>
      </c>
      <c r="P35" s="79">
        <v>0.47413546218139202</v>
      </c>
      <c r="Q35" s="79">
        <v>0.79740964094143196</v>
      </c>
      <c r="R35" s="80">
        <v>1</v>
      </c>
      <c r="S35" s="79">
        <v>-6.5287214369076398E-3</v>
      </c>
      <c r="T35" s="79">
        <v>9.4277212929686095E-3</v>
      </c>
      <c r="U35" s="79">
        <v>0.48865663737249099</v>
      </c>
      <c r="V35" s="79">
        <v>0.75334564928259096</v>
      </c>
      <c r="W35" s="80">
        <v>1</v>
      </c>
    </row>
    <row r="36" spans="2:23" x14ac:dyDescent="0.2">
      <c r="B36" s="76" t="s">
        <v>3169</v>
      </c>
      <c r="C36" s="17" t="s">
        <v>2183</v>
      </c>
      <c r="D36" s="79">
        <v>4.2239493819055804E-3</v>
      </c>
      <c r="E36" s="79">
        <v>1.07605111791129E-2</v>
      </c>
      <c r="F36" s="79">
        <v>0.69467630944376202</v>
      </c>
      <c r="G36" s="79">
        <v>0.95220253949438205</v>
      </c>
      <c r="H36" s="80">
        <v>1</v>
      </c>
      <c r="I36" s="79">
        <v>2.9162388102323801E-3</v>
      </c>
      <c r="J36" s="79">
        <v>1.069577678213E-2</v>
      </c>
      <c r="K36" s="79">
        <v>0.78513209969803899</v>
      </c>
      <c r="L36" s="79">
        <v>0.88029962693416497</v>
      </c>
      <c r="M36" s="80">
        <v>1</v>
      </c>
      <c r="N36" s="79">
        <v>-4.4657948827899899E-3</v>
      </c>
      <c r="O36" s="79">
        <v>1.0653226457917501E-2</v>
      </c>
      <c r="P36" s="79">
        <v>0.675092155369033</v>
      </c>
      <c r="Q36" s="79">
        <v>0.88179100888142303</v>
      </c>
      <c r="R36" s="80">
        <v>1</v>
      </c>
      <c r="S36" s="79">
        <v>-1.9810849363570298E-3</v>
      </c>
      <c r="T36" s="79">
        <v>1.06109086386576E-2</v>
      </c>
      <c r="U36" s="79">
        <v>0.851902023796134</v>
      </c>
      <c r="V36" s="79">
        <v>0.92706984942520398</v>
      </c>
      <c r="W36" s="80">
        <v>1</v>
      </c>
    </row>
    <row r="37" spans="2:23" x14ac:dyDescent="0.2">
      <c r="B37" s="76" t="s">
        <v>3170</v>
      </c>
      <c r="C37" s="17" t="s">
        <v>2172</v>
      </c>
      <c r="D37" s="79">
        <v>-6.5961198792672E-3</v>
      </c>
      <c r="E37" s="79">
        <v>8.7438114893651896E-3</v>
      </c>
      <c r="F37" s="79">
        <v>0.45066240813952002</v>
      </c>
      <c r="G37" s="79">
        <v>0.95220253949438205</v>
      </c>
      <c r="H37" s="80">
        <v>1</v>
      </c>
      <c r="I37" s="79">
        <v>5.9261982690668501E-3</v>
      </c>
      <c r="J37" s="79">
        <v>8.6903194941809897E-3</v>
      </c>
      <c r="K37" s="79">
        <v>0.49531723286811702</v>
      </c>
      <c r="L37" s="79">
        <v>0.83303352800547004</v>
      </c>
      <c r="M37" s="80">
        <v>1</v>
      </c>
      <c r="N37" s="79">
        <v>-7.9729099975522407E-3</v>
      </c>
      <c r="O37" s="79">
        <v>8.6582392024840693E-3</v>
      </c>
      <c r="P37" s="79">
        <v>0.357178849380896</v>
      </c>
      <c r="Q37" s="79">
        <v>0.76527023957399498</v>
      </c>
      <c r="R37" s="80">
        <v>1</v>
      </c>
      <c r="S37" s="79">
        <v>-7.6276635761724897E-3</v>
      </c>
      <c r="T37" s="79">
        <v>8.6229315672137607E-3</v>
      </c>
      <c r="U37" s="79">
        <v>0.37643010598847898</v>
      </c>
      <c r="V37" s="79">
        <v>0.63308699643516997</v>
      </c>
      <c r="W37" s="80">
        <v>1</v>
      </c>
    </row>
    <row r="38" spans="2:23" x14ac:dyDescent="0.2">
      <c r="B38" s="76" t="s">
        <v>3171</v>
      </c>
      <c r="C38" s="17" t="s">
        <v>2171</v>
      </c>
      <c r="D38" s="79">
        <v>-7.0474060013774398E-3</v>
      </c>
      <c r="E38" s="79">
        <v>9.5237002583061295E-3</v>
      </c>
      <c r="F38" s="79">
        <v>0.45934604851299299</v>
      </c>
      <c r="G38" s="79">
        <v>0.95220253949438205</v>
      </c>
      <c r="H38" s="80">
        <v>1</v>
      </c>
      <c r="I38" s="79">
        <v>1.50889891351106E-2</v>
      </c>
      <c r="J38" s="79">
        <v>9.4646630034517093E-3</v>
      </c>
      <c r="K38" s="79">
        <v>0.11094992719391</v>
      </c>
      <c r="L38" s="79">
        <v>0.45612747846384999</v>
      </c>
      <c r="M38" s="80">
        <v>1</v>
      </c>
      <c r="N38" s="79">
        <v>-1.59993274629212E-3</v>
      </c>
      <c r="O38" s="79">
        <v>9.4277540853378392E-3</v>
      </c>
      <c r="P38" s="79">
        <v>0.86524989369981598</v>
      </c>
      <c r="Q38" s="79">
        <v>0.96348145013363196</v>
      </c>
      <c r="R38" s="80">
        <v>1</v>
      </c>
      <c r="S38" s="79">
        <v>1.7855232703020901E-2</v>
      </c>
      <c r="T38" s="79">
        <v>9.3862264979564305E-3</v>
      </c>
      <c r="U38" s="79">
        <v>5.7196526448719101E-2</v>
      </c>
      <c r="V38" s="79">
        <v>0.42325429572052098</v>
      </c>
      <c r="W38" s="80">
        <v>1</v>
      </c>
    </row>
    <row r="39" spans="2:23" x14ac:dyDescent="0.2">
      <c r="B39" s="76" t="s">
        <v>3172</v>
      </c>
      <c r="C39" s="17" t="s">
        <v>2174</v>
      </c>
      <c r="D39" s="79">
        <v>-8.4862095211362398E-3</v>
      </c>
      <c r="E39" s="79">
        <v>8.9355874935967902E-3</v>
      </c>
      <c r="F39" s="79">
        <v>0.342310083844649</v>
      </c>
      <c r="G39" s="79">
        <v>0.95220253949438205</v>
      </c>
      <c r="H39" s="80">
        <v>1</v>
      </c>
      <c r="I39" s="79">
        <v>9.0234392166515104E-3</v>
      </c>
      <c r="J39" s="79">
        <v>8.8807127661267599E-3</v>
      </c>
      <c r="K39" s="79">
        <v>0.30964911642165999</v>
      </c>
      <c r="L39" s="79">
        <v>0.67916044662902597</v>
      </c>
      <c r="M39" s="80">
        <v>1</v>
      </c>
      <c r="N39" s="79">
        <v>-8.3380771754346106E-3</v>
      </c>
      <c r="O39" s="79">
        <v>8.8477733767047106E-3</v>
      </c>
      <c r="P39" s="79">
        <v>0.346041003262264</v>
      </c>
      <c r="Q39" s="79">
        <v>0.76527023957399498</v>
      </c>
      <c r="R39" s="80">
        <v>1</v>
      </c>
      <c r="S39" s="79">
        <v>-3.5260844522821801E-3</v>
      </c>
      <c r="T39" s="79">
        <v>8.8124668006042805E-3</v>
      </c>
      <c r="U39" s="79">
        <v>0.689083340990154</v>
      </c>
      <c r="V39" s="79">
        <v>0.82719598401585004</v>
      </c>
      <c r="W39" s="80">
        <v>1</v>
      </c>
    </row>
    <row r="40" spans="2:23" x14ac:dyDescent="0.2">
      <c r="B40" s="76" t="s">
        <v>3173</v>
      </c>
      <c r="C40" s="17" t="s">
        <v>2173</v>
      </c>
      <c r="D40" s="79">
        <v>-1.07984079485155E-2</v>
      </c>
      <c r="E40" s="79">
        <v>9.8717851853832791E-3</v>
      </c>
      <c r="F40" s="79">
        <v>0.274070823320125</v>
      </c>
      <c r="G40" s="79">
        <v>0.95220253949438205</v>
      </c>
      <c r="H40" s="80">
        <v>1</v>
      </c>
      <c r="I40" s="79">
        <v>1.68725866615018E-2</v>
      </c>
      <c r="J40" s="79">
        <v>9.8106653149633398E-3</v>
      </c>
      <c r="K40" s="79">
        <v>8.5532143545159395E-2</v>
      </c>
      <c r="L40" s="79">
        <v>0.39558616389636198</v>
      </c>
      <c r="M40" s="80">
        <v>1</v>
      </c>
      <c r="N40" s="79">
        <v>7.6397041986580303E-4</v>
      </c>
      <c r="O40" s="79">
        <v>9.7725386500524605E-3</v>
      </c>
      <c r="P40" s="79">
        <v>0.93769203283215097</v>
      </c>
      <c r="Q40" s="79">
        <v>0.96348145013363196</v>
      </c>
      <c r="R40" s="80">
        <v>1</v>
      </c>
      <c r="S40" s="79">
        <v>2.3408289450791601E-2</v>
      </c>
      <c r="T40" s="79">
        <v>9.7272140816403192E-3</v>
      </c>
      <c r="U40" s="79">
        <v>1.6146211962995798E-2</v>
      </c>
      <c r="V40" s="79">
        <v>0.29870492131542298</v>
      </c>
      <c r="W40" s="80">
        <v>0.59740984263084596</v>
      </c>
    </row>
    <row r="41" spans="2:23" x14ac:dyDescent="0.2">
      <c r="B41" s="76" t="s">
        <v>3174</v>
      </c>
      <c r="C41" s="17" t="s">
        <v>2166</v>
      </c>
      <c r="D41" s="79">
        <v>-6.2772836878822701E-3</v>
      </c>
      <c r="E41" s="79">
        <v>1.04686232474486E-2</v>
      </c>
      <c r="F41" s="79">
        <v>0.54878294091892499</v>
      </c>
      <c r="G41" s="79">
        <v>0.95220253949438205</v>
      </c>
      <c r="H41" s="80">
        <v>1</v>
      </c>
      <c r="I41" s="79">
        <v>-7.5947836301838599E-3</v>
      </c>
      <c r="J41" s="79">
        <v>1.0407585703400101E-2</v>
      </c>
      <c r="K41" s="79">
        <v>0.46558851675941698</v>
      </c>
      <c r="L41" s="79">
        <v>0.82032262476659201</v>
      </c>
      <c r="M41" s="80">
        <v>1</v>
      </c>
      <c r="N41" s="79">
        <v>-2.6320210354895501E-3</v>
      </c>
      <c r="O41" s="79">
        <v>1.0361239216492501E-2</v>
      </c>
      <c r="P41" s="79">
        <v>0.79948680806666195</v>
      </c>
      <c r="Q41" s="79">
        <v>0.94688940467190996</v>
      </c>
      <c r="R41" s="80">
        <v>1</v>
      </c>
      <c r="S41" s="79">
        <v>-1.0254675463138499E-2</v>
      </c>
      <c r="T41" s="79">
        <v>1.03200682782484E-2</v>
      </c>
      <c r="U41" s="79">
        <v>0.32043791882149197</v>
      </c>
      <c r="V41" s="79">
        <v>0.63261546451800099</v>
      </c>
      <c r="W41" s="80">
        <v>1</v>
      </c>
    </row>
    <row r="42" spans="2:23" ht="16" customHeight="1" x14ac:dyDescent="0.2">
      <c r="B42" s="76" t="s">
        <v>3175</v>
      </c>
      <c r="C42" s="22" t="s">
        <v>2165</v>
      </c>
      <c r="D42" s="79">
        <v>-1.86246054951943E-3</v>
      </c>
      <c r="E42" s="79">
        <v>9.3755917189747E-3</v>
      </c>
      <c r="F42" s="79">
        <v>0.84254547941121904</v>
      </c>
      <c r="G42" s="79">
        <v>0.95220253949438205</v>
      </c>
      <c r="H42" s="87">
        <v>1</v>
      </c>
      <c r="I42" s="79">
        <v>2.74181622762902E-3</v>
      </c>
      <c r="J42" s="79">
        <v>9.3183071364107296E-3</v>
      </c>
      <c r="K42" s="79">
        <v>0.76858820308836695</v>
      </c>
      <c r="L42" s="79">
        <v>0.88029962693416497</v>
      </c>
      <c r="M42" s="87">
        <v>1</v>
      </c>
      <c r="N42" s="79">
        <v>-8.7665424361295704E-3</v>
      </c>
      <c r="O42" s="79">
        <v>9.28256788344968E-3</v>
      </c>
      <c r="P42" s="79">
        <v>0.345010502742222</v>
      </c>
      <c r="Q42" s="79">
        <v>0.76527023957399498</v>
      </c>
      <c r="R42" s="87">
        <v>1</v>
      </c>
      <c r="S42" s="79">
        <v>-6.0884774546855498E-3</v>
      </c>
      <c r="T42" s="79">
        <v>9.2450737943790499E-3</v>
      </c>
      <c r="U42" s="79">
        <v>0.51020869000061597</v>
      </c>
      <c r="V42" s="79">
        <v>0.75510886120091203</v>
      </c>
      <c r="W42" s="87">
        <v>1</v>
      </c>
    </row>
    <row r="43" spans="2:23" ht="16" customHeight="1" x14ac:dyDescent="0.2">
      <c r="B43" s="137" t="s">
        <v>2154</v>
      </c>
      <c r="C43" s="137"/>
      <c r="D43" s="137"/>
      <c r="E43" s="137"/>
      <c r="F43" s="137"/>
      <c r="G43" s="137"/>
      <c r="H43" s="137"/>
      <c r="I43" s="137"/>
      <c r="J43" s="137"/>
      <c r="K43" s="137"/>
      <c r="L43" s="137"/>
      <c r="M43" s="137"/>
      <c r="N43" s="137"/>
      <c r="O43" s="137"/>
      <c r="P43" s="137"/>
      <c r="Q43" s="137"/>
      <c r="R43" s="137"/>
      <c r="S43" s="137"/>
      <c r="T43" s="137"/>
      <c r="U43" s="137"/>
      <c r="V43" s="137"/>
      <c r="W43" s="137"/>
    </row>
    <row r="44" spans="2:23" x14ac:dyDescent="0.2">
      <c r="B44" s="135"/>
      <c r="C44" s="135"/>
      <c r="D44" s="135"/>
      <c r="E44" s="135"/>
      <c r="F44" s="135"/>
      <c r="G44" s="135"/>
      <c r="H44" s="135"/>
      <c r="I44" s="135"/>
      <c r="J44" s="135"/>
      <c r="K44" s="135"/>
      <c r="L44" s="135"/>
      <c r="M44" s="135"/>
      <c r="N44" s="135"/>
      <c r="O44" s="135"/>
      <c r="P44" s="135"/>
      <c r="Q44" s="135"/>
      <c r="R44" s="135"/>
      <c r="S44" s="135"/>
      <c r="T44" s="135"/>
      <c r="U44" s="135"/>
      <c r="V44" s="135"/>
      <c r="W44" s="135"/>
    </row>
    <row r="45" spans="2:23" x14ac:dyDescent="0.2">
      <c r="C45" s="59"/>
      <c r="D45" s="59"/>
      <c r="E45" s="59"/>
      <c r="F45" s="59"/>
      <c r="G45" s="59"/>
      <c r="H45" s="59"/>
    </row>
    <row r="46" spans="2:23" x14ac:dyDescent="0.2">
      <c r="C46" s="23"/>
    </row>
    <row r="47" spans="2:23" x14ac:dyDescent="0.2">
      <c r="C47" s="23"/>
    </row>
    <row r="48" spans="2:23" x14ac:dyDescent="0.2">
      <c r="C48" s="23"/>
    </row>
    <row r="49" spans="3:3" x14ac:dyDescent="0.2">
      <c r="C49" s="23"/>
    </row>
    <row r="50" spans="3:3" x14ac:dyDescent="0.2">
      <c r="C50" s="23"/>
    </row>
    <row r="51" spans="3:3" x14ac:dyDescent="0.2">
      <c r="C51" s="23"/>
    </row>
    <row r="52" spans="3:3" x14ac:dyDescent="0.2">
      <c r="C52" s="23"/>
    </row>
    <row r="53" spans="3:3" x14ac:dyDescent="0.2">
      <c r="C53" s="23"/>
    </row>
  </sheetData>
  <sortState xmlns:xlrd2="http://schemas.microsoft.com/office/spreadsheetml/2017/richdata2" ref="C6:W42">
    <sortCondition ref="C6:C42"/>
  </sortState>
  <mergeCells count="5">
    <mergeCell ref="B43:W44"/>
    <mergeCell ref="D4:H4"/>
    <mergeCell ref="I4:M4"/>
    <mergeCell ref="N4:R4"/>
    <mergeCell ref="S4:W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00138-53D3-4E43-9321-18F425675B45}">
  <dimension ref="B2:W53"/>
  <sheetViews>
    <sheetView showGridLines="0" topLeftCell="B1" workbookViewId="0">
      <selection activeCell="B2" sqref="B2"/>
    </sheetView>
  </sheetViews>
  <sheetFormatPr baseColWidth="10" defaultRowHeight="16" x14ac:dyDescent="0.2"/>
  <cols>
    <col min="2" max="2" width="42" customWidth="1"/>
    <col min="3" max="3" width="23.83203125" customWidth="1"/>
    <col min="8" max="8" width="13.1640625" customWidth="1"/>
  </cols>
  <sheetData>
    <row r="2" spans="2:23" x14ac:dyDescent="0.2">
      <c r="B2" s="51" t="s">
        <v>8550</v>
      </c>
    </row>
    <row r="3" spans="2:23" x14ac:dyDescent="0.2">
      <c r="C3" s="51"/>
    </row>
    <row r="4" spans="2:23" x14ac:dyDescent="0.2">
      <c r="D4" s="145" t="s">
        <v>79</v>
      </c>
      <c r="E4" s="145"/>
      <c r="F4" s="145"/>
      <c r="G4" s="145"/>
      <c r="H4" s="145"/>
      <c r="I4" s="145" t="s">
        <v>763</v>
      </c>
      <c r="J4" s="145"/>
      <c r="K4" s="145"/>
      <c r="L4" s="145"/>
      <c r="M4" s="145"/>
      <c r="N4" s="145" t="s">
        <v>764</v>
      </c>
      <c r="O4" s="145"/>
      <c r="P4" s="145"/>
      <c r="Q4" s="145"/>
      <c r="R4" s="145"/>
      <c r="S4" s="145" t="s">
        <v>765</v>
      </c>
      <c r="T4" s="145"/>
      <c r="U4" s="145"/>
      <c r="V4" s="145"/>
      <c r="W4" s="145"/>
    </row>
    <row r="5" spans="2:23" x14ac:dyDescent="0.2">
      <c r="B5" s="66" t="s">
        <v>2875</v>
      </c>
      <c r="C5" s="22" t="s">
        <v>80</v>
      </c>
      <c r="D5" s="21" t="s">
        <v>81</v>
      </c>
      <c r="E5" s="21" t="s">
        <v>82</v>
      </c>
      <c r="F5" s="21" t="s">
        <v>83</v>
      </c>
      <c r="G5" s="21" t="s">
        <v>761</v>
      </c>
      <c r="H5" s="22" t="s">
        <v>762</v>
      </c>
      <c r="I5" s="21" t="s">
        <v>81</v>
      </c>
      <c r="J5" s="21" t="s">
        <v>82</v>
      </c>
      <c r="K5" s="21" t="s">
        <v>83</v>
      </c>
      <c r="L5" s="21" t="s">
        <v>761</v>
      </c>
      <c r="M5" s="22" t="s">
        <v>762</v>
      </c>
      <c r="N5" s="21" t="s">
        <v>81</v>
      </c>
      <c r="O5" s="21" t="s">
        <v>82</v>
      </c>
      <c r="P5" s="21" t="s">
        <v>83</v>
      </c>
      <c r="Q5" s="21" t="s">
        <v>761</v>
      </c>
      <c r="R5" s="22" t="s">
        <v>762</v>
      </c>
      <c r="S5" s="21" t="s">
        <v>81</v>
      </c>
      <c r="T5" s="21" t="s">
        <v>82</v>
      </c>
      <c r="U5" s="21" t="s">
        <v>83</v>
      </c>
      <c r="V5" s="21" t="s">
        <v>761</v>
      </c>
      <c r="W5" s="22" t="s">
        <v>762</v>
      </c>
    </row>
    <row r="6" spans="2:23" x14ac:dyDescent="0.2">
      <c r="B6" s="76" t="s">
        <v>3139</v>
      </c>
      <c r="C6" s="17" t="s">
        <v>2199</v>
      </c>
      <c r="D6" s="79">
        <v>2.2292984977514599E-2</v>
      </c>
      <c r="E6" s="79">
        <v>1.08424005385396E-2</v>
      </c>
      <c r="F6" s="79">
        <v>3.9830084312533598E-2</v>
      </c>
      <c r="G6" s="79">
        <v>0.82963189631356904</v>
      </c>
      <c r="H6" s="80">
        <v>1</v>
      </c>
      <c r="I6" s="79">
        <v>-7.6446708656347905E-4</v>
      </c>
      <c r="J6" s="79">
        <v>1.0781255629759E-2</v>
      </c>
      <c r="K6" s="79">
        <v>0.943474836194649</v>
      </c>
      <c r="L6" s="79">
        <v>0.97540067288639298</v>
      </c>
      <c r="M6" s="80">
        <v>1</v>
      </c>
      <c r="N6" s="79">
        <v>-1.55065135709E-2</v>
      </c>
      <c r="O6" s="79">
        <v>1.07376559324662E-2</v>
      </c>
      <c r="P6" s="79">
        <v>0.14877199391447801</v>
      </c>
      <c r="Q6" s="79">
        <v>0.55917580494239405</v>
      </c>
      <c r="R6" s="80">
        <v>1</v>
      </c>
      <c r="S6" s="79">
        <v>-1.24436446652886E-2</v>
      </c>
      <c r="T6" s="79">
        <v>1.06949221814967E-2</v>
      </c>
      <c r="U6" s="79">
        <v>0.2446832275744</v>
      </c>
      <c r="V6" s="79">
        <v>0.49342207232926</v>
      </c>
      <c r="W6" s="80">
        <v>1</v>
      </c>
    </row>
    <row r="7" spans="2:23" x14ac:dyDescent="0.2">
      <c r="B7" s="76" t="s">
        <v>3140</v>
      </c>
      <c r="C7" s="17" t="s">
        <v>2198</v>
      </c>
      <c r="D7" s="79">
        <v>8.7082578537021303E-3</v>
      </c>
      <c r="E7" s="79">
        <v>1.11081405799937E-2</v>
      </c>
      <c r="F7" s="79">
        <v>0.43310830872881001</v>
      </c>
      <c r="G7" s="79">
        <v>0.84085676271320497</v>
      </c>
      <c r="H7" s="80">
        <v>1</v>
      </c>
      <c r="I7" s="79">
        <v>-1.06987116769447E-2</v>
      </c>
      <c r="J7" s="79">
        <v>1.1039522384101001E-2</v>
      </c>
      <c r="K7" s="79">
        <v>0.33253259862259299</v>
      </c>
      <c r="L7" s="79">
        <v>0.83522142707760305</v>
      </c>
      <c r="M7" s="80">
        <v>1</v>
      </c>
      <c r="N7" s="79">
        <v>-1.3039832807320399E-2</v>
      </c>
      <c r="O7" s="79">
        <v>1.09976667104168E-2</v>
      </c>
      <c r="P7" s="79">
        <v>0.23580557147335099</v>
      </c>
      <c r="Q7" s="79">
        <v>0.55917580494239405</v>
      </c>
      <c r="R7" s="80">
        <v>1</v>
      </c>
      <c r="S7" s="79">
        <v>-1.1119671197718801E-2</v>
      </c>
      <c r="T7" s="79">
        <v>1.09536628532599E-2</v>
      </c>
      <c r="U7" s="79">
        <v>0.310085107883533</v>
      </c>
      <c r="V7" s="79">
        <v>0.49883256485611799</v>
      </c>
      <c r="W7" s="80">
        <v>1</v>
      </c>
    </row>
    <row r="8" spans="2:23" x14ac:dyDescent="0.2">
      <c r="B8" s="76" t="s">
        <v>3141</v>
      </c>
      <c r="C8" s="17" t="s">
        <v>2208</v>
      </c>
      <c r="D8" s="79">
        <v>1.18368623555442E-2</v>
      </c>
      <c r="E8" s="79">
        <v>1.09015989069882E-2</v>
      </c>
      <c r="F8" s="79">
        <v>0.27762749731149799</v>
      </c>
      <c r="G8" s="79">
        <v>0.82963189631356904</v>
      </c>
      <c r="H8" s="80">
        <v>1</v>
      </c>
      <c r="I8" s="79">
        <v>2.2045329298932301E-2</v>
      </c>
      <c r="J8" s="79">
        <v>1.0835889124531E-2</v>
      </c>
      <c r="K8" s="79">
        <v>4.1960518793665802E-2</v>
      </c>
      <c r="L8" s="79">
        <v>0.685969090881276</v>
      </c>
      <c r="M8" s="80">
        <v>1</v>
      </c>
      <c r="N8" s="79">
        <v>-2.0286460353294102E-2</v>
      </c>
      <c r="O8" s="79">
        <v>1.07860855215913E-2</v>
      </c>
      <c r="P8" s="79">
        <v>6.0061291153480599E-2</v>
      </c>
      <c r="Q8" s="79">
        <v>0.55917580494239405</v>
      </c>
      <c r="R8" s="80">
        <v>1</v>
      </c>
      <c r="S8" s="79">
        <v>-2.3096549625425102E-2</v>
      </c>
      <c r="T8" s="79">
        <v>1.0743454077553401E-2</v>
      </c>
      <c r="U8" s="79">
        <v>3.1620236555518398E-2</v>
      </c>
      <c r="V8" s="79">
        <v>0.33760711998846799</v>
      </c>
      <c r="W8" s="80">
        <v>1</v>
      </c>
    </row>
    <row r="9" spans="2:23" x14ac:dyDescent="0.2">
      <c r="B9" s="76" t="s">
        <v>3142</v>
      </c>
      <c r="C9" s="17" t="s">
        <v>2193</v>
      </c>
      <c r="D9" s="79">
        <v>5.1754198098894902E-3</v>
      </c>
      <c r="E9" s="79">
        <v>1.3176113797310001E-2</v>
      </c>
      <c r="F9" s="79">
        <v>0.69449427527839303</v>
      </c>
      <c r="G9" s="79">
        <v>0.87299719935645204</v>
      </c>
      <c r="H9" s="80">
        <v>1</v>
      </c>
      <c r="I9" s="79">
        <v>6.36447588115797E-3</v>
      </c>
      <c r="J9" s="79">
        <v>1.30961144503773E-2</v>
      </c>
      <c r="K9" s="79">
        <v>0.62700320558641098</v>
      </c>
      <c r="L9" s="79">
        <v>0.91376170454879502</v>
      </c>
      <c r="M9" s="80">
        <v>1</v>
      </c>
      <c r="N9" s="79">
        <v>8.0363395142794992E-3</v>
      </c>
      <c r="O9" s="79">
        <v>1.3045718254953599E-2</v>
      </c>
      <c r="P9" s="79">
        <v>0.537915954196309</v>
      </c>
      <c r="Q9" s="79">
        <v>0.66342967684211396</v>
      </c>
      <c r="R9" s="80">
        <v>1</v>
      </c>
      <c r="S9" s="79">
        <v>-1.3651727484388899E-2</v>
      </c>
      <c r="T9" s="79">
        <v>1.29912219584154E-2</v>
      </c>
      <c r="U9" s="79">
        <v>0.293386097060641</v>
      </c>
      <c r="V9" s="79">
        <v>0.49342207232926</v>
      </c>
      <c r="W9" s="80">
        <v>1</v>
      </c>
    </row>
    <row r="10" spans="2:23" x14ac:dyDescent="0.2">
      <c r="B10" s="76" t="s">
        <v>3143</v>
      </c>
      <c r="C10" s="17" t="s">
        <v>2192</v>
      </c>
      <c r="D10" s="79">
        <v>4.4928679630225499E-3</v>
      </c>
      <c r="E10" s="79">
        <v>1.25349370573433E-2</v>
      </c>
      <c r="F10" s="79">
        <v>0.72003987744255304</v>
      </c>
      <c r="G10" s="79">
        <v>0.87299719935645204</v>
      </c>
      <c r="H10" s="80">
        <v>1</v>
      </c>
      <c r="I10" s="79">
        <v>1.1235766787554899E-2</v>
      </c>
      <c r="J10" s="79">
        <v>1.24570588754595E-2</v>
      </c>
      <c r="K10" s="79">
        <v>0.36712599830940201</v>
      </c>
      <c r="L10" s="79">
        <v>0.83522142707760305</v>
      </c>
      <c r="M10" s="80">
        <v>1</v>
      </c>
      <c r="N10" s="79">
        <v>3.3142632721623898E-4</v>
      </c>
      <c r="O10" s="79">
        <v>1.24123374881332E-2</v>
      </c>
      <c r="P10" s="79">
        <v>0.97869908804012096</v>
      </c>
      <c r="Q10" s="79">
        <v>0.98420217563415702</v>
      </c>
      <c r="R10" s="80">
        <v>1</v>
      </c>
      <c r="S10" s="79">
        <v>-1.33189453843725E-2</v>
      </c>
      <c r="T10" s="79">
        <v>1.2360179536344501E-2</v>
      </c>
      <c r="U10" s="79">
        <v>0.28128294400904302</v>
      </c>
      <c r="V10" s="79">
        <v>0.49342207232926</v>
      </c>
      <c r="W10" s="80">
        <v>1</v>
      </c>
    </row>
    <row r="11" spans="2:23" x14ac:dyDescent="0.2">
      <c r="B11" s="76" t="s">
        <v>3144</v>
      </c>
      <c r="C11" s="17" t="s">
        <v>2195</v>
      </c>
      <c r="D11" s="79">
        <v>1.8950432914891801E-4</v>
      </c>
      <c r="E11" s="79">
        <v>1.1388883189737801E-2</v>
      </c>
      <c r="F11" s="79">
        <v>0.986725013162146</v>
      </c>
      <c r="G11" s="79">
        <v>0.986725013162146</v>
      </c>
      <c r="H11" s="80">
        <v>1</v>
      </c>
      <c r="I11" s="79">
        <v>-1.40026383575408E-2</v>
      </c>
      <c r="J11" s="79">
        <v>1.13156997265753E-2</v>
      </c>
      <c r="K11" s="79">
        <v>0.21598357516581199</v>
      </c>
      <c r="L11" s="79">
        <v>0.83522142707760305</v>
      </c>
      <c r="M11" s="80">
        <v>1</v>
      </c>
      <c r="N11" s="79">
        <v>-1.19734425651417E-2</v>
      </c>
      <c r="O11" s="79">
        <v>1.12767724304481E-2</v>
      </c>
      <c r="P11" s="79">
        <v>0.28839219882282402</v>
      </c>
      <c r="Q11" s="79">
        <v>0.55917580494239405</v>
      </c>
      <c r="R11" s="80">
        <v>1</v>
      </c>
      <c r="S11" s="79">
        <v>-1.28214021628738E-2</v>
      </c>
      <c r="T11" s="79">
        <v>1.12312308966965E-2</v>
      </c>
      <c r="U11" s="79">
        <v>0.25368669464183902</v>
      </c>
      <c r="V11" s="79">
        <v>0.49342207232926</v>
      </c>
      <c r="W11" s="80">
        <v>1</v>
      </c>
    </row>
    <row r="12" spans="2:23" x14ac:dyDescent="0.2">
      <c r="B12" s="76" t="s">
        <v>3145</v>
      </c>
      <c r="C12" s="17" t="s">
        <v>2194</v>
      </c>
      <c r="D12" s="79">
        <v>3.0673494969031298E-3</v>
      </c>
      <c r="E12" s="79">
        <v>1.1868482205252001E-2</v>
      </c>
      <c r="F12" s="79">
        <v>0.79607536004928003</v>
      </c>
      <c r="G12" s="79">
        <v>0.87299719935645204</v>
      </c>
      <c r="H12" s="80">
        <v>1</v>
      </c>
      <c r="I12" s="79">
        <v>-1.5328488035513401E-2</v>
      </c>
      <c r="J12" s="79">
        <v>1.17921965421087E-2</v>
      </c>
      <c r="K12" s="79">
        <v>0.19370786940336701</v>
      </c>
      <c r="L12" s="79">
        <v>0.83522142707760305</v>
      </c>
      <c r="M12" s="80">
        <v>1</v>
      </c>
      <c r="N12" s="79">
        <v>-2.3274083344739999E-4</v>
      </c>
      <c r="O12" s="79">
        <v>1.1753383658586899E-2</v>
      </c>
      <c r="P12" s="79">
        <v>0.98420217563415702</v>
      </c>
      <c r="Q12" s="79">
        <v>0.98420217563415702</v>
      </c>
      <c r="R12" s="80">
        <v>1</v>
      </c>
      <c r="S12" s="79">
        <v>-7.3000187428663103E-3</v>
      </c>
      <c r="T12" s="79">
        <v>1.1704706697218801E-2</v>
      </c>
      <c r="U12" s="79">
        <v>0.53286780197670902</v>
      </c>
      <c r="V12" s="79">
        <v>0.71651247322980105</v>
      </c>
      <c r="W12" s="80">
        <v>1</v>
      </c>
    </row>
    <row r="13" spans="2:23" x14ac:dyDescent="0.2">
      <c r="B13" s="76" t="s">
        <v>3146</v>
      </c>
      <c r="C13" s="17" t="s">
        <v>2197</v>
      </c>
      <c r="D13" s="79">
        <v>2.0353198584441398E-3</v>
      </c>
      <c r="E13" s="79">
        <v>1.08406541166746E-2</v>
      </c>
      <c r="F13" s="79">
        <v>0.851081792761616</v>
      </c>
      <c r="G13" s="79">
        <v>0.896090164847965</v>
      </c>
      <c r="H13" s="80">
        <v>1</v>
      </c>
      <c r="I13" s="79">
        <v>-8.2761166314308503E-3</v>
      </c>
      <c r="J13" s="79">
        <v>1.0776414621121E-2</v>
      </c>
      <c r="K13" s="79">
        <v>0.44253579570930701</v>
      </c>
      <c r="L13" s="79">
        <v>0.83522142707760305</v>
      </c>
      <c r="M13" s="80">
        <v>1</v>
      </c>
      <c r="N13" s="79">
        <v>-2.7972453217817899E-3</v>
      </c>
      <c r="O13" s="79">
        <v>1.07301666435471E-2</v>
      </c>
      <c r="P13" s="79">
        <v>0.79434323165801701</v>
      </c>
      <c r="Q13" s="79">
        <v>0.86443234033372496</v>
      </c>
      <c r="R13" s="80">
        <v>1</v>
      </c>
      <c r="S13" s="79">
        <v>3.99534494665093E-3</v>
      </c>
      <c r="T13" s="79">
        <v>1.06881576157337E-2</v>
      </c>
      <c r="U13" s="79">
        <v>0.70856239703330903</v>
      </c>
      <c r="V13" s="79">
        <v>0.75920198925322302</v>
      </c>
      <c r="W13" s="80">
        <v>1</v>
      </c>
    </row>
    <row r="14" spans="2:23" x14ac:dyDescent="0.2">
      <c r="B14" s="76" t="s">
        <v>3147</v>
      </c>
      <c r="C14" s="17" t="s">
        <v>2196</v>
      </c>
      <c r="D14" s="79">
        <v>5.56801709079541E-3</v>
      </c>
      <c r="E14" s="79">
        <v>1.07076433017795E-2</v>
      </c>
      <c r="F14" s="79">
        <v>0.603086139192893</v>
      </c>
      <c r="G14" s="79">
        <v>0.84085676271320497</v>
      </c>
      <c r="H14" s="80">
        <v>1</v>
      </c>
      <c r="I14" s="79">
        <v>-9.0567717177781996E-3</v>
      </c>
      <c r="J14" s="79">
        <v>1.06424409678487E-2</v>
      </c>
      <c r="K14" s="79">
        <v>0.39481155243406002</v>
      </c>
      <c r="L14" s="79">
        <v>0.83522142707760305</v>
      </c>
      <c r="M14" s="80">
        <v>1</v>
      </c>
      <c r="N14" s="79">
        <v>-8.1293165354647205E-3</v>
      </c>
      <c r="O14" s="79">
        <v>1.06021807601396E-2</v>
      </c>
      <c r="P14" s="79">
        <v>0.44326449512233101</v>
      </c>
      <c r="Q14" s="79">
        <v>0.66342967684211396</v>
      </c>
      <c r="R14" s="80">
        <v>1</v>
      </c>
      <c r="S14" s="79">
        <v>-4.6460880043895803E-3</v>
      </c>
      <c r="T14" s="79">
        <v>1.05599024009536E-2</v>
      </c>
      <c r="U14" s="79">
        <v>0.65997640924668899</v>
      </c>
      <c r="V14" s="79">
        <v>0.75920198925322302</v>
      </c>
      <c r="W14" s="80">
        <v>1</v>
      </c>
    </row>
    <row r="15" spans="2:23" x14ac:dyDescent="0.2">
      <c r="B15" s="76" t="s">
        <v>3148</v>
      </c>
      <c r="C15" s="17" t="s">
        <v>2206</v>
      </c>
      <c r="D15" s="79">
        <v>3.8461167276347599E-3</v>
      </c>
      <c r="E15" s="79">
        <v>1.20265414041672E-2</v>
      </c>
      <c r="F15" s="79">
        <v>0.74913268968562696</v>
      </c>
      <c r="G15" s="79">
        <v>0.87299719935645204</v>
      </c>
      <c r="H15" s="80">
        <v>1</v>
      </c>
      <c r="I15" s="79">
        <v>7.6008853063318704E-3</v>
      </c>
      <c r="J15" s="79">
        <v>1.1953614375217201E-2</v>
      </c>
      <c r="K15" s="79">
        <v>0.524896231096461</v>
      </c>
      <c r="L15" s="79">
        <v>0.83522142707760305</v>
      </c>
      <c r="M15" s="80">
        <v>1</v>
      </c>
      <c r="N15" s="79">
        <v>-9.3586476252618799E-3</v>
      </c>
      <c r="O15" s="79">
        <v>1.1908290859666701E-2</v>
      </c>
      <c r="P15" s="79">
        <v>0.43197030760773197</v>
      </c>
      <c r="Q15" s="79">
        <v>0.66342967684211396</v>
      </c>
      <c r="R15" s="80">
        <v>1</v>
      </c>
      <c r="S15" s="79">
        <v>-1.47137733292458E-2</v>
      </c>
      <c r="T15" s="79">
        <v>1.1858802955401799E-2</v>
      </c>
      <c r="U15" s="79">
        <v>0.214762483889789</v>
      </c>
      <c r="V15" s="79">
        <v>0.49342207232926</v>
      </c>
      <c r="W15" s="80">
        <v>1</v>
      </c>
    </row>
    <row r="16" spans="2:23" x14ac:dyDescent="0.2">
      <c r="B16" s="76" t="s">
        <v>3149</v>
      </c>
      <c r="C16" s="17" t="s">
        <v>2207</v>
      </c>
      <c r="D16" s="79">
        <v>1.9372119104898701E-2</v>
      </c>
      <c r="E16" s="79">
        <v>1.1143535192066499E-2</v>
      </c>
      <c r="F16" s="79">
        <v>8.2203276284672597E-2</v>
      </c>
      <c r="G16" s="79">
        <v>0.82963189631356904</v>
      </c>
      <c r="H16" s="80">
        <v>1</v>
      </c>
      <c r="I16" s="79">
        <v>2.54867646088308E-2</v>
      </c>
      <c r="J16" s="79">
        <v>1.10780465505131E-2</v>
      </c>
      <c r="K16" s="79">
        <v>2.14551257893928E-2</v>
      </c>
      <c r="L16" s="79">
        <v>0.685969090881276</v>
      </c>
      <c r="M16" s="80">
        <v>0.793839654207534</v>
      </c>
      <c r="N16" s="79">
        <v>-1.7264674242951202E-2</v>
      </c>
      <c r="O16" s="79">
        <v>1.10255176090398E-2</v>
      </c>
      <c r="P16" s="79">
        <v>0.117443410637427</v>
      </c>
      <c r="Q16" s="79">
        <v>0.55917580494239405</v>
      </c>
      <c r="R16" s="80">
        <v>1</v>
      </c>
      <c r="S16" s="79">
        <v>-1.50346467380011E-2</v>
      </c>
      <c r="T16" s="79">
        <v>1.0985087463120401E-2</v>
      </c>
      <c r="U16" s="79">
        <v>0.17117709199641801</v>
      </c>
      <c r="V16" s="79">
        <v>0.49342207232926</v>
      </c>
      <c r="W16" s="80">
        <v>1</v>
      </c>
    </row>
    <row r="17" spans="2:23" x14ac:dyDescent="0.2">
      <c r="B17" s="76" t="s">
        <v>3150</v>
      </c>
      <c r="C17" s="17" t="s">
        <v>2218</v>
      </c>
      <c r="D17" s="79">
        <v>1.39375904812763E-2</v>
      </c>
      <c r="E17" s="79">
        <v>1.05574008975301E-2</v>
      </c>
      <c r="F17" s="79">
        <v>0.18684145334074201</v>
      </c>
      <c r="G17" s="79">
        <v>0.82963189631356904</v>
      </c>
      <c r="H17" s="80">
        <v>1</v>
      </c>
      <c r="I17" s="79">
        <v>4.1378549046815396E-3</v>
      </c>
      <c r="J17" s="79">
        <v>1.04984836927906E-2</v>
      </c>
      <c r="K17" s="79">
        <v>0.69349673531256095</v>
      </c>
      <c r="L17" s="79">
        <v>0.91798764845388303</v>
      </c>
      <c r="M17" s="80">
        <v>1</v>
      </c>
      <c r="N17" s="79">
        <v>-1.44049081755001E-2</v>
      </c>
      <c r="O17" s="79">
        <v>1.04430208155512E-2</v>
      </c>
      <c r="P17" s="79">
        <v>0.16784227890839501</v>
      </c>
      <c r="Q17" s="79">
        <v>0.55917580494239405</v>
      </c>
      <c r="R17" s="80">
        <v>1</v>
      </c>
      <c r="S17" s="79">
        <v>-1.44663076623196E-2</v>
      </c>
      <c r="T17" s="79">
        <v>1.0404563831714E-2</v>
      </c>
      <c r="U17" s="79">
        <v>0.164478626221151</v>
      </c>
      <c r="V17" s="79">
        <v>0.49342207232926</v>
      </c>
      <c r="W17" s="80">
        <v>1</v>
      </c>
    </row>
    <row r="18" spans="2:23" x14ac:dyDescent="0.2">
      <c r="B18" s="76" t="s">
        <v>3151</v>
      </c>
      <c r="C18" s="17" t="s">
        <v>2217</v>
      </c>
      <c r="D18" s="79">
        <v>8.0858758586788808E-3</v>
      </c>
      <c r="E18" s="79">
        <v>1.128847707993E-2</v>
      </c>
      <c r="F18" s="79">
        <v>0.47384516092067802</v>
      </c>
      <c r="G18" s="79">
        <v>0.84085676271320497</v>
      </c>
      <c r="H18" s="80">
        <v>1</v>
      </c>
      <c r="I18" s="79">
        <v>-8.5526154178122895E-3</v>
      </c>
      <c r="J18" s="79">
        <v>1.12223441643416E-2</v>
      </c>
      <c r="K18" s="79">
        <v>0.44603523914849202</v>
      </c>
      <c r="L18" s="79">
        <v>0.83522142707760305</v>
      </c>
      <c r="M18" s="80">
        <v>1</v>
      </c>
      <c r="N18" s="79">
        <v>-1.1551867797320099E-2</v>
      </c>
      <c r="O18" s="79">
        <v>1.1169140206113801E-2</v>
      </c>
      <c r="P18" s="79">
        <v>0.30106476331352999</v>
      </c>
      <c r="Q18" s="79">
        <v>0.55917580494239405</v>
      </c>
      <c r="R18" s="80">
        <v>1</v>
      </c>
      <c r="S18" s="79">
        <v>-2.3267526122672501E-2</v>
      </c>
      <c r="T18" s="79">
        <v>1.1122497412202901E-2</v>
      </c>
      <c r="U18" s="79">
        <v>3.6498067025780297E-2</v>
      </c>
      <c r="V18" s="79">
        <v>0.33760711998846799</v>
      </c>
      <c r="W18" s="80">
        <v>1</v>
      </c>
    </row>
    <row r="19" spans="2:23" x14ac:dyDescent="0.2">
      <c r="B19" s="76" t="s">
        <v>3152</v>
      </c>
      <c r="C19" s="17" t="s">
        <v>2226</v>
      </c>
      <c r="D19" s="79">
        <v>8.2302555017026401E-3</v>
      </c>
      <c r="E19" s="79">
        <v>1.40157479139865E-2</v>
      </c>
      <c r="F19" s="79">
        <v>0.55708803139043295</v>
      </c>
      <c r="G19" s="79">
        <v>0.84085676271320497</v>
      </c>
      <c r="H19" s="80">
        <v>1</v>
      </c>
      <c r="I19" s="79">
        <v>5.40797003205499E-4</v>
      </c>
      <c r="J19" s="79">
        <v>1.39327721312537E-2</v>
      </c>
      <c r="K19" s="79">
        <v>0.96903976521813795</v>
      </c>
      <c r="L19" s="79">
        <v>0.97540067288639298</v>
      </c>
      <c r="M19" s="80">
        <v>1</v>
      </c>
      <c r="N19" s="79">
        <v>-1.0662327804961499E-2</v>
      </c>
      <c r="O19" s="79">
        <v>1.3876154735659601E-2</v>
      </c>
      <c r="P19" s="79">
        <v>0.44229323706388701</v>
      </c>
      <c r="Q19" s="79">
        <v>0.66342967684211396</v>
      </c>
      <c r="R19" s="80">
        <v>1</v>
      </c>
      <c r="S19" s="79">
        <v>-9.3250095235956308E-3</v>
      </c>
      <c r="T19" s="79">
        <v>1.3820932997220901E-2</v>
      </c>
      <c r="U19" s="79">
        <v>0.49989874131691903</v>
      </c>
      <c r="V19" s="79">
        <v>0.71139436264330802</v>
      </c>
      <c r="W19" s="80">
        <v>1</v>
      </c>
    </row>
    <row r="20" spans="2:23" x14ac:dyDescent="0.2">
      <c r="B20" s="76" t="s">
        <v>3153</v>
      </c>
      <c r="C20" s="17" t="s">
        <v>2225</v>
      </c>
      <c r="D20" s="79">
        <v>1.4325866828957E-2</v>
      </c>
      <c r="E20" s="79">
        <v>1.4171333679814199E-2</v>
      </c>
      <c r="F20" s="79">
        <v>0.31211505539664902</v>
      </c>
      <c r="G20" s="79">
        <v>0.82963189631356904</v>
      </c>
      <c r="H20" s="80">
        <v>1</v>
      </c>
      <c r="I20" s="79">
        <v>-5.5285302308004198E-3</v>
      </c>
      <c r="J20" s="79">
        <v>1.40847653233253E-2</v>
      </c>
      <c r="K20" s="79">
        <v>0.69469335558672296</v>
      </c>
      <c r="L20" s="79">
        <v>0.91798764845388303</v>
      </c>
      <c r="M20" s="80">
        <v>1</v>
      </c>
      <c r="N20" s="79">
        <v>-1.59249699685933E-2</v>
      </c>
      <c r="O20" s="79">
        <v>1.4033013364533199E-2</v>
      </c>
      <c r="P20" s="79">
        <v>0.256508630774887</v>
      </c>
      <c r="Q20" s="79">
        <v>0.55917580494239405</v>
      </c>
      <c r="R20" s="80">
        <v>1</v>
      </c>
      <c r="S20" s="79">
        <v>-2.08525360500551E-2</v>
      </c>
      <c r="T20" s="79">
        <v>1.3974489225414499E-2</v>
      </c>
      <c r="U20" s="79">
        <v>0.13571850596194199</v>
      </c>
      <c r="V20" s="79">
        <v>0.49342207232926</v>
      </c>
      <c r="W20" s="80">
        <v>1</v>
      </c>
    </row>
    <row r="21" spans="2:23" x14ac:dyDescent="0.2">
      <c r="B21" s="76" t="s">
        <v>3154</v>
      </c>
      <c r="C21" s="17" t="s">
        <v>2191</v>
      </c>
      <c r="D21" s="79">
        <v>1.46821364527666E-2</v>
      </c>
      <c r="E21" s="79">
        <v>1.39348529148598E-2</v>
      </c>
      <c r="F21" s="79">
        <v>0.29210863716229601</v>
      </c>
      <c r="G21" s="79">
        <v>0.82963189631356904</v>
      </c>
      <c r="H21" s="80">
        <v>1</v>
      </c>
      <c r="I21" s="79">
        <v>-6.4397551549997102E-3</v>
      </c>
      <c r="J21" s="79">
        <v>1.3855155832852999E-2</v>
      </c>
      <c r="K21" s="79">
        <v>0.642102819412667</v>
      </c>
      <c r="L21" s="79">
        <v>0.91376170454879502</v>
      </c>
      <c r="M21" s="80">
        <v>1</v>
      </c>
      <c r="N21" s="79">
        <v>-2.0491915242824201E-2</v>
      </c>
      <c r="O21" s="79">
        <v>1.37954224564584E-2</v>
      </c>
      <c r="P21" s="79">
        <v>0.137501721476849</v>
      </c>
      <c r="Q21" s="79">
        <v>0.55917580494239405</v>
      </c>
      <c r="R21" s="80">
        <v>1</v>
      </c>
      <c r="S21" s="79">
        <v>-8.3761422732471901E-3</v>
      </c>
      <c r="T21" s="79">
        <v>1.37427419263979E-2</v>
      </c>
      <c r="U21" s="79">
        <v>0.54222565541714696</v>
      </c>
      <c r="V21" s="79">
        <v>0.71651247322980105</v>
      </c>
      <c r="W21" s="80">
        <v>1</v>
      </c>
    </row>
    <row r="22" spans="2:23" x14ac:dyDescent="0.2">
      <c r="B22" s="76" t="s">
        <v>3155</v>
      </c>
      <c r="C22" s="17" t="s">
        <v>2190</v>
      </c>
      <c r="D22" s="79">
        <v>1.12647944573436E-2</v>
      </c>
      <c r="E22" s="79">
        <v>1.41492317007226E-2</v>
      </c>
      <c r="F22" s="79">
        <v>0.42599078408088098</v>
      </c>
      <c r="G22" s="79">
        <v>0.84085676271320497</v>
      </c>
      <c r="H22" s="80">
        <v>1</v>
      </c>
      <c r="I22" s="79">
        <v>-9.0685415453940904E-3</v>
      </c>
      <c r="J22" s="79">
        <v>1.4064602562190401E-2</v>
      </c>
      <c r="K22" s="79">
        <v>0.519103585338901</v>
      </c>
      <c r="L22" s="79">
        <v>0.83522142707760305</v>
      </c>
      <c r="M22" s="80">
        <v>1</v>
      </c>
      <c r="N22" s="79">
        <v>-1.65457226176569E-2</v>
      </c>
      <c r="O22" s="79">
        <v>1.40101944976572E-2</v>
      </c>
      <c r="P22" s="79">
        <v>0.237672514103836</v>
      </c>
      <c r="Q22" s="79">
        <v>0.55917580494239405</v>
      </c>
      <c r="R22" s="80">
        <v>1</v>
      </c>
      <c r="S22" s="79">
        <v>-1.52006100438809E-2</v>
      </c>
      <c r="T22" s="79">
        <v>1.3953373693444E-2</v>
      </c>
      <c r="U22" s="79">
        <v>0.27604062449586397</v>
      </c>
      <c r="V22" s="79">
        <v>0.49342207232926</v>
      </c>
      <c r="W22" s="80">
        <v>1</v>
      </c>
    </row>
    <row r="23" spans="2:23" x14ac:dyDescent="0.2">
      <c r="B23" s="76" t="s">
        <v>3156</v>
      </c>
      <c r="C23" s="17" t="s">
        <v>2205</v>
      </c>
      <c r="D23" s="79">
        <v>8.3291569732906398E-3</v>
      </c>
      <c r="E23" s="79">
        <v>1.08914915355334E-2</v>
      </c>
      <c r="F23" s="79">
        <v>0.44446553564025298</v>
      </c>
      <c r="G23" s="79">
        <v>0.84085676271320497</v>
      </c>
      <c r="H23" s="80">
        <v>1</v>
      </c>
      <c r="I23" s="79">
        <v>1.1966316784603E-2</v>
      </c>
      <c r="J23" s="79">
        <v>1.08261779147507E-2</v>
      </c>
      <c r="K23" s="79">
        <v>0.26908159209704002</v>
      </c>
      <c r="L23" s="79">
        <v>0.83522142707760305</v>
      </c>
      <c r="M23" s="80">
        <v>1</v>
      </c>
      <c r="N23" s="79">
        <v>-1.3526650855615101E-2</v>
      </c>
      <c r="O23" s="79">
        <v>1.07795253798194E-2</v>
      </c>
      <c r="P23" s="79">
        <v>0.20959756391850601</v>
      </c>
      <c r="Q23" s="79">
        <v>0.55917580494239405</v>
      </c>
      <c r="R23" s="80">
        <v>1</v>
      </c>
      <c r="S23" s="79">
        <v>-2.98023102942553E-3</v>
      </c>
      <c r="T23" s="79">
        <v>1.0739386443911101E-2</v>
      </c>
      <c r="U23" s="79">
        <v>0.78140490515066996</v>
      </c>
      <c r="V23" s="79">
        <v>0.78320773667434795</v>
      </c>
      <c r="W23" s="80">
        <v>1</v>
      </c>
    </row>
    <row r="24" spans="2:23" x14ac:dyDescent="0.2">
      <c r="B24" s="76" t="s">
        <v>3157</v>
      </c>
      <c r="C24" s="17" t="s">
        <v>2204</v>
      </c>
      <c r="D24" s="79">
        <v>1.03035242767543E-2</v>
      </c>
      <c r="E24" s="79">
        <v>1.2017122029774801E-2</v>
      </c>
      <c r="F24" s="79">
        <v>0.39126601794457699</v>
      </c>
      <c r="G24" s="79">
        <v>0.84085676271320497</v>
      </c>
      <c r="H24" s="80">
        <v>1</v>
      </c>
      <c r="I24" s="79">
        <v>7.2901287391240197E-3</v>
      </c>
      <c r="J24" s="79">
        <v>1.1947292277984E-2</v>
      </c>
      <c r="K24" s="79">
        <v>0.54176524999628295</v>
      </c>
      <c r="L24" s="79">
        <v>0.83522142707760305</v>
      </c>
      <c r="M24" s="80">
        <v>1</v>
      </c>
      <c r="N24" s="79">
        <v>-4.6580946301600697E-3</v>
      </c>
      <c r="O24" s="79">
        <v>1.18947442926838E-2</v>
      </c>
      <c r="P24" s="79">
        <v>0.69536463622626798</v>
      </c>
      <c r="Q24" s="79">
        <v>0.77965125879914898</v>
      </c>
      <c r="R24" s="80">
        <v>1</v>
      </c>
      <c r="S24" s="79">
        <v>-3.2602296107750802E-3</v>
      </c>
      <c r="T24" s="79">
        <v>1.18486119418595E-2</v>
      </c>
      <c r="U24" s="79">
        <v>0.78320773667434795</v>
      </c>
      <c r="V24" s="79">
        <v>0.78320773667434795</v>
      </c>
      <c r="W24" s="80">
        <v>1</v>
      </c>
    </row>
    <row r="25" spans="2:23" x14ac:dyDescent="0.2">
      <c r="B25" s="76" t="s">
        <v>3158</v>
      </c>
      <c r="C25" s="17" t="s">
        <v>2224</v>
      </c>
      <c r="D25" s="79">
        <v>1.2919027252911599E-2</v>
      </c>
      <c r="E25" s="79">
        <v>1.0898653680934499E-2</v>
      </c>
      <c r="F25" s="79">
        <v>0.23592771526058001</v>
      </c>
      <c r="G25" s="79">
        <v>0.82963189631356904</v>
      </c>
      <c r="H25" s="80">
        <v>1</v>
      </c>
      <c r="I25" s="79">
        <v>9.6459909015226102E-3</v>
      </c>
      <c r="J25" s="79">
        <v>1.08368356293031E-2</v>
      </c>
      <c r="K25" s="79">
        <v>0.37345158699657599</v>
      </c>
      <c r="L25" s="79">
        <v>0.83522142707760305</v>
      </c>
      <c r="M25" s="80">
        <v>1</v>
      </c>
      <c r="N25" s="79">
        <v>-8.1702562503494502E-3</v>
      </c>
      <c r="O25" s="79">
        <v>1.07827978926636E-2</v>
      </c>
      <c r="P25" s="79">
        <v>0.448661100374388</v>
      </c>
      <c r="Q25" s="79">
        <v>0.66342967684211396</v>
      </c>
      <c r="R25" s="80">
        <v>1</v>
      </c>
      <c r="S25" s="79">
        <v>-1.2895271031806099E-2</v>
      </c>
      <c r="T25" s="79">
        <v>1.0741488493137901E-2</v>
      </c>
      <c r="U25" s="79">
        <v>0.23000131858596601</v>
      </c>
      <c r="V25" s="79">
        <v>0.49342207232926</v>
      </c>
      <c r="W25" s="80">
        <v>1</v>
      </c>
    </row>
    <row r="26" spans="2:23" x14ac:dyDescent="0.2">
      <c r="B26" s="76" t="s">
        <v>3159</v>
      </c>
      <c r="C26" s="17" t="s">
        <v>2223</v>
      </c>
      <c r="D26" s="79">
        <v>6.4161398628241901E-3</v>
      </c>
      <c r="E26" s="79">
        <v>1.11793877710615E-2</v>
      </c>
      <c r="F26" s="79">
        <v>0.56604543928922801</v>
      </c>
      <c r="G26" s="79">
        <v>0.84085676271320497</v>
      </c>
      <c r="H26" s="80">
        <v>1</v>
      </c>
      <c r="I26" s="79">
        <v>-2.3104000498340499E-3</v>
      </c>
      <c r="J26" s="79">
        <v>1.1114602226131099E-2</v>
      </c>
      <c r="K26" s="79">
        <v>0.83533895849959505</v>
      </c>
      <c r="L26" s="79">
        <v>0.97540067288639298</v>
      </c>
      <c r="M26" s="80">
        <v>1</v>
      </c>
      <c r="N26" s="79">
        <v>-6.4885263111855301E-3</v>
      </c>
      <c r="O26" s="79">
        <v>1.10611926762286E-2</v>
      </c>
      <c r="P26" s="79">
        <v>0.55749857800040103</v>
      </c>
      <c r="Q26" s="79">
        <v>0.665401528581123</v>
      </c>
      <c r="R26" s="80">
        <v>1</v>
      </c>
      <c r="S26" s="79">
        <v>-1.35180549657544E-2</v>
      </c>
      <c r="T26" s="79">
        <v>1.1017702713334699E-2</v>
      </c>
      <c r="U26" s="79">
        <v>0.21990665405736801</v>
      </c>
      <c r="V26" s="79">
        <v>0.49342207232926</v>
      </c>
      <c r="W26" s="80">
        <v>1</v>
      </c>
    </row>
    <row r="27" spans="2:23" x14ac:dyDescent="0.2">
      <c r="B27" s="76" t="s">
        <v>3160</v>
      </c>
      <c r="C27" s="17" t="s">
        <v>2203</v>
      </c>
      <c r="D27" s="79">
        <v>-5.9580501998702101E-3</v>
      </c>
      <c r="E27" s="79">
        <v>1.1798629742639E-2</v>
      </c>
      <c r="F27" s="79">
        <v>0.61359817819612295</v>
      </c>
      <c r="G27" s="79">
        <v>0.84085676271320497</v>
      </c>
      <c r="H27" s="80">
        <v>1</v>
      </c>
      <c r="I27" s="79">
        <v>7.4538877053010001E-3</v>
      </c>
      <c r="J27" s="79">
        <v>1.1729134952535801E-2</v>
      </c>
      <c r="K27" s="79">
        <v>0.52513255271765602</v>
      </c>
      <c r="L27" s="79">
        <v>0.83522142707760305</v>
      </c>
      <c r="M27" s="80">
        <v>1</v>
      </c>
      <c r="N27" s="79">
        <v>-1.20863175179124E-2</v>
      </c>
      <c r="O27" s="79">
        <v>1.16774038266693E-2</v>
      </c>
      <c r="P27" s="79">
        <v>0.300714430317431</v>
      </c>
      <c r="Q27" s="79">
        <v>0.55917580494239405</v>
      </c>
      <c r="R27" s="80">
        <v>1</v>
      </c>
      <c r="S27" s="79">
        <v>-5.7507829440824202E-3</v>
      </c>
      <c r="T27" s="79">
        <v>1.163311637323E-2</v>
      </c>
      <c r="U27" s="79">
        <v>0.62108528039406596</v>
      </c>
      <c r="V27" s="79">
        <v>0.74129533466388497</v>
      </c>
      <c r="W27" s="80">
        <v>1</v>
      </c>
    </row>
    <row r="28" spans="2:23" x14ac:dyDescent="0.2">
      <c r="B28" s="76" t="s">
        <v>3161</v>
      </c>
      <c r="C28" s="17" t="s">
        <v>2202</v>
      </c>
      <c r="D28" s="79">
        <v>3.4296640848428999E-3</v>
      </c>
      <c r="E28" s="79">
        <v>1.2539016934558E-2</v>
      </c>
      <c r="F28" s="79">
        <v>0.78446620727073302</v>
      </c>
      <c r="G28" s="79">
        <v>0.87299719935645204</v>
      </c>
      <c r="H28" s="80">
        <v>1</v>
      </c>
      <c r="I28" s="79">
        <v>8.6441694079271193E-3</v>
      </c>
      <c r="J28" s="79">
        <v>1.24645888840316E-2</v>
      </c>
      <c r="K28" s="79">
        <v>0.488031888032808</v>
      </c>
      <c r="L28" s="79">
        <v>0.83522142707760305</v>
      </c>
      <c r="M28" s="80">
        <v>1</v>
      </c>
      <c r="N28" s="79">
        <v>-1.0918633928724299E-3</v>
      </c>
      <c r="O28" s="79">
        <v>1.24124733934279E-2</v>
      </c>
      <c r="P28" s="79">
        <v>0.929908270282095</v>
      </c>
      <c r="Q28" s="79">
        <v>0.98304588572678597</v>
      </c>
      <c r="R28" s="80">
        <v>1</v>
      </c>
      <c r="S28" s="79">
        <v>-5.0814175618902301E-3</v>
      </c>
      <c r="T28" s="79">
        <v>1.23632354505963E-2</v>
      </c>
      <c r="U28" s="79">
        <v>0.68108392834925602</v>
      </c>
      <c r="V28" s="79">
        <v>0.75920198925322302</v>
      </c>
      <c r="W28" s="80">
        <v>1</v>
      </c>
    </row>
    <row r="29" spans="2:23" x14ac:dyDescent="0.2">
      <c r="B29" s="76" t="s">
        <v>3162</v>
      </c>
      <c r="C29" s="17" t="s">
        <v>2220</v>
      </c>
      <c r="D29" s="79">
        <v>1.2756307305692599E-2</v>
      </c>
      <c r="E29" s="79">
        <v>1.0983132982914401E-2</v>
      </c>
      <c r="F29" s="79">
        <v>0.24552011731981599</v>
      </c>
      <c r="G29" s="79">
        <v>0.82963189631356904</v>
      </c>
      <c r="H29" s="80">
        <v>1</v>
      </c>
      <c r="I29" s="79">
        <v>-1.68577021522262E-3</v>
      </c>
      <c r="J29" s="79">
        <v>1.0920593050832501E-2</v>
      </c>
      <c r="K29" s="79">
        <v>0.877327687200674</v>
      </c>
      <c r="L29" s="79">
        <v>0.97540067288639298</v>
      </c>
      <c r="M29" s="80">
        <v>1</v>
      </c>
      <c r="N29" s="79">
        <v>-1.3988165250251001E-2</v>
      </c>
      <c r="O29" s="79">
        <v>1.08669796933944E-2</v>
      </c>
      <c r="P29" s="79">
        <v>0.19808185395985001</v>
      </c>
      <c r="Q29" s="79">
        <v>0.55917580494239405</v>
      </c>
      <c r="R29" s="80">
        <v>1</v>
      </c>
      <c r="S29" s="79">
        <v>-1.40422336317244E-2</v>
      </c>
      <c r="T29" s="79">
        <v>1.0826161285446599E-2</v>
      </c>
      <c r="U29" s="79">
        <v>0.19467260017222501</v>
      </c>
      <c r="V29" s="79">
        <v>0.49342207232926</v>
      </c>
      <c r="W29" s="80">
        <v>1</v>
      </c>
    </row>
    <row r="30" spans="2:23" x14ac:dyDescent="0.2">
      <c r="B30" s="76" t="s">
        <v>3163</v>
      </c>
      <c r="C30" s="17" t="s">
        <v>2219</v>
      </c>
      <c r="D30" s="79">
        <v>1.3284533669332301E-2</v>
      </c>
      <c r="E30" s="79">
        <v>1.1601870431838499E-2</v>
      </c>
      <c r="F30" s="79">
        <v>0.25225416750256002</v>
      </c>
      <c r="G30" s="79">
        <v>0.82963189631356904</v>
      </c>
      <c r="H30" s="80">
        <v>1</v>
      </c>
      <c r="I30" s="79">
        <v>-8.9024602518646204E-3</v>
      </c>
      <c r="J30" s="79">
        <v>1.1533583159765E-2</v>
      </c>
      <c r="K30" s="79">
        <v>0.44022909219770801</v>
      </c>
      <c r="L30" s="79">
        <v>0.83522142707760305</v>
      </c>
      <c r="M30" s="80">
        <v>1</v>
      </c>
      <c r="N30" s="79">
        <v>-1.2719907060622501E-2</v>
      </c>
      <c r="O30" s="79">
        <v>1.1482465789251699E-2</v>
      </c>
      <c r="P30" s="79">
        <v>0.26801915644757002</v>
      </c>
      <c r="Q30" s="79">
        <v>0.55917580494239405</v>
      </c>
      <c r="R30" s="80">
        <v>1</v>
      </c>
      <c r="S30" s="79">
        <v>-3.1136639088249402E-2</v>
      </c>
      <c r="T30" s="79">
        <v>1.1430442209971499E-2</v>
      </c>
      <c r="U30" s="79">
        <v>6.4735182892332399E-3</v>
      </c>
      <c r="V30" s="79">
        <v>0.131862566838958</v>
      </c>
      <c r="W30" s="80">
        <v>0.23952017670163001</v>
      </c>
    </row>
    <row r="31" spans="2:23" x14ac:dyDescent="0.2">
      <c r="B31" s="76" t="s">
        <v>3164</v>
      </c>
      <c r="C31" s="17" t="s">
        <v>2214</v>
      </c>
      <c r="D31" s="79">
        <v>-1.78334522058087E-3</v>
      </c>
      <c r="E31" s="79">
        <v>1.10567159359186E-2</v>
      </c>
      <c r="F31" s="79">
        <v>0.87187151174396604</v>
      </c>
      <c r="G31" s="79">
        <v>0.896090164847965</v>
      </c>
      <c r="H31" s="80">
        <v>1</v>
      </c>
      <c r="I31" s="79">
        <v>1.91300117534083E-2</v>
      </c>
      <c r="J31" s="79">
        <v>1.09880260008367E-2</v>
      </c>
      <c r="K31" s="79">
        <v>8.1752548370126604E-2</v>
      </c>
      <c r="L31" s="79">
        <v>0.685969090881276</v>
      </c>
      <c r="M31" s="80">
        <v>1</v>
      </c>
      <c r="N31" s="79">
        <v>-7.8294410269235497E-3</v>
      </c>
      <c r="O31" s="79">
        <v>1.09455360762003E-2</v>
      </c>
      <c r="P31" s="79">
        <v>0.47445404770072602</v>
      </c>
      <c r="Q31" s="79">
        <v>0.66342967684211396</v>
      </c>
      <c r="R31" s="80">
        <v>1</v>
      </c>
      <c r="S31" s="79">
        <v>-5.8335249425214798E-3</v>
      </c>
      <c r="T31" s="79">
        <v>1.0902251737025401E-2</v>
      </c>
      <c r="U31" s="79">
        <v>0.59262348956784405</v>
      </c>
      <c r="V31" s="79">
        <v>0.73090230380034105</v>
      </c>
      <c r="W31" s="80">
        <v>1</v>
      </c>
    </row>
    <row r="32" spans="2:23" x14ac:dyDescent="0.2">
      <c r="B32" s="76" t="s">
        <v>3165</v>
      </c>
      <c r="C32" s="17" t="s">
        <v>2213</v>
      </c>
      <c r="D32" s="79">
        <v>7.8542687212056605E-3</v>
      </c>
      <c r="E32" s="79">
        <v>1.1330552156958801E-2</v>
      </c>
      <c r="F32" s="79">
        <v>0.48822235957976101</v>
      </c>
      <c r="G32" s="79">
        <v>0.84085676271320497</v>
      </c>
      <c r="H32" s="80">
        <v>1</v>
      </c>
      <c r="I32" s="79">
        <v>1.4816294347166699E-3</v>
      </c>
      <c r="J32" s="79">
        <v>1.12648399065861E-2</v>
      </c>
      <c r="K32" s="79">
        <v>0.89536418110477101</v>
      </c>
      <c r="L32" s="79">
        <v>0.97540067288639298</v>
      </c>
      <c r="M32" s="80">
        <v>1</v>
      </c>
      <c r="N32" s="79">
        <v>-7.0494845541247096E-3</v>
      </c>
      <c r="O32" s="79">
        <v>1.12116443670396E-2</v>
      </c>
      <c r="P32" s="79">
        <v>0.52953377732392604</v>
      </c>
      <c r="Q32" s="79">
        <v>0.66342967684211396</v>
      </c>
      <c r="R32" s="80">
        <v>1</v>
      </c>
      <c r="S32" s="79">
        <v>-1.41735863051115E-2</v>
      </c>
      <c r="T32" s="79">
        <v>1.1167408982576401E-2</v>
      </c>
      <c r="U32" s="79">
        <v>0.204435590992946</v>
      </c>
      <c r="V32" s="79">
        <v>0.49342207232926</v>
      </c>
      <c r="W32" s="80">
        <v>1</v>
      </c>
    </row>
    <row r="33" spans="2:23" x14ac:dyDescent="0.2">
      <c r="B33" s="76" t="s">
        <v>3166</v>
      </c>
      <c r="C33" s="17" t="s">
        <v>2216</v>
      </c>
      <c r="D33" s="79">
        <v>1.42646926552287E-2</v>
      </c>
      <c r="E33" s="79">
        <v>1.0512331892248501E-2</v>
      </c>
      <c r="F33" s="79">
        <v>0.174862646285808</v>
      </c>
      <c r="G33" s="79">
        <v>0.82963189631356904</v>
      </c>
      <c r="H33" s="80">
        <v>1</v>
      </c>
      <c r="I33" s="79">
        <v>3.2235880433918702E-4</v>
      </c>
      <c r="J33" s="79">
        <v>1.04535652725221E-2</v>
      </c>
      <c r="K33" s="79">
        <v>0.97540067288639298</v>
      </c>
      <c r="L33" s="79">
        <v>0.97540067288639298</v>
      </c>
      <c r="M33" s="80">
        <v>1</v>
      </c>
      <c r="N33" s="79">
        <v>-1.49454331320332E-2</v>
      </c>
      <c r="O33" s="79">
        <v>1.0399252482974001E-2</v>
      </c>
      <c r="P33" s="79">
        <v>0.15073749785613499</v>
      </c>
      <c r="Q33" s="79">
        <v>0.55917580494239405</v>
      </c>
      <c r="R33" s="80">
        <v>1</v>
      </c>
      <c r="S33" s="79">
        <v>-1.5012112857926601E-2</v>
      </c>
      <c r="T33" s="79">
        <v>1.03607457817191E-2</v>
      </c>
      <c r="U33" s="79">
        <v>0.14742039317699501</v>
      </c>
      <c r="V33" s="79">
        <v>0.49342207232926</v>
      </c>
      <c r="W33" s="80">
        <v>1</v>
      </c>
    </row>
    <row r="34" spans="2:23" x14ac:dyDescent="0.2">
      <c r="B34" s="76" t="s">
        <v>3167</v>
      </c>
      <c r="C34" s="17" t="s">
        <v>2215</v>
      </c>
      <c r="D34" s="79">
        <v>1.3255624194996001E-2</v>
      </c>
      <c r="E34" s="79">
        <v>1.1464662876576199E-2</v>
      </c>
      <c r="F34" s="79">
        <v>0.24765229299295</v>
      </c>
      <c r="G34" s="79">
        <v>0.82963189631356904</v>
      </c>
      <c r="H34" s="80">
        <v>1</v>
      </c>
      <c r="I34" s="79">
        <v>-1.1160149800473701E-2</v>
      </c>
      <c r="J34" s="79">
        <v>1.13968976037097E-2</v>
      </c>
      <c r="K34" s="79">
        <v>0.32751889665461298</v>
      </c>
      <c r="L34" s="79">
        <v>0.83522142707760305</v>
      </c>
      <c r="M34" s="80">
        <v>1</v>
      </c>
      <c r="N34" s="79">
        <v>-1.1706523831792401E-2</v>
      </c>
      <c r="O34" s="79">
        <v>1.1346621156589499E-2</v>
      </c>
      <c r="P34" s="79">
        <v>0.302257191860754</v>
      </c>
      <c r="Q34" s="79">
        <v>0.55917580494239405</v>
      </c>
      <c r="R34" s="80">
        <v>1</v>
      </c>
      <c r="S34" s="79">
        <v>-3.04067594262665E-2</v>
      </c>
      <c r="T34" s="79">
        <v>1.1295200636289001E-2</v>
      </c>
      <c r="U34" s="79">
        <v>7.1277063156193598E-3</v>
      </c>
      <c r="V34" s="79">
        <v>0.131862566838958</v>
      </c>
      <c r="W34" s="80">
        <v>0.263725133677916</v>
      </c>
    </row>
    <row r="35" spans="2:23" x14ac:dyDescent="0.2">
      <c r="B35" s="76" t="s">
        <v>3168</v>
      </c>
      <c r="C35" s="17" t="s">
        <v>2222</v>
      </c>
      <c r="D35" s="79">
        <v>1.9309260245171E-2</v>
      </c>
      <c r="E35" s="79">
        <v>1.0662459569940001E-2</v>
      </c>
      <c r="F35" s="79">
        <v>7.0213361256585602E-2</v>
      </c>
      <c r="G35" s="79">
        <v>0.82963189631356904</v>
      </c>
      <c r="H35" s="80">
        <v>1</v>
      </c>
      <c r="I35" s="79">
        <v>-1.09952004056655E-3</v>
      </c>
      <c r="J35" s="79">
        <v>1.0600505121374599E-2</v>
      </c>
      <c r="K35" s="79">
        <v>0.91739347930418202</v>
      </c>
      <c r="L35" s="79">
        <v>0.97540067288639298</v>
      </c>
      <c r="M35" s="80">
        <v>1</v>
      </c>
      <c r="N35" s="79">
        <v>-1.1581721841013E-2</v>
      </c>
      <c r="O35" s="79">
        <v>1.05579269584674E-2</v>
      </c>
      <c r="P35" s="79">
        <v>0.272712536901559</v>
      </c>
      <c r="Q35" s="79">
        <v>0.55917580494239405</v>
      </c>
      <c r="R35" s="80">
        <v>1</v>
      </c>
      <c r="S35" s="79">
        <v>-1.30588451124957E-2</v>
      </c>
      <c r="T35" s="79">
        <v>1.0514541053640501E-2</v>
      </c>
      <c r="U35" s="79">
        <v>0.214307901823964</v>
      </c>
      <c r="V35" s="79">
        <v>0.49342207232926</v>
      </c>
      <c r="W35" s="80">
        <v>1</v>
      </c>
    </row>
    <row r="36" spans="2:23" x14ac:dyDescent="0.2">
      <c r="B36" s="76" t="s">
        <v>3169</v>
      </c>
      <c r="C36" s="17" t="s">
        <v>2221</v>
      </c>
      <c r="D36" s="79">
        <v>7.4263007537081196E-3</v>
      </c>
      <c r="E36" s="79">
        <v>1.1417953304797101E-2</v>
      </c>
      <c r="F36" s="79">
        <v>0.51546249418252399</v>
      </c>
      <c r="G36" s="79">
        <v>0.84085676271320497</v>
      </c>
      <c r="H36" s="80">
        <v>1</v>
      </c>
      <c r="I36" s="79">
        <v>-1.8075491290984201E-2</v>
      </c>
      <c r="J36" s="79">
        <v>1.13471310132726E-2</v>
      </c>
      <c r="K36" s="79">
        <v>0.11123823095372</v>
      </c>
      <c r="L36" s="79">
        <v>0.685969090881276</v>
      </c>
      <c r="M36" s="80">
        <v>1</v>
      </c>
      <c r="N36" s="79">
        <v>-5.72029035785663E-3</v>
      </c>
      <c r="O36" s="79">
        <v>1.13019494757757E-2</v>
      </c>
      <c r="P36" s="79">
        <v>0.61278718922920805</v>
      </c>
      <c r="Q36" s="79">
        <v>0.70853518754627098</v>
      </c>
      <c r="R36" s="80">
        <v>1</v>
      </c>
      <c r="S36" s="79">
        <v>-4.06331082763931E-3</v>
      </c>
      <c r="T36" s="79">
        <v>1.1257719285048E-2</v>
      </c>
      <c r="U36" s="79">
        <v>0.718164043888184</v>
      </c>
      <c r="V36" s="79">
        <v>0.75920198925322302</v>
      </c>
      <c r="W36" s="80">
        <v>1</v>
      </c>
    </row>
    <row r="37" spans="2:23" x14ac:dyDescent="0.2">
      <c r="B37" s="76" t="s">
        <v>3170</v>
      </c>
      <c r="C37" s="17" t="s">
        <v>2210</v>
      </c>
      <c r="D37" s="79">
        <v>2.6730858300997701E-3</v>
      </c>
      <c r="E37" s="79">
        <v>1.0671104454866799E-2</v>
      </c>
      <c r="F37" s="79">
        <v>0.802213642651875</v>
      </c>
      <c r="G37" s="79">
        <v>0.87299719935645204</v>
      </c>
      <c r="H37" s="80">
        <v>1</v>
      </c>
      <c r="I37" s="79">
        <v>1.85126959862499E-2</v>
      </c>
      <c r="J37" s="79">
        <v>1.06054885821153E-2</v>
      </c>
      <c r="K37" s="79">
        <v>8.0950688598031104E-2</v>
      </c>
      <c r="L37" s="79">
        <v>0.685969090881276</v>
      </c>
      <c r="M37" s="80">
        <v>1</v>
      </c>
      <c r="N37" s="79">
        <v>-1.23185610869292E-2</v>
      </c>
      <c r="O37" s="79">
        <v>1.0560706992107099E-2</v>
      </c>
      <c r="P37" s="79">
        <v>0.24349114016549001</v>
      </c>
      <c r="Q37" s="79">
        <v>0.55917580494239405</v>
      </c>
      <c r="R37" s="80">
        <v>1</v>
      </c>
      <c r="S37" s="79">
        <v>-8.2151186616901996E-3</v>
      </c>
      <c r="T37" s="79">
        <v>1.0520358623358801E-2</v>
      </c>
      <c r="U37" s="79">
        <v>0.43491376641930002</v>
      </c>
      <c r="V37" s="79">
        <v>0.64367237430056401</v>
      </c>
      <c r="W37" s="80">
        <v>1</v>
      </c>
    </row>
    <row r="38" spans="2:23" x14ac:dyDescent="0.2">
      <c r="B38" s="76" t="s">
        <v>3171</v>
      </c>
      <c r="C38" s="17" t="s">
        <v>2209</v>
      </c>
      <c r="D38" s="79">
        <v>7.5378352845507203E-3</v>
      </c>
      <c r="E38" s="79">
        <v>1.12434578206815E-2</v>
      </c>
      <c r="F38" s="79">
        <v>0.50262333164898998</v>
      </c>
      <c r="G38" s="79">
        <v>0.84085676271320497</v>
      </c>
      <c r="H38" s="80">
        <v>1</v>
      </c>
      <c r="I38" s="79">
        <v>-5.1802822720631097E-4</v>
      </c>
      <c r="J38" s="79">
        <v>1.11784865391898E-2</v>
      </c>
      <c r="K38" s="79">
        <v>0.96304001238249004</v>
      </c>
      <c r="L38" s="79">
        <v>0.97540067288639298</v>
      </c>
      <c r="M38" s="80">
        <v>1</v>
      </c>
      <c r="N38" s="79">
        <v>-6.9871994626925704E-3</v>
      </c>
      <c r="O38" s="79">
        <v>1.1124563213672599E-2</v>
      </c>
      <c r="P38" s="79">
        <v>0.52997705636463399</v>
      </c>
      <c r="Q38" s="79">
        <v>0.66342967684211396</v>
      </c>
      <c r="R38" s="80">
        <v>1</v>
      </c>
      <c r="S38" s="79">
        <v>-1.69549070775767E-2</v>
      </c>
      <c r="T38" s="79">
        <v>1.1080086156099799E-2</v>
      </c>
      <c r="U38" s="79">
        <v>0.126030984879789</v>
      </c>
      <c r="V38" s="79">
        <v>0.49342207232926</v>
      </c>
      <c r="W38" s="80">
        <v>1</v>
      </c>
    </row>
    <row r="39" spans="2:23" x14ac:dyDescent="0.2">
      <c r="B39" s="76" t="s">
        <v>3172</v>
      </c>
      <c r="C39" s="17" t="s">
        <v>2212</v>
      </c>
      <c r="D39" s="79">
        <v>4.7881359704019097E-3</v>
      </c>
      <c r="E39" s="79">
        <v>1.05726417182601E-2</v>
      </c>
      <c r="F39" s="79">
        <v>0.65065635014511503</v>
      </c>
      <c r="G39" s="79">
        <v>0.85979589126318801</v>
      </c>
      <c r="H39" s="80">
        <v>1</v>
      </c>
      <c r="I39" s="79">
        <v>1.7278780285581601E-2</v>
      </c>
      <c r="J39" s="79">
        <v>1.0508543038409699E-2</v>
      </c>
      <c r="K39" s="79">
        <v>0.100189950702361</v>
      </c>
      <c r="L39" s="79">
        <v>0.685969090881276</v>
      </c>
      <c r="M39" s="80">
        <v>1</v>
      </c>
      <c r="N39" s="79">
        <v>-1.40469727287241E-2</v>
      </c>
      <c r="O39" s="79">
        <v>1.0461380018470899E-2</v>
      </c>
      <c r="P39" s="79">
        <v>0.17941933789369899</v>
      </c>
      <c r="Q39" s="79">
        <v>0.55917580494239405</v>
      </c>
      <c r="R39" s="80">
        <v>1</v>
      </c>
      <c r="S39" s="79">
        <v>-9.1593620265955009E-3</v>
      </c>
      <c r="T39" s="79">
        <v>1.04223686010973E-2</v>
      </c>
      <c r="U39" s="79">
        <v>0.37954524994080902</v>
      </c>
      <c r="V39" s="79">
        <v>0.58513226032541299</v>
      </c>
      <c r="W39" s="80">
        <v>1</v>
      </c>
    </row>
    <row r="40" spans="2:23" x14ac:dyDescent="0.2">
      <c r="B40" s="76" t="s">
        <v>3173</v>
      </c>
      <c r="C40" s="17" t="s">
        <v>2211</v>
      </c>
      <c r="D40" s="79">
        <v>6.2129502487656002E-3</v>
      </c>
      <c r="E40" s="79">
        <v>1.11365001851235E-2</v>
      </c>
      <c r="F40" s="79">
        <v>0.57694556807416297</v>
      </c>
      <c r="G40" s="79">
        <v>0.84085676271320497</v>
      </c>
      <c r="H40" s="80">
        <v>1</v>
      </c>
      <c r="I40" s="79">
        <v>-1.4045322103276E-3</v>
      </c>
      <c r="J40" s="79">
        <v>1.10723640611037E-2</v>
      </c>
      <c r="K40" s="79">
        <v>0.89906435257513695</v>
      </c>
      <c r="L40" s="79">
        <v>0.97540067288639298</v>
      </c>
      <c r="M40" s="80">
        <v>1</v>
      </c>
      <c r="N40" s="79">
        <v>-7.2047137168206998E-3</v>
      </c>
      <c r="O40" s="79">
        <v>1.10175005856336E-2</v>
      </c>
      <c r="P40" s="79">
        <v>0.51318642940267101</v>
      </c>
      <c r="Q40" s="79">
        <v>0.66342967684211396</v>
      </c>
      <c r="R40" s="80">
        <v>1</v>
      </c>
      <c r="S40" s="79">
        <v>-2.08681558414071E-2</v>
      </c>
      <c r="T40" s="79">
        <v>1.0972386400134201E-2</v>
      </c>
      <c r="U40" s="79">
        <v>5.7247840597944501E-2</v>
      </c>
      <c r="V40" s="79">
        <v>0.42363402042478898</v>
      </c>
      <c r="W40" s="80">
        <v>1</v>
      </c>
    </row>
    <row r="41" spans="2:23" x14ac:dyDescent="0.2">
      <c r="B41" s="76" t="s">
        <v>3174</v>
      </c>
      <c r="C41" s="17" t="s">
        <v>2201</v>
      </c>
      <c r="D41" s="79">
        <v>1.5127789177130001E-2</v>
      </c>
      <c r="E41" s="79">
        <v>1.1810619703553901E-2</v>
      </c>
      <c r="F41" s="79">
        <v>0.20030625684061501</v>
      </c>
      <c r="G41" s="79">
        <v>0.82963189631356904</v>
      </c>
      <c r="H41" s="80">
        <v>1</v>
      </c>
      <c r="I41" s="79">
        <v>1.5761485843950498E-2</v>
      </c>
      <c r="J41" s="79">
        <v>1.1738384012930999E-2</v>
      </c>
      <c r="K41" s="79">
        <v>0.17942576321967199</v>
      </c>
      <c r="L41" s="79">
        <v>0.83522142707760305</v>
      </c>
      <c r="M41" s="80">
        <v>1</v>
      </c>
      <c r="N41" s="79">
        <v>-1.53822325358437E-2</v>
      </c>
      <c r="O41" s="79">
        <v>1.1693790957365099E-2</v>
      </c>
      <c r="P41" s="79">
        <v>0.18843450535758799</v>
      </c>
      <c r="Q41" s="79">
        <v>0.55917580494239405</v>
      </c>
      <c r="R41" s="80">
        <v>1</v>
      </c>
      <c r="S41" s="79">
        <v>6.31451621548401E-3</v>
      </c>
      <c r="T41" s="79">
        <v>1.16486831447783E-2</v>
      </c>
      <c r="U41" s="79">
        <v>0.58778969936082304</v>
      </c>
      <c r="V41" s="79">
        <v>0.73090230380034105</v>
      </c>
      <c r="W41" s="80">
        <v>1</v>
      </c>
    </row>
    <row r="42" spans="2:23" ht="16" customHeight="1" x14ac:dyDescent="0.2">
      <c r="B42" s="76" t="s">
        <v>3175</v>
      </c>
      <c r="C42" s="22" t="s">
        <v>2200</v>
      </c>
      <c r="D42" s="79">
        <v>1.19697129735447E-2</v>
      </c>
      <c r="E42" s="79">
        <v>1.1884697038703099E-2</v>
      </c>
      <c r="F42" s="79">
        <v>0.31391477157810699</v>
      </c>
      <c r="G42" s="79">
        <v>0.82963189631356904</v>
      </c>
      <c r="H42" s="87">
        <v>1</v>
      </c>
      <c r="I42" s="79">
        <v>8.2537402003105605E-3</v>
      </c>
      <c r="J42" s="79">
        <v>1.1812711167868599E-2</v>
      </c>
      <c r="K42" s="79">
        <v>0.48476497325272699</v>
      </c>
      <c r="L42" s="79">
        <v>0.83522142707760305</v>
      </c>
      <c r="M42" s="87">
        <v>1</v>
      </c>
      <c r="N42" s="79">
        <v>-9.1442243276106897E-3</v>
      </c>
      <c r="O42" s="79">
        <v>1.17685315902429E-2</v>
      </c>
      <c r="P42" s="79">
        <v>0.43719531861362598</v>
      </c>
      <c r="Q42" s="79">
        <v>0.66342967684211396</v>
      </c>
      <c r="R42" s="87">
        <v>1</v>
      </c>
      <c r="S42" s="79">
        <v>1.50206632056782E-2</v>
      </c>
      <c r="T42" s="79">
        <v>1.17198028614411E-2</v>
      </c>
      <c r="U42" s="79">
        <v>0.20003138340396301</v>
      </c>
      <c r="V42" s="79">
        <v>0.49342207232926</v>
      </c>
      <c r="W42" s="87">
        <v>1</v>
      </c>
    </row>
    <row r="43" spans="2:23" ht="16" customHeight="1" x14ac:dyDescent="0.2">
      <c r="B43" s="137" t="s">
        <v>2189</v>
      </c>
      <c r="C43" s="137"/>
      <c r="D43" s="137"/>
      <c r="E43" s="137"/>
      <c r="F43" s="137"/>
      <c r="G43" s="137"/>
      <c r="H43" s="137"/>
      <c r="I43" s="137"/>
      <c r="J43" s="137"/>
      <c r="K43" s="137"/>
      <c r="L43" s="137"/>
      <c r="M43" s="137"/>
      <c r="N43" s="137"/>
      <c r="O43" s="137"/>
      <c r="P43" s="137"/>
      <c r="Q43" s="137"/>
      <c r="R43" s="137"/>
      <c r="S43" s="137"/>
      <c r="T43" s="137"/>
      <c r="U43" s="137"/>
      <c r="V43" s="137"/>
      <c r="W43" s="137"/>
    </row>
    <row r="44" spans="2:23" x14ac:dyDescent="0.2">
      <c r="B44" s="135"/>
      <c r="C44" s="135"/>
      <c r="D44" s="135"/>
      <c r="E44" s="135"/>
      <c r="F44" s="135"/>
      <c r="G44" s="135"/>
      <c r="H44" s="135"/>
      <c r="I44" s="135"/>
      <c r="J44" s="135"/>
      <c r="K44" s="135"/>
      <c r="L44" s="135"/>
      <c r="M44" s="135"/>
      <c r="N44" s="135"/>
      <c r="O44" s="135"/>
      <c r="P44" s="135"/>
      <c r="Q44" s="135"/>
      <c r="R44" s="135"/>
      <c r="S44" s="135"/>
      <c r="T44" s="135"/>
      <c r="U44" s="135"/>
      <c r="V44" s="135"/>
      <c r="W44" s="135"/>
    </row>
    <row r="45" spans="2:23" x14ac:dyDescent="0.2">
      <c r="C45" s="59"/>
      <c r="D45" s="59"/>
      <c r="E45" s="59"/>
      <c r="F45" s="59"/>
      <c r="G45" s="59"/>
      <c r="H45" s="59"/>
    </row>
    <row r="46" spans="2:23" x14ac:dyDescent="0.2">
      <c r="C46" s="23"/>
    </row>
    <row r="47" spans="2:23" x14ac:dyDescent="0.2">
      <c r="C47" s="23"/>
    </row>
    <row r="48" spans="2:23" x14ac:dyDescent="0.2">
      <c r="C48" s="23"/>
    </row>
    <row r="49" spans="3:3" x14ac:dyDescent="0.2">
      <c r="C49" s="23"/>
    </row>
    <row r="50" spans="3:3" x14ac:dyDescent="0.2">
      <c r="C50" s="23"/>
    </row>
    <row r="51" spans="3:3" x14ac:dyDescent="0.2">
      <c r="C51" s="23"/>
    </row>
    <row r="52" spans="3:3" x14ac:dyDescent="0.2">
      <c r="C52" s="23"/>
    </row>
    <row r="53" spans="3:3" x14ac:dyDescent="0.2">
      <c r="C53" s="23"/>
    </row>
  </sheetData>
  <sortState xmlns:xlrd2="http://schemas.microsoft.com/office/spreadsheetml/2017/richdata2" ref="C6:W42">
    <sortCondition ref="C6:C42"/>
  </sortState>
  <mergeCells count="5">
    <mergeCell ref="B43:W44"/>
    <mergeCell ref="D4:H4"/>
    <mergeCell ref="I4:M4"/>
    <mergeCell ref="N4:R4"/>
    <mergeCell ref="S4:W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BD896-5685-3A46-A679-E62599188D98}">
  <dimension ref="B2:T1063"/>
  <sheetViews>
    <sheetView showGridLines="0" workbookViewId="0">
      <selection activeCell="C14" sqref="C14"/>
    </sheetView>
  </sheetViews>
  <sheetFormatPr baseColWidth="10" defaultRowHeight="16" x14ac:dyDescent="0.2"/>
  <cols>
    <col min="2" max="2" width="21.6640625" customWidth="1"/>
    <col min="3" max="3" width="49" customWidth="1"/>
    <col min="4" max="4" width="26.5" customWidth="1"/>
    <col min="12" max="12" width="22.83203125" customWidth="1"/>
    <col min="13" max="13" width="26.33203125" customWidth="1"/>
    <col min="14" max="14" width="24.83203125" customWidth="1"/>
  </cols>
  <sheetData>
    <row r="2" spans="2:20" x14ac:dyDescent="0.2">
      <c r="B2" s="51" t="s">
        <v>8551</v>
      </c>
      <c r="C2" s="51"/>
      <c r="D2" s="51"/>
      <c r="E2" s="51"/>
    </row>
    <row r="3" spans="2:20" x14ac:dyDescent="0.2">
      <c r="B3" s="149" t="s">
        <v>764</v>
      </c>
      <c r="C3" s="150"/>
      <c r="D3" s="150"/>
      <c r="E3" s="150"/>
      <c r="F3" s="150"/>
      <c r="G3" s="150"/>
      <c r="H3" s="150"/>
      <c r="I3" s="150"/>
      <c r="J3" s="150"/>
      <c r="L3" s="149" t="s">
        <v>763</v>
      </c>
      <c r="M3" s="150"/>
      <c r="N3" s="150"/>
      <c r="O3" s="150"/>
      <c r="P3" s="150"/>
      <c r="Q3" s="150"/>
    </row>
    <row r="4" spans="2:20" x14ac:dyDescent="0.2">
      <c r="B4" s="45" t="s">
        <v>3225</v>
      </c>
      <c r="C4" s="45" t="s">
        <v>3226</v>
      </c>
      <c r="D4" s="45" t="s">
        <v>3227</v>
      </c>
      <c r="E4" s="45" t="s">
        <v>81</v>
      </c>
      <c r="F4" s="45" t="s">
        <v>82</v>
      </c>
      <c r="G4" s="45" t="s">
        <v>83</v>
      </c>
      <c r="H4" s="45" t="s">
        <v>3188</v>
      </c>
      <c r="I4" s="45" t="s">
        <v>3186</v>
      </c>
      <c r="J4" s="45" t="s">
        <v>3187</v>
      </c>
      <c r="L4" s="45" t="s">
        <v>3225</v>
      </c>
      <c r="M4" s="45" t="s">
        <v>3226</v>
      </c>
      <c r="N4" s="45" t="s">
        <v>3227</v>
      </c>
      <c r="O4" s="45" t="s">
        <v>81</v>
      </c>
      <c r="P4" s="45" t="s">
        <v>82</v>
      </c>
      <c r="Q4" s="45" t="s">
        <v>83</v>
      </c>
    </row>
    <row r="5" spans="2:20" x14ac:dyDescent="0.2">
      <c r="B5" t="s">
        <v>1521</v>
      </c>
      <c r="C5" s="72" t="s">
        <v>2864</v>
      </c>
      <c r="D5" t="s">
        <v>784</v>
      </c>
      <c r="E5" s="15">
        <v>3.1032087621960799E-2</v>
      </c>
      <c r="F5" s="15">
        <v>1.6990995922176198E-2</v>
      </c>
      <c r="G5" s="15">
        <v>6.7865027320911306E-2</v>
      </c>
      <c r="H5" s="15">
        <v>0.10013650884414201</v>
      </c>
      <c r="I5" s="15">
        <v>0.15136914127602799</v>
      </c>
      <c r="J5" s="15">
        <v>1</v>
      </c>
      <c r="K5" s="15"/>
      <c r="L5" s="15" t="s">
        <v>1654</v>
      </c>
      <c r="M5" s="76" t="s">
        <v>2981</v>
      </c>
      <c r="N5" s="16" t="s">
        <v>194</v>
      </c>
      <c r="O5" s="15">
        <v>1.055E-2</v>
      </c>
      <c r="P5" s="15">
        <v>1.738E-2</v>
      </c>
      <c r="Q5" s="15">
        <v>0.54400000000000004</v>
      </c>
    </row>
    <row r="6" spans="2:20" x14ac:dyDescent="0.2">
      <c r="B6" t="s">
        <v>1521</v>
      </c>
      <c r="C6" s="72" t="s">
        <v>2864</v>
      </c>
      <c r="D6" t="s">
        <v>788</v>
      </c>
      <c r="E6" s="15">
        <v>2.53864910099404E-2</v>
      </c>
      <c r="F6" s="15">
        <v>1.7366028170806999E-2</v>
      </c>
      <c r="G6" s="15">
        <v>0.14386265321608099</v>
      </c>
      <c r="H6" s="15">
        <v>0.188540495829771</v>
      </c>
      <c r="I6" s="15">
        <v>0.27645737548809801</v>
      </c>
      <c r="J6" s="15">
        <v>1</v>
      </c>
      <c r="K6" s="15"/>
      <c r="L6" s="18" t="s">
        <v>1714</v>
      </c>
      <c r="M6" s="18" t="s">
        <v>3043</v>
      </c>
      <c r="N6" s="16" t="s">
        <v>194</v>
      </c>
      <c r="O6" s="15">
        <v>-1.196E-2</v>
      </c>
      <c r="P6" s="15">
        <v>2.4039999999999999E-2</v>
      </c>
      <c r="Q6" s="15">
        <v>0.61899999999999999</v>
      </c>
    </row>
    <row r="7" spans="2:20" x14ac:dyDescent="0.2">
      <c r="B7" t="s">
        <v>1521</v>
      </c>
      <c r="C7" s="72" t="s">
        <v>2864</v>
      </c>
      <c r="D7" t="s">
        <v>794</v>
      </c>
      <c r="E7" s="15">
        <v>-5.46634978804552E-2</v>
      </c>
      <c r="F7" s="15">
        <v>1.6084519039525302E-2</v>
      </c>
      <c r="G7" s="15">
        <v>6.8366205973253795E-4</v>
      </c>
      <c r="H7" s="15">
        <v>1.97606430963788E-3</v>
      </c>
      <c r="I7" s="15">
        <v>3.4510214019991699E-3</v>
      </c>
      <c r="J7" s="15">
        <v>0.72126347301782801</v>
      </c>
      <c r="K7" s="15"/>
      <c r="L7" s="43" t="s">
        <v>1549</v>
      </c>
      <c r="M7" s="77" t="s">
        <v>3141</v>
      </c>
      <c r="N7" s="95" t="s">
        <v>194</v>
      </c>
      <c r="O7" s="43">
        <v>7.8490000000000001E-3</v>
      </c>
      <c r="P7" s="43">
        <v>4.5359999999999998E-2</v>
      </c>
      <c r="Q7" s="43">
        <v>0.86260000000000003</v>
      </c>
    </row>
    <row r="8" spans="2:20" ht="16" customHeight="1" x14ac:dyDescent="0.2">
      <c r="B8" t="s">
        <v>1521</v>
      </c>
      <c r="C8" s="72" t="s">
        <v>2864</v>
      </c>
      <c r="D8" t="s">
        <v>814</v>
      </c>
      <c r="E8" s="15">
        <v>2.4044315803985701E-2</v>
      </c>
      <c r="F8" s="15">
        <v>1.7349404340181E-2</v>
      </c>
      <c r="G8" s="15">
        <v>0.165858176186964</v>
      </c>
      <c r="H8" s="15">
        <v>0.21209742530575401</v>
      </c>
      <c r="I8" s="15">
        <v>0.308064042037407</v>
      </c>
      <c r="J8" s="15">
        <v>1</v>
      </c>
      <c r="K8" s="15"/>
      <c r="L8" s="147" t="s">
        <v>3228</v>
      </c>
      <c r="M8" s="147"/>
      <c r="N8" s="147"/>
      <c r="O8" s="147"/>
      <c r="P8" s="147"/>
      <c r="Q8" s="147"/>
      <c r="R8" s="3"/>
      <c r="S8" s="3"/>
      <c r="T8" s="3"/>
    </row>
    <row r="9" spans="2:20" x14ac:dyDescent="0.2">
      <c r="B9" t="s">
        <v>1521</v>
      </c>
      <c r="C9" s="72" t="s">
        <v>2864</v>
      </c>
      <c r="D9" t="s">
        <v>94</v>
      </c>
      <c r="E9" s="15">
        <v>-3.409122272489E-2</v>
      </c>
      <c r="F9" s="15">
        <v>1.5427319467162999E-2</v>
      </c>
      <c r="G9" s="15">
        <v>2.7177264344015101E-2</v>
      </c>
      <c r="H9" s="15">
        <v>4.4452734702226299E-2</v>
      </c>
      <c r="I9" s="15">
        <v>7.31428925585101E-2</v>
      </c>
      <c r="J9" s="15">
        <v>1</v>
      </c>
      <c r="K9" s="15"/>
      <c r="L9" s="148"/>
      <c r="M9" s="148"/>
      <c r="N9" s="148"/>
      <c r="O9" s="148"/>
      <c r="P9" s="148"/>
      <c r="Q9" s="148"/>
      <c r="R9" s="3"/>
      <c r="S9" s="3"/>
      <c r="T9" s="3"/>
    </row>
    <row r="10" spans="2:20" x14ac:dyDescent="0.2">
      <c r="B10" t="s">
        <v>1521</v>
      </c>
      <c r="C10" s="72" t="s">
        <v>2864</v>
      </c>
      <c r="D10" t="s">
        <v>117</v>
      </c>
      <c r="E10" s="15">
        <v>1.6297833860889802E-2</v>
      </c>
      <c r="F10" s="15">
        <v>1.6863664611045302E-2</v>
      </c>
      <c r="G10" s="15">
        <v>0.33387474617090601</v>
      </c>
      <c r="H10" s="15">
        <v>0.37875038409710299</v>
      </c>
      <c r="I10" s="15">
        <v>0.50134804943466404</v>
      </c>
      <c r="J10" s="15">
        <v>1</v>
      </c>
      <c r="K10" s="15"/>
      <c r="L10" s="148"/>
      <c r="M10" s="148"/>
      <c r="N10" s="148"/>
      <c r="O10" s="148"/>
      <c r="P10" s="148"/>
      <c r="Q10" s="148"/>
      <c r="R10" s="3"/>
      <c r="S10" s="3"/>
      <c r="T10" s="3"/>
    </row>
    <row r="11" spans="2:20" x14ac:dyDescent="0.2">
      <c r="B11" t="s">
        <v>1521</v>
      </c>
      <c r="C11" s="72" t="s">
        <v>2864</v>
      </c>
      <c r="D11" t="s">
        <v>861</v>
      </c>
      <c r="E11" s="15">
        <v>-4.4534235925870302E-2</v>
      </c>
      <c r="F11" s="15">
        <v>1.6709759816874E-2</v>
      </c>
      <c r="G11" s="15">
        <v>7.7245444764062598E-3</v>
      </c>
      <c r="H11" s="15">
        <v>1.49530172891901E-2</v>
      </c>
      <c r="I11" s="15">
        <v>2.4998551323147E-2</v>
      </c>
      <c r="J11" s="15">
        <v>1</v>
      </c>
      <c r="K11" s="15"/>
      <c r="L11" s="148"/>
      <c r="M11" s="148"/>
      <c r="N11" s="148"/>
      <c r="O11" s="148"/>
      <c r="P11" s="148"/>
      <c r="Q11" s="148"/>
      <c r="R11" s="3"/>
      <c r="S11" s="3"/>
      <c r="T11" s="3"/>
    </row>
    <row r="12" spans="2:20" x14ac:dyDescent="0.2">
      <c r="B12" t="s">
        <v>1521</v>
      </c>
      <c r="C12" s="72" t="s">
        <v>2864</v>
      </c>
      <c r="D12" t="s">
        <v>862</v>
      </c>
      <c r="E12" s="15">
        <v>5.2546343969592797E-2</v>
      </c>
      <c r="F12" s="15">
        <v>1.69583807606133E-2</v>
      </c>
      <c r="G12" s="15">
        <v>1.95754558967776E-3</v>
      </c>
      <c r="H12" s="15">
        <v>4.8593190520236302E-3</v>
      </c>
      <c r="I12" s="15">
        <v>8.2940184622893199E-3</v>
      </c>
      <c r="J12" s="15">
        <v>1</v>
      </c>
      <c r="K12" s="15"/>
      <c r="L12" s="15"/>
      <c r="M12" s="15"/>
      <c r="N12" s="15"/>
      <c r="O12" s="15"/>
      <c r="P12" s="15"/>
      <c r="Q12" s="15"/>
    </row>
    <row r="13" spans="2:20" x14ac:dyDescent="0.2">
      <c r="B13" t="s">
        <v>1521</v>
      </c>
      <c r="C13" s="72" t="s">
        <v>2864</v>
      </c>
      <c r="D13" t="s">
        <v>857</v>
      </c>
      <c r="E13" s="15">
        <v>-3.4727083789318602E-2</v>
      </c>
      <c r="F13" s="15">
        <v>1.6706566586301898E-2</v>
      </c>
      <c r="G13" s="15">
        <v>3.7708980784191E-2</v>
      </c>
      <c r="H13" s="15">
        <v>5.8077335368352599E-2</v>
      </c>
      <c r="I13" s="15">
        <v>9.6094141853433596E-2</v>
      </c>
      <c r="J13" s="15">
        <v>1</v>
      </c>
      <c r="K13" s="15"/>
      <c r="L13" s="15"/>
      <c r="M13" s="15"/>
      <c r="N13" s="15"/>
      <c r="O13" s="15"/>
      <c r="P13" s="15"/>
      <c r="Q13" s="15"/>
    </row>
    <row r="14" spans="2:20" x14ac:dyDescent="0.2">
      <c r="B14" t="s">
        <v>1521</v>
      </c>
      <c r="C14" s="72" t="s">
        <v>2864</v>
      </c>
      <c r="D14" s="51" t="s">
        <v>865</v>
      </c>
      <c r="E14" s="74">
        <v>-0.127236801229377</v>
      </c>
      <c r="F14" s="74">
        <v>1.65077277893932E-2</v>
      </c>
      <c r="G14" s="74">
        <v>1.5666979287073301E-14</v>
      </c>
      <c r="H14" s="74">
        <v>1.10191087652416E-12</v>
      </c>
      <c r="I14" s="74">
        <v>2.36123759255176E-12</v>
      </c>
      <c r="J14" s="74">
        <v>1.6528663147862299E-11</v>
      </c>
      <c r="K14" s="15"/>
      <c r="L14" s="15"/>
      <c r="M14" s="15"/>
      <c r="N14" s="15"/>
      <c r="O14" s="15"/>
      <c r="P14" s="15"/>
      <c r="Q14" s="15"/>
    </row>
    <row r="15" spans="2:20" x14ac:dyDescent="0.2">
      <c r="B15" t="s">
        <v>1521</v>
      </c>
      <c r="C15" s="72" t="s">
        <v>2864</v>
      </c>
      <c r="D15" t="s">
        <v>209</v>
      </c>
      <c r="E15" s="15">
        <v>4.0013248325887499E-2</v>
      </c>
      <c r="F15" s="15">
        <v>1.6330016588133899E-2</v>
      </c>
      <c r="G15" s="15">
        <v>1.4311255959845099E-2</v>
      </c>
      <c r="H15" s="15">
        <v>2.5163958396061101E-2</v>
      </c>
      <c r="I15" s="15">
        <v>4.2174231948705697E-2</v>
      </c>
      <c r="J15" s="15">
        <v>1</v>
      </c>
      <c r="K15" s="15"/>
      <c r="L15" s="15"/>
      <c r="M15" s="15"/>
      <c r="N15" s="15"/>
      <c r="O15" s="15"/>
      <c r="P15" s="15"/>
      <c r="Q15" s="15"/>
    </row>
    <row r="16" spans="2:20" x14ac:dyDescent="0.2">
      <c r="B16" t="s">
        <v>1521</v>
      </c>
      <c r="C16" s="72" t="s">
        <v>2864</v>
      </c>
      <c r="D16" t="s">
        <v>208</v>
      </c>
      <c r="E16" s="15">
        <v>2.6483702682202199E-2</v>
      </c>
      <c r="F16" s="15">
        <v>1.6496679153811099E-2</v>
      </c>
      <c r="G16" s="15">
        <v>0.108473990467119</v>
      </c>
      <c r="H16" s="15">
        <v>0.15057902624054101</v>
      </c>
      <c r="I16" s="15">
        <v>0.22135408112729399</v>
      </c>
      <c r="J16" s="15">
        <v>1</v>
      </c>
      <c r="K16" s="15"/>
      <c r="L16" s="15"/>
      <c r="M16" s="15"/>
      <c r="N16" s="15"/>
      <c r="O16" s="15"/>
      <c r="P16" s="15"/>
      <c r="Q16" s="15"/>
    </row>
    <row r="17" spans="2:17" x14ac:dyDescent="0.2">
      <c r="B17" t="s">
        <v>1521</v>
      </c>
      <c r="C17" s="72" t="s">
        <v>2864</v>
      </c>
      <c r="D17" t="s">
        <v>196</v>
      </c>
      <c r="E17" s="15">
        <v>-4.6769569480484198E-2</v>
      </c>
      <c r="F17" s="15">
        <v>1.6556990429942499E-2</v>
      </c>
      <c r="G17" s="15">
        <v>4.7518123533279904E-3</v>
      </c>
      <c r="H17" s="15">
        <v>1.00263240655221E-2</v>
      </c>
      <c r="I17" s="15">
        <v>1.6993769602579801E-2</v>
      </c>
      <c r="J17" s="15">
        <v>1</v>
      </c>
      <c r="K17" s="15"/>
      <c r="L17" s="15"/>
      <c r="M17" s="15"/>
      <c r="N17" s="15"/>
      <c r="O17" s="15"/>
      <c r="P17" s="15"/>
      <c r="Q17" s="15"/>
    </row>
    <row r="18" spans="2:17" x14ac:dyDescent="0.2">
      <c r="B18" t="s">
        <v>1521</v>
      </c>
      <c r="C18" s="72" t="s">
        <v>2864</v>
      </c>
      <c r="D18" t="s">
        <v>201</v>
      </c>
      <c r="E18" s="15">
        <v>4.8771425628152197E-2</v>
      </c>
      <c r="F18" s="15">
        <v>1.6639835187772602E-2</v>
      </c>
      <c r="G18" s="15">
        <v>3.39541101437994E-3</v>
      </c>
      <c r="H18" s="15">
        <v>7.5413865687807002E-3</v>
      </c>
      <c r="I18" s="15">
        <v>1.29318099671809E-2</v>
      </c>
      <c r="J18" s="15">
        <v>1</v>
      </c>
      <c r="K18" s="15"/>
      <c r="L18" s="15"/>
      <c r="M18" s="15"/>
      <c r="N18" s="15"/>
      <c r="O18" s="15"/>
      <c r="P18" s="15"/>
      <c r="Q18" s="15"/>
    </row>
    <row r="19" spans="2:17" x14ac:dyDescent="0.2">
      <c r="B19" t="s">
        <v>1521</v>
      </c>
      <c r="C19" s="72" t="s">
        <v>2864</v>
      </c>
      <c r="D19" t="s">
        <v>866</v>
      </c>
      <c r="E19" s="15">
        <v>-1.56134327801197E-2</v>
      </c>
      <c r="F19" s="15">
        <v>1.6612223034479099E-2</v>
      </c>
      <c r="G19" s="15">
        <v>0.34733226920622301</v>
      </c>
      <c r="H19" s="15">
        <v>0.38982504682187802</v>
      </c>
      <c r="I19" s="15">
        <v>0.51321504763664605</v>
      </c>
      <c r="J19" s="15">
        <v>1</v>
      </c>
      <c r="K19" s="15"/>
      <c r="L19" s="15"/>
      <c r="M19" s="15"/>
      <c r="N19" s="15"/>
      <c r="O19" s="15"/>
      <c r="P19" s="15"/>
      <c r="Q19" s="15"/>
    </row>
    <row r="20" spans="2:17" x14ac:dyDescent="0.2">
      <c r="B20" t="s">
        <v>1521</v>
      </c>
      <c r="C20" s="72" t="s">
        <v>2864</v>
      </c>
      <c r="D20" t="s">
        <v>869</v>
      </c>
      <c r="E20" s="15">
        <v>-1.4351048086505201E-2</v>
      </c>
      <c r="F20" s="15">
        <v>1.6533708975530002E-2</v>
      </c>
      <c r="G20" s="15">
        <v>0.38544787593727697</v>
      </c>
      <c r="H20" s="15">
        <v>0.43031482445907598</v>
      </c>
      <c r="I20" s="15">
        <v>0.55477149947316096</v>
      </c>
      <c r="J20" s="15">
        <v>1</v>
      </c>
      <c r="K20" s="15"/>
      <c r="L20" s="15"/>
      <c r="M20" s="15"/>
      <c r="N20" s="15"/>
      <c r="O20" s="15"/>
      <c r="P20" s="15"/>
      <c r="Q20" s="15"/>
    </row>
    <row r="21" spans="2:17" x14ac:dyDescent="0.2">
      <c r="B21" t="s">
        <v>1521</v>
      </c>
      <c r="C21" s="72" t="s">
        <v>2864</v>
      </c>
      <c r="D21" t="s">
        <v>169</v>
      </c>
      <c r="E21" s="15">
        <v>-3.5526532359989003E-2</v>
      </c>
      <c r="F21" s="15">
        <v>1.6391178919060102E-2</v>
      </c>
      <c r="G21" s="15">
        <v>3.0255481567655299E-2</v>
      </c>
      <c r="H21" s="15">
        <v>4.8732111532635597E-2</v>
      </c>
      <c r="I21" s="15">
        <v>8.0401846483315595E-2</v>
      </c>
      <c r="J21" s="15">
        <v>1</v>
      </c>
      <c r="K21" s="15"/>
      <c r="L21" s="15"/>
      <c r="M21" s="15"/>
      <c r="N21" s="15"/>
      <c r="O21" s="15"/>
      <c r="P21" s="15"/>
      <c r="Q21" s="15"/>
    </row>
    <row r="22" spans="2:17" x14ac:dyDescent="0.2">
      <c r="B22" t="s">
        <v>1521</v>
      </c>
      <c r="C22" s="72" t="s">
        <v>2864</v>
      </c>
      <c r="D22" t="s">
        <v>172</v>
      </c>
      <c r="E22" s="15">
        <v>-1.3017777884018899E-2</v>
      </c>
      <c r="F22" s="15">
        <v>1.6362303958825899E-2</v>
      </c>
      <c r="G22" s="15">
        <v>0.42630862979699802</v>
      </c>
      <c r="H22" s="15">
        <v>0.47094827689616098</v>
      </c>
      <c r="I22" s="15">
        <v>0.59334512458553201</v>
      </c>
      <c r="J22" s="15">
        <v>1</v>
      </c>
      <c r="K22" s="15"/>
      <c r="L22" s="15"/>
      <c r="M22" s="15"/>
      <c r="N22" s="15"/>
      <c r="O22" s="15"/>
      <c r="P22" s="15"/>
      <c r="Q22" s="15"/>
    </row>
    <row r="23" spans="2:17" x14ac:dyDescent="0.2">
      <c r="B23" t="s">
        <v>1521</v>
      </c>
      <c r="C23" s="72" t="s">
        <v>2864</v>
      </c>
      <c r="D23" t="s">
        <v>174</v>
      </c>
      <c r="E23" s="15">
        <v>1.6926097561699001E-2</v>
      </c>
      <c r="F23" s="15">
        <v>1.6592071717326198E-2</v>
      </c>
      <c r="G23" s="15">
        <v>0.30772080360165699</v>
      </c>
      <c r="H23" s="15">
        <v>0.35480376808715602</v>
      </c>
      <c r="I23" s="15">
        <v>0.473932492732763</v>
      </c>
      <c r="J23" s="15">
        <v>1</v>
      </c>
      <c r="K23" s="15"/>
      <c r="L23" s="15"/>
      <c r="M23" s="15"/>
      <c r="N23" s="15"/>
      <c r="O23" s="15"/>
      <c r="P23" s="15"/>
      <c r="Q23" s="15"/>
    </row>
    <row r="24" spans="2:17" x14ac:dyDescent="0.2">
      <c r="B24" t="s">
        <v>1521</v>
      </c>
      <c r="C24" s="72" t="s">
        <v>2864</v>
      </c>
      <c r="D24" t="s">
        <v>175</v>
      </c>
      <c r="E24" s="15">
        <v>6.1242061567846701E-2</v>
      </c>
      <c r="F24" s="15">
        <v>1.6521554821088601E-2</v>
      </c>
      <c r="G24" s="15">
        <v>2.12448046315414E-4</v>
      </c>
      <c r="H24" s="15">
        <v>7.0041465269613001E-4</v>
      </c>
      <c r="I24" s="15">
        <v>1.24518160479312E-3</v>
      </c>
      <c r="J24" s="15">
        <v>0.224132688862762</v>
      </c>
      <c r="K24" s="15"/>
      <c r="L24" s="15"/>
      <c r="M24" s="15"/>
      <c r="N24" s="15"/>
      <c r="O24" s="15"/>
      <c r="P24" s="15"/>
      <c r="Q24" s="15"/>
    </row>
    <row r="25" spans="2:17" x14ac:dyDescent="0.2">
      <c r="B25" t="s">
        <v>1521</v>
      </c>
      <c r="C25" s="72" t="s">
        <v>2864</v>
      </c>
      <c r="D25" t="s">
        <v>176</v>
      </c>
      <c r="E25" s="15">
        <v>-2.0928390584816499E-2</v>
      </c>
      <c r="F25" s="15">
        <v>1.6436306777921499E-2</v>
      </c>
      <c r="G25" s="15">
        <v>0.20297773615209699</v>
      </c>
      <c r="H25" s="15">
        <v>0.243342626864161</v>
      </c>
      <c r="I25" s="15">
        <v>0.35220643361918103</v>
      </c>
      <c r="J25" s="15">
        <v>1</v>
      </c>
      <c r="K25" s="15"/>
      <c r="L25" s="15"/>
      <c r="M25" s="15"/>
      <c r="N25" s="15"/>
      <c r="O25" s="15"/>
      <c r="P25" s="15"/>
      <c r="Q25" s="15"/>
    </row>
    <row r="26" spans="2:17" x14ac:dyDescent="0.2">
      <c r="B26" t="s">
        <v>1521</v>
      </c>
      <c r="C26" s="72" t="s">
        <v>2864</v>
      </c>
      <c r="D26" t="s">
        <v>177</v>
      </c>
      <c r="E26" s="15">
        <v>-4.93871176365656E-3</v>
      </c>
      <c r="F26" s="15">
        <v>1.6331314959712899E-2</v>
      </c>
      <c r="G26" s="15">
        <v>0.76235540168328997</v>
      </c>
      <c r="H26" s="15">
        <v>0.78085917356880696</v>
      </c>
      <c r="I26" s="15">
        <v>0.87043825625094295</v>
      </c>
      <c r="J26" s="15">
        <v>1</v>
      </c>
      <c r="K26" s="15"/>
      <c r="L26" s="15"/>
      <c r="M26" s="15"/>
      <c r="N26" s="15"/>
      <c r="O26" s="15"/>
      <c r="P26" s="15"/>
      <c r="Q26" s="15"/>
    </row>
    <row r="27" spans="2:17" x14ac:dyDescent="0.2">
      <c r="B27" t="s">
        <v>1521</v>
      </c>
      <c r="C27" s="72" t="s">
        <v>2864</v>
      </c>
      <c r="D27" t="s">
        <v>178</v>
      </c>
      <c r="E27" s="15">
        <v>-6.9534548264372697E-3</v>
      </c>
      <c r="F27" s="15">
        <v>1.6395325193654699E-2</v>
      </c>
      <c r="G27" s="15">
        <v>0.67150423849745899</v>
      </c>
      <c r="H27" s="15">
        <v>0.70491240956698498</v>
      </c>
      <c r="I27" s="15">
        <v>0.81149710379704398</v>
      </c>
      <c r="J27" s="15">
        <v>1</v>
      </c>
      <c r="K27" s="15"/>
      <c r="L27" s="15"/>
      <c r="M27" s="15"/>
      <c r="N27" s="15"/>
      <c r="O27" s="15"/>
      <c r="P27" s="15"/>
      <c r="Q27" s="15"/>
    </row>
    <row r="28" spans="2:17" x14ac:dyDescent="0.2">
      <c r="B28" t="s">
        <v>1521</v>
      </c>
      <c r="C28" s="72" t="s">
        <v>2864</v>
      </c>
      <c r="D28" t="s">
        <v>179</v>
      </c>
      <c r="E28" s="15">
        <v>-2.23893749047025E-2</v>
      </c>
      <c r="F28" s="15">
        <v>1.64758995031682E-2</v>
      </c>
      <c r="G28" s="15">
        <v>0.17424109085250999</v>
      </c>
      <c r="H28" s="15">
        <v>0.217947334966826</v>
      </c>
      <c r="I28" s="15">
        <v>0.31730523202740901</v>
      </c>
      <c r="J28" s="15">
        <v>1</v>
      </c>
      <c r="K28" s="15"/>
      <c r="L28" s="15"/>
      <c r="M28" s="15"/>
      <c r="N28" s="15"/>
      <c r="O28" s="15"/>
      <c r="P28" s="15"/>
      <c r="Q28" s="15"/>
    </row>
    <row r="29" spans="2:17" x14ac:dyDescent="0.2">
      <c r="B29" t="s">
        <v>1521</v>
      </c>
      <c r="C29" s="72" t="s">
        <v>2864</v>
      </c>
      <c r="D29" t="s">
        <v>193</v>
      </c>
      <c r="E29" s="15">
        <v>-2.5110054100483E-2</v>
      </c>
      <c r="F29" s="15">
        <v>1.6507920592369399E-2</v>
      </c>
      <c r="G29" s="15">
        <v>0.12830638895305599</v>
      </c>
      <c r="H29" s="15">
        <v>0.17243724884773801</v>
      </c>
      <c r="I29" s="15">
        <v>0.251933452555338</v>
      </c>
      <c r="J29" s="15">
        <v>1</v>
      </c>
      <c r="K29" s="15"/>
      <c r="L29" s="15"/>
      <c r="M29" s="15"/>
      <c r="N29" s="15"/>
      <c r="O29" s="15"/>
      <c r="P29" s="15"/>
      <c r="Q29" s="15"/>
    </row>
    <row r="30" spans="2:17" x14ac:dyDescent="0.2">
      <c r="B30" t="s">
        <v>1521</v>
      </c>
      <c r="C30" s="72" t="s">
        <v>2864</v>
      </c>
      <c r="D30" t="s">
        <v>194</v>
      </c>
      <c r="E30" s="15">
        <v>1.7191937382179001E-2</v>
      </c>
      <c r="F30" s="15">
        <v>1.6469972129816698E-2</v>
      </c>
      <c r="G30" s="15">
        <v>0.29661723789821198</v>
      </c>
      <c r="H30" s="15">
        <v>0.34388042415671799</v>
      </c>
      <c r="I30" s="15">
        <v>0.46087067155023997</v>
      </c>
      <c r="J30" s="15">
        <v>1</v>
      </c>
      <c r="K30" s="15"/>
      <c r="L30" s="15"/>
      <c r="M30" s="15"/>
      <c r="N30" s="15"/>
      <c r="O30" s="15"/>
      <c r="P30" s="15"/>
      <c r="Q30" s="15"/>
    </row>
    <row r="31" spans="2:17" x14ac:dyDescent="0.2">
      <c r="B31" t="s">
        <v>1521</v>
      </c>
      <c r="C31" s="72" t="s">
        <v>2864</v>
      </c>
      <c r="D31" t="s">
        <v>195</v>
      </c>
      <c r="E31" s="15">
        <v>-1.85168835263918E-2</v>
      </c>
      <c r="F31" s="15">
        <v>1.6415908085218599E-2</v>
      </c>
      <c r="G31" s="15">
        <v>0.25938653345331297</v>
      </c>
      <c r="H31" s="15">
        <v>0.305757310383515</v>
      </c>
      <c r="I31" s="15">
        <v>0.416065364120356</v>
      </c>
      <c r="J31" s="15">
        <v>1</v>
      </c>
      <c r="K31" s="15"/>
      <c r="L31" s="15"/>
      <c r="M31" s="15"/>
      <c r="N31" s="15"/>
      <c r="O31" s="15"/>
      <c r="P31" s="15"/>
      <c r="Q31" s="15"/>
    </row>
    <row r="32" spans="2:17" x14ac:dyDescent="0.2">
      <c r="B32" t="s">
        <v>1521</v>
      </c>
      <c r="C32" s="72" t="s">
        <v>2864</v>
      </c>
      <c r="D32" t="s">
        <v>890</v>
      </c>
      <c r="E32" s="15">
        <v>-3.4111731261670102E-2</v>
      </c>
      <c r="F32" s="15">
        <v>1.6202931865995099E-2</v>
      </c>
      <c r="G32" s="15">
        <v>3.53201454694154E-2</v>
      </c>
      <c r="H32" s="15">
        <v>5.52040792151604E-2</v>
      </c>
      <c r="I32" s="15">
        <v>9.1319572728614795E-2</v>
      </c>
      <c r="J32" s="15">
        <v>1</v>
      </c>
      <c r="K32" s="15"/>
      <c r="L32" s="15"/>
      <c r="M32" s="15"/>
      <c r="N32" s="15"/>
      <c r="O32" s="15"/>
      <c r="P32" s="15"/>
      <c r="Q32" s="15"/>
    </row>
    <row r="33" spans="2:17" x14ac:dyDescent="0.2">
      <c r="B33" t="s">
        <v>1521</v>
      </c>
      <c r="C33" s="72" t="s">
        <v>2864</v>
      </c>
      <c r="D33" s="51" t="s">
        <v>891</v>
      </c>
      <c r="E33" s="74">
        <v>-0.15315784196864499</v>
      </c>
      <c r="F33" s="74">
        <v>1.6350561779200998E-2</v>
      </c>
      <c r="G33" s="74">
        <v>1.1377650307126999E-20</v>
      </c>
      <c r="H33" s="74">
        <v>2.40068421480379E-18</v>
      </c>
      <c r="I33" s="74">
        <v>1.2003421074019E-17</v>
      </c>
      <c r="J33" s="74">
        <v>1.2003421074019E-17</v>
      </c>
      <c r="K33" s="15"/>
      <c r="L33" s="15"/>
      <c r="M33" s="15"/>
      <c r="N33" s="15"/>
      <c r="O33" s="15"/>
      <c r="P33" s="15"/>
      <c r="Q33" s="15"/>
    </row>
    <row r="34" spans="2:17" x14ac:dyDescent="0.2">
      <c r="B34" t="s">
        <v>1521</v>
      </c>
      <c r="C34" s="72" t="s">
        <v>2864</v>
      </c>
      <c r="D34" s="51" t="s">
        <v>3189</v>
      </c>
      <c r="E34" s="74">
        <v>-6.8941699015091396E-2</v>
      </c>
      <c r="F34" s="74">
        <v>1.5896805594397399E-2</v>
      </c>
      <c r="G34" s="74">
        <v>1.47685037764376E-5</v>
      </c>
      <c r="H34" s="74">
        <v>7.4194149924484097E-5</v>
      </c>
      <c r="I34" s="74">
        <v>1.2983976236784699E-4</v>
      </c>
      <c r="J34" s="74">
        <v>1.5580771484141699E-2</v>
      </c>
      <c r="K34" s="15"/>
      <c r="L34" s="15"/>
      <c r="M34" s="15"/>
      <c r="N34" s="15"/>
      <c r="O34" s="15"/>
      <c r="P34" s="15"/>
      <c r="Q34" s="15"/>
    </row>
    <row r="35" spans="2:17" x14ac:dyDescent="0.2">
      <c r="B35" t="s">
        <v>1521</v>
      </c>
      <c r="C35" s="72" t="s">
        <v>2864</v>
      </c>
      <c r="D35" t="s">
        <v>621</v>
      </c>
      <c r="E35" s="15">
        <v>-4.9461415810821599E-2</v>
      </c>
      <c r="F35" s="15">
        <v>1.59300962660467E-2</v>
      </c>
      <c r="G35" s="15">
        <v>1.91473095112495E-3</v>
      </c>
      <c r="H35" s="15">
        <v>4.8096217938971902E-3</v>
      </c>
      <c r="I35" s="15">
        <v>8.1453272316000906E-3</v>
      </c>
      <c r="J35" s="15">
        <v>1</v>
      </c>
      <c r="K35" s="15"/>
      <c r="L35" s="15"/>
      <c r="M35" s="15"/>
      <c r="N35" s="15"/>
      <c r="O35" s="15"/>
      <c r="P35" s="15"/>
      <c r="Q35" s="15"/>
    </row>
    <row r="36" spans="2:17" x14ac:dyDescent="0.2">
      <c r="B36" t="s">
        <v>1521</v>
      </c>
      <c r="C36" s="72" t="s">
        <v>2864</v>
      </c>
      <c r="D36" t="s">
        <v>623</v>
      </c>
      <c r="E36" s="15">
        <v>-2.6408325328438301E-2</v>
      </c>
      <c r="F36" s="15">
        <v>1.6557198333735399E-2</v>
      </c>
      <c r="G36" s="15">
        <v>0.11078608414848599</v>
      </c>
      <c r="H36" s="15">
        <v>0.152783423237454</v>
      </c>
      <c r="I36" s="15">
        <v>0.225635750534078</v>
      </c>
      <c r="J36" s="15">
        <v>1</v>
      </c>
      <c r="K36" s="15"/>
      <c r="L36" s="15"/>
      <c r="M36" s="15"/>
      <c r="N36" s="15"/>
      <c r="O36" s="15"/>
      <c r="P36" s="15"/>
      <c r="Q36" s="15"/>
    </row>
    <row r="37" spans="2:17" x14ac:dyDescent="0.2">
      <c r="B37" t="s">
        <v>1521</v>
      </c>
      <c r="C37" s="72" t="s">
        <v>2864</v>
      </c>
      <c r="D37" t="s">
        <v>640</v>
      </c>
      <c r="E37" s="15">
        <v>-3.1881019044905097E-2</v>
      </c>
      <c r="F37" s="15">
        <v>1.65159937960167E-2</v>
      </c>
      <c r="G37" s="15">
        <v>5.3630354389043303E-2</v>
      </c>
      <c r="H37" s="15">
        <v>8.0828605543486601E-2</v>
      </c>
      <c r="I37" s="15">
        <v>0.12639997564310901</v>
      </c>
      <c r="J37" s="15">
        <v>1</v>
      </c>
      <c r="K37" s="15"/>
      <c r="L37" s="15"/>
      <c r="M37" s="15"/>
      <c r="N37" s="15"/>
      <c r="O37" s="15"/>
      <c r="P37" s="15"/>
      <c r="Q37" s="15"/>
    </row>
    <row r="38" spans="2:17" x14ac:dyDescent="0.2">
      <c r="B38" t="s">
        <v>1521</v>
      </c>
      <c r="C38" s="72" t="s">
        <v>2864</v>
      </c>
      <c r="D38" t="s">
        <v>614</v>
      </c>
      <c r="E38" s="15">
        <v>-5.0929993134109203E-2</v>
      </c>
      <c r="F38" s="15">
        <v>1.6649606885017799E-2</v>
      </c>
      <c r="G38" s="15">
        <v>2.2341973903120598E-3</v>
      </c>
      <c r="H38" s="15">
        <v>5.2379516595093796E-3</v>
      </c>
      <c r="I38" s="15">
        <v>9.1006882115027797E-3</v>
      </c>
      <c r="J38" s="15">
        <v>1</v>
      </c>
      <c r="K38" s="15"/>
      <c r="L38" s="15"/>
      <c r="M38" s="15"/>
      <c r="N38" s="15"/>
      <c r="O38" s="15"/>
      <c r="P38" s="15"/>
      <c r="Q38" s="15"/>
    </row>
    <row r="39" spans="2:17" x14ac:dyDescent="0.2">
      <c r="B39" t="s">
        <v>1521</v>
      </c>
      <c r="C39" s="72" t="s">
        <v>2864</v>
      </c>
      <c r="D39" t="s">
        <v>620</v>
      </c>
      <c r="E39" s="15">
        <v>-2.8227613043812098E-2</v>
      </c>
      <c r="F39" s="15">
        <v>1.64234665895969E-2</v>
      </c>
      <c r="G39" s="15">
        <v>8.5728141637538502E-2</v>
      </c>
      <c r="H39" s="15">
        <v>0.123051958404902</v>
      </c>
      <c r="I39" s="15">
        <v>0.18382762078781101</v>
      </c>
      <c r="J39" s="15">
        <v>1</v>
      </c>
      <c r="K39" s="15"/>
      <c r="L39" s="15"/>
      <c r="M39" s="15"/>
      <c r="N39" s="15"/>
      <c r="O39" s="15"/>
      <c r="P39" s="15"/>
      <c r="Q39" s="15"/>
    </row>
    <row r="40" spans="2:17" x14ac:dyDescent="0.2">
      <c r="B40" t="s">
        <v>1521</v>
      </c>
      <c r="C40" s="72" t="s">
        <v>2864</v>
      </c>
      <c r="D40" t="s">
        <v>235</v>
      </c>
      <c r="E40" s="15">
        <v>-3.5301724315616401E-2</v>
      </c>
      <c r="F40" s="15">
        <v>1.6436391033856499E-2</v>
      </c>
      <c r="G40" s="15">
        <v>3.1784100465969203E-2</v>
      </c>
      <c r="H40" s="15">
        <v>5.0806403017571902E-2</v>
      </c>
      <c r="I40" s="15">
        <v>8.4040666645607706E-2</v>
      </c>
      <c r="J40" s="15">
        <v>1</v>
      </c>
      <c r="K40" s="15"/>
      <c r="L40" s="15"/>
      <c r="M40" s="15"/>
      <c r="N40" s="15"/>
      <c r="O40" s="15"/>
      <c r="P40" s="15"/>
      <c r="Q40" s="15"/>
    </row>
    <row r="41" spans="2:17" x14ac:dyDescent="0.2">
      <c r="B41" t="s">
        <v>1521</v>
      </c>
      <c r="C41" s="72" t="s">
        <v>2864</v>
      </c>
      <c r="D41" t="s">
        <v>237</v>
      </c>
      <c r="E41" s="15">
        <v>-3.5906666724620097E-2</v>
      </c>
      <c r="F41" s="15">
        <v>1.6472530134848801E-2</v>
      </c>
      <c r="G41" s="15">
        <v>2.9324614821473499E-2</v>
      </c>
      <c r="H41" s="15">
        <v>4.7596105594853201E-2</v>
      </c>
      <c r="I41" s="15">
        <v>7.8415907237489896E-2</v>
      </c>
      <c r="J41" s="15">
        <v>1</v>
      </c>
      <c r="K41" s="15"/>
      <c r="L41" s="15"/>
      <c r="M41" s="15"/>
      <c r="N41" s="15"/>
      <c r="O41" s="15"/>
      <c r="P41" s="15"/>
      <c r="Q41" s="15"/>
    </row>
    <row r="42" spans="2:17" x14ac:dyDescent="0.2">
      <c r="B42" t="s">
        <v>1521</v>
      </c>
      <c r="C42" s="72" t="s">
        <v>2864</v>
      </c>
      <c r="D42" t="s">
        <v>257</v>
      </c>
      <c r="E42" s="15">
        <v>-3.9412620478395402E-2</v>
      </c>
      <c r="F42" s="15">
        <v>1.63348606418207E-2</v>
      </c>
      <c r="G42" s="15">
        <v>1.5872053128780299E-2</v>
      </c>
      <c r="H42" s="15">
        <v>2.7450845985021601E-2</v>
      </c>
      <c r="I42" s="15">
        <v>4.6256950416749203E-2</v>
      </c>
      <c r="J42" s="15">
        <v>1</v>
      </c>
      <c r="K42" s="15"/>
      <c r="L42" s="15"/>
      <c r="M42" s="15"/>
      <c r="N42" s="15"/>
      <c r="O42" s="15"/>
      <c r="P42" s="15"/>
      <c r="Q42" s="15"/>
    </row>
    <row r="43" spans="2:17" x14ac:dyDescent="0.2">
      <c r="B43" t="s">
        <v>1521</v>
      </c>
      <c r="C43" s="72" t="s">
        <v>2864</v>
      </c>
      <c r="D43" t="s">
        <v>259</v>
      </c>
      <c r="E43" s="15">
        <v>-5.5808633341399197E-2</v>
      </c>
      <c r="F43" s="15">
        <v>1.6490239579029099E-2</v>
      </c>
      <c r="G43" s="15">
        <v>7.1960056781824298E-4</v>
      </c>
      <c r="H43" s="15">
        <v>2.0518340514817501E-3</v>
      </c>
      <c r="I43" s="15">
        <v>3.6151361859440298E-3</v>
      </c>
      <c r="J43" s="15">
        <v>0.75917859904824603</v>
      </c>
      <c r="K43" s="15"/>
      <c r="L43" s="15"/>
      <c r="M43" s="15"/>
      <c r="N43" s="15"/>
      <c r="O43" s="15"/>
      <c r="P43" s="15"/>
      <c r="Q43" s="15"/>
    </row>
    <row r="44" spans="2:17" x14ac:dyDescent="0.2">
      <c r="B44" t="s">
        <v>1521</v>
      </c>
      <c r="C44" s="72" t="s">
        <v>2864</v>
      </c>
      <c r="D44" t="s">
        <v>260</v>
      </c>
      <c r="E44" s="15">
        <v>-5.9397299072555698E-2</v>
      </c>
      <c r="F44" s="15">
        <v>1.65728373601816E-2</v>
      </c>
      <c r="G44" s="15">
        <v>3.4193884248567299E-4</v>
      </c>
      <c r="H44" s="15">
        <v>1.09316811764359E-3</v>
      </c>
      <c r="I44" s="15">
        <v>1.92912020760633E-3</v>
      </c>
      <c r="J44" s="15">
        <v>0.360745478822385</v>
      </c>
      <c r="K44" s="15"/>
      <c r="L44" s="15"/>
      <c r="M44" s="15"/>
      <c r="N44" s="15"/>
      <c r="O44" s="15"/>
      <c r="P44" s="15"/>
      <c r="Q44" s="15"/>
    </row>
    <row r="45" spans="2:17" x14ac:dyDescent="0.2">
      <c r="B45" t="s">
        <v>1521</v>
      </c>
      <c r="C45" s="72" t="s">
        <v>2864</v>
      </c>
      <c r="D45" t="s">
        <v>261</v>
      </c>
      <c r="E45" s="15">
        <v>-4.78502454601335E-2</v>
      </c>
      <c r="F45" s="15">
        <v>1.63646952170932E-2</v>
      </c>
      <c r="G45" s="15">
        <v>3.4739813977439698E-3</v>
      </c>
      <c r="H45" s="15">
        <v>7.6355216137914302E-3</v>
      </c>
      <c r="I45" s="15">
        <v>1.29966325341131E-2</v>
      </c>
      <c r="J45" s="15">
        <v>1</v>
      </c>
      <c r="K45" s="15"/>
      <c r="L45" s="15"/>
      <c r="M45" s="15"/>
      <c r="N45" s="15"/>
      <c r="O45" s="15"/>
      <c r="P45" s="15"/>
      <c r="Q45" s="15"/>
    </row>
    <row r="46" spans="2:17" x14ac:dyDescent="0.2">
      <c r="B46" t="s">
        <v>1521</v>
      </c>
      <c r="C46" s="72" t="s">
        <v>2864</v>
      </c>
      <c r="D46" t="s">
        <v>266</v>
      </c>
      <c r="E46" s="15">
        <v>-2.2000300383166398E-2</v>
      </c>
      <c r="F46" s="15">
        <v>1.6389122895231301E-2</v>
      </c>
      <c r="G46" s="15">
        <v>0.17954716590417699</v>
      </c>
      <c r="H46" s="15">
        <v>0.22284971768106601</v>
      </c>
      <c r="I46" s="15">
        <v>0.32379873509214702</v>
      </c>
      <c r="J46" s="15">
        <v>1</v>
      </c>
      <c r="K46" s="15"/>
      <c r="L46" s="15"/>
      <c r="M46" s="15"/>
      <c r="N46" s="15"/>
      <c r="O46" s="15"/>
      <c r="P46" s="15"/>
      <c r="Q46" s="15"/>
    </row>
    <row r="47" spans="2:17" x14ac:dyDescent="0.2">
      <c r="B47" t="s">
        <v>1521</v>
      </c>
      <c r="C47" s="72" t="s">
        <v>2864</v>
      </c>
      <c r="D47" t="s">
        <v>269</v>
      </c>
      <c r="E47" s="15">
        <v>-6.4587976274778996E-2</v>
      </c>
      <c r="F47" s="15">
        <v>1.6543259269349402E-2</v>
      </c>
      <c r="G47" s="15">
        <v>9.5928267146509294E-5</v>
      </c>
      <c r="H47" s="15">
        <v>3.55102883647605E-4</v>
      </c>
      <c r="I47" s="15">
        <v>6.1335952630040805E-4</v>
      </c>
      <c r="J47" s="15">
        <v>0.101204321839567</v>
      </c>
      <c r="K47" s="15"/>
      <c r="L47" s="15"/>
      <c r="M47" s="15"/>
      <c r="N47" s="15"/>
      <c r="O47" s="15"/>
      <c r="P47" s="15"/>
      <c r="Q47" s="15"/>
    </row>
    <row r="48" spans="2:17" x14ac:dyDescent="0.2">
      <c r="B48" t="s">
        <v>1521</v>
      </c>
      <c r="C48" s="72" t="s">
        <v>2864</v>
      </c>
      <c r="D48" t="s">
        <v>272</v>
      </c>
      <c r="E48" s="15">
        <v>-3.4972281317654397E-2</v>
      </c>
      <c r="F48" s="15">
        <v>1.65910625955362E-2</v>
      </c>
      <c r="G48" s="15">
        <v>3.50951859030528E-2</v>
      </c>
      <c r="H48" s="15">
        <v>5.52040792151604E-2</v>
      </c>
      <c r="I48" s="15">
        <v>9.0971550682360403E-2</v>
      </c>
      <c r="J48" s="15">
        <v>1</v>
      </c>
      <c r="K48" s="15"/>
      <c r="L48" s="15"/>
      <c r="M48" s="15"/>
      <c r="N48" s="15"/>
      <c r="O48" s="15"/>
      <c r="P48" s="15"/>
      <c r="Q48" s="15"/>
    </row>
    <row r="49" spans="2:17" x14ac:dyDescent="0.2">
      <c r="B49" t="s">
        <v>1521</v>
      </c>
      <c r="C49" s="72" t="s">
        <v>2864</v>
      </c>
      <c r="D49" t="s">
        <v>273</v>
      </c>
      <c r="E49" s="15">
        <v>-2.24826867453185E-2</v>
      </c>
      <c r="F49" s="15">
        <v>1.6338294025775E-2</v>
      </c>
      <c r="G49" s="15">
        <v>0.16887048606087199</v>
      </c>
      <c r="H49" s="15">
        <v>0.21464862987255501</v>
      </c>
      <c r="I49" s="15">
        <v>0.31255853121792998</v>
      </c>
      <c r="J49" s="15">
        <v>1</v>
      </c>
      <c r="K49" s="15"/>
      <c r="L49" s="15"/>
      <c r="M49" s="15"/>
      <c r="N49" s="15"/>
      <c r="O49" s="15"/>
      <c r="P49" s="15"/>
      <c r="Q49" s="15"/>
    </row>
    <row r="50" spans="2:17" x14ac:dyDescent="0.2">
      <c r="B50" t="s">
        <v>1521</v>
      </c>
      <c r="C50" s="72" t="s">
        <v>2864</v>
      </c>
      <c r="D50" t="s">
        <v>274</v>
      </c>
      <c r="E50" s="15">
        <v>-4.2730579189050197E-2</v>
      </c>
      <c r="F50" s="15">
        <v>1.64748110866757E-2</v>
      </c>
      <c r="G50" s="15">
        <v>9.5266415630985996E-3</v>
      </c>
      <c r="H50" s="15">
        <v>1.7479316259250501E-2</v>
      </c>
      <c r="I50" s="15">
        <v>2.9735523222097701E-2</v>
      </c>
      <c r="J50" s="15">
        <v>1</v>
      </c>
      <c r="K50" s="15"/>
      <c r="L50" s="15"/>
      <c r="M50" s="15"/>
      <c r="N50" s="15"/>
      <c r="O50" s="15"/>
      <c r="P50" s="15"/>
      <c r="Q50" s="15"/>
    </row>
    <row r="51" spans="2:17" x14ac:dyDescent="0.2">
      <c r="B51" t="s">
        <v>1521</v>
      </c>
      <c r="C51" s="72" t="s">
        <v>2864</v>
      </c>
      <c r="D51" t="s">
        <v>276</v>
      </c>
      <c r="E51" s="15">
        <v>-2.9650366966185698E-2</v>
      </c>
      <c r="F51" s="15">
        <v>1.6371244402668999E-2</v>
      </c>
      <c r="G51" s="15">
        <v>7.0193202143364303E-2</v>
      </c>
      <c r="H51" s="15">
        <v>0.102852539251735</v>
      </c>
      <c r="I51" s="15">
        <v>0.15537275672429701</v>
      </c>
      <c r="J51" s="15">
        <v>1</v>
      </c>
      <c r="K51" s="15"/>
      <c r="L51" s="15"/>
      <c r="M51" s="15"/>
      <c r="N51" s="15"/>
      <c r="O51" s="15"/>
      <c r="P51" s="15"/>
      <c r="Q51" s="15"/>
    </row>
    <row r="52" spans="2:17" x14ac:dyDescent="0.2">
      <c r="B52" t="s">
        <v>1521</v>
      </c>
      <c r="C52" s="72" t="s">
        <v>2864</v>
      </c>
      <c r="D52" t="s">
        <v>279</v>
      </c>
      <c r="E52" s="15">
        <v>-3.9214123643811702E-2</v>
      </c>
      <c r="F52" s="15">
        <v>1.64247387697673E-2</v>
      </c>
      <c r="G52" s="15">
        <v>1.7004435822769701E-2</v>
      </c>
      <c r="H52" s="15">
        <v>2.8934967408100101E-2</v>
      </c>
      <c r="I52" s="15">
        <v>4.9015518560169502E-2</v>
      </c>
      <c r="J52" s="15">
        <v>1</v>
      </c>
      <c r="K52" s="15"/>
      <c r="L52" s="15"/>
      <c r="M52" s="15"/>
      <c r="N52" s="15"/>
      <c r="O52" s="15"/>
      <c r="P52" s="15"/>
      <c r="Q52" s="15"/>
    </row>
    <row r="53" spans="2:17" x14ac:dyDescent="0.2">
      <c r="B53" t="s">
        <v>1521</v>
      </c>
      <c r="C53" s="72" t="s">
        <v>2864</v>
      </c>
      <c r="D53" s="51" t="s">
        <v>927</v>
      </c>
      <c r="E53" s="74">
        <v>-7.8186776805296801E-2</v>
      </c>
      <c r="F53" s="74">
        <v>1.7057528992783601E-2</v>
      </c>
      <c r="G53" s="74">
        <v>4.6994635447555097E-6</v>
      </c>
      <c r="H53" s="74">
        <v>3.0048085089194301E-5</v>
      </c>
      <c r="I53" s="74">
        <v>5.6340159542239303E-5</v>
      </c>
      <c r="J53" s="74">
        <v>4.9579340397170601E-3</v>
      </c>
      <c r="K53" s="15"/>
      <c r="L53" s="15"/>
      <c r="M53" s="15"/>
      <c r="N53" s="15"/>
      <c r="O53" s="15"/>
      <c r="P53" s="15"/>
      <c r="Q53" s="15"/>
    </row>
    <row r="54" spans="2:17" x14ac:dyDescent="0.2">
      <c r="B54" t="s">
        <v>1521</v>
      </c>
      <c r="C54" s="72" t="s">
        <v>2864</v>
      </c>
      <c r="D54" t="s">
        <v>928</v>
      </c>
      <c r="E54" s="15">
        <v>-1.9213496691694999E-3</v>
      </c>
      <c r="F54" s="15">
        <v>1.65750107318017E-2</v>
      </c>
      <c r="G54" s="15">
        <v>0.90772253120875301</v>
      </c>
      <c r="H54" s="15">
        <v>0.91204501945260397</v>
      </c>
      <c r="I54" s="15">
        <v>0.93979123692368505</v>
      </c>
      <c r="J54" s="15">
        <v>1</v>
      </c>
      <c r="K54" s="15"/>
      <c r="L54" s="15"/>
      <c r="M54" s="15"/>
      <c r="N54" s="15"/>
      <c r="O54" s="15"/>
      <c r="P54" s="15"/>
      <c r="Q54" s="15"/>
    </row>
    <row r="55" spans="2:17" x14ac:dyDescent="0.2">
      <c r="B55" t="s">
        <v>1521</v>
      </c>
      <c r="C55" s="72" t="s">
        <v>2864</v>
      </c>
      <c r="D55" t="s">
        <v>929</v>
      </c>
      <c r="E55" s="15">
        <v>-5.2305174721641798E-2</v>
      </c>
      <c r="F55" s="15">
        <v>1.69600850651461E-2</v>
      </c>
      <c r="G55" s="15">
        <v>2.0551693752393799E-3</v>
      </c>
      <c r="H55" s="15">
        <v>4.9525072899243901E-3</v>
      </c>
      <c r="I55" s="15">
        <v>8.5121219045575496E-3</v>
      </c>
      <c r="J55" s="15">
        <v>1</v>
      </c>
      <c r="K55" s="15"/>
      <c r="L55" s="15"/>
      <c r="M55" s="15"/>
      <c r="N55" s="15"/>
      <c r="O55" s="15"/>
      <c r="P55" s="15"/>
      <c r="Q55" s="15"/>
    </row>
    <row r="56" spans="2:17" x14ac:dyDescent="0.2">
      <c r="B56" t="s">
        <v>1521</v>
      </c>
      <c r="C56" s="72" t="s">
        <v>2864</v>
      </c>
      <c r="D56" t="s">
        <v>930</v>
      </c>
      <c r="E56" s="15">
        <v>-5.3425962588285199E-2</v>
      </c>
      <c r="F56" s="15">
        <v>1.7331380987647801E-2</v>
      </c>
      <c r="G56" s="15">
        <v>2.0655006706793702E-3</v>
      </c>
      <c r="H56" s="15">
        <v>4.9525072899243901E-3</v>
      </c>
      <c r="I56" s="15">
        <v>8.5121219045575496E-3</v>
      </c>
      <c r="J56" s="15">
        <v>1</v>
      </c>
      <c r="K56" s="15"/>
      <c r="L56" s="15"/>
      <c r="M56" s="15"/>
      <c r="N56" s="15"/>
      <c r="O56" s="15"/>
      <c r="P56" s="15"/>
      <c r="Q56" s="15"/>
    </row>
    <row r="57" spans="2:17" x14ac:dyDescent="0.2">
      <c r="B57" t="s">
        <v>1521</v>
      </c>
      <c r="C57" s="72" t="s">
        <v>2864</v>
      </c>
      <c r="D57" t="s">
        <v>931</v>
      </c>
      <c r="E57" s="15">
        <v>-3.1382444269817997E-2</v>
      </c>
      <c r="F57" s="15">
        <v>1.69655702101967E-2</v>
      </c>
      <c r="G57" s="15">
        <v>6.4414285333676602E-2</v>
      </c>
      <c r="H57" s="15">
        <v>9.5714184545110895E-2</v>
      </c>
      <c r="I57" s="15">
        <v>0.145380557977489</v>
      </c>
      <c r="J57" s="15">
        <v>1</v>
      </c>
      <c r="K57" s="15"/>
      <c r="L57" s="15"/>
      <c r="M57" s="15"/>
      <c r="N57" s="15"/>
      <c r="O57" s="15"/>
      <c r="P57" s="15"/>
      <c r="Q57" s="15"/>
    </row>
    <row r="58" spans="2:17" x14ac:dyDescent="0.2">
      <c r="B58" t="s">
        <v>1521</v>
      </c>
      <c r="C58" s="72" t="s">
        <v>2864</v>
      </c>
      <c r="D58" t="s">
        <v>932</v>
      </c>
      <c r="E58" s="15">
        <v>-4.6807422915392201E-2</v>
      </c>
      <c r="F58" s="15">
        <v>1.6683726177768001E-2</v>
      </c>
      <c r="G58" s="15">
        <v>5.0443611984809398E-3</v>
      </c>
      <c r="H58" s="15">
        <v>1.05382199294998E-2</v>
      </c>
      <c r="I58" s="15">
        <v>1.7979057649991199E-2</v>
      </c>
      <c r="J58" s="15">
        <v>1</v>
      </c>
      <c r="K58" s="15"/>
      <c r="L58" s="15"/>
      <c r="M58" s="15"/>
      <c r="N58" s="15"/>
      <c r="O58" s="15"/>
      <c r="P58" s="15"/>
      <c r="Q58" s="15"/>
    </row>
    <row r="59" spans="2:17" x14ac:dyDescent="0.2">
      <c r="B59" t="s">
        <v>1521</v>
      </c>
      <c r="C59" s="72" t="s">
        <v>2864</v>
      </c>
      <c r="D59" t="s">
        <v>933</v>
      </c>
      <c r="E59" s="15">
        <v>-5.5335841102076302E-2</v>
      </c>
      <c r="F59" s="15">
        <v>1.6522259265693499E-2</v>
      </c>
      <c r="G59" s="15">
        <v>8.1749994421197398E-4</v>
      </c>
      <c r="H59" s="15">
        <v>2.2401621847886501E-3</v>
      </c>
      <c r="I59" s="15">
        <v>3.9928816719612603E-3</v>
      </c>
      <c r="J59" s="15">
        <v>0.86246244114363202</v>
      </c>
      <c r="K59" s="15"/>
      <c r="L59" s="15"/>
      <c r="M59" s="15"/>
      <c r="N59" s="15"/>
      <c r="O59" s="15"/>
      <c r="P59" s="15"/>
      <c r="Q59" s="15"/>
    </row>
    <row r="60" spans="2:17" x14ac:dyDescent="0.2">
      <c r="B60" t="s">
        <v>1521</v>
      </c>
      <c r="C60" s="72" t="s">
        <v>2864</v>
      </c>
      <c r="D60" t="s">
        <v>934</v>
      </c>
      <c r="E60" s="15">
        <v>-4.3946413535424098E-2</v>
      </c>
      <c r="F60" s="15">
        <v>1.64493875652298E-2</v>
      </c>
      <c r="G60" s="15">
        <v>7.5763074948493499E-3</v>
      </c>
      <c r="H60" s="15">
        <v>1.48018600130853E-2</v>
      </c>
      <c r="I60" s="15">
        <v>2.4669766688475502E-2</v>
      </c>
      <c r="J60" s="15">
        <v>1</v>
      </c>
      <c r="K60" s="15"/>
      <c r="L60" s="15"/>
      <c r="M60" s="15"/>
      <c r="N60" s="15"/>
      <c r="O60" s="15"/>
      <c r="P60" s="15"/>
      <c r="Q60" s="15"/>
    </row>
    <row r="61" spans="2:17" x14ac:dyDescent="0.2">
      <c r="B61" t="s">
        <v>1521</v>
      </c>
      <c r="C61" s="72" t="s">
        <v>2864</v>
      </c>
      <c r="D61" s="51" t="s">
        <v>935</v>
      </c>
      <c r="E61" s="74">
        <v>-6.7742345072470303E-2</v>
      </c>
      <c r="F61" s="74">
        <v>1.6564047791004802E-2</v>
      </c>
      <c r="G61" s="74">
        <v>4.3958441933965702E-5</v>
      </c>
      <c r="H61" s="74">
        <v>1.8550462496133501E-4</v>
      </c>
      <c r="I61" s="74">
        <v>3.2430878489743902E-4</v>
      </c>
      <c r="J61" s="74">
        <v>4.6376156240333803E-2</v>
      </c>
      <c r="K61" s="15"/>
      <c r="L61" s="15"/>
      <c r="M61" s="15"/>
      <c r="N61" s="15"/>
      <c r="O61" s="15"/>
      <c r="P61" s="15"/>
      <c r="Q61" s="15"/>
    </row>
    <row r="62" spans="2:17" x14ac:dyDescent="0.2">
      <c r="B62" t="s">
        <v>1521</v>
      </c>
      <c r="C62" s="72" t="s">
        <v>2864</v>
      </c>
      <c r="D62" t="s">
        <v>937</v>
      </c>
      <c r="E62" s="15">
        <v>-4.1831525561615297E-2</v>
      </c>
      <c r="F62" s="15">
        <v>1.66485401147848E-2</v>
      </c>
      <c r="G62" s="15">
        <v>1.20185391403019E-2</v>
      </c>
      <c r="H62" s="15">
        <v>2.1674459475245302E-2</v>
      </c>
      <c r="I62" s="15">
        <v>3.64320984677124E-2</v>
      </c>
      <c r="J62" s="15">
        <v>1</v>
      </c>
      <c r="K62" s="15"/>
      <c r="L62" s="15"/>
      <c r="M62" s="15"/>
      <c r="N62" s="15"/>
      <c r="O62" s="15"/>
      <c r="P62" s="15"/>
      <c r="Q62" s="15"/>
    </row>
    <row r="63" spans="2:17" x14ac:dyDescent="0.2">
      <c r="B63" t="s">
        <v>1521</v>
      </c>
      <c r="C63" s="72" t="s">
        <v>2864</v>
      </c>
      <c r="D63" t="s">
        <v>938</v>
      </c>
      <c r="E63" s="15">
        <v>-1.9748243779733499E-2</v>
      </c>
      <c r="F63" s="15">
        <v>1.6472675072431501E-2</v>
      </c>
      <c r="G63" s="15">
        <v>0.230651964956018</v>
      </c>
      <c r="H63" s="15">
        <v>0.27495799212271099</v>
      </c>
      <c r="I63" s="15">
        <v>0.38933522163642398</v>
      </c>
      <c r="J63" s="15">
        <v>1</v>
      </c>
      <c r="K63" s="15"/>
      <c r="L63" s="15"/>
      <c r="M63" s="15"/>
      <c r="N63" s="15"/>
      <c r="O63" s="15"/>
      <c r="P63" s="15"/>
      <c r="Q63" s="15"/>
    </row>
    <row r="64" spans="2:17" x14ac:dyDescent="0.2">
      <c r="B64" t="s">
        <v>1521</v>
      </c>
      <c r="C64" s="72" t="s">
        <v>2864</v>
      </c>
      <c r="D64" t="s">
        <v>939</v>
      </c>
      <c r="E64" s="15">
        <v>-6.0648385544235101E-3</v>
      </c>
      <c r="F64" s="15">
        <v>1.67328908444981E-2</v>
      </c>
      <c r="G64" s="15">
        <v>0.71703323798839402</v>
      </c>
      <c r="H64" s="15">
        <v>0.74898026344332203</v>
      </c>
      <c r="I64" s="15">
        <v>0.84186126713040998</v>
      </c>
      <c r="J64" s="15">
        <v>1</v>
      </c>
      <c r="K64" s="15"/>
      <c r="L64" s="15"/>
      <c r="M64" s="15"/>
      <c r="N64" s="15"/>
      <c r="O64" s="15"/>
      <c r="P64" s="15"/>
      <c r="Q64" s="15"/>
    </row>
    <row r="65" spans="2:17" x14ac:dyDescent="0.2">
      <c r="B65" t="s">
        <v>1521</v>
      </c>
      <c r="C65" s="72" t="s">
        <v>2864</v>
      </c>
      <c r="D65" s="51" t="s">
        <v>940</v>
      </c>
      <c r="E65" s="74">
        <v>-6.8739260384078099E-2</v>
      </c>
      <c r="F65" s="74">
        <v>1.6582996690124599E-2</v>
      </c>
      <c r="G65" s="74">
        <v>3.45887569129556E-5</v>
      </c>
      <c r="H65" s="74">
        <v>1.5409945082627E-4</v>
      </c>
      <c r="I65" s="74">
        <v>2.6635867549757803E-4</v>
      </c>
      <c r="J65" s="74">
        <v>3.6491138543168197E-2</v>
      </c>
      <c r="K65" s="15"/>
      <c r="L65" s="15"/>
      <c r="M65" s="15"/>
      <c r="N65" s="15"/>
      <c r="O65" s="15"/>
      <c r="P65" s="15"/>
      <c r="Q65" s="15"/>
    </row>
    <row r="66" spans="2:17" x14ac:dyDescent="0.2">
      <c r="B66" t="s">
        <v>1521</v>
      </c>
      <c r="C66" s="72" t="s">
        <v>2864</v>
      </c>
      <c r="D66" s="51" t="s">
        <v>944</v>
      </c>
      <c r="E66" s="74">
        <v>-7.2515064816043806E-2</v>
      </c>
      <c r="F66" s="74">
        <v>1.6492123795714499E-2</v>
      </c>
      <c r="G66" s="74">
        <v>1.1234828115658E-5</v>
      </c>
      <c r="H66" s="74">
        <v>6.0783300830867498E-5</v>
      </c>
      <c r="I66" s="74">
        <v>1.0714522498533E-4</v>
      </c>
      <c r="J66" s="74">
        <v>1.1852743662019201E-2</v>
      </c>
      <c r="K66" s="15"/>
      <c r="L66" s="15"/>
      <c r="M66" s="15"/>
      <c r="N66" s="15"/>
      <c r="O66" s="15"/>
      <c r="P66" s="15"/>
      <c r="Q66" s="15"/>
    </row>
    <row r="67" spans="2:17" x14ac:dyDescent="0.2">
      <c r="B67" t="s">
        <v>1521</v>
      </c>
      <c r="C67" s="72" t="s">
        <v>2864</v>
      </c>
      <c r="D67" t="s">
        <v>945</v>
      </c>
      <c r="E67" s="15">
        <v>-5.6270539111465002E-3</v>
      </c>
      <c r="F67" s="15">
        <v>1.6661473634187199E-2</v>
      </c>
      <c r="G67" s="15">
        <v>0.73558398122129198</v>
      </c>
      <c r="H67" s="15">
        <v>0.76427633790613503</v>
      </c>
      <c r="I67" s="15">
        <v>0.85185631195220901</v>
      </c>
      <c r="J67" s="15">
        <v>1</v>
      </c>
      <c r="K67" s="15"/>
      <c r="L67" s="15"/>
      <c r="M67" s="15"/>
      <c r="N67" s="15"/>
      <c r="O67" s="15"/>
      <c r="P67" s="15"/>
      <c r="Q67" s="15"/>
    </row>
    <row r="68" spans="2:17" x14ac:dyDescent="0.2">
      <c r="B68" t="s">
        <v>1521</v>
      </c>
      <c r="C68" s="72" t="s">
        <v>2864</v>
      </c>
      <c r="D68" t="s">
        <v>946</v>
      </c>
      <c r="E68" s="15">
        <v>-5.4575085764206097E-2</v>
      </c>
      <c r="F68" s="15">
        <v>1.66275272687233E-2</v>
      </c>
      <c r="G68" s="15">
        <v>1.0379628479812201E-3</v>
      </c>
      <c r="H68" s="15">
        <v>2.7722805180257801E-3</v>
      </c>
      <c r="I68" s="15">
        <v>4.9775036573644696E-3</v>
      </c>
      <c r="J68" s="15">
        <v>1</v>
      </c>
      <c r="K68" s="15"/>
      <c r="L68" s="15"/>
      <c r="M68" s="15"/>
      <c r="N68" s="15"/>
      <c r="O68" s="15"/>
      <c r="P68" s="15"/>
      <c r="Q68" s="15"/>
    </row>
    <row r="69" spans="2:17" x14ac:dyDescent="0.2">
      <c r="B69" t="s">
        <v>1521</v>
      </c>
      <c r="C69" s="72" t="s">
        <v>2864</v>
      </c>
      <c r="D69" t="s">
        <v>948</v>
      </c>
      <c r="E69" s="15">
        <v>-5.5510975260941904E-3</v>
      </c>
      <c r="F69" s="15">
        <v>1.6654787413282302E-2</v>
      </c>
      <c r="G69" s="15">
        <v>0.73892119873389295</v>
      </c>
      <c r="H69" s="15">
        <v>0.76427633790613503</v>
      </c>
      <c r="I69" s="15">
        <v>0.85227358635316997</v>
      </c>
      <c r="J69" s="15">
        <v>1</v>
      </c>
      <c r="K69" s="15"/>
      <c r="L69" s="15"/>
      <c r="M69" s="15"/>
      <c r="N69" s="15"/>
      <c r="O69" s="15"/>
      <c r="P69" s="15"/>
      <c r="Q69" s="15"/>
    </row>
    <row r="70" spans="2:17" x14ac:dyDescent="0.2">
      <c r="B70" t="s">
        <v>1521</v>
      </c>
      <c r="C70" s="72" t="s">
        <v>2864</v>
      </c>
      <c r="D70" t="s">
        <v>951</v>
      </c>
      <c r="E70" s="15">
        <v>-3.9736069130848199E-2</v>
      </c>
      <c r="F70" s="15">
        <v>1.6237323629242101E-2</v>
      </c>
      <c r="G70" s="15">
        <v>1.44333571466514E-2</v>
      </c>
      <c r="H70" s="15">
        <v>2.5168912049119401E-2</v>
      </c>
      <c r="I70" s="15">
        <v>4.2297754971436702E-2</v>
      </c>
      <c r="J70" s="15">
        <v>1</v>
      </c>
      <c r="K70" s="15"/>
      <c r="L70" s="15"/>
      <c r="M70" s="15"/>
      <c r="N70" s="15"/>
      <c r="O70" s="15"/>
      <c r="P70" s="15"/>
      <c r="Q70" s="15"/>
    </row>
    <row r="71" spans="2:17" x14ac:dyDescent="0.2">
      <c r="B71" t="s">
        <v>1521</v>
      </c>
      <c r="C71" s="72" t="s">
        <v>2864</v>
      </c>
      <c r="D71" t="s">
        <v>953</v>
      </c>
      <c r="E71" s="15">
        <v>-2.52950198025878E-2</v>
      </c>
      <c r="F71" s="15">
        <v>1.66190014731218E-2</v>
      </c>
      <c r="G71" s="15">
        <v>0.12806354969792699</v>
      </c>
      <c r="H71" s="15">
        <v>0.17243724884773801</v>
      </c>
      <c r="I71" s="15">
        <v>0.251933452555338</v>
      </c>
      <c r="J71" s="15">
        <v>1</v>
      </c>
      <c r="K71" s="15"/>
      <c r="L71" s="15"/>
      <c r="M71" s="15"/>
      <c r="N71" s="15"/>
      <c r="O71" s="15"/>
      <c r="P71" s="15"/>
      <c r="Q71" s="15"/>
    </row>
    <row r="72" spans="2:17" x14ac:dyDescent="0.2">
      <c r="B72" t="s">
        <v>1521</v>
      </c>
      <c r="C72" s="72" t="s">
        <v>2864</v>
      </c>
      <c r="D72" t="s">
        <v>956</v>
      </c>
      <c r="E72" s="15">
        <v>-2.4759593645804399E-2</v>
      </c>
      <c r="F72" s="15">
        <v>1.65944500561453E-2</v>
      </c>
      <c r="G72" s="15">
        <v>0.13575639173576801</v>
      </c>
      <c r="H72" s="15">
        <v>0.18015470852985599</v>
      </c>
      <c r="I72" s="15">
        <v>0.26327756117874201</v>
      </c>
      <c r="J72" s="15">
        <v>1</v>
      </c>
      <c r="K72" s="15"/>
      <c r="L72" s="15"/>
      <c r="M72" s="15"/>
      <c r="N72" s="15"/>
      <c r="O72" s="15"/>
      <c r="P72" s="15"/>
      <c r="Q72" s="15"/>
    </row>
    <row r="73" spans="2:17" x14ac:dyDescent="0.2">
      <c r="B73" t="s">
        <v>1521</v>
      </c>
      <c r="C73" s="72" t="s">
        <v>2864</v>
      </c>
      <c r="D73" t="s">
        <v>986</v>
      </c>
      <c r="E73" s="15">
        <v>-3.1109796649570701E-3</v>
      </c>
      <c r="F73" s="15">
        <v>1.65915621950351E-2</v>
      </c>
      <c r="G73" s="15">
        <v>0.85127394281035196</v>
      </c>
      <c r="H73" s="15">
        <v>0.86355193237011696</v>
      </c>
      <c r="I73" s="15">
        <v>0.91829653339971495</v>
      </c>
      <c r="J73" s="15">
        <v>1</v>
      </c>
      <c r="K73" s="15"/>
      <c r="L73" s="15"/>
      <c r="M73" s="15"/>
      <c r="N73" s="15"/>
      <c r="O73" s="15"/>
      <c r="P73" s="15"/>
      <c r="Q73" s="15"/>
    </row>
    <row r="74" spans="2:17" x14ac:dyDescent="0.2">
      <c r="B74" t="s">
        <v>1521</v>
      </c>
      <c r="C74" s="72" t="s">
        <v>2864</v>
      </c>
      <c r="D74" t="s">
        <v>984</v>
      </c>
      <c r="E74" s="15">
        <v>-3.11365165445813E-2</v>
      </c>
      <c r="F74" s="15">
        <v>1.6439048568628399E-2</v>
      </c>
      <c r="G74" s="15">
        <v>5.8280429037697902E-2</v>
      </c>
      <c r="H74" s="15">
        <v>8.7213975368469907E-2</v>
      </c>
      <c r="I74" s="15">
        <v>0.13483739612888401</v>
      </c>
      <c r="J74" s="15">
        <v>1</v>
      </c>
      <c r="K74" s="15"/>
      <c r="L74" s="15"/>
      <c r="M74" s="15"/>
      <c r="N74" s="15"/>
      <c r="O74" s="15"/>
      <c r="P74" s="15"/>
      <c r="Q74" s="15"/>
    </row>
    <row r="75" spans="2:17" x14ac:dyDescent="0.2">
      <c r="B75" t="s">
        <v>1521</v>
      </c>
      <c r="C75" s="72" t="s">
        <v>2864</v>
      </c>
      <c r="D75" t="s">
        <v>992</v>
      </c>
      <c r="E75" s="15">
        <v>2.9854624085531301E-3</v>
      </c>
      <c r="F75" s="15">
        <v>1.65859809681311E-2</v>
      </c>
      <c r="G75" s="15">
        <v>0.85716117875926001</v>
      </c>
      <c r="H75" s="15">
        <v>0.86536367807753001</v>
      </c>
      <c r="I75" s="15">
        <v>0.92276024856226402</v>
      </c>
      <c r="J75" s="15">
        <v>1</v>
      </c>
      <c r="K75" s="15"/>
      <c r="L75" s="15"/>
      <c r="M75" s="15"/>
      <c r="N75" s="15"/>
      <c r="O75" s="15"/>
      <c r="P75" s="15"/>
      <c r="Q75" s="15"/>
    </row>
    <row r="76" spans="2:17" x14ac:dyDescent="0.2">
      <c r="B76" t="s">
        <v>1521</v>
      </c>
      <c r="C76" s="72" t="s">
        <v>2864</v>
      </c>
      <c r="D76" t="s">
        <v>998</v>
      </c>
      <c r="E76" s="15">
        <v>-5.2401129622085402E-3</v>
      </c>
      <c r="F76" s="15">
        <v>1.64823776157106E-2</v>
      </c>
      <c r="G76" s="15">
        <v>0.75055858135130205</v>
      </c>
      <c r="H76" s="15">
        <v>0.77252614958597399</v>
      </c>
      <c r="I76" s="15">
        <v>0.86069489491915596</v>
      </c>
      <c r="J76" s="15">
        <v>1</v>
      </c>
      <c r="K76" s="15"/>
      <c r="L76" s="15"/>
      <c r="M76" s="15"/>
      <c r="N76" s="15"/>
      <c r="O76" s="15"/>
      <c r="P76" s="15"/>
      <c r="Q76" s="15"/>
    </row>
    <row r="77" spans="2:17" x14ac:dyDescent="0.2">
      <c r="B77" t="s">
        <v>1521</v>
      </c>
      <c r="C77" s="72" t="s">
        <v>2864</v>
      </c>
      <c r="D77" t="s">
        <v>1000</v>
      </c>
      <c r="E77" s="15">
        <v>-3.4770246717355797E-2</v>
      </c>
      <c r="F77" s="15">
        <v>1.64551656188466E-2</v>
      </c>
      <c r="G77" s="15">
        <v>3.4652132468409098E-2</v>
      </c>
      <c r="H77" s="15">
        <v>5.4974435720558899E-2</v>
      </c>
      <c r="I77" s="15">
        <v>9.0044334369880893E-2</v>
      </c>
      <c r="J77" s="15">
        <v>1</v>
      </c>
      <c r="K77" s="15"/>
      <c r="L77" s="15"/>
      <c r="M77" s="15"/>
      <c r="N77" s="15"/>
      <c r="O77" s="15"/>
      <c r="P77" s="15"/>
      <c r="Q77" s="15"/>
    </row>
    <row r="78" spans="2:17" x14ac:dyDescent="0.2">
      <c r="B78" t="s">
        <v>1521</v>
      </c>
      <c r="C78" s="72" t="s">
        <v>2864</v>
      </c>
      <c r="D78" t="s">
        <v>1001</v>
      </c>
      <c r="E78" s="15">
        <v>-2.64939458216479E-2</v>
      </c>
      <c r="F78" s="15">
        <v>1.6465381349796901E-2</v>
      </c>
      <c r="G78" s="15">
        <v>0.107671952109506</v>
      </c>
      <c r="H78" s="15">
        <v>0.150455509239112</v>
      </c>
      <c r="I78" s="15">
        <v>0.220570698010737</v>
      </c>
      <c r="J78" s="15">
        <v>1</v>
      </c>
      <c r="K78" s="15"/>
      <c r="L78" s="15"/>
      <c r="M78" s="15"/>
      <c r="N78" s="15"/>
      <c r="O78" s="15"/>
      <c r="P78" s="15"/>
      <c r="Q78" s="15"/>
    </row>
    <row r="79" spans="2:17" x14ac:dyDescent="0.2">
      <c r="B79" t="s">
        <v>1521</v>
      </c>
      <c r="C79" s="72" t="s">
        <v>2864</v>
      </c>
      <c r="D79" t="s">
        <v>1002</v>
      </c>
      <c r="E79" s="15">
        <v>-7.5524471816515596E-3</v>
      </c>
      <c r="F79" s="15">
        <v>1.6650883598861702E-2</v>
      </c>
      <c r="G79" s="15">
        <v>0.65015524566649596</v>
      </c>
      <c r="H79" s="15">
        <v>0.68591378417815296</v>
      </c>
      <c r="I79" s="15">
        <v>0.79388169465063996</v>
      </c>
      <c r="J79" s="15">
        <v>1</v>
      </c>
      <c r="K79" s="15"/>
      <c r="L79" s="15"/>
      <c r="M79" s="15"/>
      <c r="N79" s="15"/>
      <c r="O79" s="15"/>
      <c r="P79" s="15"/>
      <c r="Q79" s="15"/>
    </row>
    <row r="80" spans="2:17" x14ac:dyDescent="0.2">
      <c r="B80" t="s">
        <v>1521</v>
      </c>
      <c r="C80" s="72" t="s">
        <v>2864</v>
      </c>
      <c r="D80" t="s">
        <v>233</v>
      </c>
      <c r="E80" s="15">
        <v>-4.7191138734770703E-2</v>
      </c>
      <c r="F80" s="15">
        <v>1.53531756200179E-2</v>
      </c>
      <c r="G80" s="15">
        <v>2.1264402476072601E-3</v>
      </c>
      <c r="H80" s="15">
        <v>5.04133586792283E-3</v>
      </c>
      <c r="I80" s="15">
        <v>8.7291613277262897E-3</v>
      </c>
      <c r="J80" s="15">
        <v>1</v>
      </c>
      <c r="K80" s="15"/>
      <c r="L80" s="15"/>
      <c r="M80" s="15"/>
      <c r="N80" s="15"/>
      <c r="O80" s="15"/>
      <c r="P80" s="15"/>
      <c r="Q80" s="15"/>
    </row>
    <row r="81" spans="2:17" x14ac:dyDescent="0.2">
      <c r="B81" t="s">
        <v>1521</v>
      </c>
      <c r="C81" s="72" t="s">
        <v>2864</v>
      </c>
      <c r="D81" t="s">
        <v>234</v>
      </c>
      <c r="E81" s="15">
        <v>-6.2966398393832904E-2</v>
      </c>
      <c r="F81" s="15">
        <v>1.61716761907904E-2</v>
      </c>
      <c r="G81" s="15">
        <v>1.00146579462803E-4</v>
      </c>
      <c r="H81" s="15">
        <v>3.5815132655341503E-4</v>
      </c>
      <c r="I81" s="15">
        <v>6.2889667460272296E-4</v>
      </c>
      <c r="J81" s="15">
        <v>0.105654641333257</v>
      </c>
      <c r="K81" s="15"/>
      <c r="L81" s="15"/>
      <c r="M81" s="15"/>
      <c r="N81" s="15"/>
      <c r="O81" s="15"/>
      <c r="P81" s="15"/>
      <c r="Q81" s="15"/>
    </row>
    <row r="82" spans="2:17" x14ac:dyDescent="0.2">
      <c r="B82" t="s">
        <v>1521</v>
      </c>
      <c r="C82" s="72" t="s">
        <v>2864</v>
      </c>
      <c r="D82" t="s">
        <v>1038</v>
      </c>
      <c r="E82" s="15">
        <v>-6.1367922361078998E-2</v>
      </c>
      <c r="F82" s="15">
        <v>1.6425526914997102E-2</v>
      </c>
      <c r="G82" s="15">
        <v>1.89138733243179E-4</v>
      </c>
      <c r="H82" s="15">
        <v>6.4368181797275399E-4</v>
      </c>
      <c r="I82" s="15">
        <v>1.1273523365624501E-3</v>
      </c>
      <c r="J82" s="15">
        <v>0.199541363571554</v>
      </c>
      <c r="K82" s="15"/>
      <c r="L82" s="15"/>
      <c r="M82" s="15"/>
      <c r="N82" s="15"/>
      <c r="O82" s="15"/>
      <c r="P82" s="15"/>
      <c r="Q82" s="15"/>
    </row>
    <row r="83" spans="2:17" x14ac:dyDescent="0.2">
      <c r="B83" t="s">
        <v>1521</v>
      </c>
      <c r="C83" s="72" t="s">
        <v>2864</v>
      </c>
      <c r="D83" t="s">
        <v>1040</v>
      </c>
      <c r="E83" s="15">
        <v>-2.1836962340467801E-2</v>
      </c>
      <c r="F83" s="15">
        <v>1.6557077698639702E-2</v>
      </c>
      <c r="G83" s="15">
        <v>0.18727149695603701</v>
      </c>
      <c r="H83" s="15">
        <v>0.22973422010304601</v>
      </c>
      <c r="I83" s="15">
        <v>0.33261183381922499</v>
      </c>
      <c r="J83" s="15">
        <v>1</v>
      </c>
      <c r="K83" s="15"/>
      <c r="L83" s="15"/>
      <c r="M83" s="15"/>
      <c r="N83" s="15"/>
      <c r="O83" s="15"/>
      <c r="P83" s="15"/>
      <c r="Q83" s="15"/>
    </row>
    <row r="84" spans="2:17" x14ac:dyDescent="0.2">
      <c r="B84" t="s">
        <v>1521</v>
      </c>
      <c r="C84" s="72" t="s">
        <v>2864</v>
      </c>
      <c r="D84" t="s">
        <v>3190</v>
      </c>
      <c r="E84" s="15">
        <v>-1.5800730849190699E-2</v>
      </c>
      <c r="F84" s="15">
        <v>1.64821287518126E-2</v>
      </c>
      <c r="G84" s="15">
        <v>0.337783205504605</v>
      </c>
      <c r="H84" s="15">
        <v>0.38113506075653297</v>
      </c>
      <c r="I84" s="15">
        <v>0.50453573509634297</v>
      </c>
      <c r="J84" s="15">
        <v>1</v>
      </c>
      <c r="K84" s="15"/>
      <c r="L84" s="15"/>
      <c r="M84" s="15"/>
      <c r="N84" s="15"/>
      <c r="O84" s="15"/>
      <c r="P84" s="15"/>
      <c r="Q84" s="15"/>
    </row>
    <row r="85" spans="2:17" x14ac:dyDescent="0.2">
      <c r="B85" t="s">
        <v>1521</v>
      </c>
      <c r="C85" s="72" t="s">
        <v>2864</v>
      </c>
      <c r="D85" s="51" t="s">
        <v>3191</v>
      </c>
      <c r="E85" s="74">
        <v>-8.22462526255478E-2</v>
      </c>
      <c r="F85" s="74">
        <v>1.6170240337946801E-2</v>
      </c>
      <c r="G85" s="74">
        <v>3.7969394625550701E-7</v>
      </c>
      <c r="H85" s="74">
        <v>4.3446494179562797E-6</v>
      </c>
      <c r="I85" s="74">
        <v>7.7034060249915406E-6</v>
      </c>
      <c r="J85" s="74">
        <v>4.0057711329956E-4</v>
      </c>
      <c r="K85" s="15"/>
      <c r="L85" s="15"/>
      <c r="M85" s="15"/>
      <c r="N85" s="15"/>
      <c r="O85" s="15"/>
      <c r="P85" s="15"/>
      <c r="Q85" s="15"/>
    </row>
    <row r="86" spans="2:17" x14ac:dyDescent="0.2">
      <c r="B86" t="s">
        <v>1521</v>
      </c>
      <c r="C86" s="72" t="s">
        <v>2864</v>
      </c>
      <c r="D86" t="s">
        <v>3192</v>
      </c>
      <c r="E86" s="15">
        <v>-3.2959328653878399E-2</v>
      </c>
      <c r="F86" s="15">
        <v>1.6359021898445202E-2</v>
      </c>
      <c r="G86" s="15">
        <v>4.39894891027659E-2</v>
      </c>
      <c r="H86" s="15">
        <v>6.72592913093015E-2</v>
      </c>
      <c r="I86" s="15">
        <v>0.10817927972824699</v>
      </c>
      <c r="J86" s="15">
        <v>1</v>
      </c>
      <c r="K86" s="15"/>
      <c r="L86" s="15"/>
      <c r="M86" s="15"/>
      <c r="N86" s="15"/>
      <c r="O86" s="15"/>
      <c r="P86" s="15"/>
      <c r="Q86" s="15"/>
    </row>
    <row r="87" spans="2:17" x14ac:dyDescent="0.2">
      <c r="B87" t="s">
        <v>1521</v>
      </c>
      <c r="C87" s="72" t="s">
        <v>2864</v>
      </c>
      <c r="D87" t="s">
        <v>3193</v>
      </c>
      <c r="E87" s="15">
        <v>-2.7434899735211099E-2</v>
      </c>
      <c r="F87" s="15">
        <v>1.56957386598074E-2</v>
      </c>
      <c r="G87" s="15">
        <v>8.0545874530243602E-2</v>
      </c>
      <c r="H87" s="15">
        <v>0.116405339218366</v>
      </c>
      <c r="I87" s="15">
        <v>0.175570036424395</v>
      </c>
      <c r="J87" s="15">
        <v>1</v>
      </c>
      <c r="K87" s="15"/>
      <c r="L87" s="15"/>
      <c r="M87" s="15"/>
      <c r="N87" s="15"/>
      <c r="O87" s="15"/>
      <c r="P87" s="15"/>
      <c r="Q87" s="15"/>
    </row>
    <row r="88" spans="2:17" x14ac:dyDescent="0.2">
      <c r="B88" t="s">
        <v>1521</v>
      </c>
      <c r="C88" s="72" t="s">
        <v>2864</v>
      </c>
      <c r="D88" s="51" t="s">
        <v>3194</v>
      </c>
      <c r="E88" s="74">
        <v>-7.7490875038751197E-2</v>
      </c>
      <c r="F88" s="74">
        <v>1.6437329928808701E-2</v>
      </c>
      <c r="G88" s="74">
        <v>2.4986162641676899E-6</v>
      </c>
      <c r="H88" s="74">
        <v>1.7573601057979398E-5</v>
      </c>
      <c r="I88" s="74">
        <v>3.2950501983711402E-5</v>
      </c>
      <c r="J88" s="74">
        <v>2.6360401586969099E-3</v>
      </c>
      <c r="K88" s="15"/>
      <c r="L88" s="15"/>
      <c r="M88" s="15"/>
      <c r="N88" s="15"/>
      <c r="O88" s="15"/>
      <c r="P88" s="15"/>
      <c r="Q88" s="15"/>
    </row>
    <row r="89" spans="2:17" x14ac:dyDescent="0.2">
      <c r="B89" t="s">
        <v>1521</v>
      </c>
      <c r="C89" s="72" t="s">
        <v>2864</v>
      </c>
      <c r="D89" t="s">
        <v>3195</v>
      </c>
      <c r="E89" s="15">
        <v>-7.7677239744547702E-3</v>
      </c>
      <c r="F89" s="15">
        <v>1.6460216707034001E-2</v>
      </c>
      <c r="G89" s="15">
        <v>0.63701485511539602</v>
      </c>
      <c r="H89" s="15">
        <v>0.67549976038858806</v>
      </c>
      <c r="I89" s="15">
        <v>0.78244733595651295</v>
      </c>
      <c r="J89" s="15">
        <v>1</v>
      </c>
      <c r="K89" s="15"/>
      <c r="L89" s="15"/>
      <c r="M89" s="15"/>
      <c r="N89" s="15"/>
      <c r="O89" s="15"/>
      <c r="P89" s="15"/>
      <c r="Q89" s="15"/>
    </row>
    <row r="90" spans="2:17" x14ac:dyDescent="0.2">
      <c r="B90" t="s">
        <v>1521</v>
      </c>
      <c r="C90" s="72" t="s">
        <v>2864</v>
      </c>
      <c r="D90" s="51" t="s">
        <v>3196</v>
      </c>
      <c r="E90" s="74">
        <v>-7.3176780354493501E-2</v>
      </c>
      <c r="F90" s="74">
        <v>1.6162006352419201E-2</v>
      </c>
      <c r="G90" s="74">
        <v>6.1132211255154302E-6</v>
      </c>
      <c r="H90" s="74">
        <v>3.78659454037372E-5</v>
      </c>
      <c r="I90" s="74">
        <v>7.1660536526875298E-5</v>
      </c>
      <c r="J90" s="74">
        <v>6.4494482874187702E-3</v>
      </c>
      <c r="K90" s="15"/>
      <c r="L90" s="15"/>
      <c r="M90" s="15"/>
      <c r="N90" s="15"/>
      <c r="O90" s="15"/>
      <c r="P90" s="15"/>
      <c r="Q90" s="15"/>
    </row>
    <row r="91" spans="2:17" x14ac:dyDescent="0.2">
      <c r="B91" t="s">
        <v>1521</v>
      </c>
      <c r="C91" s="72" t="s">
        <v>2864</v>
      </c>
      <c r="D91" t="s">
        <v>3197</v>
      </c>
      <c r="E91" s="15">
        <v>-3.6483847076957503E-2</v>
      </c>
      <c r="F91" s="15">
        <v>1.6486802250589901E-2</v>
      </c>
      <c r="G91" s="15">
        <v>2.6952654338291301E-2</v>
      </c>
      <c r="H91" s="15">
        <v>4.4429766135777003E-2</v>
      </c>
      <c r="I91" s="15">
        <v>7.2910385453582804E-2</v>
      </c>
      <c r="J91" s="15">
        <v>1</v>
      </c>
      <c r="K91" s="15"/>
      <c r="L91" s="15"/>
      <c r="M91" s="15"/>
      <c r="N91" s="15"/>
      <c r="O91" s="15"/>
      <c r="P91" s="15"/>
      <c r="Q91" s="15"/>
    </row>
    <row r="92" spans="2:17" x14ac:dyDescent="0.2">
      <c r="B92" t="s">
        <v>1521</v>
      </c>
      <c r="C92" s="72" t="s">
        <v>2864</v>
      </c>
      <c r="D92" t="s">
        <v>1141</v>
      </c>
      <c r="E92" s="15">
        <v>-5.6991597134013701E-2</v>
      </c>
      <c r="F92" s="15">
        <v>1.6087819056228199E-2</v>
      </c>
      <c r="G92" s="15">
        <v>4.0020181098682298E-4</v>
      </c>
      <c r="H92" s="15">
        <v>1.2418026782091099E-3</v>
      </c>
      <c r="I92" s="15">
        <v>2.1990255759952999E-3</v>
      </c>
      <c r="J92" s="15">
        <v>0.422212910591098</v>
      </c>
      <c r="K92" s="15"/>
      <c r="L92" s="15"/>
      <c r="M92" s="15"/>
      <c r="N92" s="15"/>
      <c r="O92" s="15"/>
      <c r="P92" s="15"/>
      <c r="Q92" s="15"/>
    </row>
    <row r="93" spans="2:17" x14ac:dyDescent="0.2">
      <c r="B93" t="s">
        <v>1521</v>
      </c>
      <c r="C93" s="72" t="s">
        <v>2864</v>
      </c>
      <c r="D93" t="s">
        <v>1142</v>
      </c>
      <c r="E93" s="15">
        <v>-4.4582408720475898E-2</v>
      </c>
      <c r="F93" s="15">
        <v>1.6176922757946601E-2</v>
      </c>
      <c r="G93" s="15">
        <v>5.8753451835757099E-3</v>
      </c>
      <c r="H93" s="15">
        <v>1.1806646035566399E-2</v>
      </c>
      <c r="I93" s="15">
        <v>1.9995126350555999E-2</v>
      </c>
      <c r="J93" s="15">
        <v>1</v>
      </c>
      <c r="K93" s="15"/>
      <c r="L93" s="15"/>
      <c r="M93" s="15"/>
      <c r="N93" s="15"/>
      <c r="O93" s="15"/>
      <c r="P93" s="15"/>
      <c r="Q93" s="15"/>
    </row>
    <row r="94" spans="2:17" x14ac:dyDescent="0.2">
      <c r="B94" t="s">
        <v>1521</v>
      </c>
      <c r="C94" s="72" t="s">
        <v>2864</v>
      </c>
      <c r="D94" t="s">
        <v>3198</v>
      </c>
      <c r="E94" s="15">
        <v>-3.78907742268575E-2</v>
      </c>
      <c r="F94" s="15">
        <v>1.54042110206331E-2</v>
      </c>
      <c r="G94" s="15">
        <v>1.39402930684075E-2</v>
      </c>
      <c r="H94" s="15">
        <v>2.4717662499445198E-2</v>
      </c>
      <c r="I94" s="15">
        <v>4.1267959224815E-2</v>
      </c>
      <c r="J94" s="15">
        <v>1</v>
      </c>
      <c r="K94" s="15"/>
      <c r="L94" s="15"/>
      <c r="M94" s="15"/>
      <c r="N94" s="15"/>
      <c r="O94" s="15"/>
      <c r="P94" s="15"/>
      <c r="Q94" s="15"/>
    </row>
    <row r="95" spans="2:17" x14ac:dyDescent="0.2">
      <c r="B95" t="s">
        <v>1521</v>
      </c>
      <c r="C95" s="72" t="s">
        <v>2864</v>
      </c>
      <c r="D95" t="s">
        <v>1134</v>
      </c>
      <c r="E95" s="15">
        <v>-2.14195825441349E-2</v>
      </c>
      <c r="F95" s="15">
        <v>1.6416733024364701E-2</v>
      </c>
      <c r="G95" s="15">
        <v>0.19204487899303699</v>
      </c>
      <c r="H95" s="15">
        <v>0.23288200843408499</v>
      </c>
      <c r="I95" s="15">
        <v>0.33761930029934401</v>
      </c>
      <c r="J95" s="15">
        <v>1</v>
      </c>
      <c r="K95" s="15"/>
      <c r="L95" s="15"/>
      <c r="M95" s="15"/>
      <c r="N95" s="15"/>
      <c r="O95" s="15"/>
      <c r="P95" s="15"/>
      <c r="Q95" s="15"/>
    </row>
    <row r="96" spans="2:17" x14ac:dyDescent="0.2">
      <c r="B96" t="s">
        <v>1521</v>
      </c>
      <c r="C96" s="72" t="s">
        <v>2864</v>
      </c>
      <c r="D96" t="s">
        <v>1136</v>
      </c>
      <c r="E96" s="15">
        <v>-5.1769691731931397E-2</v>
      </c>
      <c r="F96" s="15">
        <v>1.6106482553872599E-2</v>
      </c>
      <c r="G96" s="15">
        <v>1.31693519359527E-3</v>
      </c>
      <c r="H96" s="15">
        <v>3.3886990957146699E-3</v>
      </c>
      <c r="I96" s="15">
        <v>5.9629469066223798E-3</v>
      </c>
      <c r="J96" s="15">
        <v>1</v>
      </c>
      <c r="K96" s="15"/>
      <c r="L96" s="15"/>
      <c r="M96" s="15"/>
      <c r="N96" s="15"/>
      <c r="O96" s="15"/>
      <c r="P96" s="15"/>
      <c r="Q96" s="15"/>
    </row>
    <row r="97" spans="2:17" x14ac:dyDescent="0.2">
      <c r="B97" t="s">
        <v>1521</v>
      </c>
      <c r="C97" s="72" t="s">
        <v>2864</v>
      </c>
      <c r="D97" t="s">
        <v>1137</v>
      </c>
      <c r="E97" s="15">
        <v>-3.76542655165144E-2</v>
      </c>
      <c r="F97" s="15">
        <v>1.6245699262758199E-2</v>
      </c>
      <c r="G97" s="15">
        <v>2.05035334641256E-2</v>
      </c>
      <c r="H97" s="15">
        <v>3.4609964487444002E-2</v>
      </c>
      <c r="I97" s="15">
        <v>5.7529861182586503E-2</v>
      </c>
      <c r="J97" s="15">
        <v>1</v>
      </c>
      <c r="K97" s="15"/>
      <c r="L97" s="15"/>
      <c r="M97" s="15"/>
      <c r="N97" s="15"/>
      <c r="O97" s="15"/>
      <c r="P97" s="15"/>
      <c r="Q97" s="15"/>
    </row>
    <row r="98" spans="2:17" x14ac:dyDescent="0.2">
      <c r="B98" t="s">
        <v>1521</v>
      </c>
      <c r="C98" s="72" t="s">
        <v>2864</v>
      </c>
      <c r="D98" t="s">
        <v>1138</v>
      </c>
      <c r="E98" s="15">
        <v>-5.1984178812531798E-2</v>
      </c>
      <c r="F98" s="15">
        <v>1.6254433536342601E-2</v>
      </c>
      <c r="G98" s="15">
        <v>1.3923810067400799E-3</v>
      </c>
      <c r="H98" s="15">
        <v>3.53966737858021E-3</v>
      </c>
      <c r="I98" s="15">
        <v>6.2244150936897804E-3</v>
      </c>
      <c r="J98" s="15">
        <v>1</v>
      </c>
      <c r="K98" s="15"/>
      <c r="L98" s="15"/>
      <c r="M98" s="15"/>
      <c r="N98" s="15"/>
      <c r="O98" s="15"/>
      <c r="P98" s="15"/>
      <c r="Q98" s="15"/>
    </row>
    <row r="99" spans="2:17" x14ac:dyDescent="0.2">
      <c r="B99" t="s">
        <v>1521</v>
      </c>
      <c r="C99" s="72" t="s">
        <v>2864</v>
      </c>
      <c r="D99" t="s">
        <v>1054</v>
      </c>
      <c r="E99" s="15">
        <v>3.4791842175804798E-2</v>
      </c>
      <c r="F99" s="15">
        <v>1.6653193259321301E-2</v>
      </c>
      <c r="G99" s="15">
        <v>3.6762171565396802E-2</v>
      </c>
      <c r="H99" s="15">
        <v>5.7035427943372997E-2</v>
      </c>
      <c r="I99" s="15">
        <v>9.4136143207508793E-2</v>
      </c>
      <c r="J99" s="15">
        <v>1</v>
      </c>
      <c r="K99" s="15"/>
      <c r="L99" s="15"/>
      <c r="M99" s="15"/>
      <c r="N99" s="15"/>
      <c r="O99" s="15"/>
      <c r="P99" s="15"/>
      <c r="Q99" s="15"/>
    </row>
    <row r="100" spans="2:17" x14ac:dyDescent="0.2">
      <c r="B100" t="s">
        <v>1521</v>
      </c>
      <c r="C100" s="72" t="s">
        <v>2864</v>
      </c>
      <c r="D100" t="s">
        <v>312</v>
      </c>
      <c r="E100" s="15">
        <v>-1.08263085266422E-2</v>
      </c>
      <c r="F100" s="15">
        <v>1.66140671471523E-2</v>
      </c>
      <c r="G100" s="15">
        <v>0.51466967740884395</v>
      </c>
      <c r="H100" s="15">
        <v>0.55976959759415501</v>
      </c>
      <c r="I100" s="15">
        <v>0.676184943544621</v>
      </c>
      <c r="J100" s="15">
        <v>1</v>
      </c>
      <c r="K100" s="15"/>
      <c r="L100" s="15"/>
      <c r="M100" s="15"/>
      <c r="N100" s="15"/>
      <c r="O100" s="15"/>
      <c r="P100" s="15"/>
      <c r="Q100" s="15"/>
    </row>
    <row r="101" spans="2:17" x14ac:dyDescent="0.2">
      <c r="B101" t="s">
        <v>1521</v>
      </c>
      <c r="C101" s="72" t="s">
        <v>2864</v>
      </c>
      <c r="D101" s="51" t="s">
        <v>1059</v>
      </c>
      <c r="E101" s="74">
        <v>-0.13627701158071001</v>
      </c>
      <c r="F101" s="74">
        <v>1.6674657264735802E-2</v>
      </c>
      <c r="G101" s="74">
        <v>3.8941050137570401E-16</v>
      </c>
      <c r="H101" s="74">
        <v>4.1082807895136801E-14</v>
      </c>
      <c r="I101" s="74">
        <v>1.02707019737842E-13</v>
      </c>
      <c r="J101" s="74">
        <v>4.1082807895136699E-13</v>
      </c>
      <c r="K101" s="15"/>
      <c r="L101" s="15"/>
      <c r="M101" s="15"/>
      <c r="N101" s="15"/>
      <c r="O101" s="15"/>
      <c r="P101" s="15"/>
      <c r="Q101" s="15"/>
    </row>
    <row r="102" spans="2:17" x14ac:dyDescent="0.2">
      <c r="B102" t="s">
        <v>1521</v>
      </c>
      <c r="C102" s="72" t="s">
        <v>2864</v>
      </c>
      <c r="D102" s="51" t="s">
        <v>1060</v>
      </c>
      <c r="E102" s="74">
        <v>-9.5119953442533905E-2</v>
      </c>
      <c r="F102" s="74">
        <v>1.66350770042826E-2</v>
      </c>
      <c r="G102" s="74">
        <v>1.1471826662091999E-8</v>
      </c>
      <c r="H102" s="74">
        <v>2.2005049324558299E-7</v>
      </c>
      <c r="I102" s="74">
        <v>4.4825100475951999E-7</v>
      </c>
      <c r="J102" s="74">
        <v>1.2102777128507E-5</v>
      </c>
      <c r="K102" s="15"/>
      <c r="L102" s="15"/>
      <c r="M102" s="15"/>
      <c r="N102" s="15"/>
      <c r="O102" s="15"/>
      <c r="P102" s="15"/>
      <c r="Q102" s="15"/>
    </row>
    <row r="103" spans="2:17" x14ac:dyDescent="0.2">
      <c r="B103" t="s">
        <v>1521</v>
      </c>
      <c r="C103" s="72" t="s">
        <v>2864</v>
      </c>
      <c r="D103" t="s">
        <v>1477</v>
      </c>
      <c r="E103" s="15">
        <v>2.4645718225140702E-2</v>
      </c>
      <c r="F103" s="15">
        <v>1.6722501251384601E-2</v>
      </c>
      <c r="G103" s="15">
        <v>0.14060243274703499</v>
      </c>
      <c r="H103" s="15">
        <v>0.18541945818515199</v>
      </c>
      <c r="I103" s="15">
        <v>0.27118019478632899</v>
      </c>
      <c r="J103" s="15">
        <v>1</v>
      </c>
      <c r="K103" s="15"/>
      <c r="L103" s="15"/>
      <c r="M103" s="15"/>
      <c r="N103" s="15"/>
      <c r="O103" s="15"/>
      <c r="P103" s="15"/>
      <c r="Q103" s="15"/>
    </row>
    <row r="104" spans="2:17" x14ac:dyDescent="0.2">
      <c r="B104" t="s">
        <v>1521</v>
      </c>
      <c r="C104" s="72" t="s">
        <v>2864</v>
      </c>
      <c r="D104" s="51" t="s">
        <v>324</v>
      </c>
      <c r="E104" s="74">
        <v>-8.6151285722809598E-2</v>
      </c>
      <c r="F104" s="74">
        <v>1.6656928905675501E-2</v>
      </c>
      <c r="G104" s="74">
        <v>2.4140440330694998E-7</v>
      </c>
      <c r="H104" s="74">
        <v>2.99625465280979E-6</v>
      </c>
      <c r="I104" s="74">
        <v>5.1975846018129097E-6</v>
      </c>
      <c r="J104" s="74">
        <v>2.5468164548883202E-4</v>
      </c>
      <c r="K104" s="15"/>
      <c r="L104" s="15"/>
      <c r="M104" s="15"/>
      <c r="N104" s="15"/>
      <c r="O104" s="15"/>
      <c r="P104" s="15"/>
      <c r="Q104" s="15"/>
    </row>
    <row r="105" spans="2:17" x14ac:dyDescent="0.2">
      <c r="B105" t="s">
        <v>1521</v>
      </c>
      <c r="C105" s="72" t="s">
        <v>2864</v>
      </c>
      <c r="D105" t="s">
        <v>328</v>
      </c>
      <c r="E105" s="15">
        <v>-6.5743690753376702E-2</v>
      </c>
      <c r="F105" s="15">
        <v>1.6579793431175702E-2</v>
      </c>
      <c r="G105" s="15">
        <v>7.4465891341162296E-5</v>
      </c>
      <c r="H105" s="15">
        <v>2.9096857542565299E-4</v>
      </c>
      <c r="I105" s="15">
        <v>5.0039181761099495E-4</v>
      </c>
      <c r="J105" s="15">
        <v>7.8561515364926199E-2</v>
      </c>
      <c r="K105" s="15"/>
      <c r="L105" s="15"/>
      <c r="M105" s="15"/>
      <c r="N105" s="15"/>
      <c r="O105" s="15"/>
      <c r="P105" s="15"/>
      <c r="Q105" s="15"/>
    </row>
    <row r="106" spans="2:17" x14ac:dyDescent="0.2">
      <c r="B106" t="s">
        <v>1521</v>
      </c>
      <c r="C106" s="72" t="s">
        <v>2864</v>
      </c>
      <c r="D106" t="s">
        <v>1068</v>
      </c>
      <c r="E106" s="15">
        <v>-1.91844967225961E-2</v>
      </c>
      <c r="F106" s="15">
        <v>1.6654837935212399E-2</v>
      </c>
      <c r="G106" s="15">
        <v>0.24942682750251399</v>
      </c>
      <c r="H106" s="15">
        <v>0.29566887979230599</v>
      </c>
      <c r="I106" s="15">
        <v>0.40862545763740299</v>
      </c>
      <c r="J106" s="15">
        <v>1</v>
      </c>
      <c r="K106" s="15"/>
      <c r="L106" s="15"/>
      <c r="M106" s="15"/>
      <c r="N106" s="15"/>
      <c r="O106" s="15"/>
      <c r="P106" s="15"/>
      <c r="Q106" s="15"/>
    </row>
    <row r="107" spans="2:17" x14ac:dyDescent="0.2">
      <c r="B107" t="s">
        <v>1521</v>
      </c>
      <c r="C107" s="72" t="s">
        <v>2864</v>
      </c>
      <c r="D107" s="51" t="s">
        <v>1069</v>
      </c>
      <c r="E107" s="74">
        <v>8.4014481398460295E-2</v>
      </c>
      <c r="F107" s="74">
        <v>1.6592014003333901E-2</v>
      </c>
      <c r="G107" s="74">
        <v>4.27632844113591E-7</v>
      </c>
      <c r="H107" s="74">
        <v>4.5115265053983797E-6</v>
      </c>
      <c r="I107" s="74">
        <v>8.2459190944650195E-6</v>
      </c>
      <c r="J107" s="74">
        <v>4.51152650539838E-4</v>
      </c>
      <c r="K107" s="15"/>
      <c r="L107" s="15"/>
      <c r="M107" s="15"/>
      <c r="N107" s="15"/>
      <c r="O107" s="15"/>
      <c r="P107" s="15"/>
      <c r="Q107" s="15"/>
    </row>
    <row r="108" spans="2:17" x14ac:dyDescent="0.2">
      <c r="B108" t="s">
        <v>1521</v>
      </c>
      <c r="C108" s="72" t="s">
        <v>2864</v>
      </c>
      <c r="D108" s="51" t="s">
        <v>1072</v>
      </c>
      <c r="E108" s="74">
        <v>9.4206359612281895E-2</v>
      </c>
      <c r="F108" s="74">
        <v>1.6449223128478799E-2</v>
      </c>
      <c r="G108" s="74">
        <v>1.0875298551585799E-8</v>
      </c>
      <c r="H108" s="74">
        <v>2.2005049324558299E-7</v>
      </c>
      <c r="I108" s="74">
        <v>4.4128615276627002E-7</v>
      </c>
      <c r="J108" s="74">
        <v>1.1473439971922999E-5</v>
      </c>
      <c r="K108" s="15"/>
      <c r="L108" s="15"/>
      <c r="M108" s="15"/>
      <c r="N108" s="15"/>
      <c r="O108" s="15"/>
      <c r="P108" s="15"/>
      <c r="Q108" s="15"/>
    </row>
    <row r="109" spans="2:17" x14ac:dyDescent="0.2">
      <c r="B109" t="s">
        <v>1521</v>
      </c>
      <c r="C109" s="72" t="s">
        <v>2864</v>
      </c>
      <c r="D109" t="s">
        <v>1074</v>
      </c>
      <c r="E109" s="15">
        <v>-4.5674229541754097E-2</v>
      </c>
      <c r="F109" s="15">
        <v>1.65390470271847E-2</v>
      </c>
      <c r="G109" s="15">
        <v>5.7743771593168998E-3</v>
      </c>
      <c r="H109" s="15">
        <v>1.1806646035566399E-2</v>
      </c>
      <c r="I109" s="15">
        <v>1.9973057764663599E-2</v>
      </c>
      <c r="J109" s="15">
        <v>1</v>
      </c>
      <c r="K109" s="15"/>
      <c r="L109" s="15"/>
      <c r="M109" s="15"/>
      <c r="N109" s="15"/>
      <c r="O109" s="15"/>
      <c r="P109" s="15"/>
      <c r="Q109" s="15"/>
    </row>
    <row r="110" spans="2:17" x14ac:dyDescent="0.2">
      <c r="B110" t="s">
        <v>1521</v>
      </c>
      <c r="C110" s="72" t="s">
        <v>2864</v>
      </c>
      <c r="D110" s="51" t="s">
        <v>1075</v>
      </c>
      <c r="E110" s="74">
        <v>7.1715993767910893E-2</v>
      </c>
      <c r="F110" s="74">
        <v>1.63712197949905E-2</v>
      </c>
      <c r="G110" s="74">
        <v>1.2105495797919399E-5</v>
      </c>
      <c r="H110" s="74">
        <v>6.38564903340248E-5</v>
      </c>
      <c r="I110" s="74">
        <v>1.1302033687437999E-4</v>
      </c>
      <c r="J110" s="74">
        <v>1.2771298066804999E-2</v>
      </c>
      <c r="K110" s="15"/>
      <c r="L110" s="15"/>
      <c r="M110" s="15"/>
      <c r="N110" s="15"/>
      <c r="O110" s="15"/>
      <c r="P110" s="15"/>
      <c r="Q110" s="15"/>
    </row>
    <row r="111" spans="2:17" x14ac:dyDescent="0.2">
      <c r="B111" t="s">
        <v>1521</v>
      </c>
      <c r="C111" s="72" t="s">
        <v>2864</v>
      </c>
      <c r="D111" s="51" t="s">
        <v>1077</v>
      </c>
      <c r="E111" s="74">
        <v>-7.4864785581797197E-2</v>
      </c>
      <c r="F111" s="74">
        <v>1.6555939497730699E-2</v>
      </c>
      <c r="G111" s="74">
        <v>6.2810809911412403E-6</v>
      </c>
      <c r="H111" s="74">
        <v>3.78659454037372E-5</v>
      </c>
      <c r="I111" s="74">
        <v>7.2819125776417705E-5</v>
      </c>
      <c r="J111" s="74">
        <v>6.6265404456540104E-3</v>
      </c>
      <c r="K111" s="15"/>
      <c r="L111" s="15"/>
      <c r="M111" s="15"/>
      <c r="N111" s="15"/>
      <c r="O111" s="15"/>
      <c r="P111" s="15"/>
      <c r="Q111" s="15"/>
    </row>
    <row r="112" spans="2:17" x14ac:dyDescent="0.2">
      <c r="B112" t="s">
        <v>1521</v>
      </c>
      <c r="C112" s="72" t="s">
        <v>2864</v>
      </c>
      <c r="D112" s="51" t="s">
        <v>1078</v>
      </c>
      <c r="E112" s="74">
        <v>9.10754478078772E-2</v>
      </c>
      <c r="F112" s="74">
        <v>1.65006485481403E-2</v>
      </c>
      <c r="G112" s="74">
        <v>3.5922371108674497E-8</v>
      </c>
      <c r="H112" s="74">
        <v>5.83047715686948E-7</v>
      </c>
      <c r="I112" s="74">
        <v>1.0527250422125399E-6</v>
      </c>
      <c r="J112" s="74">
        <v>3.7898101519651601E-5</v>
      </c>
      <c r="K112" s="15"/>
      <c r="L112" s="15"/>
      <c r="M112" s="15"/>
      <c r="N112" s="15"/>
      <c r="O112" s="15"/>
      <c r="P112" s="15"/>
      <c r="Q112" s="15"/>
    </row>
    <row r="113" spans="2:17" x14ac:dyDescent="0.2">
      <c r="B113" t="s">
        <v>1521</v>
      </c>
      <c r="C113" s="72" t="s">
        <v>2864</v>
      </c>
      <c r="D113" t="s">
        <v>1079</v>
      </c>
      <c r="E113" s="15">
        <v>-2.2762180940616598E-2</v>
      </c>
      <c r="F113" s="15">
        <v>1.6605939274912399E-2</v>
      </c>
      <c r="G113" s="15">
        <v>0.17052739636664399</v>
      </c>
      <c r="H113" s="15">
        <v>0.21545677025965099</v>
      </c>
      <c r="I113" s="15">
        <v>0.31342578948921401</v>
      </c>
      <c r="J113" s="15">
        <v>1</v>
      </c>
      <c r="K113" s="15"/>
      <c r="L113" s="15"/>
      <c r="M113" s="15"/>
      <c r="N113" s="15"/>
      <c r="O113" s="15"/>
      <c r="P113" s="15"/>
      <c r="Q113" s="15"/>
    </row>
    <row r="114" spans="2:17" x14ac:dyDescent="0.2">
      <c r="B114" t="s">
        <v>1521</v>
      </c>
      <c r="C114" s="72" t="s">
        <v>2864</v>
      </c>
      <c r="D114" t="s">
        <v>3199</v>
      </c>
      <c r="E114" s="15">
        <v>-5.6040163003301502E-2</v>
      </c>
      <c r="F114" s="15">
        <v>1.6660863005914999E-2</v>
      </c>
      <c r="G114" s="15">
        <v>7.7566695592825501E-4</v>
      </c>
      <c r="H114" s="15">
        <v>2.1534964171165999E-3</v>
      </c>
      <c r="I114" s="15">
        <v>3.8061797139735298E-3</v>
      </c>
      <c r="J114" s="15">
        <v>0.81832863850430904</v>
      </c>
      <c r="K114" s="15"/>
      <c r="L114" s="15"/>
      <c r="M114" s="15"/>
      <c r="N114" s="15"/>
      <c r="O114" s="15"/>
      <c r="P114" s="15"/>
      <c r="Q114" s="15"/>
    </row>
    <row r="115" spans="2:17" x14ac:dyDescent="0.2">
      <c r="B115" t="s">
        <v>1521</v>
      </c>
      <c r="C115" s="72" t="s">
        <v>2864</v>
      </c>
      <c r="D115" s="51" t="s">
        <v>3200</v>
      </c>
      <c r="E115" s="74">
        <v>6.7395105894487495E-2</v>
      </c>
      <c r="F115" s="74">
        <v>1.64688908087385E-2</v>
      </c>
      <c r="G115" s="74">
        <v>4.3472636211672103E-5</v>
      </c>
      <c r="H115" s="74">
        <v>1.8550462496133501E-4</v>
      </c>
      <c r="I115" s="74">
        <v>3.2298331833319801E-4</v>
      </c>
      <c r="J115" s="74">
        <v>4.5863631203314097E-2</v>
      </c>
      <c r="K115" s="15"/>
      <c r="L115" s="15"/>
      <c r="M115" s="15"/>
      <c r="N115" s="15"/>
      <c r="O115" s="15"/>
      <c r="P115" s="15"/>
      <c r="Q115" s="15"/>
    </row>
    <row r="116" spans="2:17" x14ac:dyDescent="0.2">
      <c r="B116" t="s">
        <v>1521</v>
      </c>
      <c r="C116" s="72" t="s">
        <v>2864</v>
      </c>
      <c r="D116" t="s">
        <v>3201</v>
      </c>
      <c r="E116" s="15">
        <v>2.1657044472841201E-2</v>
      </c>
      <c r="F116" s="15">
        <v>1.6645359234618299E-2</v>
      </c>
      <c r="G116" s="15">
        <v>0.19329655783896499</v>
      </c>
      <c r="H116" s="15">
        <v>0.233060421165837</v>
      </c>
      <c r="I116" s="15">
        <v>0.33875061215964702</v>
      </c>
      <c r="J116" s="15">
        <v>1</v>
      </c>
      <c r="K116" s="15"/>
      <c r="L116" s="15"/>
      <c r="M116" s="15"/>
      <c r="N116" s="15"/>
      <c r="O116" s="15"/>
      <c r="P116" s="15"/>
      <c r="Q116" s="15"/>
    </row>
    <row r="117" spans="2:17" x14ac:dyDescent="0.2">
      <c r="B117" t="s">
        <v>1521</v>
      </c>
      <c r="C117" s="72" t="s">
        <v>2864</v>
      </c>
      <c r="D117" t="s">
        <v>3202</v>
      </c>
      <c r="E117" s="15">
        <v>4.2491879306502903E-2</v>
      </c>
      <c r="F117" s="15">
        <v>1.65295710051519E-2</v>
      </c>
      <c r="G117" s="15">
        <v>1.0182066314134101E-2</v>
      </c>
      <c r="H117" s="15">
        <v>1.85208275196749E-2</v>
      </c>
      <c r="I117" s="15">
        <v>3.122697663201E-2</v>
      </c>
      <c r="J117" s="15">
        <v>1</v>
      </c>
      <c r="K117" s="15"/>
      <c r="L117" s="15"/>
      <c r="M117" s="15"/>
      <c r="N117" s="15"/>
      <c r="O117" s="15"/>
      <c r="P117" s="15"/>
      <c r="Q117" s="15"/>
    </row>
    <row r="118" spans="2:17" x14ac:dyDescent="0.2">
      <c r="B118" t="s">
        <v>1521</v>
      </c>
      <c r="C118" s="72" t="s">
        <v>2864</v>
      </c>
      <c r="D118" s="51" t="s">
        <v>3203</v>
      </c>
      <c r="E118" s="74">
        <v>9.4637877190712705E-2</v>
      </c>
      <c r="F118" s="74">
        <v>1.6433485654342099E-2</v>
      </c>
      <c r="G118" s="74">
        <v>9.0492584137213201E-9</v>
      </c>
      <c r="H118" s="74">
        <v>2.12154836143911E-7</v>
      </c>
      <c r="I118" s="74">
        <v>3.8187870505903999E-7</v>
      </c>
      <c r="J118" s="74">
        <v>9.5469676264759896E-6</v>
      </c>
      <c r="K118" s="15"/>
      <c r="L118" s="15"/>
      <c r="M118" s="15"/>
      <c r="N118" s="15"/>
      <c r="O118" s="15"/>
      <c r="P118" s="15"/>
      <c r="Q118" s="15"/>
    </row>
    <row r="119" spans="2:17" x14ac:dyDescent="0.2">
      <c r="B119" t="s">
        <v>1521</v>
      </c>
      <c r="C119" s="72" t="s">
        <v>2864</v>
      </c>
      <c r="D119" t="s">
        <v>3204</v>
      </c>
      <c r="E119" s="15">
        <v>2.6926409761669799E-2</v>
      </c>
      <c r="F119" s="15">
        <v>1.65339469925803E-2</v>
      </c>
      <c r="G119" s="15">
        <v>0.10347948424259699</v>
      </c>
      <c r="H119" s="15">
        <v>0.14556114116791999</v>
      </c>
      <c r="I119" s="15">
        <v>0.21364159662610599</v>
      </c>
      <c r="J119" s="15">
        <v>1</v>
      </c>
      <c r="K119" s="15"/>
      <c r="L119" s="15"/>
      <c r="M119" s="15"/>
      <c r="N119" s="15"/>
      <c r="O119" s="15"/>
      <c r="P119" s="15"/>
      <c r="Q119" s="15"/>
    </row>
    <row r="120" spans="2:17" x14ac:dyDescent="0.2">
      <c r="B120" t="s">
        <v>1521</v>
      </c>
      <c r="C120" s="72" t="s">
        <v>2864</v>
      </c>
      <c r="D120" t="s">
        <v>3205</v>
      </c>
      <c r="E120" s="15">
        <v>-5.3567100445514701E-2</v>
      </c>
      <c r="F120" s="15">
        <v>1.6617023184246599E-2</v>
      </c>
      <c r="G120" s="15">
        <v>1.2746539180495101E-3</v>
      </c>
      <c r="H120" s="15">
        <v>3.3203947741783598E-3</v>
      </c>
      <c r="I120" s="15">
        <v>5.7963788083716999E-3</v>
      </c>
      <c r="J120" s="15">
        <v>1</v>
      </c>
      <c r="K120" s="15"/>
      <c r="L120" s="15"/>
      <c r="M120" s="15"/>
      <c r="N120" s="15"/>
      <c r="O120" s="15"/>
      <c r="P120" s="15"/>
      <c r="Q120" s="15"/>
    </row>
    <row r="121" spans="2:17" x14ac:dyDescent="0.2">
      <c r="B121" t="s">
        <v>1521</v>
      </c>
      <c r="C121" s="72" t="s">
        <v>2864</v>
      </c>
      <c r="D121" t="s">
        <v>3206</v>
      </c>
      <c r="E121" s="15">
        <v>4.1205523755763002E-2</v>
      </c>
      <c r="F121" s="15">
        <v>1.6604237121992799E-2</v>
      </c>
      <c r="G121" s="15">
        <v>1.3114121741504401E-2</v>
      </c>
      <c r="H121" s="15">
        <v>2.3449827859808699E-2</v>
      </c>
      <c r="I121" s="15">
        <v>3.9417089564920599E-2</v>
      </c>
      <c r="J121" s="15">
        <v>1</v>
      </c>
      <c r="K121" s="15"/>
      <c r="L121" s="15"/>
      <c r="M121" s="15"/>
      <c r="N121" s="15"/>
      <c r="O121" s="15"/>
      <c r="P121" s="15"/>
      <c r="Q121" s="15"/>
    </row>
    <row r="122" spans="2:17" x14ac:dyDescent="0.2">
      <c r="B122" t="s">
        <v>1521</v>
      </c>
      <c r="C122" s="72" t="s">
        <v>2864</v>
      </c>
      <c r="D122" t="s">
        <v>3207</v>
      </c>
      <c r="E122" s="15">
        <v>5.8372670942228297E-2</v>
      </c>
      <c r="F122" s="15">
        <v>1.6610429264028399E-2</v>
      </c>
      <c r="G122" s="15">
        <v>4.4530085156005802E-4</v>
      </c>
      <c r="H122" s="15">
        <v>1.3617170967995999E-3</v>
      </c>
      <c r="I122" s="15">
        <v>2.3782271500558398E-3</v>
      </c>
      <c r="J122" s="15">
        <v>0.46979239839586101</v>
      </c>
      <c r="K122" s="15"/>
      <c r="L122" s="15"/>
      <c r="M122" s="15"/>
      <c r="N122" s="15"/>
      <c r="O122" s="15"/>
      <c r="P122" s="15"/>
      <c r="Q122" s="15"/>
    </row>
    <row r="123" spans="2:17" x14ac:dyDescent="0.2">
      <c r="B123" t="s">
        <v>1521</v>
      </c>
      <c r="C123" s="72" t="s">
        <v>2864</v>
      </c>
      <c r="D123" t="s">
        <v>3208</v>
      </c>
      <c r="E123" s="15">
        <v>-5.0025221232022597E-2</v>
      </c>
      <c r="F123" s="15">
        <v>1.6547689903600799E-2</v>
      </c>
      <c r="G123" s="15">
        <v>2.5160890807026902E-3</v>
      </c>
      <c r="H123" s="15">
        <v>5.8340087475633904E-3</v>
      </c>
      <c r="I123" s="15">
        <v>1.00767479478887E-2</v>
      </c>
      <c r="J123" s="15">
        <v>1</v>
      </c>
      <c r="K123" s="15"/>
      <c r="L123" s="15"/>
      <c r="M123" s="15"/>
      <c r="N123" s="15"/>
      <c r="O123" s="15"/>
      <c r="P123" s="15"/>
      <c r="Q123" s="15"/>
    </row>
    <row r="124" spans="2:17" x14ac:dyDescent="0.2">
      <c r="B124" t="s">
        <v>1521</v>
      </c>
      <c r="C124" s="72" t="s">
        <v>2864</v>
      </c>
      <c r="D124" t="s">
        <v>3209</v>
      </c>
      <c r="E124" s="15">
        <v>-3.6710033523944799E-3</v>
      </c>
      <c r="F124" s="15">
        <v>1.6633544923248499E-2</v>
      </c>
      <c r="G124" s="15">
        <v>0.82533669312521796</v>
      </c>
      <c r="H124" s="15">
        <v>0.84128522825807195</v>
      </c>
      <c r="I124" s="15">
        <v>0.90837351662838695</v>
      </c>
      <c r="J124" s="15">
        <v>1</v>
      </c>
      <c r="K124" s="15"/>
      <c r="L124" s="15"/>
      <c r="M124" s="15"/>
      <c r="N124" s="15"/>
      <c r="O124" s="15"/>
      <c r="P124" s="15"/>
      <c r="Q124" s="15"/>
    </row>
    <row r="125" spans="2:17" x14ac:dyDescent="0.2">
      <c r="B125" t="s">
        <v>1521</v>
      </c>
      <c r="C125" s="72" t="s">
        <v>2864</v>
      </c>
      <c r="D125" t="s">
        <v>3210</v>
      </c>
      <c r="E125" s="15">
        <v>-6.1776813059538402E-2</v>
      </c>
      <c r="F125" s="15">
        <v>1.6597340538861201E-2</v>
      </c>
      <c r="G125" s="15">
        <v>1.9993570848392199E-4</v>
      </c>
      <c r="H125" s="15">
        <v>6.6962594428742297E-4</v>
      </c>
      <c r="I125" s="15">
        <v>1.17839202486334E-3</v>
      </c>
      <c r="J125" s="15">
        <v>0.210932172450538</v>
      </c>
      <c r="K125" s="15"/>
      <c r="L125" s="15"/>
      <c r="M125" s="15"/>
      <c r="N125" s="15"/>
      <c r="O125" s="15"/>
      <c r="P125" s="15"/>
      <c r="Q125" s="15"/>
    </row>
    <row r="126" spans="2:17" x14ac:dyDescent="0.2">
      <c r="B126" t="s">
        <v>1521</v>
      </c>
      <c r="C126" s="72" t="s">
        <v>2864</v>
      </c>
      <c r="D126" s="51" t="s">
        <v>3211</v>
      </c>
      <c r="E126" s="74">
        <v>7.0593904212598105E-2</v>
      </c>
      <c r="F126" s="74">
        <v>1.6483287279009801E-2</v>
      </c>
      <c r="G126" s="74">
        <v>1.8852076558843698E-5</v>
      </c>
      <c r="H126" s="74">
        <v>8.8395292309244799E-5</v>
      </c>
      <c r="I126" s="74">
        <v>1.57848736266508E-4</v>
      </c>
      <c r="J126" s="74">
        <v>1.9888940769580098E-2</v>
      </c>
      <c r="K126" s="15"/>
      <c r="L126" s="15"/>
      <c r="M126" s="15"/>
      <c r="N126" s="15"/>
      <c r="O126" s="15"/>
      <c r="P126" s="15"/>
      <c r="Q126" s="15"/>
    </row>
    <row r="127" spans="2:17" x14ac:dyDescent="0.2">
      <c r="B127" t="s">
        <v>1521</v>
      </c>
      <c r="C127" s="72" t="s">
        <v>2864</v>
      </c>
      <c r="D127" s="51" t="s">
        <v>3212</v>
      </c>
      <c r="E127" s="74">
        <v>7.1725881284364301E-2</v>
      </c>
      <c r="F127" s="74">
        <v>1.64635510104667E-2</v>
      </c>
      <c r="G127" s="74">
        <v>1.35019106002219E-5</v>
      </c>
      <c r="H127" s="74">
        <v>6.9485442357239505E-5</v>
      </c>
      <c r="I127" s="74">
        <v>1.2386535376725301E-4</v>
      </c>
      <c r="J127" s="74">
        <v>1.4244515683234101E-2</v>
      </c>
      <c r="K127" s="15"/>
      <c r="L127" s="15"/>
      <c r="M127" s="15"/>
      <c r="N127" s="15"/>
      <c r="O127" s="15"/>
      <c r="P127" s="15"/>
      <c r="Q127" s="15"/>
    </row>
    <row r="128" spans="2:17" x14ac:dyDescent="0.2">
      <c r="B128" t="s">
        <v>1521</v>
      </c>
      <c r="C128" s="72" t="s">
        <v>2864</v>
      </c>
      <c r="D128" s="51" t="s">
        <v>3213</v>
      </c>
      <c r="E128" s="74">
        <v>6.8611882785029998E-2</v>
      </c>
      <c r="F128" s="74">
        <v>1.6268769277908799E-2</v>
      </c>
      <c r="G128" s="74">
        <v>2.52097762110813E-5</v>
      </c>
      <c r="H128" s="74">
        <v>1.15636147403003E-4</v>
      </c>
      <c r="I128" s="74">
        <v>2.03025296967105E-4</v>
      </c>
      <c r="J128" s="74">
        <v>2.65963139026908E-2</v>
      </c>
      <c r="K128" s="15"/>
      <c r="L128" s="15"/>
      <c r="M128" s="15"/>
      <c r="N128" s="15"/>
      <c r="O128" s="15"/>
      <c r="P128" s="15"/>
      <c r="Q128" s="15"/>
    </row>
    <row r="129" spans="2:17" x14ac:dyDescent="0.2">
      <c r="B129" t="s">
        <v>1521</v>
      </c>
      <c r="C129" s="72" t="s">
        <v>2864</v>
      </c>
      <c r="D129" s="51" t="s">
        <v>3214</v>
      </c>
      <c r="E129" s="74">
        <v>8.1034321469980103E-2</v>
      </c>
      <c r="F129" s="74">
        <v>1.63039582375221E-2</v>
      </c>
      <c r="G129" s="74">
        <v>6.9422278799075795E-7</v>
      </c>
      <c r="H129" s="74">
        <v>6.3687394898282603E-6</v>
      </c>
      <c r="I129" s="74">
        <v>1.2006640021807399E-5</v>
      </c>
      <c r="J129" s="74">
        <v>7.3240504133024998E-4</v>
      </c>
      <c r="K129" s="15"/>
      <c r="L129" s="15"/>
      <c r="M129" s="15"/>
      <c r="N129" s="15"/>
      <c r="O129" s="15"/>
      <c r="P129" s="15"/>
      <c r="Q129" s="15"/>
    </row>
    <row r="130" spans="2:17" x14ac:dyDescent="0.2">
      <c r="B130" t="s">
        <v>1521</v>
      </c>
      <c r="C130" s="72" t="s">
        <v>2864</v>
      </c>
      <c r="D130" t="s">
        <v>3215</v>
      </c>
      <c r="E130" s="15">
        <v>-2.23879742999748E-2</v>
      </c>
      <c r="F130" s="15">
        <v>1.6487293693471201E-2</v>
      </c>
      <c r="G130" s="15">
        <v>0.174564453125088</v>
      </c>
      <c r="H130" s="15">
        <v>0.217947334966826</v>
      </c>
      <c r="I130" s="15">
        <v>0.31730523202740901</v>
      </c>
      <c r="J130" s="15">
        <v>1</v>
      </c>
      <c r="K130" s="15"/>
      <c r="L130" s="15"/>
      <c r="M130" s="15"/>
      <c r="N130" s="15"/>
      <c r="O130" s="15"/>
      <c r="P130" s="15"/>
      <c r="Q130" s="15"/>
    </row>
    <row r="131" spans="2:17" x14ac:dyDescent="0.2">
      <c r="B131" t="s">
        <v>1521</v>
      </c>
      <c r="C131" s="72" t="s">
        <v>2864</v>
      </c>
      <c r="D131" t="s">
        <v>3216</v>
      </c>
      <c r="E131" s="15">
        <v>5.48413770764338E-2</v>
      </c>
      <c r="F131" s="15">
        <v>1.6301804950539001E-2</v>
      </c>
      <c r="G131" s="15">
        <v>7.7435726791251697E-4</v>
      </c>
      <c r="H131" s="15">
        <v>2.1534964171165999E-3</v>
      </c>
      <c r="I131" s="15">
        <v>3.8061797139735298E-3</v>
      </c>
      <c r="J131" s="15">
        <v>0.816946917647705</v>
      </c>
      <c r="K131" s="15"/>
      <c r="L131" s="15"/>
      <c r="M131" s="15"/>
      <c r="N131" s="15"/>
      <c r="O131" s="15"/>
      <c r="P131" s="15"/>
      <c r="Q131" s="15"/>
    </row>
    <row r="132" spans="2:17" x14ac:dyDescent="0.2">
      <c r="B132" t="s">
        <v>1521</v>
      </c>
      <c r="C132" s="72" t="s">
        <v>2864</v>
      </c>
      <c r="D132" t="s">
        <v>3217</v>
      </c>
      <c r="E132" s="15">
        <v>3.79154729286445E-2</v>
      </c>
      <c r="F132" s="15">
        <v>1.6669161704346701E-2</v>
      </c>
      <c r="G132" s="15">
        <v>2.29775863895843E-2</v>
      </c>
      <c r="H132" s="15">
        <v>3.84783391127166E-2</v>
      </c>
      <c r="I132" s="15">
        <v>6.3293351543110804E-2</v>
      </c>
      <c r="J132" s="15">
        <v>1</v>
      </c>
      <c r="K132" s="15"/>
      <c r="L132" s="15"/>
      <c r="M132" s="15"/>
      <c r="N132" s="15"/>
      <c r="O132" s="15"/>
      <c r="P132" s="15"/>
      <c r="Q132" s="15"/>
    </row>
    <row r="133" spans="2:17" x14ac:dyDescent="0.2">
      <c r="B133" t="s">
        <v>1521</v>
      </c>
      <c r="C133" s="72" t="s">
        <v>2864</v>
      </c>
      <c r="D133" t="s">
        <v>3218</v>
      </c>
      <c r="E133" s="15">
        <v>-2.7709293737181801E-2</v>
      </c>
      <c r="F133" s="15">
        <v>1.6664462149361702E-2</v>
      </c>
      <c r="G133" s="15">
        <v>9.6425351594306596E-2</v>
      </c>
      <c r="H133" s="15">
        <v>0.13654865225770901</v>
      </c>
      <c r="I133" s="15">
        <v>0.20144306125147199</v>
      </c>
      <c r="J133" s="15">
        <v>1</v>
      </c>
      <c r="K133" s="15"/>
      <c r="L133" s="15"/>
      <c r="M133" s="15"/>
      <c r="N133" s="15"/>
      <c r="O133" s="15"/>
      <c r="P133" s="15"/>
      <c r="Q133" s="15"/>
    </row>
    <row r="134" spans="2:17" x14ac:dyDescent="0.2">
      <c r="B134" t="s">
        <v>1521</v>
      </c>
      <c r="C134" s="72" t="s">
        <v>2864</v>
      </c>
      <c r="D134" t="s">
        <v>3219</v>
      </c>
      <c r="E134" s="15">
        <v>6.0096975223952097E-2</v>
      </c>
      <c r="F134" s="15">
        <v>1.6489416756924901E-2</v>
      </c>
      <c r="G134" s="15">
        <v>2.7085697327638601E-4</v>
      </c>
      <c r="H134" s="15">
        <v>8.7924340555873095E-4</v>
      </c>
      <c r="I134" s="15">
        <v>1.57007750992631E-3</v>
      </c>
      <c r="J134" s="15">
        <v>0.28575410680658803</v>
      </c>
      <c r="K134" s="15"/>
      <c r="L134" s="15"/>
      <c r="M134" s="15"/>
      <c r="N134" s="15"/>
      <c r="O134" s="15"/>
      <c r="P134" s="15"/>
      <c r="Q134" s="15"/>
    </row>
    <row r="135" spans="2:17" x14ac:dyDescent="0.2">
      <c r="B135" t="s">
        <v>1521</v>
      </c>
      <c r="C135" s="72" t="s">
        <v>2864</v>
      </c>
      <c r="D135" t="s">
        <v>3220</v>
      </c>
      <c r="E135" s="15">
        <v>6.7025357590619394E-2</v>
      </c>
      <c r="F135" s="15">
        <v>1.6592553389609101E-2</v>
      </c>
      <c r="G135" s="15">
        <v>5.4467663091796903E-5</v>
      </c>
      <c r="H135" s="15">
        <v>2.2101301754556E-4</v>
      </c>
      <c r="I135" s="15">
        <v>3.8055221564136201E-4</v>
      </c>
      <c r="J135" s="15">
        <v>5.7463384561845701E-2</v>
      </c>
      <c r="K135" s="15"/>
      <c r="L135" s="15"/>
      <c r="M135" s="15"/>
      <c r="N135" s="15"/>
      <c r="O135" s="15"/>
      <c r="P135" s="15"/>
      <c r="Q135" s="15"/>
    </row>
    <row r="136" spans="2:17" x14ac:dyDescent="0.2">
      <c r="B136" t="s">
        <v>1521</v>
      </c>
      <c r="C136" s="72" t="s">
        <v>2864</v>
      </c>
      <c r="D136" s="51" t="s">
        <v>355</v>
      </c>
      <c r="E136" s="74">
        <v>-8.6759791561716801E-2</v>
      </c>
      <c r="F136" s="74">
        <v>1.6625040783359898E-2</v>
      </c>
      <c r="G136" s="74">
        <v>1.8834021421612899E-7</v>
      </c>
      <c r="H136" s="74">
        <v>2.4837365749752E-6</v>
      </c>
      <c r="I136" s="74">
        <v>4.31954186952209E-6</v>
      </c>
      <c r="J136" s="74">
        <v>1.9869892599801601E-4</v>
      </c>
      <c r="K136" s="15"/>
      <c r="L136" s="15"/>
      <c r="M136" s="15"/>
      <c r="N136" s="15"/>
      <c r="O136" s="15"/>
      <c r="P136" s="15"/>
      <c r="Q136" s="15"/>
    </row>
    <row r="137" spans="2:17" x14ac:dyDescent="0.2">
      <c r="B137" t="s">
        <v>1521</v>
      </c>
      <c r="C137" s="72" t="s">
        <v>2864</v>
      </c>
      <c r="D137" t="s">
        <v>356</v>
      </c>
      <c r="E137" s="15">
        <v>-4.8575971855141703E-2</v>
      </c>
      <c r="F137" s="15">
        <v>1.6529519072644799E-2</v>
      </c>
      <c r="G137" s="15">
        <v>3.3125117394027198E-3</v>
      </c>
      <c r="H137" s="15">
        <v>7.4355316703614196E-3</v>
      </c>
      <c r="I137" s="15">
        <v>1.2707999582072201E-2</v>
      </c>
      <c r="J137" s="15">
        <v>1</v>
      </c>
      <c r="K137" s="15"/>
      <c r="L137" s="15"/>
      <c r="M137" s="15"/>
      <c r="N137" s="15"/>
      <c r="O137" s="15"/>
      <c r="P137" s="15"/>
      <c r="Q137" s="15"/>
    </row>
    <row r="138" spans="2:17" x14ac:dyDescent="0.2">
      <c r="B138" t="s">
        <v>1521</v>
      </c>
      <c r="C138" s="72" t="s">
        <v>2864</v>
      </c>
      <c r="D138" t="s">
        <v>358</v>
      </c>
      <c r="E138" s="15">
        <v>-3.73421117541907E-2</v>
      </c>
      <c r="F138" s="15">
        <v>1.6511311468220199E-2</v>
      </c>
      <c r="G138" s="15">
        <v>2.37695202219117E-2</v>
      </c>
      <c r="H138" s="15">
        <v>3.94910926521524E-2</v>
      </c>
      <c r="I138" s="15">
        <v>6.5304280818012497E-2</v>
      </c>
      <c r="J138" s="15">
        <v>1</v>
      </c>
      <c r="K138" s="15"/>
      <c r="L138" s="15"/>
      <c r="M138" s="15"/>
      <c r="N138" s="15"/>
      <c r="O138" s="15"/>
      <c r="P138" s="15"/>
      <c r="Q138" s="15"/>
    </row>
    <row r="139" spans="2:17" x14ac:dyDescent="0.2">
      <c r="B139" t="s">
        <v>1521</v>
      </c>
      <c r="C139" s="72" t="s">
        <v>2864</v>
      </c>
      <c r="D139" s="51" t="s">
        <v>359</v>
      </c>
      <c r="E139" s="74">
        <v>-7.7901984682681502E-2</v>
      </c>
      <c r="F139" s="74">
        <v>1.6395713250498399E-2</v>
      </c>
      <c r="G139" s="74">
        <v>2.0840544751887501E-6</v>
      </c>
      <c r="H139" s="74">
        <v>1.51632929056837E-5</v>
      </c>
      <c r="I139" s="74">
        <v>2.81881727092838E-5</v>
      </c>
      <c r="J139" s="74">
        <v>2.1986774713241299E-3</v>
      </c>
      <c r="K139" s="15"/>
      <c r="L139" s="15"/>
      <c r="M139" s="15"/>
      <c r="N139" s="15"/>
      <c r="O139" s="15"/>
      <c r="P139" s="15"/>
      <c r="Q139" s="15"/>
    </row>
    <row r="140" spans="2:17" x14ac:dyDescent="0.2">
      <c r="B140" t="s">
        <v>1521</v>
      </c>
      <c r="C140" s="72" t="s">
        <v>2864</v>
      </c>
      <c r="D140" t="s">
        <v>360</v>
      </c>
      <c r="E140" s="15">
        <v>-4.3732600948360303E-2</v>
      </c>
      <c r="F140" s="15">
        <v>1.65555083590679E-2</v>
      </c>
      <c r="G140" s="15">
        <v>8.2805808370969205E-3</v>
      </c>
      <c r="H140" s="15">
        <v>1.56000228270308E-2</v>
      </c>
      <c r="I140" s="15">
        <v>2.64247321365653E-2</v>
      </c>
      <c r="J140" s="15">
        <v>1</v>
      </c>
      <c r="K140" s="15"/>
      <c r="L140" s="15"/>
      <c r="M140" s="15"/>
      <c r="N140" s="15"/>
      <c r="O140" s="15"/>
      <c r="P140" s="15"/>
      <c r="Q140" s="15"/>
    </row>
    <row r="141" spans="2:17" x14ac:dyDescent="0.2">
      <c r="B141" t="s">
        <v>1521</v>
      </c>
      <c r="C141" s="72" t="s">
        <v>2864</v>
      </c>
      <c r="D141" s="51" t="s">
        <v>361</v>
      </c>
      <c r="E141" s="74">
        <v>-0.104361099150446</v>
      </c>
      <c r="F141" s="74">
        <v>1.6181196647748301E-2</v>
      </c>
      <c r="G141" s="74">
        <v>1.2407168766101201E-10</v>
      </c>
      <c r="H141" s="74">
        <v>5.2358252192947201E-9</v>
      </c>
      <c r="I141" s="74">
        <v>9.3496878915977102E-9</v>
      </c>
      <c r="J141" s="74">
        <v>1.30895630482368E-7</v>
      </c>
      <c r="K141" s="15"/>
      <c r="L141" s="15"/>
      <c r="M141" s="15"/>
      <c r="N141" s="15"/>
      <c r="O141" s="15"/>
      <c r="P141" s="15"/>
      <c r="Q141" s="15"/>
    </row>
    <row r="142" spans="2:17" x14ac:dyDescent="0.2">
      <c r="B142" t="s">
        <v>1521</v>
      </c>
      <c r="C142" s="72" t="s">
        <v>2864</v>
      </c>
      <c r="D142" t="s">
        <v>366</v>
      </c>
      <c r="E142" s="15">
        <v>-4.9041009370700703E-2</v>
      </c>
      <c r="F142" s="15">
        <v>1.6803818430161099E-2</v>
      </c>
      <c r="G142" s="15">
        <v>3.5352656111710102E-3</v>
      </c>
      <c r="H142" s="15">
        <v>7.6901138552276597E-3</v>
      </c>
      <c r="I142" s="15">
        <v>1.31791703879343E-2</v>
      </c>
      <c r="J142" s="15">
        <v>1</v>
      </c>
      <c r="K142" s="15"/>
      <c r="L142" s="15"/>
      <c r="M142" s="15"/>
      <c r="N142" s="15"/>
      <c r="O142" s="15"/>
      <c r="P142" s="15"/>
      <c r="Q142" s="15"/>
    </row>
    <row r="143" spans="2:17" x14ac:dyDescent="0.2">
      <c r="B143" t="s">
        <v>1521</v>
      </c>
      <c r="C143" s="72" t="s">
        <v>2864</v>
      </c>
      <c r="D143" s="51" t="s">
        <v>368</v>
      </c>
      <c r="E143" s="74">
        <v>-8.2838649510572099E-2</v>
      </c>
      <c r="F143" s="74">
        <v>1.66544970845229E-2</v>
      </c>
      <c r="G143" s="74">
        <v>6.8062198882417696E-7</v>
      </c>
      <c r="H143" s="74">
        <v>6.3687394898282603E-6</v>
      </c>
      <c r="I143" s="74">
        <v>1.19676033034918E-5</v>
      </c>
      <c r="J143" s="74">
        <v>7.1805619820950698E-4</v>
      </c>
      <c r="K143" s="15"/>
      <c r="L143" s="15"/>
      <c r="M143" s="15"/>
      <c r="N143" s="15"/>
      <c r="O143" s="15"/>
      <c r="P143" s="15"/>
      <c r="Q143" s="15"/>
    </row>
    <row r="144" spans="2:17" x14ac:dyDescent="0.2">
      <c r="B144" t="s">
        <v>1521</v>
      </c>
      <c r="C144" s="72" t="s">
        <v>2864</v>
      </c>
      <c r="D144" s="51" t="s">
        <v>369</v>
      </c>
      <c r="E144" s="74">
        <v>-7.3989515155922295E-2</v>
      </c>
      <c r="F144" s="74">
        <v>1.65618435994862E-2</v>
      </c>
      <c r="G144" s="74">
        <v>8.1095268675318598E-6</v>
      </c>
      <c r="H144" s="74">
        <v>4.7530838029145102E-5</v>
      </c>
      <c r="I144" s="74">
        <v>8.6419705507536507E-5</v>
      </c>
      <c r="J144" s="74">
        <v>8.5555508452461095E-3</v>
      </c>
      <c r="K144" s="15"/>
      <c r="L144" s="15"/>
      <c r="M144" s="15"/>
      <c r="N144" s="15"/>
      <c r="O144" s="15"/>
      <c r="P144" s="15"/>
      <c r="Q144" s="15"/>
    </row>
    <row r="145" spans="2:17" x14ac:dyDescent="0.2">
      <c r="B145" t="s">
        <v>1521</v>
      </c>
      <c r="C145" s="72" t="s">
        <v>2864</v>
      </c>
      <c r="D145" s="51" t="s">
        <v>370</v>
      </c>
      <c r="E145" s="74">
        <v>-7.8980379421433697E-2</v>
      </c>
      <c r="F145" s="74">
        <v>1.65801276159027E-2</v>
      </c>
      <c r="G145" s="74">
        <v>1.96098794481471E-6</v>
      </c>
      <c r="H145" s="74">
        <v>1.4777444869853699E-5</v>
      </c>
      <c r="I145" s="74">
        <v>2.7221608970783199E-5</v>
      </c>
      <c r="J145" s="74">
        <v>2.0688422817795198E-3</v>
      </c>
      <c r="K145" s="15"/>
      <c r="L145" s="15"/>
      <c r="M145" s="15"/>
      <c r="N145" s="15"/>
      <c r="O145" s="15"/>
      <c r="P145" s="15"/>
      <c r="Q145" s="15"/>
    </row>
    <row r="146" spans="2:17" x14ac:dyDescent="0.2">
      <c r="B146" t="s">
        <v>1521</v>
      </c>
      <c r="C146" s="72" t="s">
        <v>2864</v>
      </c>
      <c r="D146" s="51" t="s">
        <v>371</v>
      </c>
      <c r="E146" s="74">
        <v>-9.1169547233819898E-2</v>
      </c>
      <c r="F146" s="74">
        <v>1.6459352126822299E-2</v>
      </c>
      <c r="G146" s="74">
        <v>3.2099470339607801E-8</v>
      </c>
      <c r="H146" s="74">
        <v>5.6441568680477002E-7</v>
      </c>
      <c r="I146" s="74">
        <v>9.9602768259665309E-7</v>
      </c>
      <c r="J146" s="74">
        <v>3.3864941208286202E-5</v>
      </c>
      <c r="K146" s="15"/>
      <c r="L146" s="15"/>
      <c r="M146" s="15"/>
      <c r="N146" s="15"/>
      <c r="O146" s="15"/>
      <c r="P146" s="15"/>
      <c r="Q146" s="15"/>
    </row>
    <row r="147" spans="2:17" x14ac:dyDescent="0.2">
      <c r="B147" t="s">
        <v>1521</v>
      </c>
      <c r="C147" s="72" t="s">
        <v>2864</v>
      </c>
      <c r="D147" t="s">
        <v>372</v>
      </c>
      <c r="E147" s="15">
        <v>-5.7540354567648701E-2</v>
      </c>
      <c r="F147" s="15">
        <v>1.6630478402178999E-2</v>
      </c>
      <c r="G147" s="15">
        <v>5.4524709184588702E-4</v>
      </c>
      <c r="H147" s="15">
        <v>1.64353051970689E-3</v>
      </c>
      <c r="I147" s="15">
        <v>2.86186906416622E-3</v>
      </c>
      <c r="J147" s="15">
        <v>0.57523568189741003</v>
      </c>
      <c r="K147" s="15"/>
      <c r="L147" s="15"/>
      <c r="M147" s="15"/>
      <c r="N147" s="15"/>
      <c r="O147" s="15"/>
      <c r="P147" s="15"/>
      <c r="Q147" s="15"/>
    </row>
    <row r="148" spans="2:17" x14ac:dyDescent="0.2">
      <c r="B148" t="s">
        <v>1521</v>
      </c>
      <c r="C148" s="72" t="s">
        <v>2864</v>
      </c>
      <c r="D148" t="s">
        <v>374</v>
      </c>
      <c r="E148" s="15">
        <v>-4.3783295854950402E-2</v>
      </c>
      <c r="F148" s="15">
        <v>1.6692239544556699E-2</v>
      </c>
      <c r="G148" s="15">
        <v>8.7462181687455991E-3</v>
      </c>
      <c r="H148" s="15">
        <v>1.6331433925710799E-2</v>
      </c>
      <c r="I148" s="15">
        <v>2.77094899940739E-2</v>
      </c>
      <c r="J148" s="15">
        <v>1</v>
      </c>
      <c r="K148" s="15"/>
      <c r="L148" s="15"/>
      <c r="M148" s="15"/>
      <c r="N148" s="15"/>
      <c r="O148" s="15"/>
      <c r="P148" s="15"/>
      <c r="Q148" s="15"/>
    </row>
    <row r="149" spans="2:17" x14ac:dyDescent="0.2">
      <c r="B149" t="s">
        <v>1521</v>
      </c>
      <c r="C149" s="72" t="s">
        <v>2864</v>
      </c>
      <c r="D149" t="s">
        <v>375</v>
      </c>
      <c r="E149" s="15">
        <v>-6.5012204887120506E-2</v>
      </c>
      <c r="F149" s="15">
        <v>1.6676859238159002E-2</v>
      </c>
      <c r="G149" s="15">
        <v>9.8245910303211694E-5</v>
      </c>
      <c r="H149" s="15">
        <v>3.5741184610306302E-4</v>
      </c>
      <c r="I149" s="15">
        <v>6.2439418897523098E-4</v>
      </c>
      <c r="J149" s="15">
        <v>0.10364943536988799</v>
      </c>
      <c r="K149" s="15"/>
      <c r="L149" s="15"/>
      <c r="M149" s="15"/>
      <c r="N149" s="15"/>
      <c r="O149" s="15"/>
      <c r="P149" s="15"/>
      <c r="Q149" s="15"/>
    </row>
    <row r="150" spans="2:17" x14ac:dyDescent="0.2">
      <c r="B150" t="s">
        <v>1521</v>
      </c>
      <c r="C150" s="72" t="s">
        <v>2864</v>
      </c>
      <c r="D150" t="s">
        <v>376</v>
      </c>
      <c r="E150" s="15">
        <v>-4.5918246940068498E-2</v>
      </c>
      <c r="F150" s="15">
        <v>1.6659996021565399E-2</v>
      </c>
      <c r="G150" s="15">
        <v>5.8711478619721501E-3</v>
      </c>
      <c r="H150" s="15">
        <v>1.1806646035566399E-2</v>
      </c>
      <c r="I150" s="15">
        <v>1.9995126350555999E-2</v>
      </c>
      <c r="J150" s="15">
        <v>1</v>
      </c>
      <c r="K150" s="15"/>
      <c r="L150" s="15"/>
      <c r="M150" s="15"/>
      <c r="N150" s="15"/>
      <c r="O150" s="15"/>
      <c r="P150" s="15"/>
      <c r="Q150" s="15"/>
    </row>
    <row r="151" spans="2:17" x14ac:dyDescent="0.2">
      <c r="B151" t="s">
        <v>1521</v>
      </c>
      <c r="C151" s="72" t="s">
        <v>2864</v>
      </c>
      <c r="D151" s="51" t="s">
        <v>377</v>
      </c>
      <c r="E151" s="74">
        <v>-7.7123917820223195E-2</v>
      </c>
      <c r="F151" s="74">
        <v>1.6586216737694202E-2</v>
      </c>
      <c r="G151" s="74">
        <v>3.4143185921114202E-6</v>
      </c>
      <c r="H151" s="74">
        <v>2.3239394288242198E-5</v>
      </c>
      <c r="I151" s="74">
        <v>4.2882215650923199E-5</v>
      </c>
      <c r="J151" s="74">
        <v>3.6021061146775499E-3</v>
      </c>
      <c r="K151" s="15"/>
      <c r="L151" s="15"/>
      <c r="M151" s="15"/>
      <c r="N151" s="15"/>
      <c r="O151" s="15"/>
      <c r="P151" s="15"/>
      <c r="Q151" s="15"/>
    </row>
    <row r="152" spans="2:17" x14ac:dyDescent="0.2">
      <c r="B152" t="s">
        <v>1521</v>
      </c>
      <c r="C152" s="72" t="s">
        <v>2864</v>
      </c>
      <c r="D152" t="s">
        <v>387</v>
      </c>
      <c r="E152" s="15">
        <v>-6.4399419922739107E-2</v>
      </c>
      <c r="F152" s="15">
        <v>1.6473610162366599E-2</v>
      </c>
      <c r="G152" s="15">
        <v>9.3929596346606605E-5</v>
      </c>
      <c r="H152" s="15">
        <v>3.5391330052024999E-4</v>
      </c>
      <c r="I152" s="15">
        <v>6.0424222040042605E-4</v>
      </c>
      <c r="J152" s="15">
        <v>9.9095724145669903E-2</v>
      </c>
      <c r="K152" s="15"/>
      <c r="L152" s="15"/>
      <c r="M152" s="15"/>
      <c r="N152" s="15"/>
      <c r="O152" s="15"/>
      <c r="P152" s="15"/>
      <c r="Q152" s="15"/>
    </row>
    <row r="153" spans="2:17" x14ac:dyDescent="0.2">
      <c r="B153" t="s">
        <v>1521</v>
      </c>
      <c r="C153" s="72" t="s">
        <v>2864</v>
      </c>
      <c r="D153" s="51" t="s">
        <v>388</v>
      </c>
      <c r="E153" s="74">
        <v>-7.1519876134319205E-2</v>
      </c>
      <c r="F153" s="74">
        <v>1.6525382466243899E-2</v>
      </c>
      <c r="G153" s="74">
        <v>1.5387929085345002E-5</v>
      </c>
      <c r="H153" s="74">
        <v>7.5508210162971806E-5</v>
      </c>
      <c r="I153" s="74">
        <v>1.3416748086809001E-4</v>
      </c>
      <c r="J153" s="74">
        <v>1.6234265185038899E-2</v>
      </c>
      <c r="K153" s="15"/>
      <c r="L153" s="15"/>
      <c r="M153" s="15"/>
      <c r="N153" s="15"/>
      <c r="O153" s="15"/>
      <c r="P153" s="15"/>
      <c r="Q153" s="15"/>
    </row>
    <row r="154" spans="2:17" x14ac:dyDescent="0.2">
      <c r="B154" t="s">
        <v>1521</v>
      </c>
      <c r="C154" s="72" t="s">
        <v>2864</v>
      </c>
      <c r="D154" s="51" t="s">
        <v>389</v>
      </c>
      <c r="E154" s="74">
        <v>-8.2974732933180403E-2</v>
      </c>
      <c r="F154" s="74">
        <v>1.64998528398572E-2</v>
      </c>
      <c r="G154" s="74">
        <v>5.1254788731769202E-7</v>
      </c>
      <c r="H154" s="74">
        <v>5.1498859154301397E-6</v>
      </c>
      <c r="I154" s="74">
        <v>9.3230693296580207E-6</v>
      </c>
      <c r="J154" s="74">
        <v>5.40738021120165E-4</v>
      </c>
      <c r="K154" s="15"/>
      <c r="L154" s="15"/>
      <c r="M154" s="15"/>
      <c r="N154" s="15"/>
      <c r="O154" s="15"/>
      <c r="P154" s="15"/>
      <c r="Q154" s="15"/>
    </row>
    <row r="155" spans="2:17" x14ac:dyDescent="0.2">
      <c r="B155" t="s">
        <v>1521</v>
      </c>
      <c r="C155" s="72" t="s">
        <v>2864</v>
      </c>
      <c r="D155" s="51" t="s">
        <v>391</v>
      </c>
      <c r="E155" s="74">
        <v>-7.6458017242297893E-2</v>
      </c>
      <c r="F155" s="74">
        <v>1.66745053265808E-2</v>
      </c>
      <c r="G155" s="74">
        <v>4.6551374517134602E-6</v>
      </c>
      <c r="H155" s="74">
        <v>3.0048085089194301E-5</v>
      </c>
      <c r="I155" s="74">
        <v>5.6340159542239303E-5</v>
      </c>
      <c r="J155" s="74">
        <v>4.9111700115577004E-3</v>
      </c>
      <c r="K155" s="15"/>
      <c r="L155" s="15"/>
      <c r="M155" s="15"/>
      <c r="N155" s="15"/>
      <c r="O155" s="15"/>
      <c r="P155" s="15"/>
      <c r="Q155" s="15"/>
    </row>
    <row r="156" spans="2:17" x14ac:dyDescent="0.2">
      <c r="B156" t="s">
        <v>1521</v>
      </c>
      <c r="C156" s="72" t="s">
        <v>2864</v>
      </c>
      <c r="D156" s="51" t="s">
        <v>414</v>
      </c>
      <c r="E156" s="74">
        <v>-7.0995894866664799E-2</v>
      </c>
      <c r="F156" s="74">
        <v>1.6512702414745398E-2</v>
      </c>
      <c r="G156" s="74">
        <v>1.7484155640892499E-5</v>
      </c>
      <c r="H156" s="74">
        <v>8.3844473641552701E-5</v>
      </c>
      <c r="I156" s="74">
        <v>1.48756324202755E-4</v>
      </c>
      <c r="J156" s="74">
        <v>1.84457842011416E-2</v>
      </c>
      <c r="K156" s="15"/>
      <c r="L156" s="15"/>
      <c r="M156" s="15"/>
      <c r="N156" s="15"/>
      <c r="O156" s="15"/>
      <c r="P156" s="15"/>
      <c r="Q156" s="15"/>
    </row>
    <row r="157" spans="2:17" x14ac:dyDescent="0.2">
      <c r="B157" t="s">
        <v>1521</v>
      </c>
      <c r="C157" s="72" t="s">
        <v>2864</v>
      </c>
      <c r="D157" s="51" t="s">
        <v>423</v>
      </c>
      <c r="E157" s="74">
        <v>-7.1602007918543001E-2</v>
      </c>
      <c r="F157" s="74">
        <v>1.6123003819097498E-2</v>
      </c>
      <c r="G157" s="74">
        <v>9.1737528020654899E-6</v>
      </c>
      <c r="H157" s="74">
        <v>5.2315184898265403E-5</v>
      </c>
      <c r="I157" s="74">
        <v>9.3964167050282499E-5</v>
      </c>
      <c r="J157" s="74">
        <v>9.6783092061790994E-3</v>
      </c>
      <c r="K157" s="15"/>
      <c r="L157" s="15"/>
      <c r="M157" s="15"/>
      <c r="N157" s="15"/>
      <c r="O157" s="15"/>
      <c r="P157" s="15"/>
      <c r="Q157" s="15"/>
    </row>
    <row r="158" spans="2:17" x14ac:dyDescent="0.2">
      <c r="B158" t="s">
        <v>1521</v>
      </c>
      <c r="C158" s="72" t="s">
        <v>2864</v>
      </c>
      <c r="D158" s="51" t="s">
        <v>427</v>
      </c>
      <c r="E158" s="74">
        <v>-7.2626892076493102E-2</v>
      </c>
      <c r="F158" s="74">
        <v>1.6461911080688101E-2</v>
      </c>
      <c r="G158" s="74">
        <v>1.0490247994839401E-5</v>
      </c>
      <c r="H158" s="74">
        <v>5.8248482287134398E-5</v>
      </c>
      <c r="I158" s="74">
        <v>1.04407656929769E-4</v>
      </c>
      <c r="J158" s="74">
        <v>1.1067211634555501E-2</v>
      </c>
      <c r="K158" s="15"/>
      <c r="L158" s="15"/>
      <c r="M158" s="15"/>
      <c r="N158" s="15"/>
      <c r="O158" s="15"/>
      <c r="P158" s="15"/>
      <c r="Q158" s="15"/>
    </row>
    <row r="159" spans="2:17" x14ac:dyDescent="0.2">
      <c r="B159" t="s">
        <v>1521</v>
      </c>
      <c r="C159" s="72" t="s">
        <v>2864</v>
      </c>
      <c r="D159" t="s">
        <v>429</v>
      </c>
      <c r="E159" s="15">
        <v>-2.1652225268201802E-2</v>
      </c>
      <c r="F159" s="15">
        <v>1.6477833330776601E-2</v>
      </c>
      <c r="G159" s="15">
        <v>0.18890858698323201</v>
      </c>
      <c r="H159" s="15">
        <v>0.23040295869053201</v>
      </c>
      <c r="I159" s="15">
        <v>0.33383343260856002</v>
      </c>
      <c r="J159" s="15">
        <v>1</v>
      </c>
      <c r="K159" s="15"/>
      <c r="L159" s="15"/>
      <c r="M159" s="15"/>
      <c r="N159" s="15"/>
      <c r="O159" s="15"/>
      <c r="P159" s="15"/>
      <c r="Q159" s="15"/>
    </row>
    <row r="160" spans="2:17" x14ac:dyDescent="0.2">
      <c r="B160" t="s">
        <v>1521</v>
      </c>
      <c r="C160" s="72" t="s">
        <v>2864</v>
      </c>
      <c r="D160" t="s">
        <v>434</v>
      </c>
      <c r="E160" s="15">
        <v>-5.95016591138329E-2</v>
      </c>
      <c r="F160" s="15">
        <v>1.6641305416377698E-2</v>
      </c>
      <c r="G160" s="15">
        <v>3.5315219738827198E-4</v>
      </c>
      <c r="H160" s="15">
        <v>1.1121658753571E-3</v>
      </c>
      <c r="I160" s="15">
        <v>1.9817849374714198E-3</v>
      </c>
      <c r="J160" s="15">
        <v>0.37257556824462701</v>
      </c>
      <c r="K160" s="15"/>
      <c r="L160" s="15"/>
      <c r="M160" s="15"/>
      <c r="N160" s="15"/>
      <c r="O160" s="15"/>
      <c r="P160" s="15"/>
      <c r="Q160" s="15"/>
    </row>
    <row r="161" spans="2:17" x14ac:dyDescent="0.2">
      <c r="B161" t="s">
        <v>1521</v>
      </c>
      <c r="C161" s="72" t="s">
        <v>2864</v>
      </c>
      <c r="D161" t="s">
        <v>438</v>
      </c>
      <c r="E161" s="15">
        <v>-5.5810002452932099E-2</v>
      </c>
      <c r="F161" s="15">
        <v>1.6290237488684099E-2</v>
      </c>
      <c r="G161" s="15">
        <v>6.1782826715224299E-4</v>
      </c>
      <c r="H161" s="15">
        <v>1.81058006068227E-3</v>
      </c>
      <c r="I161" s="15">
        <v>3.14883488814307E-3</v>
      </c>
      <c r="J161" s="15">
        <v>0.65180882184561595</v>
      </c>
      <c r="K161" s="15"/>
      <c r="L161" s="15"/>
      <c r="M161" s="15"/>
      <c r="N161" s="15"/>
      <c r="O161" s="15"/>
      <c r="P161" s="15"/>
      <c r="Q161" s="15"/>
    </row>
    <row r="162" spans="2:17" x14ac:dyDescent="0.2">
      <c r="B162" t="s">
        <v>1521</v>
      </c>
      <c r="C162" s="72" t="s">
        <v>2864</v>
      </c>
      <c r="D162" s="51" t="s">
        <v>443</v>
      </c>
      <c r="E162" s="74">
        <v>-8.2119789516360994E-2</v>
      </c>
      <c r="F162" s="74">
        <v>1.65995854515802E-2</v>
      </c>
      <c r="G162" s="74">
        <v>7.8058206036462802E-7</v>
      </c>
      <c r="H162" s="74">
        <v>6.8626172807056803E-6</v>
      </c>
      <c r="I162" s="74">
        <v>1.3282485059430401E-5</v>
      </c>
      <c r="J162" s="74">
        <v>8.2351407368468196E-4</v>
      </c>
      <c r="K162" s="15"/>
      <c r="L162" s="15"/>
      <c r="M162" s="15"/>
      <c r="N162" s="15"/>
      <c r="O162" s="15"/>
      <c r="P162" s="15"/>
      <c r="Q162" s="15"/>
    </row>
    <row r="163" spans="2:17" x14ac:dyDescent="0.2">
      <c r="B163" t="s">
        <v>1521</v>
      </c>
      <c r="C163" s="72" t="s">
        <v>2864</v>
      </c>
      <c r="D163" t="s">
        <v>447</v>
      </c>
      <c r="E163" s="15">
        <v>-2.21017764329745E-2</v>
      </c>
      <c r="F163" s="15">
        <v>1.65060764021225E-2</v>
      </c>
      <c r="G163" s="15">
        <v>0.18064014059094</v>
      </c>
      <c r="H163" s="15">
        <v>0.22289514423794299</v>
      </c>
      <c r="I163" s="15">
        <v>0.32410773524394798</v>
      </c>
      <c r="J163" s="15">
        <v>1</v>
      </c>
      <c r="K163" s="15"/>
      <c r="L163" s="15"/>
      <c r="M163" s="15"/>
      <c r="N163" s="15"/>
      <c r="O163" s="15"/>
      <c r="P163" s="15"/>
      <c r="Q163" s="15"/>
    </row>
    <row r="164" spans="2:17" x14ac:dyDescent="0.2">
      <c r="B164" t="s">
        <v>1521</v>
      </c>
      <c r="C164" s="72" t="s">
        <v>2864</v>
      </c>
      <c r="D164" s="51" t="s">
        <v>339</v>
      </c>
      <c r="E164" s="74">
        <v>-9.7497248063591696E-2</v>
      </c>
      <c r="F164" s="74">
        <v>1.8302816270828502E-2</v>
      </c>
      <c r="G164" s="74">
        <v>1.0585082191226999E-7</v>
      </c>
      <c r="H164" s="74">
        <v>1.4889682282325999E-6</v>
      </c>
      <c r="I164" s="74">
        <v>2.7918154279361199E-6</v>
      </c>
      <c r="J164" s="74">
        <v>1.1167261711744501E-4</v>
      </c>
      <c r="K164" s="15"/>
      <c r="L164" s="15"/>
      <c r="M164" s="15"/>
      <c r="N164" s="15"/>
      <c r="O164" s="15"/>
      <c r="P164" s="15"/>
      <c r="Q164" s="15"/>
    </row>
    <row r="165" spans="2:17" x14ac:dyDescent="0.2">
      <c r="B165" t="s">
        <v>1521</v>
      </c>
      <c r="C165" s="72" t="s">
        <v>2864</v>
      </c>
      <c r="D165" s="51" t="s">
        <v>340</v>
      </c>
      <c r="E165" s="74">
        <v>-8.8967174787074998E-2</v>
      </c>
      <c r="F165" s="74">
        <v>1.8428832887004299E-2</v>
      </c>
      <c r="G165" s="74">
        <v>1.43644548226557E-6</v>
      </c>
      <c r="H165" s="74">
        <v>1.16573075676168E-5</v>
      </c>
      <c r="I165" s="74">
        <v>2.1047916441530299E-5</v>
      </c>
      <c r="J165" s="74">
        <v>1.5154499837901801E-3</v>
      </c>
      <c r="K165" s="15"/>
      <c r="L165" s="15"/>
      <c r="M165" s="15"/>
      <c r="N165" s="15"/>
      <c r="O165" s="15"/>
      <c r="P165" s="15"/>
      <c r="Q165" s="15"/>
    </row>
    <row r="166" spans="2:17" x14ac:dyDescent="0.2">
      <c r="B166" t="s">
        <v>1521</v>
      </c>
      <c r="C166" s="72" t="s">
        <v>2864</v>
      </c>
      <c r="D166" s="51" t="s">
        <v>341</v>
      </c>
      <c r="E166" s="74">
        <v>-0.11881295734525101</v>
      </c>
      <c r="F166" s="74">
        <v>1.83641065255448E-2</v>
      </c>
      <c r="G166" s="74">
        <v>1.10685676705569E-10</v>
      </c>
      <c r="H166" s="74">
        <v>5.2358252192947201E-9</v>
      </c>
      <c r="I166" s="74">
        <v>8.9825683787981299E-9</v>
      </c>
      <c r="J166" s="74">
        <v>1.16773388924376E-7</v>
      </c>
      <c r="K166" s="15"/>
      <c r="L166" s="15"/>
      <c r="M166" s="15"/>
      <c r="N166" s="15"/>
      <c r="O166" s="15"/>
      <c r="P166" s="15"/>
      <c r="Q166" s="15"/>
    </row>
    <row r="167" spans="2:17" x14ac:dyDescent="0.2">
      <c r="B167" t="s">
        <v>1521</v>
      </c>
      <c r="C167" s="72" t="s">
        <v>2864</v>
      </c>
      <c r="D167" s="51" t="s">
        <v>343</v>
      </c>
      <c r="E167" s="74">
        <v>-0.115319385518801</v>
      </c>
      <c r="F167" s="74">
        <v>1.8333261736806199E-2</v>
      </c>
      <c r="G167" s="74">
        <v>3.5319218364996102E-10</v>
      </c>
      <c r="H167" s="74">
        <v>1.24205917916903E-8</v>
      </c>
      <c r="I167" s="74">
        <v>2.1918691397100501E-8</v>
      </c>
      <c r="J167" s="74">
        <v>3.72617753750708E-7</v>
      </c>
      <c r="K167" s="15"/>
      <c r="L167" s="15"/>
      <c r="M167" s="15"/>
      <c r="N167" s="15"/>
      <c r="O167" s="15"/>
      <c r="P167" s="15"/>
      <c r="Q167" s="15"/>
    </row>
    <row r="168" spans="2:17" x14ac:dyDescent="0.2">
      <c r="B168" t="s">
        <v>1521</v>
      </c>
      <c r="C168" s="72" t="s">
        <v>2864</v>
      </c>
      <c r="D168" s="51" t="s">
        <v>344</v>
      </c>
      <c r="E168" s="74">
        <v>-8.6869301117178499E-2</v>
      </c>
      <c r="F168" s="74">
        <v>1.8131703535082502E-2</v>
      </c>
      <c r="G168" s="74">
        <v>1.7223342941475399E-6</v>
      </c>
      <c r="H168" s="74">
        <v>1.3459723557967799E-5</v>
      </c>
      <c r="I168" s="74">
        <v>2.45549010854818E-5</v>
      </c>
      <c r="J168" s="74">
        <v>1.8170626803256499E-3</v>
      </c>
      <c r="K168" s="15"/>
      <c r="L168" s="15"/>
      <c r="M168" s="15"/>
      <c r="N168" s="15"/>
      <c r="O168" s="15"/>
      <c r="P168" s="15"/>
      <c r="Q168" s="15"/>
    </row>
    <row r="169" spans="2:17" x14ac:dyDescent="0.2">
      <c r="B169" t="s">
        <v>1521</v>
      </c>
      <c r="C169" s="72" t="s">
        <v>2864</v>
      </c>
      <c r="D169" s="51" t="s">
        <v>348</v>
      </c>
      <c r="E169" s="74">
        <v>-9.7929525246386206E-2</v>
      </c>
      <c r="F169" s="74">
        <v>1.8324781071325999E-2</v>
      </c>
      <c r="G169" s="74">
        <v>9.6349653114328098E-8</v>
      </c>
      <c r="H169" s="74">
        <v>1.4521269147945199E-6</v>
      </c>
      <c r="I169" s="74">
        <v>2.6063816419388801E-6</v>
      </c>
      <c r="J169" s="74">
        <v>1.0164888403561601E-4</v>
      </c>
      <c r="K169" s="15"/>
      <c r="L169" s="15"/>
      <c r="M169" s="15"/>
      <c r="N169" s="15"/>
      <c r="O169" s="15"/>
      <c r="P169" s="15"/>
      <c r="Q169" s="15"/>
    </row>
    <row r="170" spans="2:17" x14ac:dyDescent="0.2">
      <c r="B170" t="s">
        <v>1521</v>
      </c>
      <c r="C170" s="72" t="s">
        <v>2864</v>
      </c>
      <c r="D170" s="51" t="s">
        <v>349</v>
      </c>
      <c r="E170" s="74">
        <v>-0.107037639650001</v>
      </c>
      <c r="F170" s="74">
        <v>1.84712242386657E-2</v>
      </c>
      <c r="G170" s="74">
        <v>7.4046469773821697E-9</v>
      </c>
      <c r="H170" s="74">
        <v>1.95297564028455E-7</v>
      </c>
      <c r="I170" s="74">
        <v>3.2549594004742499E-7</v>
      </c>
      <c r="J170" s="74">
        <v>7.81190256113819E-6</v>
      </c>
      <c r="K170" s="15"/>
      <c r="L170" s="15"/>
      <c r="M170" s="15"/>
      <c r="N170" s="15"/>
      <c r="O170" s="15"/>
      <c r="P170" s="15"/>
      <c r="Q170" s="15"/>
    </row>
    <row r="171" spans="2:17" x14ac:dyDescent="0.2">
      <c r="B171" t="s">
        <v>1521</v>
      </c>
      <c r="C171" s="72" t="s">
        <v>2864</v>
      </c>
      <c r="D171" s="51" t="s">
        <v>350</v>
      </c>
      <c r="E171" s="74">
        <v>-0.115126006900601</v>
      </c>
      <c r="F171" s="74">
        <v>1.8466662073111699E-2</v>
      </c>
      <c r="G171" s="74">
        <v>5.0409209527217705E-10</v>
      </c>
      <c r="H171" s="74">
        <v>1.5194776014632801E-8</v>
      </c>
      <c r="I171" s="74">
        <v>2.7990376869060402E-8</v>
      </c>
      <c r="J171" s="74">
        <v>5.3181716051214696E-7</v>
      </c>
      <c r="K171" s="15"/>
      <c r="L171" s="15"/>
      <c r="M171" s="15"/>
      <c r="N171" s="15"/>
      <c r="O171" s="15"/>
      <c r="P171" s="15"/>
      <c r="Q171" s="15"/>
    </row>
    <row r="172" spans="2:17" x14ac:dyDescent="0.2">
      <c r="B172" t="s">
        <v>1521</v>
      </c>
      <c r="C172" s="72" t="s">
        <v>2864</v>
      </c>
      <c r="D172" t="s">
        <v>353</v>
      </c>
      <c r="E172" s="15">
        <v>-7.1425882630648599E-2</v>
      </c>
      <c r="F172" s="15">
        <v>1.8395311405297401E-2</v>
      </c>
      <c r="G172" s="15">
        <v>1.05005141929757E-4</v>
      </c>
      <c r="H172" s="15">
        <v>3.6926808245297702E-4</v>
      </c>
      <c r="I172" s="15">
        <v>6.5376092694923403E-4</v>
      </c>
      <c r="J172" s="15">
        <v>0.110780424735893</v>
      </c>
      <c r="K172" s="15"/>
      <c r="L172" s="15"/>
      <c r="M172" s="15"/>
      <c r="N172" s="15"/>
      <c r="O172" s="15"/>
      <c r="P172" s="15"/>
      <c r="Q172" s="15"/>
    </row>
    <row r="173" spans="2:17" x14ac:dyDescent="0.2">
      <c r="B173" t="s">
        <v>1521</v>
      </c>
      <c r="C173" s="72" t="s">
        <v>2864</v>
      </c>
      <c r="D173" t="s">
        <v>1100</v>
      </c>
      <c r="E173" s="15">
        <v>-1.4627027874964499E-2</v>
      </c>
      <c r="F173" s="15">
        <v>1.49904604314916E-2</v>
      </c>
      <c r="G173" s="15">
        <v>0.32924443948312998</v>
      </c>
      <c r="H173" s="15">
        <v>0.37755748223337199</v>
      </c>
      <c r="I173" s="15">
        <v>0.49621840522100302</v>
      </c>
      <c r="J173" s="15">
        <v>1</v>
      </c>
      <c r="K173" s="15"/>
      <c r="L173" s="15"/>
      <c r="M173" s="15"/>
      <c r="N173" s="15"/>
      <c r="O173" s="15"/>
      <c r="P173" s="15"/>
      <c r="Q173" s="15"/>
    </row>
    <row r="174" spans="2:17" x14ac:dyDescent="0.2">
      <c r="B174" t="s">
        <v>1521</v>
      </c>
      <c r="C174" s="72" t="s">
        <v>2864</v>
      </c>
      <c r="D174" t="s">
        <v>1102</v>
      </c>
      <c r="E174" s="15">
        <v>-2.1382408314597399E-2</v>
      </c>
      <c r="F174" s="15">
        <v>1.50258923589716E-2</v>
      </c>
      <c r="G174" s="15">
        <v>0.154803200541449</v>
      </c>
      <c r="H174" s="15">
        <v>0.201626390828678</v>
      </c>
      <c r="I174" s="15">
        <v>0.29320893459825698</v>
      </c>
      <c r="J174" s="15">
        <v>1</v>
      </c>
      <c r="K174" s="15"/>
      <c r="L174" s="15"/>
      <c r="M174" s="15"/>
      <c r="N174" s="15"/>
      <c r="O174" s="15"/>
      <c r="P174" s="15"/>
      <c r="Q174" s="15"/>
    </row>
    <row r="175" spans="2:17" x14ac:dyDescent="0.2">
      <c r="B175" t="s">
        <v>1521</v>
      </c>
      <c r="C175" s="72" t="s">
        <v>2864</v>
      </c>
      <c r="D175" t="s">
        <v>1103</v>
      </c>
      <c r="E175" s="15">
        <v>-9.7716422290047393E-3</v>
      </c>
      <c r="F175" s="15">
        <v>1.5696433115275198E-2</v>
      </c>
      <c r="G175" s="15">
        <v>0.53362435887128101</v>
      </c>
      <c r="H175" s="15">
        <v>0.57740892165046298</v>
      </c>
      <c r="I175" s="15">
        <v>0.69076527436711799</v>
      </c>
      <c r="J175" s="15">
        <v>1</v>
      </c>
      <c r="K175" s="15"/>
      <c r="L175" s="15"/>
      <c r="M175" s="15"/>
      <c r="N175" s="15"/>
      <c r="O175" s="15"/>
      <c r="P175" s="15"/>
      <c r="Q175" s="15"/>
    </row>
    <row r="176" spans="2:17" x14ac:dyDescent="0.2">
      <c r="B176" t="s">
        <v>1521</v>
      </c>
      <c r="C176" s="72" t="s">
        <v>2864</v>
      </c>
      <c r="D176" t="s">
        <v>1126</v>
      </c>
      <c r="E176" s="15">
        <v>-9.2841356807148501E-2</v>
      </c>
      <c r="F176" s="15">
        <v>2.3191746186426099E-2</v>
      </c>
      <c r="G176" s="15">
        <v>6.4584595730527697E-5</v>
      </c>
      <c r="H176" s="15">
        <v>2.5711980564417701E-4</v>
      </c>
      <c r="I176" s="15">
        <v>4.4183523988866298E-4</v>
      </c>
      <c r="J176" s="15">
        <v>6.8136748495706806E-2</v>
      </c>
      <c r="K176" s="15"/>
      <c r="L176" s="15"/>
      <c r="M176" s="15"/>
      <c r="N176" s="15"/>
      <c r="O176" s="15"/>
      <c r="P176" s="15"/>
      <c r="Q176" s="15"/>
    </row>
    <row r="177" spans="2:17" x14ac:dyDescent="0.2">
      <c r="B177" t="s">
        <v>1521</v>
      </c>
      <c r="C177" s="72" t="s">
        <v>2864</v>
      </c>
      <c r="D177" t="s">
        <v>1128</v>
      </c>
      <c r="E177" s="15">
        <v>-7.1631025858280795E-2</v>
      </c>
      <c r="F177" s="15">
        <v>2.3755645148748099E-2</v>
      </c>
      <c r="G177" s="15">
        <v>2.5968743868821399E-3</v>
      </c>
      <c r="H177" s="15">
        <v>5.9558749525231601E-3</v>
      </c>
      <c r="I177" s="15">
        <v>1.0338499917587399E-2</v>
      </c>
      <c r="J177" s="15">
        <v>1</v>
      </c>
      <c r="K177" s="15"/>
      <c r="L177" s="15"/>
      <c r="M177" s="15"/>
      <c r="N177" s="15"/>
      <c r="O177" s="15"/>
      <c r="P177" s="15"/>
      <c r="Q177" s="15"/>
    </row>
    <row r="178" spans="2:17" x14ac:dyDescent="0.2">
      <c r="B178" t="s">
        <v>1521</v>
      </c>
      <c r="C178" s="72" t="s">
        <v>2864</v>
      </c>
      <c r="D178" t="s">
        <v>1129</v>
      </c>
      <c r="E178" s="15">
        <v>-9.4288535123728201E-2</v>
      </c>
      <c r="F178" s="15">
        <v>2.3849856124916101E-2</v>
      </c>
      <c r="G178" s="15">
        <v>7.9583273305195695E-5</v>
      </c>
      <c r="H178" s="15">
        <v>3.05310375770842E-4</v>
      </c>
      <c r="I178" s="15">
        <v>5.3139464137330096E-4</v>
      </c>
      <c r="J178" s="15">
        <v>8.39603533369815E-2</v>
      </c>
      <c r="K178" s="15"/>
      <c r="L178" s="15"/>
      <c r="M178" s="15"/>
      <c r="N178" s="15"/>
      <c r="O178" s="15"/>
      <c r="P178" s="15"/>
      <c r="Q178" s="15"/>
    </row>
    <row r="179" spans="2:17" x14ac:dyDescent="0.2">
      <c r="B179" t="s">
        <v>1521</v>
      </c>
      <c r="C179" s="72" t="s">
        <v>2864</v>
      </c>
      <c r="D179" t="s">
        <v>596</v>
      </c>
      <c r="E179" s="15">
        <v>-6.2086405848787503E-2</v>
      </c>
      <c r="F179" s="15">
        <v>2.3405259569007499E-2</v>
      </c>
      <c r="G179" s="15">
        <v>8.0422922602821894E-3</v>
      </c>
      <c r="H179" s="15">
        <v>1.5287600602878801E-2</v>
      </c>
      <c r="I179" s="15">
        <v>2.5867738824992999E-2</v>
      </c>
      <c r="J179" s="15">
        <v>1</v>
      </c>
      <c r="K179" s="15"/>
      <c r="L179" s="15"/>
      <c r="M179" s="15"/>
      <c r="N179" s="15"/>
      <c r="O179" s="15"/>
      <c r="P179" s="15"/>
      <c r="Q179" s="15"/>
    </row>
    <row r="180" spans="2:17" x14ac:dyDescent="0.2">
      <c r="B180" t="s">
        <v>1521</v>
      </c>
      <c r="C180" s="72" t="s">
        <v>2864</v>
      </c>
      <c r="D180" s="51" t="s">
        <v>597</v>
      </c>
      <c r="E180" s="74">
        <v>-0.115295049529824</v>
      </c>
      <c r="F180" s="74">
        <v>2.3370902127169801E-2</v>
      </c>
      <c r="G180" s="74">
        <v>8.6969831936283795E-7</v>
      </c>
      <c r="H180" s="74">
        <v>7.3402538154223498E-6</v>
      </c>
      <c r="I180" s="74">
        <v>1.45639956655205E-5</v>
      </c>
      <c r="J180" s="74">
        <v>9.1753172692779299E-4</v>
      </c>
      <c r="K180" s="15"/>
      <c r="L180" s="15"/>
      <c r="M180" s="15"/>
      <c r="N180" s="15"/>
      <c r="O180" s="15"/>
      <c r="P180" s="15"/>
      <c r="Q180" s="15"/>
    </row>
    <row r="181" spans="2:17" x14ac:dyDescent="0.2">
      <c r="B181" t="s">
        <v>1521</v>
      </c>
      <c r="C181" s="72" t="s">
        <v>2864</v>
      </c>
      <c r="D181" t="s">
        <v>598</v>
      </c>
      <c r="E181" s="15">
        <v>-7.9774694285257394E-2</v>
      </c>
      <c r="F181" s="15">
        <v>2.31674521603513E-2</v>
      </c>
      <c r="G181" s="15">
        <v>5.8521464519536797E-4</v>
      </c>
      <c r="H181" s="15">
        <v>1.7391590160031401E-3</v>
      </c>
      <c r="I181" s="15">
        <v>3.0117143935664099E-3</v>
      </c>
      <c r="J181" s="15">
        <v>0.61740145068111296</v>
      </c>
      <c r="K181" s="15"/>
      <c r="L181" s="15"/>
      <c r="M181" s="15"/>
      <c r="N181" s="15"/>
      <c r="O181" s="15"/>
      <c r="P181" s="15"/>
      <c r="Q181" s="15"/>
    </row>
    <row r="182" spans="2:17" x14ac:dyDescent="0.2">
      <c r="B182" t="s">
        <v>1521</v>
      </c>
      <c r="C182" s="72" t="s">
        <v>2864</v>
      </c>
      <c r="D182" t="s">
        <v>599</v>
      </c>
      <c r="E182" s="15">
        <v>-6.3612371307291596E-2</v>
      </c>
      <c r="F182" s="15">
        <v>2.3179037380517398E-2</v>
      </c>
      <c r="G182" s="15">
        <v>6.1114418187673799E-3</v>
      </c>
      <c r="H182" s="15">
        <v>1.2165228526037001E-2</v>
      </c>
      <c r="I182" s="15">
        <v>2.0599268750158401E-2</v>
      </c>
      <c r="J182" s="15">
        <v>1</v>
      </c>
      <c r="K182" s="15"/>
      <c r="L182" s="15"/>
      <c r="M182" s="15"/>
      <c r="N182" s="15"/>
      <c r="O182" s="15"/>
      <c r="P182" s="15"/>
      <c r="Q182" s="15"/>
    </row>
    <row r="183" spans="2:17" x14ac:dyDescent="0.2">
      <c r="B183" t="s">
        <v>1521</v>
      </c>
      <c r="C183" s="72" t="s">
        <v>2864</v>
      </c>
      <c r="D183" t="s">
        <v>600</v>
      </c>
      <c r="E183" s="15">
        <v>-3.2431516918594902E-2</v>
      </c>
      <c r="F183" s="15">
        <v>2.3314299668375799E-2</v>
      </c>
      <c r="G183" s="15">
        <v>0.16435442503907199</v>
      </c>
      <c r="H183" s="15">
        <v>0.21145599806856299</v>
      </c>
      <c r="I183" s="15">
        <v>0.30623206093718802</v>
      </c>
      <c r="J183" s="15">
        <v>1</v>
      </c>
      <c r="K183" s="15"/>
      <c r="L183" s="15"/>
      <c r="M183" s="15"/>
      <c r="N183" s="15"/>
      <c r="O183" s="15"/>
      <c r="P183" s="15"/>
      <c r="Q183" s="15"/>
    </row>
    <row r="184" spans="2:17" x14ac:dyDescent="0.2">
      <c r="B184" t="s">
        <v>1521</v>
      </c>
      <c r="C184" s="72" t="s">
        <v>2864</v>
      </c>
      <c r="D184" t="s">
        <v>602</v>
      </c>
      <c r="E184" s="15">
        <v>-4.6217429105895602E-2</v>
      </c>
      <c r="F184" s="15">
        <v>2.2992491161256901E-2</v>
      </c>
      <c r="G184" s="15">
        <v>4.4540363842579998E-2</v>
      </c>
      <c r="H184" s="15">
        <v>6.7611631444492004E-2</v>
      </c>
      <c r="I184" s="15">
        <v>0.109025716598427</v>
      </c>
      <c r="J184" s="15">
        <v>1</v>
      </c>
      <c r="K184" s="15"/>
      <c r="L184" s="15"/>
      <c r="M184" s="15"/>
      <c r="N184" s="15"/>
      <c r="O184" s="15"/>
      <c r="P184" s="15"/>
      <c r="Q184" s="15"/>
    </row>
    <row r="185" spans="2:17" x14ac:dyDescent="0.2">
      <c r="B185" t="s">
        <v>1521</v>
      </c>
      <c r="C185" s="72" t="s">
        <v>2864</v>
      </c>
      <c r="D185" t="s">
        <v>606</v>
      </c>
      <c r="E185" s="15">
        <v>-6.0663329409723597E-2</v>
      </c>
      <c r="F185" s="15">
        <v>2.3159387608297801E-2</v>
      </c>
      <c r="G185" s="15">
        <v>8.8687226364993002E-3</v>
      </c>
      <c r="H185" s="15">
        <v>1.6414916458783801E-2</v>
      </c>
      <c r="I185" s="15">
        <v>2.79374179369547E-2</v>
      </c>
      <c r="J185" s="15">
        <v>1</v>
      </c>
      <c r="K185" s="15"/>
      <c r="L185" s="15"/>
      <c r="M185" s="15"/>
      <c r="N185" s="15"/>
      <c r="O185" s="15"/>
      <c r="P185" s="15"/>
      <c r="Q185" s="15"/>
    </row>
    <row r="186" spans="2:17" x14ac:dyDescent="0.2">
      <c r="B186" t="s">
        <v>1521</v>
      </c>
      <c r="C186" s="72" t="s">
        <v>2864</v>
      </c>
      <c r="D186" t="s">
        <v>1151</v>
      </c>
      <c r="E186" s="15">
        <v>-1.1666807438905301E-2</v>
      </c>
      <c r="F186" s="15">
        <v>1.6752683143114101E-2</v>
      </c>
      <c r="G186" s="15">
        <v>0.48620561184530398</v>
      </c>
      <c r="H186" s="15">
        <v>0.53155121295004704</v>
      </c>
      <c r="I186" s="15">
        <v>0.65132432790401595</v>
      </c>
      <c r="J186" s="15">
        <v>1</v>
      </c>
      <c r="K186" s="15"/>
      <c r="L186" s="15"/>
      <c r="M186" s="15"/>
      <c r="N186" s="15"/>
      <c r="O186" s="15"/>
      <c r="P186" s="15"/>
      <c r="Q186" s="15"/>
    </row>
    <row r="187" spans="2:17" x14ac:dyDescent="0.2">
      <c r="B187" t="s">
        <v>1521</v>
      </c>
      <c r="C187" s="72" t="s">
        <v>2864</v>
      </c>
      <c r="D187" t="s">
        <v>1144</v>
      </c>
      <c r="E187" s="15">
        <v>-2.6275545625851202E-2</v>
      </c>
      <c r="F187" s="15">
        <v>1.6666983130863001E-2</v>
      </c>
      <c r="G187" s="15">
        <v>0.114979414285467</v>
      </c>
      <c r="H187" s="15">
        <v>0.156520363962798</v>
      </c>
      <c r="I187" s="15">
        <v>0.23176179812618899</v>
      </c>
      <c r="J187" s="15">
        <v>1</v>
      </c>
      <c r="K187" s="15"/>
      <c r="L187" s="15"/>
      <c r="M187" s="15"/>
      <c r="N187" s="15"/>
      <c r="O187" s="15"/>
      <c r="P187" s="15"/>
      <c r="Q187" s="15"/>
    </row>
    <row r="188" spans="2:17" x14ac:dyDescent="0.2">
      <c r="B188" t="s">
        <v>1521</v>
      </c>
      <c r="C188" s="72" t="s">
        <v>2864</v>
      </c>
      <c r="D188" t="s">
        <v>1167</v>
      </c>
      <c r="E188" s="15">
        <v>-4.7259785470066602E-2</v>
      </c>
      <c r="F188" s="15">
        <v>1.6395100966050399E-2</v>
      </c>
      <c r="G188" s="15">
        <v>3.9638217451410602E-3</v>
      </c>
      <c r="H188" s="15">
        <v>8.5343509002527001E-3</v>
      </c>
      <c r="I188" s="15">
        <v>1.45708430004314E-2</v>
      </c>
      <c r="J188" s="15">
        <v>1</v>
      </c>
      <c r="K188" s="15"/>
      <c r="L188" s="15"/>
      <c r="M188" s="15"/>
      <c r="N188" s="15"/>
      <c r="O188" s="15"/>
      <c r="P188" s="15"/>
      <c r="Q188" s="15"/>
    </row>
    <row r="189" spans="2:17" x14ac:dyDescent="0.2">
      <c r="B189" t="s">
        <v>1521</v>
      </c>
      <c r="C189" s="72" t="s">
        <v>2864</v>
      </c>
      <c r="D189" t="s">
        <v>1168</v>
      </c>
      <c r="E189" s="15">
        <v>-2.7971716912826201E-2</v>
      </c>
      <c r="F189" s="15">
        <v>1.6417503879687802E-2</v>
      </c>
      <c r="G189" s="15">
        <v>8.84934215427855E-2</v>
      </c>
      <c r="H189" s="15">
        <v>0.12616291855086301</v>
      </c>
      <c r="I189" s="15">
        <v>0.18818194735055099</v>
      </c>
      <c r="J189" s="15">
        <v>1</v>
      </c>
      <c r="K189" s="15"/>
      <c r="L189" s="15"/>
      <c r="M189" s="15"/>
      <c r="N189" s="15"/>
      <c r="O189" s="15"/>
      <c r="P189" s="15"/>
      <c r="Q189" s="15"/>
    </row>
    <row r="190" spans="2:17" x14ac:dyDescent="0.2">
      <c r="B190" t="s">
        <v>1521</v>
      </c>
      <c r="C190" s="72" t="s">
        <v>2864</v>
      </c>
      <c r="D190" t="s">
        <v>1169</v>
      </c>
      <c r="E190" s="15">
        <v>-4.4067976590626001E-2</v>
      </c>
      <c r="F190" s="15">
        <v>1.6366728182948799E-2</v>
      </c>
      <c r="G190" s="15">
        <v>7.1184113709851999E-3</v>
      </c>
      <c r="H190" s="15">
        <v>1.4037241114746499E-2</v>
      </c>
      <c r="I190" s="15">
        <v>2.3542081493383701E-2</v>
      </c>
      <c r="J190" s="15">
        <v>1</v>
      </c>
      <c r="K190" s="15"/>
      <c r="L190" s="15"/>
      <c r="M190" s="15"/>
      <c r="N190" s="15"/>
      <c r="O190" s="15"/>
      <c r="P190" s="15"/>
      <c r="Q190" s="15"/>
    </row>
    <row r="191" spans="2:17" x14ac:dyDescent="0.2">
      <c r="B191" t="s">
        <v>1521</v>
      </c>
      <c r="C191" s="72" t="s">
        <v>2864</v>
      </c>
      <c r="D191" t="s">
        <v>1173</v>
      </c>
      <c r="E191" s="15">
        <v>-5.1361801536503902E-2</v>
      </c>
      <c r="F191" s="15">
        <v>1.6626782275968598E-2</v>
      </c>
      <c r="G191" s="15">
        <v>2.0197846078074998E-3</v>
      </c>
      <c r="H191" s="15">
        <v>4.9525072899243901E-3</v>
      </c>
      <c r="I191" s="15">
        <v>8.4967014651610995E-3</v>
      </c>
      <c r="J191" s="15">
        <v>1</v>
      </c>
      <c r="K191" s="15"/>
      <c r="L191" s="15"/>
      <c r="M191" s="15"/>
      <c r="N191" s="15"/>
      <c r="O191" s="15"/>
      <c r="P191" s="15"/>
      <c r="Q191" s="15"/>
    </row>
    <row r="192" spans="2:17" x14ac:dyDescent="0.2">
      <c r="B192" t="s">
        <v>1521</v>
      </c>
      <c r="C192" s="72" t="s">
        <v>2864</v>
      </c>
      <c r="D192" t="s">
        <v>1162</v>
      </c>
      <c r="E192" s="15">
        <v>-5.2862327587760202E-2</v>
      </c>
      <c r="F192" s="15">
        <v>1.6198326256565299E-2</v>
      </c>
      <c r="G192" s="15">
        <v>1.1089073728301499E-3</v>
      </c>
      <c r="H192" s="15">
        <v>2.92474319583951E-3</v>
      </c>
      <c r="I192" s="15">
        <v>5.1537325036819497E-3</v>
      </c>
      <c r="J192" s="15">
        <v>1</v>
      </c>
      <c r="K192" s="15"/>
      <c r="L192" s="15"/>
      <c r="M192" s="15"/>
      <c r="N192" s="15"/>
      <c r="O192" s="15"/>
      <c r="P192" s="15"/>
      <c r="Q192" s="15"/>
    </row>
    <row r="193" spans="2:17" x14ac:dyDescent="0.2">
      <c r="B193" t="s">
        <v>1521</v>
      </c>
      <c r="C193" s="72" t="s">
        <v>2864</v>
      </c>
      <c r="D193" t="s">
        <v>1161</v>
      </c>
      <c r="E193" s="15">
        <v>4.4151542030822097E-2</v>
      </c>
      <c r="F193" s="15">
        <v>1.6604003179852399E-2</v>
      </c>
      <c r="G193" s="15">
        <v>7.8640730502654594E-3</v>
      </c>
      <c r="H193" s="15">
        <v>1.5084721941872801E-2</v>
      </c>
      <c r="I193" s="15">
        <v>2.5371856477156101E-2</v>
      </c>
      <c r="J193" s="15">
        <v>1</v>
      </c>
      <c r="K193" s="15"/>
      <c r="L193" s="15"/>
      <c r="M193" s="15"/>
      <c r="N193" s="15"/>
      <c r="O193" s="15"/>
      <c r="P193" s="15"/>
      <c r="Q193" s="15"/>
    </row>
    <row r="194" spans="2:17" x14ac:dyDescent="0.2">
      <c r="B194" t="s">
        <v>1521</v>
      </c>
      <c r="C194" s="72" t="s">
        <v>2864</v>
      </c>
      <c r="D194" t="s">
        <v>1325</v>
      </c>
      <c r="E194" s="15">
        <v>6.8951039977259196E-2</v>
      </c>
      <c r="F194" s="15">
        <v>8.2720629952333605E-2</v>
      </c>
      <c r="G194" s="15">
        <v>0.40453966172015499</v>
      </c>
      <c r="H194" s="15">
        <v>0.44925194012080299</v>
      </c>
      <c r="I194" s="15">
        <v>0.57441365156764901</v>
      </c>
      <c r="J194" s="15">
        <v>1</v>
      </c>
      <c r="K194" s="15"/>
      <c r="L194" s="15"/>
      <c r="M194" s="15"/>
      <c r="N194" s="15"/>
      <c r="O194" s="15"/>
      <c r="P194" s="15"/>
      <c r="Q194" s="15"/>
    </row>
    <row r="195" spans="2:17" x14ac:dyDescent="0.2">
      <c r="B195" t="s">
        <v>1521</v>
      </c>
      <c r="C195" s="72" t="s">
        <v>2864</v>
      </c>
      <c r="D195" t="s">
        <v>727</v>
      </c>
      <c r="E195" s="15">
        <v>-2.4716147008021799E-2</v>
      </c>
      <c r="F195" s="15">
        <v>5.2388963379948798E-2</v>
      </c>
      <c r="G195" s="15">
        <v>0.63708271240440295</v>
      </c>
      <c r="H195" s="15">
        <v>0.67549976038858806</v>
      </c>
      <c r="I195" s="15">
        <v>0.78244733595651295</v>
      </c>
      <c r="J195" s="15">
        <v>1</v>
      </c>
      <c r="K195" s="15"/>
      <c r="L195" s="15"/>
      <c r="M195" s="15"/>
      <c r="N195" s="15"/>
      <c r="O195" s="15"/>
      <c r="P195" s="15"/>
      <c r="Q195" s="15"/>
    </row>
    <row r="196" spans="2:17" x14ac:dyDescent="0.2">
      <c r="B196" t="s">
        <v>1521</v>
      </c>
      <c r="C196" s="72" t="s">
        <v>2864</v>
      </c>
      <c r="D196" t="s">
        <v>734</v>
      </c>
      <c r="E196" s="15">
        <v>-4.1742756547444297E-2</v>
      </c>
      <c r="F196" s="15">
        <v>5.9148934988920002E-2</v>
      </c>
      <c r="G196" s="15">
        <v>0.48036049160673899</v>
      </c>
      <c r="H196" s="15">
        <v>0.52789616525532301</v>
      </c>
      <c r="I196" s="15">
        <v>0.64804785637015705</v>
      </c>
      <c r="J196" s="15">
        <v>1</v>
      </c>
      <c r="K196" s="15"/>
      <c r="L196" s="15"/>
      <c r="M196" s="15"/>
      <c r="N196" s="15"/>
      <c r="O196" s="15"/>
      <c r="P196" s="15"/>
      <c r="Q196" s="15"/>
    </row>
    <row r="197" spans="2:17" x14ac:dyDescent="0.2">
      <c r="B197" t="s">
        <v>1521</v>
      </c>
      <c r="C197" s="72" t="s">
        <v>2864</v>
      </c>
      <c r="D197" t="s">
        <v>736</v>
      </c>
      <c r="E197" s="15">
        <v>-0.13097048425328101</v>
      </c>
      <c r="F197" s="15">
        <v>7.4191943764673599E-2</v>
      </c>
      <c r="G197" s="15">
        <v>7.7514614003492993E-2</v>
      </c>
      <c r="H197" s="15">
        <v>0.112797127963704</v>
      </c>
      <c r="I197" s="15">
        <v>0.17037066202851101</v>
      </c>
      <c r="J197" s="15">
        <v>1</v>
      </c>
      <c r="K197" s="15"/>
      <c r="L197" s="15"/>
      <c r="M197" s="15"/>
      <c r="N197" s="15"/>
      <c r="O197" s="15"/>
      <c r="P197" s="15"/>
      <c r="Q197" s="15"/>
    </row>
    <row r="198" spans="2:17" x14ac:dyDescent="0.2">
      <c r="B198" t="s">
        <v>1521</v>
      </c>
      <c r="C198" s="72" t="s">
        <v>2864</v>
      </c>
      <c r="D198" t="s">
        <v>748</v>
      </c>
      <c r="E198" s="15">
        <v>-8.1790289525044899E-2</v>
      </c>
      <c r="F198" s="15">
        <v>7.5044214229125106E-2</v>
      </c>
      <c r="G198" s="15">
        <v>0.275759542274438</v>
      </c>
      <c r="H198" s="15">
        <v>0.32255215771019002</v>
      </c>
      <c r="I198" s="15">
        <v>0.43880289155283903</v>
      </c>
      <c r="J198" s="15">
        <v>1</v>
      </c>
      <c r="K198" s="15"/>
      <c r="L198" s="15"/>
      <c r="M198" s="15"/>
      <c r="N198" s="15"/>
      <c r="O198" s="15"/>
      <c r="P198" s="15"/>
      <c r="Q198" s="15"/>
    </row>
    <row r="199" spans="2:17" x14ac:dyDescent="0.2">
      <c r="B199" t="s">
        <v>1521</v>
      </c>
      <c r="C199" s="72" t="s">
        <v>2864</v>
      </c>
      <c r="D199" t="s">
        <v>754</v>
      </c>
      <c r="E199" s="15">
        <v>-0.118696072463288</v>
      </c>
      <c r="F199" s="15">
        <v>4.96518623506206E-2</v>
      </c>
      <c r="G199" s="15">
        <v>1.6822408208391901E-2</v>
      </c>
      <c r="H199" s="15">
        <v>2.88579522924447E-2</v>
      </c>
      <c r="I199" s="15">
        <v>4.8623673040694503E-2</v>
      </c>
      <c r="J199" s="15">
        <v>1</v>
      </c>
      <c r="K199" s="15"/>
      <c r="L199" s="15"/>
      <c r="M199" s="15"/>
      <c r="N199" s="15"/>
      <c r="O199" s="15"/>
      <c r="P199" s="15"/>
      <c r="Q199" s="15"/>
    </row>
    <row r="200" spans="2:17" x14ac:dyDescent="0.2">
      <c r="B200" t="s">
        <v>1521</v>
      </c>
      <c r="C200" s="72" t="s">
        <v>2864</v>
      </c>
      <c r="D200" t="s">
        <v>755</v>
      </c>
      <c r="E200" s="15">
        <v>-0.16697777896336899</v>
      </c>
      <c r="F200" s="15">
        <v>6.0555703608466398E-2</v>
      </c>
      <c r="G200" s="15">
        <v>5.8258670546637902E-3</v>
      </c>
      <c r="H200" s="15">
        <v>1.1806646035566399E-2</v>
      </c>
      <c r="I200" s="15">
        <v>1.9995126350555999E-2</v>
      </c>
      <c r="J200" s="15">
        <v>1</v>
      </c>
      <c r="K200" s="15"/>
      <c r="L200" s="15"/>
      <c r="M200" s="15"/>
      <c r="N200" s="15"/>
      <c r="O200" s="15"/>
      <c r="P200" s="15"/>
      <c r="Q200" s="15"/>
    </row>
    <row r="201" spans="2:17" x14ac:dyDescent="0.2">
      <c r="B201" t="s">
        <v>1521</v>
      </c>
      <c r="C201" s="72" t="s">
        <v>2864</v>
      </c>
      <c r="D201" t="s">
        <v>1422</v>
      </c>
      <c r="E201" s="15">
        <v>2.8430076836899701E-2</v>
      </c>
      <c r="F201" s="15">
        <v>5.4875230851622402E-2</v>
      </c>
      <c r="G201" s="15">
        <v>0.60439842045021996</v>
      </c>
      <c r="H201" s="15">
        <v>0.65065340160712404</v>
      </c>
      <c r="I201" s="15">
        <v>0.75729255769000203</v>
      </c>
      <c r="J201" s="15">
        <v>1</v>
      </c>
      <c r="K201" s="15"/>
      <c r="L201" s="15"/>
      <c r="M201" s="15"/>
      <c r="N201" s="15"/>
      <c r="O201" s="15"/>
      <c r="P201" s="15"/>
      <c r="Q201" s="15"/>
    </row>
    <row r="202" spans="2:17" x14ac:dyDescent="0.2">
      <c r="B202" t="s">
        <v>1521</v>
      </c>
      <c r="C202" s="72" t="s">
        <v>2864</v>
      </c>
      <c r="D202" t="s">
        <v>1433</v>
      </c>
      <c r="E202" s="15">
        <v>-0.18648038995320099</v>
      </c>
      <c r="F202" s="15">
        <v>6.4807105110459798E-2</v>
      </c>
      <c r="G202" s="15">
        <v>4.00880197655733E-3</v>
      </c>
      <c r="H202" s="15">
        <v>8.5440122934706802E-3</v>
      </c>
      <c r="I202" s="15">
        <v>1.46342079075017E-2</v>
      </c>
      <c r="J202" s="15">
        <v>1</v>
      </c>
      <c r="K202" s="15"/>
      <c r="L202" s="15"/>
      <c r="M202" s="15"/>
      <c r="N202" s="15"/>
      <c r="O202" s="15"/>
      <c r="P202" s="15"/>
      <c r="Q202" s="15"/>
    </row>
    <row r="203" spans="2:17" x14ac:dyDescent="0.2">
      <c r="B203" t="s">
        <v>1521</v>
      </c>
      <c r="C203" s="72" t="s">
        <v>2864</v>
      </c>
      <c r="D203" s="51" t="s">
        <v>1455</v>
      </c>
      <c r="E203" s="74">
        <v>-0.38620107693630301</v>
      </c>
      <c r="F203" s="74">
        <v>7.6126051120562005E-2</v>
      </c>
      <c r="G203" s="74">
        <v>3.9122435517141898E-7</v>
      </c>
      <c r="H203" s="74">
        <v>4.3446494179562797E-6</v>
      </c>
      <c r="I203" s="74">
        <v>7.7875791453933399E-6</v>
      </c>
      <c r="J203" s="74">
        <v>4.1274169470584699E-4</v>
      </c>
      <c r="K203" s="15"/>
      <c r="L203" s="15"/>
      <c r="M203" s="15"/>
      <c r="N203" s="15"/>
      <c r="O203" s="15"/>
      <c r="P203" s="15"/>
      <c r="Q203" s="15"/>
    </row>
    <row r="204" spans="2:17" x14ac:dyDescent="0.2">
      <c r="B204" t="s">
        <v>1521</v>
      </c>
      <c r="C204" s="72" t="s">
        <v>2864</v>
      </c>
      <c r="D204" t="s">
        <v>1461</v>
      </c>
      <c r="E204" s="15">
        <v>-0.216597564443331</v>
      </c>
      <c r="F204" s="15">
        <v>7.2676728565679194E-2</v>
      </c>
      <c r="G204" s="15">
        <v>2.87977721605854E-3</v>
      </c>
      <c r="H204" s="15">
        <v>6.5336880923478804E-3</v>
      </c>
      <c r="I204" s="15">
        <v>1.1169724128462399E-2</v>
      </c>
      <c r="J204" s="15">
        <v>1</v>
      </c>
      <c r="K204" s="15"/>
      <c r="L204" s="15"/>
      <c r="M204" s="15"/>
      <c r="N204" s="15"/>
      <c r="O204" s="15"/>
      <c r="P204" s="15"/>
      <c r="Q204" s="15"/>
    </row>
    <row r="205" spans="2:17" x14ac:dyDescent="0.2">
      <c r="B205" t="s">
        <v>1521</v>
      </c>
      <c r="C205" s="72" t="s">
        <v>2864</v>
      </c>
      <c r="D205" s="51" t="s">
        <v>1462</v>
      </c>
      <c r="E205" s="74">
        <v>-0.39654098208622801</v>
      </c>
      <c r="F205" s="74">
        <v>9.5832349687040505E-2</v>
      </c>
      <c r="G205" s="74">
        <v>3.5055799240099398E-5</v>
      </c>
      <c r="H205" s="74">
        <v>1.5409945082627E-4</v>
      </c>
      <c r="I205" s="74">
        <v>2.6799904491525299E-4</v>
      </c>
      <c r="J205" s="74">
        <v>3.6983868198304903E-2</v>
      </c>
      <c r="K205" s="15"/>
      <c r="L205" s="15"/>
      <c r="M205" s="15"/>
      <c r="N205" s="15"/>
      <c r="O205" s="15"/>
      <c r="P205" s="15"/>
      <c r="Q205" s="15"/>
    </row>
    <row r="206" spans="2:17" x14ac:dyDescent="0.2">
      <c r="B206" t="s">
        <v>1521</v>
      </c>
      <c r="C206" s="72" t="s">
        <v>2864</v>
      </c>
      <c r="D206" t="s">
        <v>1472</v>
      </c>
      <c r="E206" s="15">
        <v>-0.30921441865525501</v>
      </c>
      <c r="F206" s="15">
        <v>7.6449975332155501E-2</v>
      </c>
      <c r="G206" s="15">
        <v>5.2398348041719999E-5</v>
      </c>
      <c r="H206" s="15">
        <v>2.1678532229025299E-4</v>
      </c>
      <c r="I206" s="15">
        <v>3.7100843747660798E-4</v>
      </c>
      <c r="J206" s="15">
        <v>5.5280257184014601E-2</v>
      </c>
      <c r="K206" s="15"/>
      <c r="L206" s="15"/>
      <c r="M206" s="15"/>
      <c r="N206" s="15"/>
      <c r="O206" s="15"/>
      <c r="P206" s="15"/>
      <c r="Q206" s="15"/>
    </row>
    <row r="207" spans="2:17" x14ac:dyDescent="0.2">
      <c r="B207" t="s">
        <v>1521</v>
      </c>
      <c r="C207" s="72" t="s">
        <v>2864</v>
      </c>
      <c r="D207" t="s">
        <v>1476</v>
      </c>
      <c r="E207" s="15">
        <v>-7.9109632115363204E-2</v>
      </c>
      <c r="F207" s="15">
        <v>5.0181896478356899E-2</v>
      </c>
      <c r="G207" s="15">
        <v>0.11492038274801999</v>
      </c>
      <c r="H207" s="15">
        <v>0.156520363962798</v>
      </c>
      <c r="I207" s="15">
        <v>0.23176179812618899</v>
      </c>
      <c r="J207" s="15">
        <v>1</v>
      </c>
      <c r="K207" s="15"/>
      <c r="L207" s="15"/>
      <c r="M207" s="15"/>
      <c r="N207" s="15"/>
      <c r="O207" s="15"/>
      <c r="P207" s="15"/>
      <c r="Q207" s="15"/>
    </row>
    <row r="208" spans="2:17" x14ac:dyDescent="0.2">
      <c r="B208" t="s">
        <v>1521</v>
      </c>
      <c r="C208" s="72" t="s">
        <v>2864</v>
      </c>
      <c r="D208" t="s">
        <v>3221</v>
      </c>
      <c r="E208" s="15">
        <v>-5.5103810153148802E-2</v>
      </c>
      <c r="F208" s="15">
        <v>5.7020344741608699E-2</v>
      </c>
      <c r="G208" s="15">
        <v>0.33384977487942402</v>
      </c>
      <c r="H208" s="15">
        <v>0.37875038409710299</v>
      </c>
      <c r="I208" s="15">
        <v>0.50134804943466404</v>
      </c>
      <c r="J208" s="15">
        <v>1</v>
      </c>
      <c r="K208" s="15"/>
      <c r="L208" s="15"/>
      <c r="M208" s="15"/>
      <c r="N208" s="15"/>
      <c r="O208" s="15"/>
      <c r="P208" s="15"/>
      <c r="Q208" s="15"/>
    </row>
    <row r="209" spans="2:17" x14ac:dyDescent="0.2">
      <c r="B209" t="s">
        <v>1521</v>
      </c>
      <c r="C209" s="72" t="s">
        <v>2864</v>
      </c>
      <c r="D209" t="s">
        <v>3222</v>
      </c>
      <c r="E209" s="15">
        <v>-0.27268687951910903</v>
      </c>
      <c r="F209" s="15">
        <v>7.22136300987926E-2</v>
      </c>
      <c r="G209" s="15">
        <v>1.59294284748559E-4</v>
      </c>
      <c r="H209" s="15">
        <v>5.5100154232698201E-4</v>
      </c>
      <c r="I209" s="15">
        <v>9.6583603683752497E-4</v>
      </c>
      <c r="J209" s="15">
        <v>0.16805547040972901</v>
      </c>
      <c r="K209" s="15"/>
      <c r="L209" s="15"/>
      <c r="M209" s="15"/>
      <c r="N209" s="15"/>
      <c r="O209" s="15"/>
      <c r="P209" s="15"/>
      <c r="Q209" s="15"/>
    </row>
    <row r="210" spans="2:17" x14ac:dyDescent="0.2">
      <c r="B210" t="s">
        <v>1521</v>
      </c>
      <c r="C210" s="72" t="s">
        <v>2864</v>
      </c>
      <c r="D210" t="s">
        <v>3223</v>
      </c>
      <c r="E210" s="15">
        <v>6.8223602766571606E-2</v>
      </c>
      <c r="F210" s="15">
        <v>4.5522448094658698E-2</v>
      </c>
      <c r="G210" s="15">
        <v>0.13395655213066299</v>
      </c>
      <c r="H210" s="15">
        <v>0.17889134493398601</v>
      </c>
      <c r="I210" s="15">
        <v>0.26122765711247498</v>
      </c>
      <c r="J210" s="15">
        <v>1</v>
      </c>
      <c r="K210" s="15"/>
      <c r="L210" s="15"/>
      <c r="M210" s="15"/>
      <c r="N210" s="15"/>
      <c r="O210" s="15"/>
      <c r="P210" s="15"/>
      <c r="Q210" s="15"/>
    </row>
    <row r="211" spans="2:17" x14ac:dyDescent="0.2">
      <c r="B211" t="s">
        <v>1521</v>
      </c>
      <c r="C211" s="72" t="s">
        <v>2864</v>
      </c>
      <c r="D211" t="s">
        <v>784</v>
      </c>
      <c r="E211" s="15">
        <v>-7.3298897100298804E-3</v>
      </c>
      <c r="F211" s="15">
        <v>1.5110104370664601E-2</v>
      </c>
      <c r="G211" s="15">
        <v>0.62763228969733398</v>
      </c>
      <c r="H211" s="15">
        <v>0.67223559962506396</v>
      </c>
      <c r="I211" s="15">
        <v>0.77354213274613004</v>
      </c>
      <c r="J211" s="15">
        <v>1</v>
      </c>
      <c r="K211" s="15"/>
      <c r="L211" s="15"/>
      <c r="M211" s="15"/>
      <c r="N211" s="15"/>
      <c r="O211" s="15"/>
      <c r="P211" s="15"/>
      <c r="Q211" s="15"/>
    </row>
    <row r="212" spans="2:17" x14ac:dyDescent="0.2">
      <c r="B212" t="s">
        <v>1521</v>
      </c>
      <c r="C212" s="72" t="s">
        <v>2864</v>
      </c>
      <c r="D212" t="s">
        <v>788</v>
      </c>
      <c r="E212" s="15">
        <v>8.0055612435954795E-4</v>
      </c>
      <c r="F212" s="15">
        <v>1.54570568028672E-2</v>
      </c>
      <c r="G212" s="15">
        <v>0.95869684452614801</v>
      </c>
      <c r="H212" s="15">
        <v>0.95869684452614801</v>
      </c>
      <c r="I212" s="15">
        <v>0.96972691368656405</v>
      </c>
      <c r="J212" s="15">
        <v>1</v>
      </c>
      <c r="K212" s="15"/>
      <c r="L212" s="15"/>
      <c r="M212" s="15"/>
      <c r="N212" s="15"/>
      <c r="O212" s="15"/>
      <c r="P212" s="15"/>
      <c r="Q212" s="15"/>
    </row>
    <row r="213" spans="2:17" x14ac:dyDescent="0.2">
      <c r="B213" t="s">
        <v>1521</v>
      </c>
      <c r="C213" s="72" t="s">
        <v>2864</v>
      </c>
      <c r="D213" t="s">
        <v>794</v>
      </c>
      <c r="E213" s="15">
        <v>-4.7084154735131598E-2</v>
      </c>
      <c r="F213" s="15">
        <v>1.4310071653975799E-2</v>
      </c>
      <c r="G213" s="15">
        <v>1.00890337949027E-3</v>
      </c>
      <c r="H213" s="15">
        <v>2.7292129881082801E-3</v>
      </c>
      <c r="I213" s="15">
        <v>4.8602423075901E-3</v>
      </c>
      <c r="J213" s="15">
        <v>1</v>
      </c>
      <c r="K213" s="15"/>
      <c r="L213" s="15"/>
      <c r="M213" s="15"/>
      <c r="N213" s="15"/>
      <c r="O213" s="15"/>
      <c r="P213" s="15"/>
      <c r="Q213" s="15"/>
    </row>
    <row r="214" spans="2:17" x14ac:dyDescent="0.2">
      <c r="B214" t="s">
        <v>1521</v>
      </c>
      <c r="C214" s="72" t="s">
        <v>2864</v>
      </c>
      <c r="D214" t="s">
        <v>814</v>
      </c>
      <c r="E214" s="15">
        <v>1.6839186997720901E-2</v>
      </c>
      <c r="F214" s="15">
        <v>1.54782118076083E-2</v>
      </c>
      <c r="G214" s="15">
        <v>0.27669166135328999</v>
      </c>
      <c r="H214" s="15">
        <v>0.32255215771019002</v>
      </c>
      <c r="I214" s="15">
        <v>0.43962304627668902</v>
      </c>
      <c r="J214" s="15">
        <v>1</v>
      </c>
      <c r="K214" s="15"/>
      <c r="L214" s="15"/>
      <c r="M214" s="15"/>
      <c r="N214" s="15"/>
      <c r="O214" s="15"/>
      <c r="P214" s="15"/>
      <c r="Q214" s="15"/>
    </row>
    <row r="215" spans="2:17" x14ac:dyDescent="0.2">
      <c r="B215" t="s">
        <v>1521</v>
      </c>
      <c r="C215" s="72" t="s">
        <v>2864</v>
      </c>
      <c r="D215" t="s">
        <v>94</v>
      </c>
      <c r="E215" s="15">
        <v>-1.9212746664372601E-2</v>
      </c>
      <c r="F215" s="15">
        <v>1.36681188779631E-2</v>
      </c>
      <c r="G215" s="15">
        <v>0.15990641108112599</v>
      </c>
      <c r="H215" s="15">
        <v>0.20699541557127299</v>
      </c>
      <c r="I215" s="15">
        <v>0.30071526504561102</v>
      </c>
      <c r="J215" s="15">
        <v>1</v>
      </c>
      <c r="K215" s="15"/>
      <c r="L215" s="15"/>
      <c r="M215" s="15"/>
      <c r="N215" s="15"/>
      <c r="O215" s="15"/>
      <c r="P215" s="15"/>
      <c r="Q215" s="15"/>
    </row>
    <row r="216" spans="2:17" x14ac:dyDescent="0.2">
      <c r="B216" t="s">
        <v>1531</v>
      </c>
      <c r="C216" s="72" t="s">
        <v>2863</v>
      </c>
      <c r="D216" t="s">
        <v>784</v>
      </c>
      <c r="E216" s="15">
        <v>2.39094167580781E-2</v>
      </c>
      <c r="F216" s="15">
        <v>1.7072843942351201E-2</v>
      </c>
      <c r="G216" s="15">
        <v>0.161456837722871</v>
      </c>
      <c r="H216" s="15">
        <v>0.60834629927724504</v>
      </c>
      <c r="I216" s="15">
        <v>0.30201589325820699</v>
      </c>
      <c r="J216" s="15">
        <v>1</v>
      </c>
      <c r="K216" s="15"/>
      <c r="L216" s="15"/>
      <c r="M216" s="15"/>
      <c r="N216" s="15"/>
      <c r="O216" s="15"/>
      <c r="P216" s="15"/>
      <c r="Q216" s="15"/>
    </row>
    <row r="217" spans="2:17" x14ac:dyDescent="0.2">
      <c r="B217" t="s">
        <v>1531</v>
      </c>
      <c r="C217" s="72" t="s">
        <v>2863</v>
      </c>
      <c r="D217" t="s">
        <v>788</v>
      </c>
      <c r="E217" s="15">
        <v>3.0133092852540899E-2</v>
      </c>
      <c r="F217" s="15">
        <v>1.7487491802171601E-2</v>
      </c>
      <c r="G217" s="15">
        <v>8.4943102373743098E-2</v>
      </c>
      <c r="H217" s="15">
        <v>0.46701971979144602</v>
      </c>
      <c r="I217" s="15">
        <v>0.182515219968022</v>
      </c>
      <c r="J217" s="15">
        <v>1</v>
      </c>
      <c r="K217" s="15"/>
      <c r="L217" s="15"/>
      <c r="M217" s="15"/>
      <c r="N217" s="15"/>
      <c r="O217" s="15"/>
      <c r="P217" s="15"/>
      <c r="Q217" s="15"/>
    </row>
    <row r="218" spans="2:17" x14ac:dyDescent="0.2">
      <c r="B218" t="s">
        <v>1531</v>
      </c>
      <c r="C218" s="72" t="s">
        <v>2863</v>
      </c>
      <c r="D218" t="s">
        <v>794</v>
      </c>
      <c r="E218" s="15">
        <v>-5.2330176417803603E-2</v>
      </c>
      <c r="F218" s="15">
        <v>1.6156420701044699E-2</v>
      </c>
      <c r="G218" s="15">
        <v>1.2085568896966999E-3</v>
      </c>
      <c r="H218" s="15">
        <v>6.3294811429452702E-2</v>
      </c>
      <c r="I218" s="15">
        <v>5.5571641975452604E-3</v>
      </c>
      <c r="J218" s="15">
        <v>1</v>
      </c>
      <c r="K218" s="15"/>
      <c r="L218" s="15"/>
      <c r="M218" s="15"/>
      <c r="N218" s="15"/>
      <c r="O218" s="15"/>
      <c r="P218" s="15"/>
      <c r="Q218" s="15"/>
    </row>
    <row r="219" spans="2:17" x14ac:dyDescent="0.2">
      <c r="B219" t="s">
        <v>1531</v>
      </c>
      <c r="C219" s="72" t="s">
        <v>2863</v>
      </c>
      <c r="D219" t="s">
        <v>814</v>
      </c>
      <c r="E219" s="15">
        <v>3.3504974230177703E-2</v>
      </c>
      <c r="F219" s="15">
        <v>1.74307625201995E-2</v>
      </c>
      <c r="G219" s="15">
        <v>5.46525698762068E-2</v>
      </c>
      <c r="H219" s="15">
        <v>0.39303449187164302</v>
      </c>
      <c r="I219" s="15">
        <v>0.12784581201640399</v>
      </c>
      <c r="J219" s="15">
        <v>1</v>
      </c>
      <c r="K219" s="15"/>
      <c r="L219" s="15"/>
      <c r="M219" s="15"/>
      <c r="N219" s="15"/>
      <c r="O219" s="15"/>
      <c r="P219" s="15"/>
      <c r="Q219" s="15"/>
    </row>
    <row r="220" spans="2:17" x14ac:dyDescent="0.2">
      <c r="B220" t="s">
        <v>1531</v>
      </c>
      <c r="C220" s="72" t="s">
        <v>2863</v>
      </c>
      <c r="D220" t="s">
        <v>94</v>
      </c>
      <c r="E220" s="15">
        <v>-5.8911906178915598E-2</v>
      </c>
      <c r="F220" s="15">
        <v>1.49520990095938E-2</v>
      </c>
      <c r="G220" s="15">
        <v>8.3109185961634106E-5</v>
      </c>
      <c r="H220" s="15">
        <v>8.7680191189524002E-3</v>
      </c>
      <c r="I220" s="15">
        <v>5.4800119493452501E-4</v>
      </c>
      <c r="J220" s="15">
        <v>8.7680191189523998E-2</v>
      </c>
      <c r="K220" s="15"/>
      <c r="L220" s="15"/>
      <c r="M220" s="15"/>
      <c r="N220" s="15"/>
      <c r="O220" s="15"/>
      <c r="P220" s="15"/>
      <c r="Q220" s="15"/>
    </row>
    <row r="221" spans="2:17" x14ac:dyDescent="0.2">
      <c r="B221" t="s">
        <v>1531</v>
      </c>
      <c r="C221" s="72" t="s">
        <v>2863</v>
      </c>
      <c r="D221" t="s">
        <v>117</v>
      </c>
      <c r="E221" s="15">
        <v>-2.2884775633082301E-3</v>
      </c>
      <c r="F221" s="15">
        <v>1.6856422843784101E-2</v>
      </c>
      <c r="G221" s="15">
        <v>0.89201486732187296</v>
      </c>
      <c r="H221" s="15">
        <v>0.96160164258419401</v>
      </c>
      <c r="I221" s="15">
        <v>0.93615570578594598</v>
      </c>
      <c r="J221" s="15">
        <v>1</v>
      </c>
      <c r="K221" s="15"/>
      <c r="L221" s="15"/>
      <c r="M221" s="15"/>
      <c r="N221" s="15"/>
      <c r="O221" s="15"/>
      <c r="P221" s="15"/>
      <c r="Q221" s="15"/>
    </row>
    <row r="222" spans="2:17" x14ac:dyDescent="0.2">
      <c r="B222" t="s">
        <v>1531</v>
      </c>
      <c r="C222" s="72" t="s">
        <v>2863</v>
      </c>
      <c r="D222" t="s">
        <v>861</v>
      </c>
      <c r="E222" s="15">
        <v>-2.5611947718347301E-2</v>
      </c>
      <c r="F222" s="15">
        <v>1.67612345640787E-2</v>
      </c>
      <c r="G222" s="15">
        <v>0.12657298750975399</v>
      </c>
      <c r="H222" s="15">
        <v>0.54503878295016295</v>
      </c>
      <c r="I222" s="15">
        <v>0.250064610155038</v>
      </c>
      <c r="J222" s="15">
        <v>1</v>
      </c>
      <c r="K222" s="15"/>
      <c r="L222" s="15"/>
      <c r="M222" s="15"/>
      <c r="N222" s="15"/>
      <c r="O222" s="15"/>
      <c r="P222" s="15"/>
      <c r="Q222" s="15"/>
    </row>
    <row r="223" spans="2:17" x14ac:dyDescent="0.2">
      <c r="B223" t="s">
        <v>1531</v>
      </c>
      <c r="C223" s="72" t="s">
        <v>2863</v>
      </c>
      <c r="D223" t="s">
        <v>862</v>
      </c>
      <c r="E223" s="15">
        <v>2.6783270703703801E-2</v>
      </c>
      <c r="F223" s="15">
        <v>1.6964061651889101E-2</v>
      </c>
      <c r="G223" s="15">
        <v>0.11445436335480901</v>
      </c>
      <c r="H223" s="15">
        <v>0.52499718843184195</v>
      </c>
      <c r="I223" s="15">
        <v>0.23176179812618899</v>
      </c>
      <c r="J223" s="15">
        <v>1</v>
      </c>
      <c r="K223" s="15"/>
      <c r="L223" s="15"/>
      <c r="M223" s="15"/>
      <c r="N223" s="15"/>
      <c r="O223" s="15"/>
      <c r="P223" s="15"/>
      <c r="Q223" s="15"/>
    </row>
    <row r="224" spans="2:17" x14ac:dyDescent="0.2">
      <c r="B224" t="s">
        <v>1531</v>
      </c>
      <c r="C224" s="72" t="s">
        <v>2863</v>
      </c>
      <c r="D224" t="s">
        <v>857</v>
      </c>
      <c r="E224" s="15">
        <v>-2.4497108082138001E-2</v>
      </c>
      <c r="F224" s="15">
        <v>1.6754539301041701E-2</v>
      </c>
      <c r="G224" s="15">
        <v>0.14377976978732701</v>
      </c>
      <c r="H224" s="15">
        <v>0.59170761668280103</v>
      </c>
      <c r="I224" s="15">
        <v>0.27645737548809801</v>
      </c>
      <c r="J224" s="15">
        <v>1</v>
      </c>
      <c r="K224" s="15"/>
      <c r="L224" s="15"/>
      <c r="M224" s="15"/>
      <c r="N224" s="15"/>
      <c r="O224" s="15"/>
      <c r="P224" s="15"/>
      <c r="Q224" s="15"/>
    </row>
    <row r="225" spans="2:17" x14ac:dyDescent="0.2">
      <c r="B225" t="s">
        <v>1531</v>
      </c>
      <c r="C225" s="72" t="s">
        <v>2863</v>
      </c>
      <c r="D225" t="s">
        <v>865</v>
      </c>
      <c r="E225" s="15">
        <v>-1.63371176617686E-2</v>
      </c>
      <c r="F225" s="15">
        <v>1.6616165436976402E-2</v>
      </c>
      <c r="G225" s="15">
        <v>0.32555779714493799</v>
      </c>
      <c r="H225" s="15">
        <v>0.720955693897255</v>
      </c>
      <c r="I225" s="15">
        <v>0.49348200572975498</v>
      </c>
      <c r="J225" s="15">
        <v>1</v>
      </c>
      <c r="K225" s="15"/>
      <c r="L225" s="15"/>
      <c r="M225" s="15"/>
      <c r="N225" s="15"/>
      <c r="O225" s="15"/>
      <c r="P225" s="15"/>
      <c r="Q225" s="15"/>
    </row>
    <row r="226" spans="2:17" x14ac:dyDescent="0.2">
      <c r="B226" t="s">
        <v>1531</v>
      </c>
      <c r="C226" s="72" t="s">
        <v>2863</v>
      </c>
      <c r="D226" t="s">
        <v>209</v>
      </c>
      <c r="E226" s="15">
        <v>8.6870953795336499E-3</v>
      </c>
      <c r="F226" s="15">
        <v>1.6343476938806101E-2</v>
      </c>
      <c r="G226" s="15">
        <v>0.59507475490756201</v>
      </c>
      <c r="H226" s="15">
        <v>0.89683700411488498</v>
      </c>
      <c r="I226" s="15">
        <v>0.74927125736827804</v>
      </c>
      <c r="J226" s="15">
        <v>1</v>
      </c>
      <c r="K226" s="15"/>
      <c r="L226" s="15"/>
      <c r="M226" s="15"/>
      <c r="N226" s="15"/>
      <c r="O226" s="15"/>
      <c r="P226" s="15"/>
      <c r="Q226" s="15"/>
    </row>
    <row r="227" spans="2:17" x14ac:dyDescent="0.2">
      <c r="B227" t="s">
        <v>1531</v>
      </c>
      <c r="C227" s="72" t="s">
        <v>2863</v>
      </c>
      <c r="D227" t="s">
        <v>208</v>
      </c>
      <c r="E227" s="15">
        <v>-1.34236156809713E-2</v>
      </c>
      <c r="F227" s="15">
        <v>1.6416011715909801E-2</v>
      </c>
      <c r="G227" s="15">
        <v>0.41356129554570997</v>
      </c>
      <c r="H227" s="15">
        <v>0.76192958198400595</v>
      </c>
      <c r="I227" s="15">
        <v>0.58019570053287794</v>
      </c>
      <c r="J227" s="15">
        <v>1</v>
      </c>
      <c r="K227" s="15"/>
      <c r="L227" s="15"/>
      <c r="M227" s="15"/>
      <c r="N227" s="15"/>
      <c r="O227" s="15"/>
      <c r="P227" s="15"/>
      <c r="Q227" s="15"/>
    </row>
    <row r="228" spans="2:17" x14ac:dyDescent="0.2">
      <c r="B228" t="s">
        <v>1531</v>
      </c>
      <c r="C228" s="72" t="s">
        <v>2863</v>
      </c>
      <c r="D228" t="s">
        <v>196</v>
      </c>
      <c r="E228" s="15">
        <v>-3.8821286265485901E-2</v>
      </c>
      <c r="F228" s="15">
        <v>1.6552136242453101E-2</v>
      </c>
      <c r="G228" s="15">
        <v>1.9048341755042199E-2</v>
      </c>
      <c r="H228" s="15">
        <v>0.26118609985727698</v>
      </c>
      <c r="I228" s="15">
        <v>5.3876677081955697E-2</v>
      </c>
      <c r="J228" s="15">
        <v>1</v>
      </c>
      <c r="K228" s="15"/>
      <c r="L228" s="15"/>
      <c r="M228" s="15"/>
      <c r="N228" s="15"/>
      <c r="O228" s="15"/>
      <c r="P228" s="15"/>
      <c r="Q228" s="15"/>
    </row>
    <row r="229" spans="2:17" x14ac:dyDescent="0.2">
      <c r="B229" t="s">
        <v>1531</v>
      </c>
      <c r="C229" s="72" t="s">
        <v>2863</v>
      </c>
      <c r="D229" t="s">
        <v>201</v>
      </c>
      <c r="E229" s="15">
        <v>2.8771252124284E-2</v>
      </c>
      <c r="F229" s="15">
        <v>1.6665960729529899E-2</v>
      </c>
      <c r="G229" s="15">
        <v>8.4350762853781194E-2</v>
      </c>
      <c r="H229" s="15">
        <v>0.46701971979144602</v>
      </c>
      <c r="I229" s="15">
        <v>0.182356669694138</v>
      </c>
      <c r="J229" s="15">
        <v>1</v>
      </c>
      <c r="K229" s="15"/>
      <c r="L229" s="15"/>
      <c r="M229" s="15"/>
      <c r="N229" s="15"/>
      <c r="O229" s="15"/>
      <c r="P229" s="15"/>
      <c r="Q229" s="15"/>
    </row>
    <row r="230" spans="2:17" x14ac:dyDescent="0.2">
      <c r="B230" t="s">
        <v>1531</v>
      </c>
      <c r="C230" s="72" t="s">
        <v>2863</v>
      </c>
      <c r="D230" t="s">
        <v>866</v>
      </c>
      <c r="E230" s="15">
        <v>-1.59858888503604E-2</v>
      </c>
      <c r="F230" s="15">
        <v>1.6703611664226001E-2</v>
      </c>
      <c r="G230" s="15">
        <v>0.33860205841516799</v>
      </c>
      <c r="H230" s="15">
        <v>0.72743637508213599</v>
      </c>
      <c r="I230" s="15">
        <v>0.50455532715819496</v>
      </c>
      <c r="J230" s="15">
        <v>1</v>
      </c>
      <c r="K230" s="15"/>
      <c r="L230" s="15"/>
      <c r="M230" s="15"/>
      <c r="N230" s="15"/>
      <c r="O230" s="15"/>
      <c r="P230" s="15"/>
      <c r="Q230" s="15"/>
    </row>
    <row r="231" spans="2:17" x14ac:dyDescent="0.2">
      <c r="B231" t="s">
        <v>1531</v>
      </c>
      <c r="C231" s="72" t="s">
        <v>2863</v>
      </c>
      <c r="D231" t="s">
        <v>869</v>
      </c>
      <c r="E231" s="15">
        <v>-2.0461414736552101E-2</v>
      </c>
      <c r="F231" s="15">
        <v>1.6656458705959099E-2</v>
      </c>
      <c r="G231" s="15">
        <v>0.21934637315837799</v>
      </c>
      <c r="H231" s="15">
        <v>0.65636669118294499</v>
      </c>
      <c r="I231" s="15">
        <v>0.37324261884207799</v>
      </c>
      <c r="J231" s="15">
        <v>1</v>
      </c>
      <c r="K231" s="15"/>
      <c r="L231" s="15"/>
      <c r="M231" s="15"/>
      <c r="N231" s="15"/>
      <c r="O231" s="15"/>
      <c r="P231" s="15"/>
      <c r="Q231" s="15"/>
    </row>
    <row r="232" spans="2:17" x14ac:dyDescent="0.2">
      <c r="B232" t="s">
        <v>1531</v>
      </c>
      <c r="C232" s="72" t="s">
        <v>2863</v>
      </c>
      <c r="D232" t="s">
        <v>169</v>
      </c>
      <c r="E232" s="15">
        <v>-2.7886512756786198E-2</v>
      </c>
      <c r="F232" s="15">
        <v>1.6422997360205398E-2</v>
      </c>
      <c r="G232" s="15">
        <v>8.9572306829229606E-2</v>
      </c>
      <c r="H232" s="15">
        <v>0.46701971979144602</v>
      </c>
      <c r="I232" s="15">
        <v>0.18899756740967399</v>
      </c>
      <c r="J232" s="15">
        <v>1</v>
      </c>
      <c r="K232" s="15"/>
      <c r="L232" s="15"/>
      <c r="M232" s="15"/>
      <c r="N232" s="15"/>
      <c r="O232" s="15"/>
      <c r="P232" s="15"/>
      <c r="Q232" s="15"/>
    </row>
    <row r="233" spans="2:17" x14ac:dyDescent="0.2">
      <c r="B233" t="s">
        <v>1531</v>
      </c>
      <c r="C233" s="72" t="s">
        <v>2863</v>
      </c>
      <c r="D233" t="s">
        <v>172</v>
      </c>
      <c r="E233" s="15">
        <v>1.6710737615064999E-2</v>
      </c>
      <c r="F233" s="15">
        <v>1.6388991922309699E-2</v>
      </c>
      <c r="G233" s="15">
        <v>0.30795618896783</v>
      </c>
      <c r="H233" s="15">
        <v>0.70677758698842397</v>
      </c>
      <c r="I233" s="15">
        <v>0.473932492732763</v>
      </c>
      <c r="J233" s="15">
        <v>1</v>
      </c>
      <c r="K233" s="15"/>
      <c r="L233" s="15"/>
      <c r="M233" s="15"/>
      <c r="N233" s="15"/>
      <c r="O233" s="15"/>
      <c r="P233" s="15"/>
      <c r="Q233" s="15"/>
    </row>
    <row r="234" spans="2:17" x14ac:dyDescent="0.2">
      <c r="B234" t="s">
        <v>1531</v>
      </c>
      <c r="C234" s="72" t="s">
        <v>2863</v>
      </c>
      <c r="D234" t="s">
        <v>174</v>
      </c>
      <c r="E234" s="15">
        <v>6.5687907142634604E-4</v>
      </c>
      <c r="F234" s="15">
        <v>1.6594345102696799E-2</v>
      </c>
      <c r="G234" s="15">
        <v>0.96842612598769995</v>
      </c>
      <c r="H234" s="15">
        <v>0.97825821204873598</v>
      </c>
      <c r="I234" s="15">
        <v>0.97603971010609902</v>
      </c>
      <c r="J234" s="15">
        <v>1</v>
      </c>
      <c r="K234" s="15"/>
      <c r="L234" s="15"/>
      <c r="M234" s="15"/>
      <c r="N234" s="15"/>
      <c r="O234" s="15"/>
      <c r="P234" s="15"/>
      <c r="Q234" s="15"/>
    </row>
    <row r="235" spans="2:17" x14ac:dyDescent="0.2">
      <c r="B235" t="s">
        <v>1531</v>
      </c>
      <c r="C235" s="72" t="s">
        <v>2863</v>
      </c>
      <c r="D235" t="s">
        <v>175</v>
      </c>
      <c r="E235" s="15">
        <v>-1.55791599504454E-3</v>
      </c>
      <c r="F235" s="15">
        <v>1.6580119453330901E-2</v>
      </c>
      <c r="G235" s="15">
        <v>0.92514281253360897</v>
      </c>
      <c r="H235" s="15">
        <v>0.96160164258419401</v>
      </c>
      <c r="I235" s="15">
        <v>0.94667862970218997</v>
      </c>
      <c r="J235" s="15">
        <v>1</v>
      </c>
      <c r="K235" s="15"/>
      <c r="L235" s="15"/>
      <c r="M235" s="15"/>
      <c r="N235" s="15"/>
      <c r="O235" s="15"/>
      <c r="P235" s="15"/>
      <c r="Q235" s="15"/>
    </row>
    <row r="236" spans="2:17" x14ac:dyDescent="0.2">
      <c r="B236" t="s">
        <v>1531</v>
      </c>
      <c r="C236" s="72" t="s">
        <v>2863</v>
      </c>
      <c r="D236" t="s">
        <v>176</v>
      </c>
      <c r="E236" s="15">
        <v>-2.3211256223877999E-2</v>
      </c>
      <c r="F236" s="15">
        <v>1.6497773640801301E-2</v>
      </c>
      <c r="G236" s="15">
        <v>0.15951629922451499</v>
      </c>
      <c r="H236" s="15">
        <v>0.60834629927724504</v>
      </c>
      <c r="I236" s="15">
        <v>0.300646924176797</v>
      </c>
      <c r="J236" s="15">
        <v>1</v>
      </c>
      <c r="K236" s="15"/>
      <c r="L236" s="15"/>
      <c r="M236" s="15"/>
      <c r="N236" s="15"/>
      <c r="O236" s="15"/>
      <c r="P236" s="15"/>
      <c r="Q236" s="15"/>
    </row>
    <row r="237" spans="2:17" x14ac:dyDescent="0.2">
      <c r="B237" t="s">
        <v>1531</v>
      </c>
      <c r="C237" s="72" t="s">
        <v>2863</v>
      </c>
      <c r="D237" t="s">
        <v>177</v>
      </c>
      <c r="E237" s="15">
        <v>-2.6221932439446098E-3</v>
      </c>
      <c r="F237" s="15">
        <v>1.6369105231054198E-2</v>
      </c>
      <c r="G237" s="15">
        <v>0.87273717479274204</v>
      </c>
      <c r="H237" s="15">
        <v>0.96160164258419401</v>
      </c>
      <c r="I237" s="15">
        <v>0.93028616627232297</v>
      </c>
      <c r="J237" s="15">
        <v>1</v>
      </c>
      <c r="K237" s="15"/>
      <c r="L237" s="15"/>
      <c r="M237" s="15"/>
      <c r="N237" s="15"/>
      <c r="O237" s="15"/>
      <c r="P237" s="15"/>
      <c r="Q237" s="15"/>
    </row>
    <row r="238" spans="2:17" x14ac:dyDescent="0.2">
      <c r="B238" t="s">
        <v>1531</v>
      </c>
      <c r="C238" s="72" t="s">
        <v>2863</v>
      </c>
      <c r="D238" t="s">
        <v>178</v>
      </c>
      <c r="E238" s="15">
        <v>1.4063644594768601E-2</v>
      </c>
      <c r="F238" s="15">
        <v>1.6418257530513399E-2</v>
      </c>
      <c r="G238" s="15">
        <v>0.39171834120002902</v>
      </c>
      <c r="H238" s="15">
        <v>0.755690714478225</v>
      </c>
      <c r="I238" s="15">
        <v>0.56149843745384598</v>
      </c>
      <c r="J238" s="15">
        <v>1</v>
      </c>
      <c r="K238" s="15"/>
      <c r="L238" s="15"/>
      <c r="M238" s="15"/>
      <c r="N238" s="15"/>
      <c r="O238" s="15"/>
      <c r="P238" s="15"/>
      <c r="Q238" s="15"/>
    </row>
    <row r="239" spans="2:17" x14ac:dyDescent="0.2">
      <c r="B239" t="s">
        <v>1531</v>
      </c>
      <c r="C239" s="72" t="s">
        <v>2863</v>
      </c>
      <c r="D239" t="s">
        <v>179</v>
      </c>
      <c r="E239" s="15">
        <v>1.9545528973774099E-2</v>
      </c>
      <c r="F239" s="15">
        <v>1.6512139003828599E-2</v>
      </c>
      <c r="G239" s="15">
        <v>0.23659020334718101</v>
      </c>
      <c r="H239" s="15">
        <v>0.65636669118294499</v>
      </c>
      <c r="I239" s="15">
        <v>0.396559255460955</v>
      </c>
      <c r="J239" s="15">
        <v>1</v>
      </c>
      <c r="K239" s="15"/>
      <c r="L239" s="15"/>
      <c r="M239" s="15"/>
      <c r="N239" s="15"/>
      <c r="O239" s="15"/>
      <c r="P239" s="15"/>
      <c r="Q239" s="15"/>
    </row>
    <row r="240" spans="2:17" x14ac:dyDescent="0.2">
      <c r="B240" t="s">
        <v>1531</v>
      </c>
      <c r="C240" s="72" t="s">
        <v>2863</v>
      </c>
      <c r="D240" t="s">
        <v>193</v>
      </c>
      <c r="E240" s="15">
        <v>-8.2852361339696198E-3</v>
      </c>
      <c r="F240" s="15">
        <v>1.65334124068231E-2</v>
      </c>
      <c r="G240" s="15">
        <v>0.61630978955762195</v>
      </c>
      <c r="H240" s="15">
        <v>0.89683700411488498</v>
      </c>
      <c r="I240" s="15">
        <v>0.76478767742077503</v>
      </c>
      <c r="J240" s="15">
        <v>1</v>
      </c>
      <c r="K240" s="15"/>
      <c r="L240" s="15"/>
      <c r="M240" s="15"/>
      <c r="N240" s="15"/>
      <c r="O240" s="15"/>
      <c r="P240" s="15"/>
      <c r="Q240" s="15"/>
    </row>
    <row r="241" spans="2:17" x14ac:dyDescent="0.2">
      <c r="B241" t="s">
        <v>1531</v>
      </c>
      <c r="C241" s="72" t="s">
        <v>2863</v>
      </c>
      <c r="D241" t="s">
        <v>194</v>
      </c>
      <c r="E241" s="15">
        <v>-8.8202799584879699E-3</v>
      </c>
      <c r="F241" s="15">
        <v>1.6493756918697901E-2</v>
      </c>
      <c r="G241" s="15">
        <v>0.59283821969443296</v>
      </c>
      <c r="H241" s="15">
        <v>0.89683700411488498</v>
      </c>
      <c r="I241" s="15">
        <v>0.74856686119190596</v>
      </c>
      <c r="J241" s="15">
        <v>1</v>
      </c>
      <c r="K241" s="15"/>
      <c r="L241" s="15"/>
      <c r="M241" s="15"/>
      <c r="N241" s="15"/>
      <c r="O241" s="15"/>
      <c r="P241" s="15"/>
      <c r="Q241" s="15"/>
    </row>
    <row r="242" spans="2:17" x14ac:dyDescent="0.2">
      <c r="B242" t="s">
        <v>1531</v>
      </c>
      <c r="C242" s="72" t="s">
        <v>2863</v>
      </c>
      <c r="D242" t="s">
        <v>195</v>
      </c>
      <c r="E242" s="15">
        <v>2.0905280889032998E-2</v>
      </c>
      <c r="F242" s="15">
        <v>1.6435437294309099E-2</v>
      </c>
      <c r="G242" s="15">
        <v>0.20345033124721501</v>
      </c>
      <c r="H242" s="15">
        <v>0.64071671482331904</v>
      </c>
      <c r="I242" s="15">
        <v>0.35244679715240101</v>
      </c>
      <c r="J242" s="15">
        <v>1</v>
      </c>
      <c r="K242" s="15"/>
      <c r="L242" s="15"/>
      <c r="M242" s="15"/>
      <c r="N242" s="15"/>
      <c r="O242" s="15"/>
      <c r="P242" s="15"/>
      <c r="Q242" s="15"/>
    </row>
    <row r="243" spans="2:17" x14ac:dyDescent="0.2">
      <c r="B243" t="s">
        <v>1531</v>
      </c>
      <c r="C243" s="72" t="s">
        <v>2863</v>
      </c>
      <c r="D243" t="s">
        <v>890</v>
      </c>
      <c r="E243" s="15">
        <v>1.13955784164212E-2</v>
      </c>
      <c r="F243" s="15">
        <v>1.5999712031105701E-2</v>
      </c>
      <c r="G243" s="15">
        <v>0.47635506472717898</v>
      </c>
      <c r="H243" s="15">
        <v>0.82674155599889698</v>
      </c>
      <c r="I243" s="15">
        <v>0.64595706078042903</v>
      </c>
      <c r="J243" s="15">
        <v>1</v>
      </c>
      <c r="K243" s="15"/>
      <c r="L243" s="15"/>
      <c r="M243" s="15"/>
      <c r="N243" s="15"/>
      <c r="O243" s="15"/>
      <c r="P243" s="15"/>
      <c r="Q243" s="15"/>
    </row>
    <row r="244" spans="2:17" x14ac:dyDescent="0.2">
      <c r="B244" t="s">
        <v>1531</v>
      </c>
      <c r="C244" s="72" t="s">
        <v>2863</v>
      </c>
      <c r="D244" t="s">
        <v>891</v>
      </c>
      <c r="E244" s="15">
        <v>-3.4775089697953301E-2</v>
      </c>
      <c r="F244" s="15">
        <v>1.64544618666355E-2</v>
      </c>
      <c r="G244" s="15">
        <v>3.461862296544E-2</v>
      </c>
      <c r="H244" s="15">
        <v>0.38444891819514898</v>
      </c>
      <c r="I244" s="15">
        <v>9.0044334369880893E-2</v>
      </c>
      <c r="J244" s="15">
        <v>1</v>
      </c>
      <c r="K244" s="15"/>
      <c r="L244" s="15"/>
      <c r="M244" s="15"/>
      <c r="N244" s="15"/>
      <c r="O244" s="15"/>
      <c r="P244" s="15"/>
      <c r="Q244" s="15"/>
    </row>
    <row r="245" spans="2:17" x14ac:dyDescent="0.2">
      <c r="B245" t="s">
        <v>1531</v>
      </c>
      <c r="C245" s="72" t="s">
        <v>2863</v>
      </c>
      <c r="D245" t="s">
        <v>3189</v>
      </c>
      <c r="E245" s="15">
        <v>-4.5370109311737003E-2</v>
      </c>
      <c r="F245" s="15">
        <v>1.59586942408654E-2</v>
      </c>
      <c r="G245" s="15">
        <v>4.48898375896038E-3</v>
      </c>
      <c r="H245" s="15">
        <v>0.11839694664258001</v>
      </c>
      <c r="I245" s="15">
        <v>1.61084281146367E-2</v>
      </c>
      <c r="J245" s="15">
        <v>1</v>
      </c>
      <c r="K245" s="15"/>
      <c r="L245" s="15"/>
      <c r="M245" s="15"/>
      <c r="N245" s="15"/>
      <c r="O245" s="15"/>
      <c r="P245" s="15"/>
      <c r="Q245" s="15"/>
    </row>
    <row r="246" spans="2:17" x14ac:dyDescent="0.2">
      <c r="B246" t="s">
        <v>1531</v>
      </c>
      <c r="C246" s="72" t="s">
        <v>2863</v>
      </c>
      <c r="D246" t="s">
        <v>621</v>
      </c>
      <c r="E246" s="15">
        <v>-6.8257148112610003E-3</v>
      </c>
      <c r="F246" s="15">
        <v>1.5773599646506601E-2</v>
      </c>
      <c r="G246" s="15">
        <v>0.66523100033058302</v>
      </c>
      <c r="H246" s="15">
        <v>0.92065907679099201</v>
      </c>
      <c r="I246" s="15">
        <v>0.80668816706754598</v>
      </c>
      <c r="J246" s="15">
        <v>1</v>
      </c>
      <c r="K246" s="15"/>
      <c r="L246" s="15"/>
      <c r="M246" s="15"/>
      <c r="N246" s="15"/>
      <c r="O246" s="15"/>
      <c r="P246" s="15"/>
      <c r="Q246" s="15"/>
    </row>
    <row r="247" spans="2:17" x14ac:dyDescent="0.2">
      <c r="B247" t="s">
        <v>1531</v>
      </c>
      <c r="C247" s="72" t="s">
        <v>2863</v>
      </c>
      <c r="D247" t="s">
        <v>623</v>
      </c>
      <c r="E247" s="15">
        <v>1.40211570947623E-2</v>
      </c>
      <c r="F247" s="15">
        <v>1.65279266746012E-2</v>
      </c>
      <c r="G247" s="15">
        <v>0.39629689853364503</v>
      </c>
      <c r="H247" s="15">
        <v>0.755690714478225</v>
      </c>
      <c r="I247" s="15">
        <v>0.56499084858512905</v>
      </c>
      <c r="J247" s="15">
        <v>1</v>
      </c>
      <c r="K247" s="15"/>
      <c r="L247" s="15"/>
      <c r="M247" s="15"/>
      <c r="N247" s="15"/>
      <c r="O247" s="15"/>
      <c r="P247" s="15"/>
      <c r="Q247" s="15"/>
    </row>
    <row r="248" spans="2:17" x14ac:dyDescent="0.2">
      <c r="B248" t="s">
        <v>1531</v>
      </c>
      <c r="C248" s="72" t="s">
        <v>2863</v>
      </c>
      <c r="D248" t="s">
        <v>640</v>
      </c>
      <c r="E248" s="15">
        <v>-6.1477831183818499E-3</v>
      </c>
      <c r="F248" s="15">
        <v>1.6545607309109599E-2</v>
      </c>
      <c r="G248" s="15">
        <v>0.71023305559068095</v>
      </c>
      <c r="H248" s="15">
        <v>0.92096609974249299</v>
      </c>
      <c r="I248" s="15">
        <v>0.84001779556969602</v>
      </c>
      <c r="J248" s="15">
        <v>1</v>
      </c>
      <c r="K248" s="15"/>
      <c r="L248" s="15"/>
      <c r="M248" s="15"/>
      <c r="N248" s="15"/>
      <c r="O248" s="15"/>
      <c r="P248" s="15"/>
      <c r="Q248" s="15"/>
    </row>
    <row r="249" spans="2:17" x14ac:dyDescent="0.2">
      <c r="B249" t="s">
        <v>1531</v>
      </c>
      <c r="C249" s="72" t="s">
        <v>2863</v>
      </c>
      <c r="D249" t="s">
        <v>614</v>
      </c>
      <c r="E249" s="15">
        <v>-7.3093614227002397E-3</v>
      </c>
      <c r="F249" s="15">
        <v>1.6685778848456002E-2</v>
      </c>
      <c r="G249" s="15">
        <v>0.66136353275043802</v>
      </c>
      <c r="H249" s="15">
        <v>0.92065907679099201</v>
      </c>
      <c r="I249" s="15">
        <v>0.80467600124295102</v>
      </c>
      <c r="J249" s="15">
        <v>1</v>
      </c>
      <c r="K249" s="15"/>
      <c r="L249" s="15"/>
      <c r="M249" s="15"/>
      <c r="N249" s="15"/>
      <c r="O249" s="15"/>
      <c r="P249" s="15"/>
      <c r="Q249" s="15"/>
    </row>
    <row r="250" spans="2:17" x14ac:dyDescent="0.2">
      <c r="B250" t="s">
        <v>1531</v>
      </c>
      <c r="C250" s="72" t="s">
        <v>2863</v>
      </c>
      <c r="D250" t="s">
        <v>620</v>
      </c>
      <c r="E250" s="15">
        <v>-1.6364152304158401E-3</v>
      </c>
      <c r="F250" s="15">
        <v>1.63146664729782E-2</v>
      </c>
      <c r="G250" s="15">
        <v>0.92010781215125104</v>
      </c>
      <c r="H250" s="15">
        <v>0.96160164258419401</v>
      </c>
      <c r="I250" s="15">
        <v>0.94486239590132304</v>
      </c>
      <c r="J250" s="15">
        <v>1</v>
      </c>
      <c r="K250" s="15"/>
      <c r="L250" s="15"/>
      <c r="M250" s="15"/>
      <c r="N250" s="15"/>
      <c r="O250" s="15"/>
      <c r="P250" s="15"/>
      <c r="Q250" s="15"/>
    </row>
    <row r="251" spans="2:17" x14ac:dyDescent="0.2">
      <c r="B251" t="s">
        <v>1531</v>
      </c>
      <c r="C251" s="72" t="s">
        <v>2863</v>
      </c>
      <c r="D251" t="s">
        <v>235</v>
      </c>
      <c r="E251" s="15">
        <v>-3.2858447148434097E-2</v>
      </c>
      <c r="F251" s="15">
        <v>1.6456237871034101E-2</v>
      </c>
      <c r="G251" s="15">
        <v>4.5914319458077002E-2</v>
      </c>
      <c r="H251" s="15">
        <v>0.39303449187164302</v>
      </c>
      <c r="I251" s="15">
        <v>0.11212871997285</v>
      </c>
      <c r="J251" s="15">
        <v>1</v>
      </c>
      <c r="K251" s="15"/>
      <c r="L251" s="15"/>
      <c r="M251" s="15"/>
      <c r="N251" s="15"/>
      <c r="O251" s="15"/>
      <c r="P251" s="15"/>
      <c r="Q251" s="15"/>
    </row>
    <row r="252" spans="2:17" x14ac:dyDescent="0.2">
      <c r="B252" t="s">
        <v>1531</v>
      </c>
      <c r="C252" s="72" t="s">
        <v>2863</v>
      </c>
      <c r="D252" t="s">
        <v>237</v>
      </c>
      <c r="E252" s="15">
        <v>-2.2610499220597598E-2</v>
      </c>
      <c r="F252" s="15">
        <v>1.6492920139793001E-2</v>
      </c>
      <c r="G252" s="15">
        <v>0.17046652819489599</v>
      </c>
      <c r="H252" s="15">
        <v>0.61433994608908205</v>
      </c>
      <c r="I252" s="15">
        <v>0.31342578948921401</v>
      </c>
      <c r="J252" s="15">
        <v>1</v>
      </c>
      <c r="K252" s="15"/>
      <c r="L252" s="15"/>
      <c r="M252" s="15"/>
      <c r="N252" s="15"/>
      <c r="O252" s="15"/>
      <c r="P252" s="15"/>
      <c r="Q252" s="15"/>
    </row>
    <row r="253" spans="2:17" x14ac:dyDescent="0.2">
      <c r="B253" t="s">
        <v>1531</v>
      </c>
      <c r="C253" s="72" t="s">
        <v>2863</v>
      </c>
      <c r="D253" t="s">
        <v>257</v>
      </c>
      <c r="E253" s="15">
        <v>6.34944271276956E-4</v>
      </c>
      <c r="F253" s="15">
        <v>1.6329562180616201E-2</v>
      </c>
      <c r="G253" s="15">
        <v>0.968985622361071</v>
      </c>
      <c r="H253" s="15">
        <v>0.97825821204873598</v>
      </c>
      <c r="I253" s="15">
        <v>0.97603971010609902</v>
      </c>
      <c r="J253" s="15">
        <v>1</v>
      </c>
      <c r="K253" s="15"/>
      <c r="L253" s="15"/>
      <c r="M253" s="15"/>
      <c r="N253" s="15"/>
      <c r="O253" s="15"/>
      <c r="P253" s="15"/>
      <c r="Q253" s="15"/>
    </row>
    <row r="254" spans="2:17" x14ac:dyDescent="0.2">
      <c r="B254" t="s">
        <v>1531</v>
      </c>
      <c r="C254" s="72" t="s">
        <v>2863</v>
      </c>
      <c r="D254" t="s">
        <v>259</v>
      </c>
      <c r="E254" s="15">
        <v>9.9312774973250306E-3</v>
      </c>
      <c r="F254" s="15">
        <v>1.6542260834339802E-2</v>
      </c>
      <c r="G254" s="15">
        <v>0.54829765104672301</v>
      </c>
      <c r="H254" s="15">
        <v>0.86985567196134195</v>
      </c>
      <c r="I254" s="15">
        <v>0.70286029386912796</v>
      </c>
      <c r="J254" s="15">
        <v>1</v>
      </c>
      <c r="K254" s="15"/>
      <c r="L254" s="15"/>
      <c r="M254" s="15"/>
      <c r="N254" s="15"/>
      <c r="O254" s="15"/>
      <c r="P254" s="15"/>
      <c r="Q254" s="15"/>
    </row>
    <row r="255" spans="2:17" x14ac:dyDescent="0.2">
      <c r="B255" t="s">
        <v>1531</v>
      </c>
      <c r="C255" s="72" t="s">
        <v>2863</v>
      </c>
      <c r="D255" t="s">
        <v>260</v>
      </c>
      <c r="E255" s="15">
        <v>1.0477758580268901E-2</v>
      </c>
      <c r="F255" s="15">
        <v>1.66228708511908E-2</v>
      </c>
      <c r="G255" s="15">
        <v>0.52851542882618996</v>
      </c>
      <c r="H255" s="15">
        <v>0.85904035584851002</v>
      </c>
      <c r="I255" s="15">
        <v>0.68752623601927298</v>
      </c>
      <c r="J255" s="15">
        <v>1</v>
      </c>
      <c r="K255" s="15"/>
      <c r="L255" s="15"/>
      <c r="M255" s="15"/>
      <c r="N255" s="15"/>
      <c r="O255" s="15"/>
      <c r="P255" s="15"/>
      <c r="Q255" s="15"/>
    </row>
    <row r="256" spans="2:17" x14ac:dyDescent="0.2">
      <c r="B256" t="s">
        <v>1531</v>
      </c>
      <c r="C256" s="72" t="s">
        <v>2863</v>
      </c>
      <c r="D256" t="s">
        <v>261</v>
      </c>
      <c r="E256" s="15">
        <v>1.6034622108346101E-2</v>
      </c>
      <c r="F256" s="15">
        <v>1.63913117567457E-2</v>
      </c>
      <c r="G256" s="15">
        <v>0.32801775646510201</v>
      </c>
      <c r="H256" s="15">
        <v>0.720955693897255</v>
      </c>
      <c r="I256" s="15">
        <v>0.49507687134575501</v>
      </c>
      <c r="J256" s="15">
        <v>1</v>
      </c>
      <c r="K256" s="15"/>
      <c r="L256" s="15"/>
      <c r="M256" s="15"/>
      <c r="N256" s="15"/>
      <c r="O256" s="15"/>
      <c r="P256" s="15"/>
      <c r="Q256" s="15"/>
    </row>
    <row r="257" spans="2:17" x14ac:dyDescent="0.2">
      <c r="B257" t="s">
        <v>1531</v>
      </c>
      <c r="C257" s="72" t="s">
        <v>2863</v>
      </c>
      <c r="D257" t="s">
        <v>266</v>
      </c>
      <c r="E257" s="15">
        <v>-9.0491293793687499E-4</v>
      </c>
      <c r="F257" s="15">
        <v>1.63920106100107E-2</v>
      </c>
      <c r="G257" s="15">
        <v>0.95597843409994998</v>
      </c>
      <c r="H257" s="15">
        <v>0.97825821204873598</v>
      </c>
      <c r="I257" s="15">
        <v>0.96883501246440695</v>
      </c>
      <c r="J257" s="15">
        <v>1</v>
      </c>
      <c r="K257" s="15"/>
      <c r="L257" s="15"/>
      <c r="M257" s="15"/>
      <c r="N257" s="15"/>
      <c r="O257" s="15"/>
      <c r="P257" s="15"/>
      <c r="Q257" s="15"/>
    </row>
    <row r="258" spans="2:17" x14ac:dyDescent="0.2">
      <c r="B258" t="s">
        <v>1531</v>
      </c>
      <c r="C258" s="72" t="s">
        <v>2863</v>
      </c>
      <c r="D258" t="s">
        <v>269</v>
      </c>
      <c r="E258" s="15">
        <v>9.5219757734559506E-3</v>
      </c>
      <c r="F258" s="15">
        <v>1.6608466015890201E-2</v>
      </c>
      <c r="G258" s="15">
        <v>0.56645568271342195</v>
      </c>
      <c r="H258" s="15">
        <v>0.88186221270862197</v>
      </c>
      <c r="I258" s="15">
        <v>0.72262484312292596</v>
      </c>
      <c r="J258" s="15">
        <v>1</v>
      </c>
      <c r="K258" s="15"/>
      <c r="L258" s="15"/>
      <c r="M258" s="15"/>
      <c r="N258" s="15"/>
      <c r="O258" s="15"/>
      <c r="P258" s="15"/>
      <c r="Q258" s="15"/>
    </row>
    <row r="259" spans="2:17" x14ac:dyDescent="0.2">
      <c r="B259" t="s">
        <v>1531</v>
      </c>
      <c r="C259" s="72" t="s">
        <v>2863</v>
      </c>
      <c r="D259" t="s">
        <v>272</v>
      </c>
      <c r="E259" s="15">
        <v>1.8272011114314202E-2</v>
      </c>
      <c r="F259" s="15">
        <v>1.66155314126641E-2</v>
      </c>
      <c r="G259" s="15">
        <v>0.27152379018344702</v>
      </c>
      <c r="H259" s="15">
        <v>0.67888453221849199</v>
      </c>
      <c r="I259" s="15">
        <v>0.43402666461141898</v>
      </c>
      <c r="J259" s="15">
        <v>1</v>
      </c>
      <c r="K259" s="15"/>
      <c r="L259" s="15"/>
      <c r="M259" s="15"/>
      <c r="N259" s="15"/>
      <c r="O259" s="15"/>
      <c r="P259" s="15"/>
      <c r="Q259" s="15"/>
    </row>
    <row r="260" spans="2:17" x14ac:dyDescent="0.2">
      <c r="B260" t="s">
        <v>1531</v>
      </c>
      <c r="C260" s="72" t="s">
        <v>2863</v>
      </c>
      <c r="D260" t="s">
        <v>273</v>
      </c>
      <c r="E260" s="15">
        <v>-7.1551229032919897E-3</v>
      </c>
      <c r="F260" s="15">
        <v>1.6368748011512599E-2</v>
      </c>
      <c r="G260" s="15">
        <v>0.66204622661505397</v>
      </c>
      <c r="H260" s="15">
        <v>0.92065907679099201</v>
      </c>
      <c r="I260" s="15">
        <v>0.80467600124295102</v>
      </c>
      <c r="J260" s="15">
        <v>1</v>
      </c>
      <c r="K260" s="15"/>
      <c r="L260" s="15"/>
      <c r="M260" s="15"/>
      <c r="N260" s="15"/>
      <c r="O260" s="15"/>
      <c r="P260" s="15"/>
      <c r="Q260" s="15"/>
    </row>
    <row r="261" spans="2:17" x14ac:dyDescent="0.2">
      <c r="B261" t="s">
        <v>1531</v>
      </c>
      <c r="C261" s="72" t="s">
        <v>2863</v>
      </c>
      <c r="D261" t="s">
        <v>274</v>
      </c>
      <c r="E261" s="15">
        <v>6.7526915121247696E-3</v>
      </c>
      <c r="F261" s="15">
        <v>1.6541529705377901E-2</v>
      </c>
      <c r="G261" s="15">
        <v>0.68312692696844202</v>
      </c>
      <c r="H261" s="15">
        <v>0.92065907679099201</v>
      </c>
      <c r="I261" s="15">
        <v>0.81966662939840296</v>
      </c>
      <c r="J261" s="15">
        <v>1</v>
      </c>
      <c r="K261" s="15"/>
      <c r="L261" s="15"/>
      <c r="M261" s="15"/>
      <c r="N261" s="15"/>
      <c r="O261" s="15"/>
      <c r="P261" s="15"/>
      <c r="Q261" s="15"/>
    </row>
    <row r="262" spans="2:17" x14ac:dyDescent="0.2">
      <c r="B262" t="s">
        <v>1531</v>
      </c>
      <c r="C262" s="72" t="s">
        <v>2863</v>
      </c>
      <c r="D262" t="s">
        <v>276</v>
      </c>
      <c r="E262" s="15">
        <v>-1.6125072333535899E-3</v>
      </c>
      <c r="F262" s="15">
        <v>1.6373337024356002E-2</v>
      </c>
      <c r="G262" s="15">
        <v>0.92155381421277005</v>
      </c>
      <c r="H262" s="15">
        <v>0.96160164258419401</v>
      </c>
      <c r="I262" s="15">
        <v>0.94486239590132304</v>
      </c>
      <c r="J262" s="15">
        <v>1</v>
      </c>
      <c r="K262" s="15"/>
      <c r="L262" s="15"/>
      <c r="M262" s="15"/>
      <c r="N262" s="15"/>
      <c r="O262" s="15"/>
      <c r="P262" s="15"/>
      <c r="Q262" s="15"/>
    </row>
    <row r="263" spans="2:17" x14ac:dyDescent="0.2">
      <c r="B263" t="s">
        <v>1531</v>
      </c>
      <c r="C263" s="72" t="s">
        <v>2863</v>
      </c>
      <c r="D263" t="s">
        <v>279</v>
      </c>
      <c r="E263" s="15">
        <v>1.0907041888145799E-2</v>
      </c>
      <c r="F263" s="15">
        <v>1.64633685326315E-2</v>
      </c>
      <c r="G263" s="15">
        <v>0.50768247080335105</v>
      </c>
      <c r="H263" s="15">
        <v>0.85495973596928498</v>
      </c>
      <c r="I263" s="15">
        <v>0.67075177587776502</v>
      </c>
      <c r="J263" s="15">
        <v>1</v>
      </c>
      <c r="K263" s="15"/>
      <c r="L263" s="15"/>
      <c r="M263" s="15"/>
      <c r="N263" s="15"/>
      <c r="O263" s="15"/>
      <c r="P263" s="15"/>
      <c r="Q263" s="15"/>
    </row>
    <row r="264" spans="2:17" x14ac:dyDescent="0.2">
      <c r="B264" t="s">
        <v>1531</v>
      </c>
      <c r="C264" s="72" t="s">
        <v>2863</v>
      </c>
      <c r="D264" t="s">
        <v>927</v>
      </c>
      <c r="E264" s="15">
        <v>-2.9140133375807401E-2</v>
      </c>
      <c r="F264" s="15">
        <v>1.7223901638037799E-2</v>
      </c>
      <c r="G264" s="15">
        <v>9.0747907637200406E-2</v>
      </c>
      <c r="H264" s="15">
        <v>0.46701971979144602</v>
      </c>
      <c r="I264" s="15">
        <v>0.191095893327837</v>
      </c>
      <c r="J264" s="15">
        <v>1</v>
      </c>
      <c r="K264" s="15"/>
      <c r="L264" s="15"/>
      <c r="M264" s="15"/>
      <c r="N264" s="15"/>
      <c r="O264" s="15"/>
      <c r="P264" s="15"/>
      <c r="Q264" s="15"/>
    </row>
    <row r="265" spans="2:17" x14ac:dyDescent="0.2">
      <c r="B265" t="s">
        <v>1531</v>
      </c>
      <c r="C265" s="72" t="s">
        <v>2863</v>
      </c>
      <c r="D265" t="s">
        <v>928</v>
      </c>
      <c r="E265" s="15">
        <v>-2.5965779951135099E-3</v>
      </c>
      <c r="F265" s="15">
        <v>1.6638684823971201E-2</v>
      </c>
      <c r="G265" s="15">
        <v>0.87599545229312503</v>
      </c>
      <c r="H265" s="15">
        <v>0.96160164258419401</v>
      </c>
      <c r="I265" s="15">
        <v>0.930690032396019</v>
      </c>
      <c r="J265" s="15">
        <v>1</v>
      </c>
      <c r="K265" s="15"/>
      <c r="L265" s="15"/>
      <c r="M265" s="15"/>
      <c r="N265" s="15"/>
      <c r="O265" s="15"/>
      <c r="P265" s="15"/>
      <c r="Q265" s="15"/>
    </row>
    <row r="266" spans="2:17" x14ac:dyDescent="0.2">
      <c r="B266" t="s">
        <v>1531</v>
      </c>
      <c r="C266" s="72" t="s">
        <v>2863</v>
      </c>
      <c r="D266" t="s">
        <v>929</v>
      </c>
      <c r="E266" s="15">
        <v>-1.6755051678670599E-2</v>
      </c>
      <c r="F266" s="15">
        <v>1.70407799223916E-2</v>
      </c>
      <c r="G266" s="15">
        <v>0.325546998420849</v>
      </c>
      <c r="H266" s="15">
        <v>0.720955693897255</v>
      </c>
      <c r="I266" s="15">
        <v>0.49348200572975498</v>
      </c>
      <c r="J266" s="15">
        <v>1</v>
      </c>
      <c r="K266" s="15"/>
      <c r="L266" s="15"/>
      <c r="M266" s="15"/>
      <c r="N266" s="15"/>
      <c r="O266" s="15"/>
      <c r="P266" s="15"/>
      <c r="Q266" s="15"/>
    </row>
    <row r="267" spans="2:17" x14ac:dyDescent="0.2">
      <c r="B267" t="s">
        <v>1531</v>
      </c>
      <c r="C267" s="72" t="s">
        <v>2863</v>
      </c>
      <c r="D267" t="s">
        <v>930</v>
      </c>
      <c r="E267" s="15">
        <v>-1.60195113252872E-2</v>
      </c>
      <c r="F267" s="15">
        <v>1.7487585965677899E-2</v>
      </c>
      <c r="G267" s="15">
        <v>0.35969287707952902</v>
      </c>
      <c r="H267" s="15">
        <v>0.74407055944883005</v>
      </c>
      <c r="I267" s="15">
        <v>0.52863455263993697</v>
      </c>
      <c r="J267" s="15">
        <v>1</v>
      </c>
      <c r="K267" s="15"/>
      <c r="L267" s="15"/>
      <c r="M267" s="15"/>
      <c r="N267" s="15"/>
      <c r="O267" s="15"/>
      <c r="P267" s="15"/>
      <c r="Q267" s="15"/>
    </row>
    <row r="268" spans="2:17" x14ac:dyDescent="0.2">
      <c r="B268" t="s">
        <v>1531</v>
      </c>
      <c r="C268" s="72" t="s">
        <v>2863</v>
      </c>
      <c r="D268" t="s">
        <v>931</v>
      </c>
      <c r="E268" s="15">
        <v>-6.2251468002605496E-3</v>
      </c>
      <c r="F268" s="15">
        <v>1.71419424280898E-2</v>
      </c>
      <c r="G268" s="15">
        <v>0.71650808156127599</v>
      </c>
      <c r="H268" s="15">
        <v>0.92096609974249299</v>
      </c>
      <c r="I268" s="15">
        <v>0.84186126713040998</v>
      </c>
      <c r="J268" s="15">
        <v>1</v>
      </c>
      <c r="K268" s="15"/>
      <c r="L268" s="15"/>
      <c r="M268" s="15"/>
      <c r="N268" s="15"/>
      <c r="O268" s="15"/>
      <c r="P268" s="15"/>
      <c r="Q268" s="15"/>
    </row>
    <row r="269" spans="2:17" x14ac:dyDescent="0.2">
      <c r="B269" t="s">
        <v>1531</v>
      </c>
      <c r="C269" s="72" t="s">
        <v>2863</v>
      </c>
      <c r="D269" t="s">
        <v>932</v>
      </c>
      <c r="E269" s="15">
        <v>-4.3609308559548199E-3</v>
      </c>
      <c r="F269" s="15">
        <v>1.67690134226843E-2</v>
      </c>
      <c r="G269" s="15">
        <v>0.794830053648101</v>
      </c>
      <c r="H269" s="15">
        <v>0.96160164258419401</v>
      </c>
      <c r="I269" s="15">
        <v>0.88720113926378597</v>
      </c>
      <c r="J269" s="15">
        <v>1</v>
      </c>
      <c r="K269" s="15"/>
      <c r="L269" s="15"/>
      <c r="M269" s="15"/>
      <c r="N269" s="15"/>
      <c r="O269" s="15"/>
      <c r="P269" s="15"/>
      <c r="Q269" s="15"/>
    </row>
    <row r="270" spans="2:17" x14ac:dyDescent="0.2">
      <c r="B270" t="s">
        <v>1531</v>
      </c>
      <c r="C270" s="72" t="s">
        <v>2863</v>
      </c>
      <c r="D270" t="s">
        <v>933</v>
      </c>
      <c r="E270" s="15">
        <v>-1.71065208227528E-2</v>
      </c>
      <c r="F270" s="15">
        <v>1.6587385315024399E-2</v>
      </c>
      <c r="G270" s="15">
        <v>0.30246077306361402</v>
      </c>
      <c r="H270" s="15">
        <v>0.70677758698842397</v>
      </c>
      <c r="I270" s="15">
        <v>0.46719782662095599</v>
      </c>
      <c r="J270" s="15">
        <v>1</v>
      </c>
      <c r="K270" s="15"/>
      <c r="L270" s="15"/>
      <c r="M270" s="15"/>
      <c r="N270" s="15"/>
      <c r="O270" s="15"/>
      <c r="P270" s="15"/>
      <c r="Q270" s="15"/>
    </row>
    <row r="271" spans="2:17" x14ac:dyDescent="0.2">
      <c r="B271" t="s">
        <v>1531</v>
      </c>
      <c r="C271" s="72" t="s">
        <v>2863</v>
      </c>
      <c r="D271" t="s">
        <v>934</v>
      </c>
      <c r="E271" s="15">
        <v>-1.4070608455973001E-2</v>
      </c>
      <c r="F271" s="15">
        <v>1.6531572982728601E-2</v>
      </c>
      <c r="G271" s="15">
        <v>0.39473903481736899</v>
      </c>
      <c r="H271" s="15">
        <v>0.755690714478225</v>
      </c>
      <c r="I271" s="15">
        <v>0.56353136905591905</v>
      </c>
      <c r="J271" s="15">
        <v>1</v>
      </c>
      <c r="K271" s="15"/>
      <c r="L271" s="15"/>
      <c r="M271" s="15"/>
      <c r="N271" s="15"/>
      <c r="O271" s="15"/>
      <c r="P271" s="15"/>
      <c r="Q271" s="15"/>
    </row>
    <row r="272" spans="2:17" x14ac:dyDescent="0.2">
      <c r="B272" t="s">
        <v>1531</v>
      </c>
      <c r="C272" s="72" t="s">
        <v>2863</v>
      </c>
      <c r="D272" t="s">
        <v>935</v>
      </c>
      <c r="E272" s="15">
        <v>-1.1729546929930701E-2</v>
      </c>
      <c r="F272" s="15">
        <v>1.66752314147889E-2</v>
      </c>
      <c r="G272" s="15">
        <v>0.48183571550652998</v>
      </c>
      <c r="H272" s="15">
        <v>0.82674155599889698</v>
      </c>
      <c r="I272" s="15">
        <v>0.64804785637015705</v>
      </c>
      <c r="J272" s="15">
        <v>1</v>
      </c>
      <c r="K272" s="15"/>
      <c r="L272" s="15"/>
      <c r="M272" s="15"/>
      <c r="N272" s="15"/>
      <c r="O272" s="15"/>
      <c r="P272" s="15"/>
      <c r="Q272" s="15"/>
    </row>
    <row r="273" spans="2:17" x14ac:dyDescent="0.2">
      <c r="B273" t="s">
        <v>1531</v>
      </c>
      <c r="C273" s="72" t="s">
        <v>2863</v>
      </c>
      <c r="D273" t="s">
        <v>937</v>
      </c>
      <c r="E273" s="15">
        <v>-2.7211567294250599E-2</v>
      </c>
      <c r="F273" s="15">
        <v>1.6630695863684299E-2</v>
      </c>
      <c r="G273" s="15">
        <v>0.10186091074312301</v>
      </c>
      <c r="H273" s="15">
        <v>0.49184587089079101</v>
      </c>
      <c r="I273" s="15">
        <v>0.211541852035424</v>
      </c>
      <c r="J273" s="15">
        <v>1</v>
      </c>
      <c r="K273" s="15"/>
      <c r="L273" s="15"/>
      <c r="M273" s="15"/>
      <c r="N273" s="15"/>
      <c r="O273" s="15"/>
      <c r="P273" s="15"/>
      <c r="Q273" s="15"/>
    </row>
    <row r="274" spans="2:17" x14ac:dyDescent="0.2">
      <c r="B274" t="s">
        <v>1531</v>
      </c>
      <c r="C274" s="72" t="s">
        <v>2863</v>
      </c>
      <c r="D274" t="s">
        <v>938</v>
      </c>
      <c r="E274" s="15">
        <v>-1.9802479175405899E-2</v>
      </c>
      <c r="F274" s="15">
        <v>1.64752022714078E-2</v>
      </c>
      <c r="G274" s="15">
        <v>0.229453681614289</v>
      </c>
      <c r="H274" s="15">
        <v>0.65636669118294499</v>
      </c>
      <c r="I274" s="15">
        <v>0.38793851619082498</v>
      </c>
      <c r="J274" s="15">
        <v>1</v>
      </c>
      <c r="K274" s="15"/>
      <c r="L274" s="15"/>
      <c r="M274" s="15"/>
      <c r="N274" s="15"/>
      <c r="O274" s="15"/>
      <c r="P274" s="15"/>
      <c r="Q274" s="15"/>
    </row>
    <row r="275" spans="2:17" x14ac:dyDescent="0.2">
      <c r="B275" t="s">
        <v>1531</v>
      </c>
      <c r="C275" s="72" t="s">
        <v>2863</v>
      </c>
      <c r="D275" t="s">
        <v>939</v>
      </c>
      <c r="E275" s="15">
        <v>-6.39862060166885E-3</v>
      </c>
      <c r="F275" s="15">
        <v>1.6751083203242499E-2</v>
      </c>
      <c r="G275" s="15">
        <v>0.70249341878364802</v>
      </c>
      <c r="H275" s="15">
        <v>0.92065907679099201</v>
      </c>
      <c r="I275" s="15">
        <v>0.83366766796034697</v>
      </c>
      <c r="J275" s="15">
        <v>1</v>
      </c>
      <c r="K275" s="15"/>
      <c r="L275" s="15"/>
      <c r="M275" s="15"/>
      <c r="N275" s="15"/>
      <c r="O275" s="15"/>
      <c r="P275" s="15"/>
      <c r="Q275" s="15"/>
    </row>
    <row r="276" spans="2:17" x14ac:dyDescent="0.2">
      <c r="B276" t="s">
        <v>1531</v>
      </c>
      <c r="C276" s="72" t="s">
        <v>2863</v>
      </c>
      <c r="D276" t="s">
        <v>940</v>
      </c>
      <c r="E276" s="15">
        <v>-4.6139056651826903E-2</v>
      </c>
      <c r="F276" s="15">
        <v>1.6632986300968999E-2</v>
      </c>
      <c r="G276" s="15">
        <v>5.5613282364923404E-3</v>
      </c>
      <c r="H276" s="15">
        <v>0.123253721836633</v>
      </c>
      <c r="I276" s="15">
        <v>1.9557337631664701E-2</v>
      </c>
      <c r="J276" s="15">
        <v>1</v>
      </c>
      <c r="K276" s="15"/>
      <c r="L276" s="15"/>
      <c r="M276" s="15"/>
      <c r="N276" s="15"/>
      <c r="O276" s="15"/>
      <c r="P276" s="15"/>
      <c r="Q276" s="15"/>
    </row>
    <row r="277" spans="2:17" x14ac:dyDescent="0.2">
      <c r="B277" t="s">
        <v>1531</v>
      </c>
      <c r="C277" s="72" t="s">
        <v>2863</v>
      </c>
      <c r="D277" t="s">
        <v>944</v>
      </c>
      <c r="E277" s="15">
        <v>-3.08912749818839E-2</v>
      </c>
      <c r="F277" s="15">
        <v>1.6570119213161E-2</v>
      </c>
      <c r="G277" s="15">
        <v>6.2347914412728897E-2</v>
      </c>
      <c r="H277" s="15">
        <v>0.39303449187164302</v>
      </c>
      <c r="I277" s="15">
        <v>0.14206706199876701</v>
      </c>
      <c r="J277" s="15">
        <v>1</v>
      </c>
      <c r="K277" s="15"/>
      <c r="L277" s="15"/>
      <c r="M277" s="15"/>
      <c r="N277" s="15"/>
      <c r="O277" s="15"/>
      <c r="P277" s="15"/>
      <c r="Q277" s="15"/>
    </row>
    <row r="278" spans="2:17" x14ac:dyDescent="0.2">
      <c r="B278" t="s">
        <v>1531</v>
      </c>
      <c r="C278" s="72" t="s">
        <v>2863</v>
      </c>
      <c r="D278" t="s">
        <v>945</v>
      </c>
      <c r="E278" s="15">
        <v>-4.7806706370806902E-3</v>
      </c>
      <c r="F278" s="15">
        <v>1.66946881057859E-2</v>
      </c>
      <c r="G278" s="15">
        <v>0.77461720704256198</v>
      </c>
      <c r="H278" s="15">
        <v>0.95543885366609305</v>
      </c>
      <c r="I278" s="15">
        <v>0.874124908673234</v>
      </c>
      <c r="J278" s="15">
        <v>1</v>
      </c>
      <c r="K278" s="15"/>
      <c r="L278" s="15"/>
      <c r="M278" s="15"/>
      <c r="N278" s="15"/>
      <c r="O278" s="15"/>
      <c r="P278" s="15"/>
      <c r="Q278" s="15"/>
    </row>
    <row r="279" spans="2:17" x14ac:dyDescent="0.2">
      <c r="B279" t="s">
        <v>1531</v>
      </c>
      <c r="C279" s="72" t="s">
        <v>2863</v>
      </c>
      <c r="D279" t="s">
        <v>946</v>
      </c>
      <c r="E279" s="15">
        <v>-4.01317273524279E-3</v>
      </c>
      <c r="F279" s="15">
        <v>1.6687541404960701E-2</v>
      </c>
      <c r="G279" s="15">
        <v>0.80996204344285905</v>
      </c>
      <c r="H279" s="15">
        <v>0.96160164258419401</v>
      </c>
      <c r="I279" s="15">
        <v>0.90138180994959505</v>
      </c>
      <c r="J279" s="15">
        <v>1</v>
      </c>
      <c r="K279" s="15"/>
      <c r="L279" s="15"/>
      <c r="M279" s="15"/>
      <c r="N279" s="15"/>
      <c r="O279" s="15"/>
      <c r="P279" s="15"/>
      <c r="Q279" s="15"/>
    </row>
    <row r="280" spans="2:17" x14ac:dyDescent="0.2">
      <c r="B280" t="s">
        <v>1531</v>
      </c>
      <c r="C280" s="72" t="s">
        <v>2863</v>
      </c>
      <c r="D280" t="s">
        <v>948</v>
      </c>
      <c r="E280" s="15">
        <v>-2.5501363522695401E-3</v>
      </c>
      <c r="F280" s="15">
        <v>1.67144174596211E-2</v>
      </c>
      <c r="G280" s="15">
        <v>0.87874348178307604</v>
      </c>
      <c r="H280" s="15">
        <v>0.96160164258419401</v>
      </c>
      <c r="I280" s="15">
        <v>0.93173303847351296</v>
      </c>
      <c r="J280" s="15">
        <v>1</v>
      </c>
      <c r="K280" s="15"/>
      <c r="L280" s="15"/>
      <c r="M280" s="15"/>
      <c r="N280" s="15"/>
      <c r="O280" s="15"/>
      <c r="P280" s="15"/>
      <c r="Q280" s="15"/>
    </row>
    <row r="281" spans="2:17" x14ac:dyDescent="0.2">
      <c r="B281" t="s">
        <v>1531</v>
      </c>
      <c r="C281" s="72" t="s">
        <v>2863</v>
      </c>
      <c r="D281" t="s">
        <v>951</v>
      </c>
      <c r="E281" s="15">
        <v>-4.45735080215666E-2</v>
      </c>
      <c r="F281" s="15">
        <v>1.6162663792052501E-2</v>
      </c>
      <c r="G281" s="15">
        <v>5.8414086178499303E-3</v>
      </c>
      <c r="H281" s="15">
        <v>0.123253721836633</v>
      </c>
      <c r="I281" s="15">
        <v>1.9995126350555999E-2</v>
      </c>
      <c r="J281" s="15">
        <v>1</v>
      </c>
      <c r="K281" s="15"/>
      <c r="L281" s="15"/>
      <c r="M281" s="15"/>
      <c r="N281" s="15"/>
      <c r="O281" s="15"/>
      <c r="P281" s="15"/>
      <c r="Q281" s="15"/>
    </row>
    <row r="282" spans="2:17" x14ac:dyDescent="0.2">
      <c r="B282" t="s">
        <v>1531</v>
      </c>
      <c r="C282" s="72" t="s">
        <v>2863</v>
      </c>
      <c r="D282" t="s">
        <v>953</v>
      </c>
      <c r="E282" s="15">
        <v>-1.91117092326516E-2</v>
      </c>
      <c r="F282" s="15">
        <v>1.6592007532960799E-2</v>
      </c>
      <c r="G282" s="15">
        <v>0.249435824377713</v>
      </c>
      <c r="H282" s="15">
        <v>0.65636669118294499</v>
      </c>
      <c r="I282" s="15">
        <v>0.40862545763740299</v>
      </c>
      <c r="J282" s="15">
        <v>1</v>
      </c>
      <c r="K282" s="15"/>
      <c r="L282" s="15"/>
      <c r="M282" s="15"/>
      <c r="N282" s="15"/>
      <c r="O282" s="15"/>
      <c r="P282" s="15"/>
      <c r="Q282" s="15"/>
    </row>
    <row r="283" spans="2:17" x14ac:dyDescent="0.2">
      <c r="B283" t="s">
        <v>1531</v>
      </c>
      <c r="C283" s="72" t="s">
        <v>2863</v>
      </c>
      <c r="D283" t="s">
        <v>956</v>
      </c>
      <c r="E283" s="15">
        <v>-2.2496548863386302E-2</v>
      </c>
      <c r="F283" s="15">
        <v>1.6565841989236E-2</v>
      </c>
      <c r="G283" s="15">
        <v>0.174525894663215</v>
      </c>
      <c r="H283" s="15">
        <v>0.61433994608908205</v>
      </c>
      <c r="I283" s="15">
        <v>0.31730523202740901</v>
      </c>
      <c r="J283" s="15">
        <v>1</v>
      </c>
      <c r="K283" s="15"/>
      <c r="L283" s="15"/>
      <c r="M283" s="15"/>
      <c r="N283" s="15"/>
      <c r="O283" s="15"/>
      <c r="P283" s="15"/>
      <c r="Q283" s="15"/>
    </row>
    <row r="284" spans="2:17" x14ac:dyDescent="0.2">
      <c r="B284" t="s">
        <v>1531</v>
      </c>
      <c r="C284" s="72" t="s">
        <v>2863</v>
      </c>
      <c r="D284" t="s">
        <v>986</v>
      </c>
      <c r="E284" s="15">
        <v>-4.84462693597471E-2</v>
      </c>
      <c r="F284" s="15">
        <v>1.6541599218361201E-2</v>
      </c>
      <c r="G284" s="15">
        <v>3.41988149842983E-3</v>
      </c>
      <c r="H284" s="15">
        <v>0.10308499945267099</v>
      </c>
      <c r="I284" s="15">
        <v>1.29318099671809E-2</v>
      </c>
      <c r="J284" s="15">
        <v>1</v>
      </c>
      <c r="K284" s="15"/>
      <c r="L284" s="15"/>
      <c r="M284" s="15"/>
      <c r="N284" s="15"/>
      <c r="O284" s="15"/>
      <c r="P284" s="15"/>
      <c r="Q284" s="15"/>
    </row>
    <row r="285" spans="2:17" x14ac:dyDescent="0.2">
      <c r="B285" t="s">
        <v>1531</v>
      </c>
      <c r="C285" s="72" t="s">
        <v>2863</v>
      </c>
      <c r="D285" t="s">
        <v>984</v>
      </c>
      <c r="E285" s="15">
        <v>-3.0375953206151999E-2</v>
      </c>
      <c r="F285" s="15">
        <v>1.643993359649E-2</v>
      </c>
      <c r="G285" s="15">
        <v>6.4711799580548901E-2</v>
      </c>
      <c r="H285" s="15">
        <v>0.39303449187164302</v>
      </c>
      <c r="I285" s="15">
        <v>0.145567054493559</v>
      </c>
      <c r="J285" s="15">
        <v>1</v>
      </c>
      <c r="K285" s="15"/>
      <c r="L285" s="15"/>
      <c r="M285" s="15"/>
      <c r="N285" s="15"/>
      <c r="O285" s="15"/>
      <c r="P285" s="15"/>
      <c r="Q285" s="15"/>
    </row>
    <row r="286" spans="2:17" x14ac:dyDescent="0.2">
      <c r="B286" t="s">
        <v>1531</v>
      </c>
      <c r="C286" s="72" t="s">
        <v>2863</v>
      </c>
      <c r="D286" t="s">
        <v>992</v>
      </c>
      <c r="E286" s="15">
        <v>-3.9681412449269003E-2</v>
      </c>
      <c r="F286" s="15">
        <v>1.6544113829462501E-2</v>
      </c>
      <c r="G286" s="15">
        <v>1.65013718039944E-2</v>
      </c>
      <c r="H286" s="15">
        <v>0.26118609985727698</v>
      </c>
      <c r="I286" s="15">
        <v>4.7958532378000303E-2</v>
      </c>
      <c r="J286" s="15">
        <v>1</v>
      </c>
      <c r="K286" s="15"/>
      <c r="L286" s="15"/>
      <c r="M286" s="15"/>
      <c r="N286" s="15"/>
      <c r="O286" s="15"/>
      <c r="P286" s="15"/>
      <c r="Q286" s="15"/>
    </row>
    <row r="287" spans="2:17" x14ac:dyDescent="0.2">
      <c r="B287" t="s">
        <v>1531</v>
      </c>
      <c r="C287" s="72" t="s">
        <v>2863</v>
      </c>
      <c r="D287" t="s">
        <v>998</v>
      </c>
      <c r="E287" s="15">
        <v>-5.2314615378535302E-2</v>
      </c>
      <c r="F287" s="15">
        <v>1.6468428740028102E-2</v>
      </c>
      <c r="G287" s="15">
        <v>1.4998770480913E-3</v>
      </c>
      <c r="H287" s="15">
        <v>6.3294811429452702E-2</v>
      </c>
      <c r="I287" s="15">
        <v>6.6420291632659501E-3</v>
      </c>
      <c r="J287" s="15">
        <v>1</v>
      </c>
      <c r="K287" s="15"/>
      <c r="L287" s="15"/>
      <c r="M287" s="15"/>
      <c r="N287" s="15"/>
      <c r="O287" s="15"/>
      <c r="P287" s="15"/>
      <c r="Q287" s="15"/>
    </row>
    <row r="288" spans="2:17" x14ac:dyDescent="0.2">
      <c r="B288" t="s">
        <v>1531</v>
      </c>
      <c r="C288" s="72" t="s">
        <v>2863</v>
      </c>
      <c r="D288" t="s">
        <v>1000</v>
      </c>
      <c r="E288" s="15">
        <v>-4.1879255720272901E-2</v>
      </c>
      <c r="F288" s="15">
        <v>1.6453778185144201E-2</v>
      </c>
      <c r="G288" s="15">
        <v>1.09522386681735E-2</v>
      </c>
      <c r="H288" s="15">
        <v>0.19257686324871801</v>
      </c>
      <c r="I288" s="15">
        <v>3.3394831777234298E-2</v>
      </c>
      <c r="J288" s="15">
        <v>1</v>
      </c>
      <c r="K288" s="15"/>
      <c r="L288" s="15"/>
      <c r="M288" s="15"/>
      <c r="N288" s="15"/>
      <c r="O288" s="15"/>
      <c r="P288" s="15"/>
      <c r="Q288" s="15"/>
    </row>
    <row r="289" spans="2:17" x14ac:dyDescent="0.2">
      <c r="B289" t="s">
        <v>1531</v>
      </c>
      <c r="C289" s="72" t="s">
        <v>2863</v>
      </c>
      <c r="D289" t="s">
        <v>1001</v>
      </c>
      <c r="E289" s="15">
        <v>-3.84774934725121E-2</v>
      </c>
      <c r="F289" s="15">
        <v>1.65078555276876E-2</v>
      </c>
      <c r="G289" s="15">
        <v>1.9805581031831498E-2</v>
      </c>
      <c r="H289" s="15">
        <v>0.26118609985727698</v>
      </c>
      <c r="I289" s="15">
        <v>5.58686844614497E-2</v>
      </c>
      <c r="J289" s="15">
        <v>1</v>
      </c>
      <c r="K289" s="15"/>
      <c r="L289" s="15"/>
      <c r="M289" s="15"/>
      <c r="N289" s="15"/>
      <c r="O289" s="15"/>
      <c r="P289" s="15"/>
      <c r="Q289" s="15"/>
    </row>
    <row r="290" spans="2:17" x14ac:dyDescent="0.2">
      <c r="B290" t="s">
        <v>1531</v>
      </c>
      <c r="C290" s="72" t="s">
        <v>2863</v>
      </c>
      <c r="D290" t="s">
        <v>1002</v>
      </c>
      <c r="E290" s="15">
        <v>-3.4207538843015001E-2</v>
      </c>
      <c r="F290" s="15">
        <v>1.66181705025065E-2</v>
      </c>
      <c r="G290" s="15">
        <v>3.9604277565618899E-2</v>
      </c>
      <c r="H290" s="15">
        <v>0.39303449187164302</v>
      </c>
      <c r="I290" s="15">
        <v>9.9958164669205596E-2</v>
      </c>
      <c r="J290" s="15">
        <v>1</v>
      </c>
      <c r="K290" s="15"/>
      <c r="L290" s="15"/>
      <c r="M290" s="15"/>
      <c r="N290" s="15"/>
      <c r="O290" s="15"/>
      <c r="P290" s="15"/>
      <c r="Q290" s="15"/>
    </row>
    <row r="291" spans="2:17" x14ac:dyDescent="0.2">
      <c r="B291" t="s">
        <v>1531</v>
      </c>
      <c r="C291" s="72" t="s">
        <v>2863</v>
      </c>
      <c r="D291" t="s">
        <v>233</v>
      </c>
      <c r="E291" s="15">
        <v>-4.7238995925826699E-2</v>
      </c>
      <c r="F291" s="15">
        <v>1.53218004595234E-2</v>
      </c>
      <c r="G291" s="15">
        <v>2.0602212200367099E-3</v>
      </c>
      <c r="H291" s="15">
        <v>7.2451112904624096E-2</v>
      </c>
      <c r="I291" s="15">
        <v>8.5121219045575496E-3</v>
      </c>
      <c r="J291" s="15">
        <v>1</v>
      </c>
      <c r="K291" s="15"/>
      <c r="L291" s="15"/>
      <c r="M291" s="15"/>
      <c r="N291" s="15"/>
      <c r="O291" s="15"/>
      <c r="P291" s="15"/>
      <c r="Q291" s="15"/>
    </row>
    <row r="292" spans="2:17" x14ac:dyDescent="0.2">
      <c r="B292" t="s">
        <v>1531</v>
      </c>
      <c r="C292" s="72" t="s">
        <v>2863</v>
      </c>
      <c r="D292" t="s">
        <v>234</v>
      </c>
      <c r="E292" s="15">
        <v>-2.7498740299563101E-2</v>
      </c>
      <c r="F292" s="15">
        <v>1.6162666448993099E-2</v>
      </c>
      <c r="G292" s="15">
        <v>8.8938646932698401E-2</v>
      </c>
      <c r="H292" s="15">
        <v>0.46701971979144602</v>
      </c>
      <c r="I292" s="15">
        <v>0.188294348295165</v>
      </c>
      <c r="J292" s="15">
        <v>1</v>
      </c>
      <c r="K292" s="15"/>
      <c r="L292" s="15"/>
      <c r="M292" s="15"/>
      <c r="N292" s="15"/>
      <c r="O292" s="15"/>
      <c r="P292" s="15"/>
      <c r="Q292" s="15"/>
    </row>
    <row r="293" spans="2:17" x14ac:dyDescent="0.2">
      <c r="B293" t="s">
        <v>1531</v>
      </c>
      <c r="C293" s="72" t="s">
        <v>2863</v>
      </c>
      <c r="D293" t="s">
        <v>1038</v>
      </c>
      <c r="E293" s="15">
        <v>-2.0088625840629599E-2</v>
      </c>
      <c r="F293" s="15">
        <v>1.6443842832188599E-2</v>
      </c>
      <c r="G293" s="15">
        <v>0.221901111606992</v>
      </c>
      <c r="H293" s="15">
        <v>0.65636669118294499</v>
      </c>
      <c r="I293" s="15">
        <v>0.37698175965439001</v>
      </c>
      <c r="J293" s="15">
        <v>1</v>
      </c>
      <c r="K293" s="15"/>
      <c r="L293" s="15"/>
      <c r="M293" s="15"/>
      <c r="N293" s="15"/>
      <c r="O293" s="15"/>
      <c r="P293" s="15"/>
      <c r="Q293" s="15"/>
    </row>
    <row r="294" spans="2:17" x14ac:dyDescent="0.2">
      <c r="B294" t="s">
        <v>1531</v>
      </c>
      <c r="C294" s="72" t="s">
        <v>2863</v>
      </c>
      <c r="D294" t="s">
        <v>1040</v>
      </c>
      <c r="E294" s="15">
        <v>-9.0139329746057595E-3</v>
      </c>
      <c r="F294" s="15">
        <v>1.6533689747627998E-2</v>
      </c>
      <c r="G294" s="15">
        <v>0.585651690404006</v>
      </c>
      <c r="H294" s="15">
        <v>0.89683700411488498</v>
      </c>
      <c r="I294" s="15">
        <v>0.74441269081473105</v>
      </c>
      <c r="J294" s="15">
        <v>1</v>
      </c>
      <c r="K294" s="15"/>
      <c r="L294" s="15"/>
      <c r="M294" s="15"/>
      <c r="N294" s="15"/>
      <c r="O294" s="15"/>
      <c r="P294" s="15"/>
      <c r="Q294" s="15"/>
    </row>
    <row r="295" spans="2:17" x14ac:dyDescent="0.2">
      <c r="B295" t="s">
        <v>1531</v>
      </c>
      <c r="C295" s="72" t="s">
        <v>2863</v>
      </c>
      <c r="D295" t="s">
        <v>3190</v>
      </c>
      <c r="E295" s="15">
        <v>-6.3767456729561097E-3</v>
      </c>
      <c r="F295" s="15">
        <v>1.65562352907868E-2</v>
      </c>
      <c r="G295" s="15">
        <v>0.70013927597322301</v>
      </c>
      <c r="H295" s="15">
        <v>0.92065907679099201</v>
      </c>
      <c r="I295" s="15">
        <v>0.83274739137739595</v>
      </c>
      <c r="J295" s="15">
        <v>1</v>
      </c>
      <c r="K295" s="15"/>
      <c r="L295" s="15"/>
      <c r="M295" s="15"/>
      <c r="N295" s="15"/>
      <c r="O295" s="15"/>
      <c r="P295" s="15"/>
      <c r="Q295" s="15"/>
    </row>
    <row r="296" spans="2:17" x14ac:dyDescent="0.2">
      <c r="B296" t="s">
        <v>1531</v>
      </c>
      <c r="C296" s="72" t="s">
        <v>2863</v>
      </c>
      <c r="D296" t="s">
        <v>3191</v>
      </c>
      <c r="E296" s="15">
        <v>-3.8251216445516503E-2</v>
      </c>
      <c r="F296" s="15">
        <v>1.6200709960127301E-2</v>
      </c>
      <c r="G296" s="15">
        <v>1.8262196764483801E-2</v>
      </c>
      <c r="H296" s="15">
        <v>0.26118609985727698</v>
      </c>
      <c r="I296" s="15">
        <v>5.2044051834923798E-2</v>
      </c>
      <c r="J296" s="15">
        <v>1</v>
      </c>
      <c r="K296" s="15"/>
      <c r="L296" s="15"/>
      <c r="M296" s="15"/>
      <c r="N296" s="15"/>
      <c r="O296" s="15"/>
      <c r="P296" s="15"/>
      <c r="Q296" s="15"/>
    </row>
    <row r="297" spans="2:17" x14ac:dyDescent="0.2">
      <c r="B297" t="s">
        <v>1531</v>
      </c>
      <c r="C297" s="72" t="s">
        <v>2863</v>
      </c>
      <c r="D297" t="s">
        <v>3192</v>
      </c>
      <c r="E297" s="15">
        <v>-1.0208910062755001E-2</v>
      </c>
      <c r="F297" s="15">
        <v>1.6387611386451499E-2</v>
      </c>
      <c r="G297" s="15">
        <v>0.53333785126139699</v>
      </c>
      <c r="H297" s="15">
        <v>0.85904035584851002</v>
      </c>
      <c r="I297" s="15">
        <v>0.69076527436711799</v>
      </c>
      <c r="J297" s="15">
        <v>1</v>
      </c>
      <c r="K297" s="15"/>
      <c r="L297" s="15"/>
      <c r="M297" s="15"/>
      <c r="N297" s="15"/>
      <c r="O297" s="15"/>
      <c r="P297" s="15"/>
      <c r="Q297" s="15"/>
    </row>
    <row r="298" spans="2:17" x14ac:dyDescent="0.2">
      <c r="B298" t="s">
        <v>1531</v>
      </c>
      <c r="C298" s="72" t="s">
        <v>2863</v>
      </c>
      <c r="D298" t="s">
        <v>3193</v>
      </c>
      <c r="E298" s="15">
        <v>-2.56818177926414E-2</v>
      </c>
      <c r="F298" s="15">
        <v>1.5728066872555398E-2</v>
      </c>
      <c r="G298" s="15">
        <v>0.102565015730781</v>
      </c>
      <c r="H298" s="15">
        <v>0.49184587089079101</v>
      </c>
      <c r="I298" s="15">
        <v>0.212168807050929</v>
      </c>
      <c r="J298" s="15">
        <v>1</v>
      </c>
      <c r="K298" s="15"/>
      <c r="L298" s="15"/>
      <c r="M298" s="15"/>
      <c r="N298" s="15"/>
      <c r="O298" s="15"/>
      <c r="P298" s="15"/>
      <c r="Q298" s="15"/>
    </row>
    <row r="299" spans="2:17" x14ac:dyDescent="0.2">
      <c r="B299" t="s">
        <v>1531</v>
      </c>
      <c r="C299" s="72" t="s">
        <v>2863</v>
      </c>
      <c r="D299" t="s">
        <v>3194</v>
      </c>
      <c r="E299" s="15">
        <v>-1.7232385288081201E-2</v>
      </c>
      <c r="F299" s="15">
        <v>1.6496704328517801E-2</v>
      </c>
      <c r="G299" s="15">
        <v>0.29626423684867298</v>
      </c>
      <c r="H299" s="15">
        <v>0.70677758698842397</v>
      </c>
      <c r="I299" s="15">
        <v>0.46087067155023997</v>
      </c>
      <c r="J299" s="15">
        <v>1</v>
      </c>
      <c r="K299" s="15"/>
      <c r="L299" s="15"/>
      <c r="M299" s="15"/>
      <c r="N299" s="15"/>
      <c r="O299" s="15"/>
      <c r="P299" s="15"/>
      <c r="Q299" s="15"/>
    </row>
    <row r="300" spans="2:17" x14ac:dyDescent="0.2">
      <c r="B300" t="s">
        <v>1531</v>
      </c>
      <c r="C300" s="72" t="s">
        <v>2863</v>
      </c>
      <c r="D300" t="s">
        <v>3195</v>
      </c>
      <c r="E300" s="15">
        <v>2.6504611093931098E-3</v>
      </c>
      <c r="F300" s="15">
        <v>1.6519904827722701E-2</v>
      </c>
      <c r="G300" s="15">
        <v>0.87254118361521105</v>
      </c>
      <c r="H300" s="15">
        <v>0.96160164258419401</v>
      </c>
      <c r="I300" s="15">
        <v>0.93028616627232297</v>
      </c>
      <c r="J300" s="15">
        <v>1</v>
      </c>
      <c r="K300" s="15"/>
      <c r="L300" s="15"/>
      <c r="M300" s="15"/>
      <c r="N300" s="15"/>
      <c r="O300" s="15"/>
      <c r="P300" s="15"/>
      <c r="Q300" s="15"/>
    </row>
    <row r="301" spans="2:17" x14ac:dyDescent="0.2">
      <c r="B301" t="s">
        <v>1531</v>
      </c>
      <c r="C301" s="72" t="s">
        <v>2863</v>
      </c>
      <c r="D301" t="s">
        <v>3196</v>
      </c>
      <c r="E301" s="15">
        <v>-3.6821155262359302E-2</v>
      </c>
      <c r="F301" s="15">
        <v>1.6184281004197901E-2</v>
      </c>
      <c r="G301" s="15">
        <v>2.2943595460297801E-2</v>
      </c>
      <c r="H301" s="15">
        <v>0.28477050836016699</v>
      </c>
      <c r="I301" s="15">
        <v>6.3293351543110804E-2</v>
      </c>
      <c r="J301" s="15">
        <v>1</v>
      </c>
      <c r="K301" s="15"/>
      <c r="L301" s="15"/>
      <c r="M301" s="15"/>
      <c r="N301" s="15"/>
      <c r="O301" s="15"/>
      <c r="P301" s="15"/>
      <c r="Q301" s="15"/>
    </row>
    <row r="302" spans="2:17" x14ac:dyDescent="0.2">
      <c r="B302" t="s">
        <v>1531</v>
      </c>
      <c r="C302" s="72" t="s">
        <v>2863</v>
      </c>
      <c r="D302" t="s">
        <v>3197</v>
      </c>
      <c r="E302" s="15">
        <v>-5.4882825896410302E-3</v>
      </c>
      <c r="F302" s="15">
        <v>1.6483070831139202E-2</v>
      </c>
      <c r="G302" s="15">
        <v>0.73917566968071202</v>
      </c>
      <c r="H302" s="15">
        <v>0.93392854073431197</v>
      </c>
      <c r="I302" s="15">
        <v>0.85227358635316997</v>
      </c>
      <c r="J302" s="15">
        <v>1</v>
      </c>
      <c r="K302" s="15"/>
      <c r="L302" s="15"/>
      <c r="M302" s="15"/>
      <c r="N302" s="15"/>
      <c r="O302" s="15"/>
      <c r="P302" s="15"/>
      <c r="Q302" s="15"/>
    </row>
    <row r="303" spans="2:17" x14ac:dyDescent="0.2">
      <c r="B303" t="s">
        <v>1531</v>
      </c>
      <c r="C303" s="72" t="s">
        <v>2863</v>
      </c>
      <c r="D303" t="s">
        <v>1141</v>
      </c>
      <c r="E303" s="15">
        <v>-1.29118772502955E-2</v>
      </c>
      <c r="F303" s="15">
        <v>1.5980735406766599E-2</v>
      </c>
      <c r="G303" s="15">
        <v>0.419153973486522</v>
      </c>
      <c r="H303" s="15">
        <v>0.76242662418669105</v>
      </c>
      <c r="I303" s="15">
        <v>0.58561447592009497</v>
      </c>
      <c r="J303" s="15">
        <v>1</v>
      </c>
      <c r="K303" s="15"/>
      <c r="L303" s="15"/>
      <c r="M303" s="15"/>
      <c r="N303" s="15"/>
      <c r="O303" s="15"/>
      <c r="P303" s="15"/>
      <c r="Q303" s="15"/>
    </row>
    <row r="304" spans="2:17" x14ac:dyDescent="0.2">
      <c r="B304" t="s">
        <v>1531</v>
      </c>
      <c r="C304" s="72" t="s">
        <v>2863</v>
      </c>
      <c r="D304" t="s">
        <v>1142</v>
      </c>
      <c r="E304" s="15">
        <v>1.8940559828160501E-2</v>
      </c>
      <c r="F304" s="15">
        <v>1.6046664312955601E-2</v>
      </c>
      <c r="G304" s="15">
        <v>0.237925826130956</v>
      </c>
      <c r="H304" s="15">
        <v>0.65636669118294499</v>
      </c>
      <c r="I304" s="15">
        <v>0.39717048507620001</v>
      </c>
      <c r="J304" s="15">
        <v>1</v>
      </c>
      <c r="K304" s="15"/>
      <c r="L304" s="15"/>
      <c r="M304" s="15"/>
      <c r="N304" s="15"/>
      <c r="O304" s="15"/>
      <c r="P304" s="15"/>
      <c r="Q304" s="15"/>
    </row>
    <row r="305" spans="2:17" x14ac:dyDescent="0.2">
      <c r="B305" t="s">
        <v>1531</v>
      </c>
      <c r="C305" s="72" t="s">
        <v>2863</v>
      </c>
      <c r="D305" t="s">
        <v>3198</v>
      </c>
      <c r="E305" s="15">
        <v>2.77633040002781E-2</v>
      </c>
      <c r="F305" s="15">
        <v>1.5052604497613401E-2</v>
      </c>
      <c r="G305" s="15">
        <v>6.51952948602251E-2</v>
      </c>
      <c r="H305" s="15">
        <v>0.39303449187164302</v>
      </c>
      <c r="I305" s="15">
        <v>0.14634262995220801</v>
      </c>
      <c r="J305" s="15">
        <v>1</v>
      </c>
      <c r="K305" s="15"/>
      <c r="L305" s="15"/>
      <c r="M305" s="15"/>
      <c r="N305" s="15"/>
      <c r="O305" s="15"/>
      <c r="P305" s="15"/>
      <c r="Q305" s="15"/>
    </row>
    <row r="306" spans="2:17" x14ac:dyDescent="0.2">
      <c r="B306" t="s">
        <v>1531</v>
      </c>
      <c r="C306" s="72" t="s">
        <v>2863</v>
      </c>
      <c r="D306" t="s">
        <v>1134</v>
      </c>
      <c r="E306" s="15">
        <v>1.7411763004592001E-2</v>
      </c>
      <c r="F306" s="15">
        <v>1.6283465051591801E-2</v>
      </c>
      <c r="G306" s="15">
        <v>0.28499406410381201</v>
      </c>
      <c r="H306" s="15">
        <v>0.69119250029775103</v>
      </c>
      <c r="I306" s="15">
        <v>0.446847000567276</v>
      </c>
      <c r="J306" s="15">
        <v>1</v>
      </c>
      <c r="K306" s="15"/>
      <c r="L306" s="15"/>
      <c r="M306" s="15"/>
      <c r="N306" s="15"/>
      <c r="O306" s="15"/>
      <c r="P306" s="15"/>
      <c r="Q306" s="15"/>
    </row>
    <row r="307" spans="2:17" x14ac:dyDescent="0.2">
      <c r="B307" t="s">
        <v>1531</v>
      </c>
      <c r="C307" s="72" t="s">
        <v>2863</v>
      </c>
      <c r="D307" t="s">
        <v>1136</v>
      </c>
      <c r="E307" s="15">
        <v>1.1267964174089999E-2</v>
      </c>
      <c r="F307" s="15">
        <v>1.6022840875486902E-2</v>
      </c>
      <c r="G307" s="15">
        <v>0.48193939046381201</v>
      </c>
      <c r="H307" s="15">
        <v>0.82674155599889698</v>
      </c>
      <c r="I307" s="15">
        <v>0.64804785637015705</v>
      </c>
      <c r="J307" s="15">
        <v>1</v>
      </c>
      <c r="K307" s="15"/>
      <c r="L307" s="15"/>
      <c r="M307" s="15"/>
      <c r="N307" s="15"/>
      <c r="O307" s="15"/>
      <c r="P307" s="15"/>
      <c r="Q307" s="15"/>
    </row>
    <row r="308" spans="2:17" x14ac:dyDescent="0.2">
      <c r="B308" t="s">
        <v>1531</v>
      </c>
      <c r="C308" s="72" t="s">
        <v>2863</v>
      </c>
      <c r="D308" t="s">
        <v>1137</v>
      </c>
      <c r="E308" s="15">
        <v>3.3138955123197901E-2</v>
      </c>
      <c r="F308" s="15">
        <v>1.6173948381208499E-2</v>
      </c>
      <c r="G308" s="15">
        <v>4.0527249298054402E-2</v>
      </c>
      <c r="H308" s="15">
        <v>0.39303449187164302</v>
      </c>
      <c r="I308" s="15">
        <v>0.101558783870421</v>
      </c>
      <c r="J308" s="15">
        <v>1</v>
      </c>
      <c r="K308" s="15"/>
      <c r="L308" s="15"/>
      <c r="M308" s="15"/>
      <c r="N308" s="15"/>
      <c r="O308" s="15"/>
      <c r="P308" s="15"/>
      <c r="Q308" s="15"/>
    </row>
    <row r="309" spans="2:17" x14ac:dyDescent="0.2">
      <c r="B309" t="s">
        <v>1531</v>
      </c>
      <c r="C309" s="72" t="s">
        <v>2863</v>
      </c>
      <c r="D309" t="s">
        <v>1138</v>
      </c>
      <c r="E309" s="15">
        <v>-6.6949583888268804E-3</v>
      </c>
      <c r="F309" s="15">
        <v>1.6089120451293099E-2</v>
      </c>
      <c r="G309" s="15">
        <v>0.67734584079968196</v>
      </c>
      <c r="H309" s="15">
        <v>0.92065907679099201</v>
      </c>
      <c r="I309" s="15">
        <v>0.81575326717313301</v>
      </c>
      <c r="J309" s="15">
        <v>1</v>
      </c>
      <c r="K309" s="15"/>
      <c r="L309" s="15"/>
      <c r="M309" s="15"/>
      <c r="N309" s="15"/>
      <c r="O309" s="15"/>
      <c r="P309" s="15"/>
      <c r="Q309" s="15"/>
    </row>
    <row r="310" spans="2:17" x14ac:dyDescent="0.2">
      <c r="B310" t="s">
        <v>1531</v>
      </c>
      <c r="C310" s="72" t="s">
        <v>2863</v>
      </c>
      <c r="D310" t="s">
        <v>1054</v>
      </c>
      <c r="E310" s="15">
        <v>1.30495423986287E-2</v>
      </c>
      <c r="F310" s="15">
        <v>1.5890214512957902E-2</v>
      </c>
      <c r="G310" s="15">
        <v>0.41157983985188001</v>
      </c>
      <c r="H310" s="15">
        <v>0.76192958198400595</v>
      </c>
      <c r="I310" s="15">
        <v>0.57818472842041801</v>
      </c>
      <c r="J310" s="15">
        <v>1</v>
      </c>
      <c r="K310" s="15"/>
      <c r="L310" s="15"/>
      <c r="M310" s="15"/>
      <c r="N310" s="15"/>
      <c r="O310" s="15"/>
      <c r="P310" s="15"/>
      <c r="Q310" s="15"/>
    </row>
    <row r="311" spans="2:17" x14ac:dyDescent="0.2">
      <c r="B311" t="s">
        <v>1531</v>
      </c>
      <c r="C311" s="72" t="s">
        <v>2863</v>
      </c>
      <c r="D311" t="s">
        <v>312</v>
      </c>
      <c r="E311" s="15">
        <v>1.0586333071632099E-2</v>
      </c>
      <c r="F311" s="15">
        <v>1.6496320598220201E-2</v>
      </c>
      <c r="G311" s="15">
        <v>0.52107574676728696</v>
      </c>
      <c r="H311" s="15">
        <v>0.85904035584851002</v>
      </c>
      <c r="I311" s="15">
        <v>0.68073617901222505</v>
      </c>
      <c r="J311" s="15">
        <v>1</v>
      </c>
      <c r="K311" s="15"/>
      <c r="L311" s="15"/>
      <c r="M311" s="15"/>
      <c r="N311" s="15"/>
      <c r="O311" s="15"/>
      <c r="P311" s="15"/>
      <c r="Q311" s="15"/>
    </row>
    <row r="312" spans="2:17" x14ac:dyDescent="0.2">
      <c r="B312" t="s">
        <v>1531</v>
      </c>
      <c r="C312" s="72" t="s">
        <v>2863</v>
      </c>
      <c r="D312" t="s">
        <v>1059</v>
      </c>
      <c r="E312" s="15">
        <v>-1.8981331003222201E-2</v>
      </c>
      <c r="F312" s="15">
        <v>1.6756342645635702E-2</v>
      </c>
      <c r="G312" s="15">
        <v>0.257365963794351</v>
      </c>
      <c r="H312" s="15">
        <v>0.65636669118294499</v>
      </c>
      <c r="I312" s="15">
        <v>0.41453601801990902</v>
      </c>
      <c r="J312" s="15">
        <v>1</v>
      </c>
      <c r="K312" s="15"/>
      <c r="L312" s="15"/>
      <c r="M312" s="15"/>
      <c r="N312" s="15"/>
      <c r="O312" s="15"/>
      <c r="P312" s="15"/>
      <c r="Q312" s="15"/>
    </row>
    <row r="313" spans="2:17" x14ac:dyDescent="0.2">
      <c r="B313" t="s">
        <v>1531</v>
      </c>
      <c r="C313" s="72" t="s">
        <v>2863</v>
      </c>
      <c r="D313" t="s">
        <v>1060</v>
      </c>
      <c r="E313" s="15">
        <v>-8.72594399909799E-3</v>
      </c>
      <c r="F313" s="15">
        <v>1.6625021847526799E-2</v>
      </c>
      <c r="G313" s="15">
        <v>0.59970081341820203</v>
      </c>
      <c r="H313" s="15">
        <v>0.89683700411488498</v>
      </c>
      <c r="I313" s="15">
        <v>0.75319566447166997</v>
      </c>
      <c r="J313" s="15">
        <v>1</v>
      </c>
      <c r="K313" s="15"/>
      <c r="L313" s="15"/>
      <c r="M313" s="15"/>
      <c r="N313" s="15"/>
      <c r="O313" s="15"/>
      <c r="P313" s="15"/>
      <c r="Q313" s="15"/>
    </row>
    <row r="314" spans="2:17" x14ac:dyDescent="0.2">
      <c r="B314" t="s">
        <v>1531</v>
      </c>
      <c r="C314" s="72" t="s">
        <v>2863</v>
      </c>
      <c r="D314" t="s">
        <v>1477</v>
      </c>
      <c r="E314" s="15">
        <v>1.21539899026787E-2</v>
      </c>
      <c r="F314" s="15">
        <v>1.66659779389428E-2</v>
      </c>
      <c r="G314" s="15">
        <v>0.46587452833183901</v>
      </c>
      <c r="H314" s="15">
        <v>0.82674155599889698</v>
      </c>
      <c r="I314" s="15">
        <v>0.63665495775918401</v>
      </c>
      <c r="J314" s="15">
        <v>1</v>
      </c>
      <c r="K314" s="15"/>
      <c r="L314" s="15"/>
      <c r="M314" s="15"/>
      <c r="N314" s="15"/>
      <c r="O314" s="15"/>
      <c r="P314" s="15"/>
      <c r="Q314" s="15"/>
    </row>
    <row r="315" spans="2:17" x14ac:dyDescent="0.2">
      <c r="B315" t="s">
        <v>1531</v>
      </c>
      <c r="C315" s="72" t="s">
        <v>2863</v>
      </c>
      <c r="D315" t="s">
        <v>324</v>
      </c>
      <c r="E315" s="15">
        <v>1.5884641380711701E-3</v>
      </c>
      <c r="F315" s="15">
        <v>1.6701626272649699E-2</v>
      </c>
      <c r="G315" s="15">
        <v>0.92423284037744202</v>
      </c>
      <c r="H315" s="15">
        <v>0.96160164258419401</v>
      </c>
      <c r="I315" s="15">
        <v>0.94666567630893295</v>
      </c>
      <c r="J315" s="15">
        <v>1</v>
      </c>
      <c r="K315" s="15"/>
      <c r="L315" s="15"/>
      <c r="M315" s="15"/>
      <c r="N315" s="15"/>
      <c r="O315" s="15"/>
      <c r="P315" s="15"/>
      <c r="Q315" s="15"/>
    </row>
    <row r="316" spans="2:17" x14ac:dyDescent="0.2">
      <c r="B316" t="s">
        <v>1531</v>
      </c>
      <c r="C316" s="72" t="s">
        <v>2863</v>
      </c>
      <c r="D316" t="s">
        <v>328</v>
      </c>
      <c r="E316" s="15">
        <v>2.2874521234573101E-3</v>
      </c>
      <c r="F316" s="15">
        <v>1.6652782878643399E-2</v>
      </c>
      <c r="G316" s="15">
        <v>0.890751156299321</v>
      </c>
      <c r="H316" s="15">
        <v>0.96160164258419401</v>
      </c>
      <c r="I316" s="15">
        <v>0.93599847599181596</v>
      </c>
      <c r="J316" s="15">
        <v>1</v>
      </c>
      <c r="K316" s="15"/>
      <c r="L316" s="15"/>
      <c r="M316" s="15"/>
      <c r="N316" s="15"/>
      <c r="O316" s="15"/>
      <c r="P316" s="15"/>
      <c r="Q316" s="15"/>
    </row>
    <row r="317" spans="2:17" x14ac:dyDescent="0.2">
      <c r="B317" t="s">
        <v>1531</v>
      </c>
      <c r="C317" s="72" t="s">
        <v>2863</v>
      </c>
      <c r="D317" t="s">
        <v>1068</v>
      </c>
      <c r="E317" s="15">
        <v>2.3886507854256701E-2</v>
      </c>
      <c r="F317" s="15">
        <v>1.6534524682563299E-2</v>
      </c>
      <c r="G317" s="15">
        <v>0.148627979545917</v>
      </c>
      <c r="H317" s="15">
        <v>0.59170761668280103</v>
      </c>
      <c r="I317" s="15">
        <v>0.28303703686090598</v>
      </c>
      <c r="J317" s="15">
        <v>1</v>
      </c>
      <c r="K317" s="15"/>
      <c r="L317" s="15"/>
      <c r="M317" s="15"/>
      <c r="N317" s="15"/>
      <c r="O317" s="15"/>
      <c r="P317" s="15"/>
      <c r="Q317" s="15"/>
    </row>
    <row r="318" spans="2:17" x14ac:dyDescent="0.2">
      <c r="B318" t="s">
        <v>1531</v>
      </c>
      <c r="C318" s="72" t="s">
        <v>2863</v>
      </c>
      <c r="D318" t="s">
        <v>1069</v>
      </c>
      <c r="E318" s="15">
        <v>2.0100962687977099E-2</v>
      </c>
      <c r="F318" s="15">
        <v>1.6586161518121801E-2</v>
      </c>
      <c r="G318" s="15">
        <v>0.22560846090272399</v>
      </c>
      <c r="H318" s="15">
        <v>0.65636669118294499</v>
      </c>
      <c r="I318" s="15">
        <v>0.38204964085453202</v>
      </c>
      <c r="J318" s="15">
        <v>1</v>
      </c>
      <c r="K318" s="15"/>
      <c r="L318" s="15"/>
      <c r="M318" s="15"/>
      <c r="N318" s="15"/>
      <c r="O318" s="15"/>
      <c r="P318" s="15"/>
      <c r="Q318" s="15"/>
    </row>
    <row r="319" spans="2:17" x14ac:dyDescent="0.2">
      <c r="B319" t="s">
        <v>1531</v>
      </c>
      <c r="C319" s="72" t="s">
        <v>2863</v>
      </c>
      <c r="D319" t="s">
        <v>1072</v>
      </c>
      <c r="E319" s="15">
        <v>6.8981288542245003E-4</v>
      </c>
      <c r="F319" s="15">
        <v>1.6501978505803601E-2</v>
      </c>
      <c r="G319" s="15">
        <v>0.966658485473184</v>
      </c>
      <c r="H319" s="15">
        <v>0.97825821204873598</v>
      </c>
      <c r="I319" s="15">
        <v>0.97590880590833395</v>
      </c>
      <c r="J319" s="15">
        <v>1</v>
      </c>
      <c r="K319" s="15"/>
      <c r="L319" s="15"/>
      <c r="M319" s="15"/>
      <c r="N319" s="15"/>
      <c r="O319" s="15"/>
      <c r="P319" s="15"/>
      <c r="Q319" s="15"/>
    </row>
    <row r="320" spans="2:17" x14ac:dyDescent="0.2">
      <c r="B320" t="s">
        <v>1531</v>
      </c>
      <c r="C320" s="72" t="s">
        <v>2863</v>
      </c>
      <c r="D320" t="s">
        <v>1074</v>
      </c>
      <c r="E320" s="15">
        <v>1.9066120330996399E-2</v>
      </c>
      <c r="F320" s="15">
        <v>1.64438489552052E-2</v>
      </c>
      <c r="G320" s="15">
        <v>0.246324722982698</v>
      </c>
      <c r="H320" s="15">
        <v>0.65636669118294499</v>
      </c>
      <c r="I320" s="15">
        <v>0.40541744578275601</v>
      </c>
      <c r="J320" s="15">
        <v>1</v>
      </c>
      <c r="K320" s="15"/>
      <c r="L320" s="15"/>
      <c r="M320" s="15"/>
      <c r="N320" s="15"/>
      <c r="O320" s="15"/>
      <c r="P320" s="15"/>
      <c r="Q320" s="15"/>
    </row>
    <row r="321" spans="2:17" x14ac:dyDescent="0.2">
      <c r="B321" t="s">
        <v>1531</v>
      </c>
      <c r="C321" s="72" t="s">
        <v>2863</v>
      </c>
      <c r="D321" t="s">
        <v>1075</v>
      </c>
      <c r="E321" s="15">
        <v>-1.5218262851794E-2</v>
      </c>
      <c r="F321" s="15">
        <v>1.6428251650854198E-2</v>
      </c>
      <c r="G321" s="15">
        <v>0.35431477000522299</v>
      </c>
      <c r="H321" s="15">
        <v>0.74020214327823697</v>
      </c>
      <c r="I321" s="15">
        <v>0.522800115182531</v>
      </c>
      <c r="J321" s="15">
        <v>1</v>
      </c>
      <c r="K321" s="15"/>
      <c r="L321" s="15"/>
      <c r="M321" s="15"/>
      <c r="N321" s="15"/>
      <c r="O321" s="15"/>
      <c r="P321" s="15"/>
      <c r="Q321" s="15"/>
    </row>
    <row r="322" spans="2:17" x14ac:dyDescent="0.2">
      <c r="B322" t="s">
        <v>1531</v>
      </c>
      <c r="C322" s="72" t="s">
        <v>2863</v>
      </c>
      <c r="D322" t="s">
        <v>1077</v>
      </c>
      <c r="E322" s="15">
        <v>9.9250213462204005E-3</v>
      </c>
      <c r="F322" s="15">
        <v>1.6525870071289799E-2</v>
      </c>
      <c r="G322" s="15">
        <v>0.54815274659455704</v>
      </c>
      <c r="H322" s="15">
        <v>0.86985567196134195</v>
      </c>
      <c r="I322" s="15">
        <v>0.70286029386912796</v>
      </c>
      <c r="J322" s="15">
        <v>1</v>
      </c>
      <c r="K322" s="15"/>
      <c r="L322" s="15"/>
      <c r="M322" s="15"/>
      <c r="N322" s="15"/>
      <c r="O322" s="15"/>
      <c r="P322" s="15"/>
      <c r="Q322" s="15"/>
    </row>
    <row r="323" spans="2:17" x14ac:dyDescent="0.2">
      <c r="B323" t="s">
        <v>1531</v>
      </c>
      <c r="C323" s="72" t="s">
        <v>2863</v>
      </c>
      <c r="D323" t="s">
        <v>1078</v>
      </c>
      <c r="E323" s="15">
        <v>3.7865623766436401E-3</v>
      </c>
      <c r="F323" s="15">
        <v>1.6582177043445102E-2</v>
      </c>
      <c r="G323" s="15">
        <v>0.81938341140614701</v>
      </c>
      <c r="H323" s="15">
        <v>0.96160164258419401</v>
      </c>
      <c r="I323" s="15">
        <v>0.90423587765008895</v>
      </c>
      <c r="J323" s="15">
        <v>1</v>
      </c>
      <c r="K323" s="15"/>
      <c r="L323" s="15"/>
      <c r="M323" s="15"/>
      <c r="N323" s="15"/>
      <c r="O323" s="15"/>
      <c r="P323" s="15"/>
      <c r="Q323" s="15"/>
    </row>
    <row r="324" spans="2:17" x14ac:dyDescent="0.2">
      <c r="B324" t="s">
        <v>1531</v>
      </c>
      <c r="C324" s="72" t="s">
        <v>2863</v>
      </c>
      <c r="D324" t="s">
        <v>1079</v>
      </c>
      <c r="E324" s="15">
        <v>1.05013910909147E-2</v>
      </c>
      <c r="F324" s="15">
        <v>1.6576852018423401E-2</v>
      </c>
      <c r="G324" s="15">
        <v>0.52643990190598899</v>
      </c>
      <c r="H324" s="15">
        <v>0.85904035584851002</v>
      </c>
      <c r="I324" s="15">
        <v>0.68567172408743005</v>
      </c>
      <c r="J324" s="15">
        <v>1</v>
      </c>
      <c r="K324" s="15"/>
      <c r="L324" s="15"/>
      <c r="M324" s="15"/>
      <c r="N324" s="15"/>
      <c r="O324" s="15"/>
      <c r="P324" s="15"/>
      <c r="Q324" s="15"/>
    </row>
    <row r="325" spans="2:17" x14ac:dyDescent="0.2">
      <c r="B325" t="s">
        <v>1531</v>
      </c>
      <c r="C325" s="72" t="s">
        <v>2863</v>
      </c>
      <c r="D325" t="s">
        <v>3199</v>
      </c>
      <c r="E325" s="15">
        <v>2.5007378907165698E-3</v>
      </c>
      <c r="F325" s="15">
        <v>1.6635430815373001E-2</v>
      </c>
      <c r="G325" s="15">
        <v>0.88051402741848195</v>
      </c>
      <c r="H325" s="15">
        <v>0.96160164258419401</v>
      </c>
      <c r="I325" s="15">
        <v>0.93173751146088102</v>
      </c>
      <c r="J325" s="15">
        <v>1</v>
      </c>
      <c r="K325" s="15"/>
      <c r="L325" s="15"/>
      <c r="M325" s="15"/>
      <c r="N325" s="15"/>
      <c r="O325" s="15"/>
      <c r="P325" s="15"/>
      <c r="Q325" s="15"/>
    </row>
    <row r="326" spans="2:17" x14ac:dyDescent="0.2">
      <c r="B326" t="s">
        <v>1531</v>
      </c>
      <c r="C326" s="72" t="s">
        <v>2863</v>
      </c>
      <c r="D326" t="s">
        <v>3200</v>
      </c>
      <c r="E326" s="15">
        <v>-4.6443674456307701E-3</v>
      </c>
      <c r="F326" s="15">
        <v>1.65370508338781E-2</v>
      </c>
      <c r="G326" s="15">
        <v>0.77884115085577299</v>
      </c>
      <c r="H326" s="15">
        <v>0.95543885366609305</v>
      </c>
      <c r="I326" s="15">
        <v>0.874124908673234</v>
      </c>
      <c r="J326" s="15">
        <v>1</v>
      </c>
      <c r="K326" s="15"/>
      <c r="L326" s="15"/>
      <c r="M326" s="15"/>
      <c r="N326" s="15"/>
      <c r="O326" s="15"/>
      <c r="P326" s="15"/>
      <c r="Q326" s="15"/>
    </row>
    <row r="327" spans="2:17" x14ac:dyDescent="0.2">
      <c r="B327" t="s">
        <v>1531</v>
      </c>
      <c r="C327" s="72" t="s">
        <v>2863</v>
      </c>
      <c r="D327" t="s">
        <v>3201</v>
      </c>
      <c r="E327" s="15">
        <v>2.63753770404839E-3</v>
      </c>
      <c r="F327" s="15">
        <v>1.66114906934033E-2</v>
      </c>
      <c r="G327" s="15">
        <v>0.87385174481125305</v>
      </c>
      <c r="H327" s="15">
        <v>0.96160164258419401</v>
      </c>
      <c r="I327" s="15">
        <v>0.93028616627232297</v>
      </c>
      <c r="J327" s="15">
        <v>1</v>
      </c>
      <c r="K327" s="15"/>
      <c r="L327" s="15"/>
      <c r="M327" s="15"/>
      <c r="N327" s="15"/>
      <c r="O327" s="15"/>
      <c r="P327" s="15"/>
      <c r="Q327" s="15"/>
    </row>
    <row r="328" spans="2:17" x14ac:dyDescent="0.2">
      <c r="B328" t="s">
        <v>1531</v>
      </c>
      <c r="C328" s="72" t="s">
        <v>2863</v>
      </c>
      <c r="D328" t="s">
        <v>3202</v>
      </c>
      <c r="E328" s="15">
        <v>-2.6558764835174602E-2</v>
      </c>
      <c r="F328" s="15">
        <v>1.6519458573959901E-2</v>
      </c>
      <c r="G328" s="15">
        <v>0.107964358285026</v>
      </c>
      <c r="H328" s="15">
        <v>0.50623287995867705</v>
      </c>
      <c r="I328" s="15">
        <v>0.22074108137733001</v>
      </c>
      <c r="J328" s="15">
        <v>1</v>
      </c>
      <c r="K328" s="15"/>
      <c r="L328" s="15"/>
      <c r="M328" s="15"/>
      <c r="N328" s="15"/>
      <c r="O328" s="15"/>
      <c r="P328" s="15"/>
      <c r="Q328" s="15"/>
    </row>
    <row r="329" spans="2:17" x14ac:dyDescent="0.2">
      <c r="B329" t="s">
        <v>1531</v>
      </c>
      <c r="C329" s="72" t="s">
        <v>2863</v>
      </c>
      <c r="D329" t="s">
        <v>3203</v>
      </c>
      <c r="E329" s="15">
        <v>-6.3140257457499601E-3</v>
      </c>
      <c r="F329" s="15">
        <v>1.6526078422862099E-2</v>
      </c>
      <c r="G329" s="15">
        <v>0.70243227822597598</v>
      </c>
      <c r="H329" s="15">
        <v>0.92065907679099201</v>
      </c>
      <c r="I329" s="15">
        <v>0.83366766796034697</v>
      </c>
      <c r="J329" s="15">
        <v>1</v>
      </c>
      <c r="K329" s="15"/>
      <c r="L329" s="15"/>
      <c r="M329" s="15"/>
      <c r="N329" s="15"/>
      <c r="O329" s="15"/>
      <c r="P329" s="15"/>
      <c r="Q329" s="15"/>
    </row>
    <row r="330" spans="2:17" x14ac:dyDescent="0.2">
      <c r="B330" t="s">
        <v>1531</v>
      </c>
      <c r="C330" s="72" t="s">
        <v>2863</v>
      </c>
      <c r="D330" t="s">
        <v>3204</v>
      </c>
      <c r="E330" s="15">
        <v>-7.09520840227491E-3</v>
      </c>
      <c r="F330" s="15">
        <v>1.65886942043647E-2</v>
      </c>
      <c r="G330" s="15">
        <v>0.66888059444895998</v>
      </c>
      <c r="H330" s="15">
        <v>0.92065907679099201</v>
      </c>
      <c r="I330" s="15">
        <v>0.80925347149501503</v>
      </c>
      <c r="J330" s="15">
        <v>1</v>
      </c>
      <c r="K330" s="15"/>
      <c r="L330" s="15"/>
      <c r="M330" s="15"/>
      <c r="N330" s="15"/>
      <c r="O330" s="15"/>
      <c r="P330" s="15"/>
      <c r="Q330" s="15"/>
    </row>
    <row r="331" spans="2:17" x14ac:dyDescent="0.2">
      <c r="B331" t="s">
        <v>1531</v>
      </c>
      <c r="C331" s="72" t="s">
        <v>2863</v>
      </c>
      <c r="D331" t="s">
        <v>3205</v>
      </c>
      <c r="E331" s="15">
        <v>-2.1156793271119401E-2</v>
      </c>
      <c r="F331" s="15">
        <v>1.6611849423086699E-2</v>
      </c>
      <c r="G331" s="15">
        <v>0.20287126888162499</v>
      </c>
      <c r="H331" s="15">
        <v>0.64071671482331904</v>
      </c>
      <c r="I331" s="15">
        <v>0.35220643361918103</v>
      </c>
      <c r="J331" s="15">
        <v>1</v>
      </c>
      <c r="K331" s="15"/>
      <c r="L331" s="15"/>
      <c r="M331" s="15"/>
      <c r="N331" s="15"/>
      <c r="O331" s="15"/>
      <c r="P331" s="15"/>
      <c r="Q331" s="15"/>
    </row>
    <row r="332" spans="2:17" x14ac:dyDescent="0.2">
      <c r="B332" t="s">
        <v>1531</v>
      </c>
      <c r="C332" s="72" t="s">
        <v>2863</v>
      </c>
      <c r="D332" t="s">
        <v>3206</v>
      </c>
      <c r="E332" s="15">
        <v>3.8954583119126798E-3</v>
      </c>
      <c r="F332" s="15">
        <v>1.65750751844926E-2</v>
      </c>
      <c r="G332" s="15">
        <v>0.81420467866912205</v>
      </c>
      <c r="H332" s="15">
        <v>0.96160164258419401</v>
      </c>
      <c r="I332" s="15">
        <v>0.90347032200947597</v>
      </c>
      <c r="J332" s="15">
        <v>1</v>
      </c>
      <c r="K332" s="15"/>
      <c r="L332" s="15"/>
      <c r="M332" s="15"/>
      <c r="N332" s="15"/>
      <c r="O332" s="15"/>
      <c r="P332" s="15"/>
      <c r="Q332" s="15"/>
    </row>
    <row r="333" spans="2:17" x14ac:dyDescent="0.2">
      <c r="B333" t="s">
        <v>1531</v>
      </c>
      <c r="C333" s="72" t="s">
        <v>2863</v>
      </c>
      <c r="D333" t="s">
        <v>3207</v>
      </c>
      <c r="E333" s="15">
        <v>2.5879981179435699E-2</v>
      </c>
      <c r="F333" s="15">
        <v>1.65739035231206E-2</v>
      </c>
      <c r="G333" s="15">
        <v>0.118477898413553</v>
      </c>
      <c r="H333" s="15">
        <v>0.53189013968637799</v>
      </c>
      <c r="I333" s="15">
        <v>0.23673140686798999</v>
      </c>
      <c r="J333" s="15">
        <v>1</v>
      </c>
      <c r="K333" s="15"/>
      <c r="L333" s="15"/>
      <c r="M333" s="15"/>
      <c r="N333" s="15"/>
      <c r="O333" s="15"/>
      <c r="P333" s="15"/>
      <c r="Q333" s="15"/>
    </row>
    <row r="334" spans="2:17" x14ac:dyDescent="0.2">
      <c r="B334" t="s">
        <v>1531</v>
      </c>
      <c r="C334" s="72" t="s">
        <v>2863</v>
      </c>
      <c r="D334" t="s">
        <v>3208</v>
      </c>
      <c r="E334" s="15">
        <v>2.5021293464049001E-2</v>
      </c>
      <c r="F334" s="15">
        <v>1.6512380457829899E-2</v>
      </c>
      <c r="G334" s="15">
        <v>0.129769427335756</v>
      </c>
      <c r="H334" s="15">
        <v>0.54762698335689197</v>
      </c>
      <c r="I334" s="15">
        <v>0.25400138374623898</v>
      </c>
      <c r="J334" s="15">
        <v>1</v>
      </c>
      <c r="K334" s="15"/>
      <c r="L334" s="15"/>
      <c r="M334" s="15"/>
      <c r="N334" s="15"/>
      <c r="O334" s="15"/>
      <c r="P334" s="15"/>
      <c r="Q334" s="15"/>
    </row>
    <row r="335" spans="2:17" x14ac:dyDescent="0.2">
      <c r="B335" t="s">
        <v>1531</v>
      </c>
      <c r="C335" s="72" t="s">
        <v>2863</v>
      </c>
      <c r="D335" t="s">
        <v>3209</v>
      </c>
      <c r="E335" s="15">
        <v>2.2895980073362101E-2</v>
      </c>
      <c r="F335" s="15">
        <v>1.65833209545358E-2</v>
      </c>
      <c r="G335" s="15">
        <v>0.16744838598607301</v>
      </c>
      <c r="H335" s="15">
        <v>0.61433994608908205</v>
      </c>
      <c r="I335" s="15">
        <v>0.31047108473691998</v>
      </c>
      <c r="J335" s="15">
        <v>1</v>
      </c>
      <c r="K335" s="15"/>
      <c r="L335" s="15"/>
      <c r="M335" s="15"/>
      <c r="N335" s="15"/>
      <c r="O335" s="15"/>
      <c r="P335" s="15"/>
      <c r="Q335" s="15"/>
    </row>
    <row r="336" spans="2:17" x14ac:dyDescent="0.2">
      <c r="B336" t="s">
        <v>1531</v>
      </c>
      <c r="C336" s="72" t="s">
        <v>2863</v>
      </c>
      <c r="D336" t="s">
        <v>3210</v>
      </c>
      <c r="E336" s="15">
        <v>-2.9352028445772199E-5</v>
      </c>
      <c r="F336" s="15">
        <v>1.6504408929174499E-2</v>
      </c>
      <c r="G336" s="15">
        <v>0.99858109003013296</v>
      </c>
      <c r="H336" s="15">
        <v>0.99901249543201098</v>
      </c>
      <c r="I336" s="15">
        <v>0.99901249543201098</v>
      </c>
      <c r="J336" s="15">
        <v>1</v>
      </c>
      <c r="K336" s="15"/>
      <c r="L336" s="15"/>
      <c r="M336" s="15"/>
      <c r="N336" s="15"/>
      <c r="O336" s="15"/>
      <c r="P336" s="15"/>
      <c r="Q336" s="15"/>
    </row>
    <row r="337" spans="2:17" x14ac:dyDescent="0.2">
      <c r="B337" t="s">
        <v>1531</v>
      </c>
      <c r="C337" s="72" t="s">
        <v>2863</v>
      </c>
      <c r="D337" t="s">
        <v>3211</v>
      </c>
      <c r="E337" s="15">
        <v>-5.7961803458716496E-3</v>
      </c>
      <c r="F337" s="15">
        <v>1.6545899734938401E-2</v>
      </c>
      <c r="G337" s="15">
        <v>0.72612339686926897</v>
      </c>
      <c r="H337" s="15">
        <v>0.92296407674346903</v>
      </c>
      <c r="I337" s="15">
        <v>0.844608802312105</v>
      </c>
      <c r="J337" s="15">
        <v>1</v>
      </c>
      <c r="K337" s="15"/>
      <c r="L337" s="15"/>
      <c r="M337" s="15"/>
      <c r="N337" s="15"/>
      <c r="O337" s="15"/>
      <c r="P337" s="15"/>
      <c r="Q337" s="15"/>
    </row>
    <row r="338" spans="2:17" x14ac:dyDescent="0.2">
      <c r="B338" t="s">
        <v>1531</v>
      </c>
      <c r="C338" s="72" t="s">
        <v>2863</v>
      </c>
      <c r="D338" t="s">
        <v>3212</v>
      </c>
      <c r="E338" s="15">
        <v>1.2791063967745101E-3</v>
      </c>
      <c r="F338" s="15">
        <v>1.65049250987221E-2</v>
      </c>
      <c r="G338" s="15">
        <v>0.93823043017778895</v>
      </c>
      <c r="H338" s="15">
        <v>0.97042461160545801</v>
      </c>
      <c r="I338" s="15">
        <v>0.95636048679958197</v>
      </c>
      <c r="J338" s="15">
        <v>1</v>
      </c>
      <c r="K338" s="15"/>
      <c r="L338" s="15"/>
      <c r="M338" s="15"/>
      <c r="N338" s="15"/>
      <c r="O338" s="15"/>
      <c r="P338" s="15"/>
      <c r="Q338" s="15"/>
    </row>
    <row r="339" spans="2:17" x14ac:dyDescent="0.2">
      <c r="B339" t="s">
        <v>1531</v>
      </c>
      <c r="C339" s="72" t="s">
        <v>2863</v>
      </c>
      <c r="D339" t="s">
        <v>3213</v>
      </c>
      <c r="E339" s="15">
        <v>-1.36724483791105E-2</v>
      </c>
      <c r="F339" s="15">
        <v>1.6360905923337801E-2</v>
      </c>
      <c r="G339" s="15">
        <v>0.40338045618907298</v>
      </c>
      <c r="H339" s="15">
        <v>0.75993996657048501</v>
      </c>
      <c r="I339" s="15">
        <v>0.57353959741168703</v>
      </c>
      <c r="J339" s="15">
        <v>1</v>
      </c>
      <c r="K339" s="15"/>
      <c r="L339" s="15"/>
      <c r="M339" s="15"/>
      <c r="N339" s="15"/>
      <c r="O339" s="15"/>
      <c r="P339" s="15"/>
      <c r="Q339" s="15"/>
    </row>
    <row r="340" spans="2:17" x14ac:dyDescent="0.2">
      <c r="B340" t="s">
        <v>1531</v>
      </c>
      <c r="C340" s="72" t="s">
        <v>2863</v>
      </c>
      <c r="D340" t="s">
        <v>3214</v>
      </c>
      <c r="E340" s="15">
        <v>3.84729187721224E-3</v>
      </c>
      <c r="F340" s="15">
        <v>1.6388354448165301E-2</v>
      </c>
      <c r="G340" s="15">
        <v>0.81440784476873096</v>
      </c>
      <c r="H340" s="15">
        <v>0.96160164258419401</v>
      </c>
      <c r="I340" s="15">
        <v>0.90347032200947597</v>
      </c>
      <c r="J340" s="15">
        <v>1</v>
      </c>
      <c r="K340" s="15"/>
      <c r="L340" s="15"/>
      <c r="M340" s="15"/>
      <c r="N340" s="15"/>
      <c r="O340" s="15"/>
      <c r="P340" s="15"/>
      <c r="Q340" s="15"/>
    </row>
    <row r="341" spans="2:17" x14ac:dyDescent="0.2">
      <c r="B341" t="s">
        <v>1531</v>
      </c>
      <c r="C341" s="72" t="s">
        <v>2863</v>
      </c>
      <c r="D341" t="s">
        <v>3215</v>
      </c>
      <c r="E341" s="15">
        <v>1.6503476314220101E-2</v>
      </c>
      <c r="F341" s="15">
        <v>1.6441684750696899E-2</v>
      </c>
      <c r="G341" s="15">
        <v>0.31554886442262797</v>
      </c>
      <c r="H341" s="15">
        <v>0.71592269239972595</v>
      </c>
      <c r="I341" s="15">
        <v>0.483169886742921</v>
      </c>
      <c r="J341" s="15">
        <v>1</v>
      </c>
      <c r="K341" s="15"/>
      <c r="L341" s="15"/>
      <c r="M341" s="15"/>
      <c r="N341" s="15"/>
      <c r="O341" s="15"/>
      <c r="P341" s="15"/>
      <c r="Q341" s="15"/>
    </row>
    <row r="342" spans="2:17" x14ac:dyDescent="0.2">
      <c r="B342" t="s">
        <v>1531</v>
      </c>
      <c r="C342" s="72" t="s">
        <v>2863</v>
      </c>
      <c r="D342" t="s">
        <v>3216</v>
      </c>
      <c r="E342" s="15">
        <v>-1.1663773852517901E-2</v>
      </c>
      <c r="F342" s="15">
        <v>1.6366931454235401E-2</v>
      </c>
      <c r="G342" s="15">
        <v>0.47610377252715103</v>
      </c>
      <c r="H342" s="15">
        <v>0.82674155599889698</v>
      </c>
      <c r="I342" s="15">
        <v>0.64595706078042903</v>
      </c>
      <c r="J342" s="15">
        <v>1</v>
      </c>
      <c r="K342" s="15"/>
      <c r="L342" s="15"/>
      <c r="M342" s="15"/>
      <c r="N342" s="15"/>
      <c r="O342" s="15"/>
      <c r="P342" s="15"/>
      <c r="Q342" s="15"/>
    </row>
    <row r="343" spans="2:17" x14ac:dyDescent="0.2">
      <c r="B343" t="s">
        <v>1531</v>
      </c>
      <c r="C343" s="72" t="s">
        <v>2863</v>
      </c>
      <c r="D343" t="s">
        <v>3217</v>
      </c>
      <c r="E343" s="15">
        <v>8.51654155976562E-3</v>
      </c>
      <c r="F343" s="15">
        <v>1.6698995133666399E-2</v>
      </c>
      <c r="G343" s="15">
        <v>0.61007379288806796</v>
      </c>
      <c r="H343" s="15">
        <v>0.89683700411488498</v>
      </c>
      <c r="I343" s="15">
        <v>0.76078942257318205</v>
      </c>
      <c r="J343" s="15">
        <v>1</v>
      </c>
      <c r="K343" s="15"/>
      <c r="L343" s="15"/>
      <c r="M343" s="15"/>
      <c r="N343" s="15"/>
      <c r="O343" s="15"/>
      <c r="P343" s="15"/>
      <c r="Q343" s="15"/>
    </row>
    <row r="344" spans="2:17" x14ac:dyDescent="0.2">
      <c r="B344" t="s">
        <v>1531</v>
      </c>
      <c r="C344" s="72" t="s">
        <v>2863</v>
      </c>
      <c r="D344" t="s">
        <v>3218</v>
      </c>
      <c r="E344" s="15">
        <v>1.9088522658412301E-2</v>
      </c>
      <c r="F344" s="15">
        <v>1.6639881552730201E-2</v>
      </c>
      <c r="G344" s="15">
        <v>0.25137726815526201</v>
      </c>
      <c r="H344" s="15">
        <v>0.65636669118294499</v>
      </c>
      <c r="I344" s="15">
        <v>0.41053098746718503</v>
      </c>
      <c r="J344" s="15">
        <v>1</v>
      </c>
      <c r="K344" s="15"/>
      <c r="L344" s="15"/>
      <c r="M344" s="15"/>
      <c r="N344" s="15"/>
      <c r="O344" s="15"/>
      <c r="P344" s="15"/>
      <c r="Q344" s="15"/>
    </row>
    <row r="345" spans="2:17" x14ac:dyDescent="0.2">
      <c r="B345" t="s">
        <v>1531</v>
      </c>
      <c r="C345" s="72" t="s">
        <v>2863</v>
      </c>
      <c r="D345" t="s">
        <v>3219</v>
      </c>
      <c r="E345" s="15">
        <v>-8.4919309004328498E-3</v>
      </c>
      <c r="F345" s="15">
        <v>1.6527017505478799E-2</v>
      </c>
      <c r="G345" s="15">
        <v>0.60740222476394601</v>
      </c>
      <c r="H345" s="15">
        <v>0.89683700411488498</v>
      </c>
      <c r="I345" s="15">
        <v>0.75925278095493298</v>
      </c>
      <c r="J345" s="15">
        <v>1</v>
      </c>
      <c r="K345" s="15"/>
      <c r="L345" s="15"/>
      <c r="M345" s="15"/>
      <c r="N345" s="15"/>
      <c r="O345" s="15"/>
      <c r="P345" s="15"/>
      <c r="Q345" s="15"/>
    </row>
    <row r="346" spans="2:17" x14ac:dyDescent="0.2">
      <c r="B346" t="s">
        <v>1531</v>
      </c>
      <c r="C346" s="72" t="s">
        <v>2863</v>
      </c>
      <c r="D346" t="s">
        <v>3220</v>
      </c>
      <c r="E346" s="15">
        <v>2.1199966932492799E-2</v>
      </c>
      <c r="F346" s="15">
        <v>1.6639430532644502E-2</v>
      </c>
      <c r="G346" s="15">
        <v>0.202701078946669</v>
      </c>
      <c r="H346" s="15">
        <v>0.64071671482331904</v>
      </c>
      <c r="I346" s="15">
        <v>0.35220643361918103</v>
      </c>
      <c r="J346" s="15">
        <v>1</v>
      </c>
      <c r="K346" s="15"/>
      <c r="L346" s="15"/>
      <c r="M346" s="15"/>
      <c r="N346" s="15"/>
      <c r="O346" s="15"/>
      <c r="P346" s="15"/>
      <c r="Q346" s="15"/>
    </row>
    <row r="347" spans="2:17" x14ac:dyDescent="0.2">
      <c r="B347" t="s">
        <v>1531</v>
      </c>
      <c r="C347" s="72" t="s">
        <v>2863</v>
      </c>
      <c r="D347" t="s">
        <v>355</v>
      </c>
      <c r="E347" s="15">
        <v>9.7982909950462792E-3</v>
      </c>
      <c r="F347" s="15">
        <v>1.66868357413298E-2</v>
      </c>
      <c r="G347" s="15">
        <v>0.55710711477071395</v>
      </c>
      <c r="H347" s="15">
        <v>0.877235829974782</v>
      </c>
      <c r="I347" s="15">
        <v>0.712421825555277</v>
      </c>
      <c r="J347" s="15">
        <v>1</v>
      </c>
      <c r="K347" s="15"/>
      <c r="L347" s="15"/>
      <c r="M347" s="15"/>
      <c r="N347" s="15"/>
      <c r="O347" s="15"/>
      <c r="P347" s="15"/>
      <c r="Q347" s="15"/>
    </row>
    <row r="348" spans="2:17" x14ac:dyDescent="0.2">
      <c r="B348" t="s">
        <v>1531</v>
      </c>
      <c r="C348" s="72" t="s">
        <v>2863</v>
      </c>
      <c r="D348" t="s">
        <v>356</v>
      </c>
      <c r="E348" s="15">
        <v>-5.2276510304173204E-3</v>
      </c>
      <c r="F348" s="15">
        <v>1.6587569165434E-2</v>
      </c>
      <c r="G348" s="15">
        <v>0.75265868410797399</v>
      </c>
      <c r="H348" s="15">
        <v>0.94530346634989604</v>
      </c>
      <c r="I348" s="15">
        <v>0.86216602794127295</v>
      </c>
      <c r="J348" s="15">
        <v>1</v>
      </c>
      <c r="K348" s="15"/>
      <c r="L348" s="15"/>
      <c r="M348" s="15"/>
      <c r="N348" s="15"/>
      <c r="O348" s="15"/>
      <c r="P348" s="15"/>
      <c r="Q348" s="15"/>
    </row>
    <row r="349" spans="2:17" x14ac:dyDescent="0.2">
      <c r="B349" t="s">
        <v>1531</v>
      </c>
      <c r="C349" s="72" t="s">
        <v>2863</v>
      </c>
      <c r="D349" t="s">
        <v>358</v>
      </c>
      <c r="E349" s="15">
        <v>-3.6084688173341701E-3</v>
      </c>
      <c r="F349" s="15">
        <v>1.6533198581476401E-2</v>
      </c>
      <c r="G349" s="15">
        <v>0.82723952315485405</v>
      </c>
      <c r="H349" s="15">
        <v>0.96160164258419401</v>
      </c>
      <c r="I349" s="15">
        <v>0.90849269294141299</v>
      </c>
      <c r="J349" s="15">
        <v>1</v>
      </c>
      <c r="K349" s="15"/>
      <c r="L349" s="15"/>
      <c r="M349" s="15"/>
      <c r="N349" s="15"/>
      <c r="O349" s="15"/>
      <c r="P349" s="15"/>
      <c r="Q349" s="15"/>
    </row>
    <row r="350" spans="2:17" x14ac:dyDescent="0.2">
      <c r="B350" t="s">
        <v>1531</v>
      </c>
      <c r="C350" s="72" t="s">
        <v>2863</v>
      </c>
      <c r="D350" t="s">
        <v>359</v>
      </c>
      <c r="E350" s="15">
        <v>-8.2913882876236803E-3</v>
      </c>
      <c r="F350" s="15">
        <v>1.6445867297794601E-2</v>
      </c>
      <c r="G350" s="15">
        <v>0.61417221635749197</v>
      </c>
      <c r="H350" s="15">
        <v>0.89683700411488498</v>
      </c>
      <c r="I350" s="15">
        <v>0.76478767742077503</v>
      </c>
      <c r="J350" s="15">
        <v>1</v>
      </c>
      <c r="K350" s="15"/>
      <c r="L350" s="15"/>
      <c r="M350" s="15"/>
      <c r="N350" s="15"/>
      <c r="O350" s="15"/>
      <c r="P350" s="15"/>
      <c r="Q350" s="15"/>
    </row>
    <row r="351" spans="2:17" x14ac:dyDescent="0.2">
      <c r="B351" t="s">
        <v>1531</v>
      </c>
      <c r="C351" s="72" t="s">
        <v>2863</v>
      </c>
      <c r="D351" t="s">
        <v>360</v>
      </c>
      <c r="E351" s="15">
        <v>4.9306162454574804E-3</v>
      </c>
      <c r="F351" s="15">
        <v>1.6593361375968702E-2</v>
      </c>
      <c r="G351" s="15">
        <v>0.76636995639795702</v>
      </c>
      <c r="H351" s="15">
        <v>0.95120035764687605</v>
      </c>
      <c r="I351" s="15">
        <v>0.87074477258046801</v>
      </c>
      <c r="J351" s="15">
        <v>1</v>
      </c>
      <c r="K351" s="15"/>
      <c r="L351" s="15"/>
      <c r="M351" s="15"/>
      <c r="N351" s="15"/>
      <c r="O351" s="15"/>
      <c r="P351" s="15"/>
      <c r="Q351" s="15"/>
    </row>
    <row r="352" spans="2:17" x14ac:dyDescent="0.2">
      <c r="B352" t="s">
        <v>1531</v>
      </c>
      <c r="C352" s="72" t="s">
        <v>2863</v>
      </c>
      <c r="D352" t="s">
        <v>361</v>
      </c>
      <c r="E352" s="15">
        <v>-1.5388025298921399E-2</v>
      </c>
      <c r="F352" s="15">
        <v>1.6285231430391602E-2</v>
      </c>
      <c r="G352" s="15">
        <v>0.34475657586831099</v>
      </c>
      <c r="H352" s="15">
        <v>0.72743637508213599</v>
      </c>
      <c r="I352" s="15">
        <v>0.51084015104082603</v>
      </c>
      <c r="J352" s="15">
        <v>1</v>
      </c>
      <c r="K352" s="15"/>
      <c r="L352" s="15"/>
      <c r="M352" s="15"/>
      <c r="N352" s="15"/>
      <c r="O352" s="15"/>
      <c r="P352" s="15"/>
      <c r="Q352" s="15"/>
    </row>
    <row r="353" spans="2:17" x14ac:dyDescent="0.2">
      <c r="B353" t="s">
        <v>1531</v>
      </c>
      <c r="C353" s="72" t="s">
        <v>2863</v>
      </c>
      <c r="D353" t="s">
        <v>366</v>
      </c>
      <c r="E353" s="15">
        <v>2.0501833039426099E-3</v>
      </c>
      <c r="F353" s="15">
        <v>1.68279391883914E-2</v>
      </c>
      <c r="G353" s="15">
        <v>0.90303754725188701</v>
      </c>
      <c r="H353" s="15">
        <v>0.96160164258419401</v>
      </c>
      <c r="I353" s="15">
        <v>0.936977827257929</v>
      </c>
      <c r="J353" s="15">
        <v>1</v>
      </c>
      <c r="K353" s="15"/>
      <c r="L353" s="15"/>
      <c r="M353" s="15"/>
      <c r="N353" s="15"/>
      <c r="O353" s="15"/>
      <c r="P353" s="15"/>
      <c r="Q353" s="15"/>
    </row>
    <row r="354" spans="2:17" x14ac:dyDescent="0.2">
      <c r="B354" t="s">
        <v>1531</v>
      </c>
      <c r="C354" s="72" t="s">
        <v>2863</v>
      </c>
      <c r="D354" t="s">
        <v>368</v>
      </c>
      <c r="E354" s="15">
        <v>-1.6561981769808399E-3</v>
      </c>
      <c r="F354" s="15">
        <v>1.6719286779163501E-2</v>
      </c>
      <c r="G354" s="15">
        <v>0.92109580998110097</v>
      </c>
      <c r="H354" s="15">
        <v>0.96160164258419401</v>
      </c>
      <c r="I354" s="15">
        <v>0.94486239590132304</v>
      </c>
      <c r="J354" s="15">
        <v>1</v>
      </c>
      <c r="K354" s="15"/>
      <c r="L354" s="15"/>
      <c r="M354" s="15"/>
      <c r="N354" s="15"/>
      <c r="O354" s="15"/>
      <c r="P354" s="15"/>
      <c r="Q354" s="15"/>
    </row>
    <row r="355" spans="2:17" x14ac:dyDescent="0.2">
      <c r="B355" t="s">
        <v>1531</v>
      </c>
      <c r="C355" s="72" t="s">
        <v>2863</v>
      </c>
      <c r="D355" t="s">
        <v>369</v>
      </c>
      <c r="E355" s="15">
        <v>2.0551059815747001E-5</v>
      </c>
      <c r="F355" s="15">
        <v>1.6603929259254E-2</v>
      </c>
      <c r="G355" s="15">
        <v>0.99901249543201098</v>
      </c>
      <c r="H355" s="15">
        <v>0.99901249543201098</v>
      </c>
      <c r="I355" s="15">
        <v>0.99901249543201098</v>
      </c>
      <c r="J355" s="15">
        <v>1</v>
      </c>
      <c r="K355" s="15"/>
      <c r="L355" s="15"/>
      <c r="M355" s="15"/>
      <c r="N355" s="15"/>
      <c r="O355" s="15"/>
      <c r="P355" s="15"/>
      <c r="Q355" s="15"/>
    </row>
    <row r="356" spans="2:17" x14ac:dyDescent="0.2">
      <c r="B356" t="s">
        <v>1531</v>
      </c>
      <c r="C356" s="72" t="s">
        <v>2863</v>
      </c>
      <c r="D356" t="s">
        <v>370</v>
      </c>
      <c r="E356" s="15">
        <v>8.1022946039205901E-3</v>
      </c>
      <c r="F356" s="15">
        <v>1.66167210079863E-2</v>
      </c>
      <c r="G356" s="15">
        <v>0.62585736805982695</v>
      </c>
      <c r="H356" s="15">
        <v>0.90449249767550399</v>
      </c>
      <c r="I356" s="15">
        <v>0.77225675240130698</v>
      </c>
      <c r="J356" s="15">
        <v>1</v>
      </c>
      <c r="K356" s="15"/>
      <c r="L356" s="15"/>
      <c r="M356" s="15"/>
      <c r="N356" s="15"/>
      <c r="O356" s="15"/>
      <c r="P356" s="15"/>
      <c r="Q356" s="15"/>
    </row>
    <row r="357" spans="2:17" x14ac:dyDescent="0.2">
      <c r="B357" t="s">
        <v>1531</v>
      </c>
      <c r="C357" s="72" t="s">
        <v>2863</v>
      </c>
      <c r="D357" t="s">
        <v>371</v>
      </c>
      <c r="E357" s="15">
        <v>-2.1599333269539298E-3</v>
      </c>
      <c r="F357" s="15">
        <v>1.6365282819345201E-2</v>
      </c>
      <c r="G357" s="15">
        <v>0.89500468989844395</v>
      </c>
      <c r="H357" s="15">
        <v>0.96160164258419401</v>
      </c>
      <c r="I357" s="15">
        <v>0.93615570578594598</v>
      </c>
      <c r="J357" s="15">
        <v>1</v>
      </c>
      <c r="K357" s="15"/>
      <c r="L357" s="15"/>
      <c r="M357" s="15"/>
      <c r="N357" s="15"/>
      <c r="O357" s="15"/>
      <c r="P357" s="15"/>
      <c r="Q357" s="15"/>
    </row>
    <row r="358" spans="2:17" x14ac:dyDescent="0.2">
      <c r="B358" t="s">
        <v>1531</v>
      </c>
      <c r="C358" s="72" t="s">
        <v>2863</v>
      </c>
      <c r="D358" t="s">
        <v>372</v>
      </c>
      <c r="E358" s="15">
        <v>-3.5648652735549298E-2</v>
      </c>
      <c r="F358" s="15">
        <v>1.6630219649955501E-2</v>
      </c>
      <c r="G358" s="15">
        <v>3.2116465597656997E-2</v>
      </c>
      <c r="H358" s="15">
        <v>0.37647634672809099</v>
      </c>
      <c r="I358" s="15">
        <v>8.4707178013820397E-2</v>
      </c>
      <c r="J358" s="15">
        <v>1</v>
      </c>
      <c r="K358" s="15"/>
      <c r="L358" s="15"/>
      <c r="M358" s="15"/>
      <c r="N358" s="15"/>
      <c r="O358" s="15"/>
      <c r="P358" s="15"/>
      <c r="Q358" s="15"/>
    </row>
    <row r="359" spans="2:17" x14ac:dyDescent="0.2">
      <c r="B359" t="s">
        <v>1531</v>
      </c>
      <c r="C359" s="72" t="s">
        <v>2863</v>
      </c>
      <c r="D359" t="s">
        <v>374</v>
      </c>
      <c r="E359" s="15">
        <v>-2.3412917094573701E-2</v>
      </c>
      <c r="F359" s="15">
        <v>1.6682992300278001E-2</v>
      </c>
      <c r="G359" s="15">
        <v>0.16057228069149199</v>
      </c>
      <c r="H359" s="15">
        <v>0.60834629927724504</v>
      </c>
      <c r="I359" s="15">
        <v>0.30089477110039897</v>
      </c>
      <c r="J359" s="15">
        <v>1</v>
      </c>
      <c r="K359" s="15"/>
      <c r="L359" s="15"/>
      <c r="M359" s="15"/>
      <c r="N359" s="15"/>
      <c r="O359" s="15"/>
      <c r="P359" s="15"/>
      <c r="Q359" s="15"/>
    </row>
    <row r="360" spans="2:17" x14ac:dyDescent="0.2">
      <c r="B360" t="s">
        <v>1531</v>
      </c>
      <c r="C360" s="72" t="s">
        <v>2863</v>
      </c>
      <c r="D360" t="s">
        <v>375</v>
      </c>
      <c r="E360" s="15">
        <v>7.8617267293238004E-3</v>
      </c>
      <c r="F360" s="15">
        <v>1.6715477217508001E-2</v>
      </c>
      <c r="G360" s="15">
        <v>0.63814426279857805</v>
      </c>
      <c r="H360" s="15">
        <v>0.913394600978782</v>
      </c>
      <c r="I360" s="15">
        <v>0.78283976424709301</v>
      </c>
      <c r="J360" s="15">
        <v>1</v>
      </c>
      <c r="K360" s="15"/>
      <c r="L360" s="15"/>
      <c r="M360" s="15"/>
      <c r="N360" s="15"/>
      <c r="O360" s="15"/>
      <c r="P360" s="15"/>
      <c r="Q360" s="15"/>
    </row>
    <row r="361" spans="2:17" x14ac:dyDescent="0.2">
      <c r="B361" t="s">
        <v>1531</v>
      </c>
      <c r="C361" s="72" t="s">
        <v>2863</v>
      </c>
      <c r="D361" t="s">
        <v>376</v>
      </c>
      <c r="E361" s="15">
        <v>1.9155672028661599E-2</v>
      </c>
      <c r="F361" s="15">
        <v>1.6676051874358999E-2</v>
      </c>
      <c r="G361" s="15">
        <v>0.250743577366767</v>
      </c>
      <c r="H361" s="15">
        <v>0.65636669118294499</v>
      </c>
      <c r="I361" s="15">
        <v>0.410130967630914</v>
      </c>
      <c r="J361" s="15">
        <v>1</v>
      </c>
      <c r="K361" s="15"/>
      <c r="L361" s="15"/>
      <c r="M361" s="15"/>
      <c r="N361" s="15"/>
      <c r="O361" s="15"/>
      <c r="P361" s="15"/>
      <c r="Q361" s="15"/>
    </row>
    <row r="362" spans="2:17" x14ac:dyDescent="0.2">
      <c r="B362" t="s">
        <v>1531</v>
      </c>
      <c r="C362" s="72" t="s">
        <v>2863</v>
      </c>
      <c r="D362" t="s">
        <v>377</v>
      </c>
      <c r="E362" s="15">
        <v>1.09220239935666E-2</v>
      </c>
      <c r="F362" s="15">
        <v>1.6597796623279801E-2</v>
      </c>
      <c r="G362" s="15">
        <v>0.51054467645559198</v>
      </c>
      <c r="H362" s="15">
        <v>0.85495973596928498</v>
      </c>
      <c r="I362" s="15">
        <v>0.67328079207581204</v>
      </c>
      <c r="J362" s="15">
        <v>1</v>
      </c>
      <c r="K362" s="15"/>
      <c r="L362" s="15"/>
      <c r="M362" s="15"/>
      <c r="N362" s="15"/>
      <c r="O362" s="15"/>
      <c r="P362" s="15"/>
      <c r="Q362" s="15"/>
    </row>
    <row r="363" spans="2:17" x14ac:dyDescent="0.2">
      <c r="B363" t="s">
        <v>1531</v>
      </c>
      <c r="C363" s="72" t="s">
        <v>2863</v>
      </c>
      <c r="D363" t="s">
        <v>387</v>
      </c>
      <c r="E363" s="15">
        <v>-1.6825222059264199E-2</v>
      </c>
      <c r="F363" s="15">
        <v>1.6508474724689502E-2</v>
      </c>
      <c r="G363" s="15">
        <v>0.30816842655419402</v>
      </c>
      <c r="H363" s="15">
        <v>0.70677758698842397</v>
      </c>
      <c r="I363" s="15">
        <v>0.473932492732763</v>
      </c>
      <c r="J363" s="15">
        <v>1</v>
      </c>
      <c r="K363" s="15"/>
      <c r="L363" s="15"/>
      <c r="M363" s="15"/>
      <c r="N363" s="15"/>
      <c r="O363" s="15"/>
      <c r="P363" s="15"/>
      <c r="Q363" s="15"/>
    </row>
    <row r="364" spans="2:17" x14ac:dyDescent="0.2">
      <c r="B364" t="s">
        <v>1531</v>
      </c>
      <c r="C364" s="72" t="s">
        <v>2863</v>
      </c>
      <c r="D364" t="s">
        <v>388</v>
      </c>
      <c r="E364" s="15">
        <v>2.14852998999456E-3</v>
      </c>
      <c r="F364" s="15">
        <v>1.65751335227814E-2</v>
      </c>
      <c r="G364" s="15">
        <v>0.89687028333327501</v>
      </c>
      <c r="H364" s="15">
        <v>0.96160164258419401</v>
      </c>
      <c r="I364" s="15">
        <v>0.93615570578594598</v>
      </c>
      <c r="J364" s="15">
        <v>1</v>
      </c>
      <c r="K364" s="15"/>
      <c r="L364" s="15"/>
      <c r="M364" s="15"/>
      <c r="N364" s="15"/>
      <c r="O364" s="15"/>
      <c r="P364" s="15"/>
      <c r="Q364" s="15"/>
    </row>
    <row r="365" spans="2:17" x14ac:dyDescent="0.2">
      <c r="B365" t="s">
        <v>1531</v>
      </c>
      <c r="C365" s="72" t="s">
        <v>2863</v>
      </c>
      <c r="D365" t="s">
        <v>389</v>
      </c>
      <c r="E365" s="15">
        <v>-3.0539699105047401E-2</v>
      </c>
      <c r="F365" s="15">
        <v>1.6514867425736199E-2</v>
      </c>
      <c r="G365" s="15">
        <v>6.4491091121767402E-2</v>
      </c>
      <c r="H365" s="15">
        <v>0.39303449187164302</v>
      </c>
      <c r="I365" s="15">
        <v>0.145380557977489</v>
      </c>
      <c r="J365" s="15">
        <v>1</v>
      </c>
      <c r="K365" s="15"/>
      <c r="L365" s="15"/>
      <c r="M365" s="15"/>
      <c r="N365" s="15"/>
      <c r="O365" s="15"/>
      <c r="P365" s="15"/>
      <c r="Q365" s="15"/>
    </row>
    <row r="366" spans="2:17" x14ac:dyDescent="0.2">
      <c r="B366" t="s">
        <v>1531</v>
      </c>
      <c r="C366" s="72" t="s">
        <v>2863</v>
      </c>
      <c r="D366" t="s">
        <v>391</v>
      </c>
      <c r="E366" s="15">
        <v>-2.0284678163972201E-2</v>
      </c>
      <c r="F366" s="15">
        <v>1.6705526693010699E-2</v>
      </c>
      <c r="G366" s="15">
        <v>0.224715856117083</v>
      </c>
      <c r="H366" s="15">
        <v>0.65636669118294499</v>
      </c>
      <c r="I366" s="15">
        <v>0.381149884571579</v>
      </c>
      <c r="J366" s="15">
        <v>1</v>
      </c>
      <c r="K366" s="15"/>
      <c r="L366" s="15"/>
      <c r="M366" s="15"/>
      <c r="N366" s="15"/>
      <c r="O366" s="15"/>
      <c r="P366" s="15"/>
      <c r="Q366" s="15"/>
    </row>
    <row r="367" spans="2:17" x14ac:dyDescent="0.2">
      <c r="B367" t="s">
        <v>1531</v>
      </c>
      <c r="C367" s="72" t="s">
        <v>2863</v>
      </c>
      <c r="D367" t="s">
        <v>414</v>
      </c>
      <c r="E367" s="15">
        <v>-2.5311000357045501E-2</v>
      </c>
      <c r="F367" s="15">
        <v>1.6528563934836898E-2</v>
      </c>
      <c r="G367" s="15">
        <v>0.125754322846657</v>
      </c>
      <c r="H367" s="15">
        <v>0.54503878295016295</v>
      </c>
      <c r="I367" s="15">
        <v>0.24906947195186799</v>
      </c>
      <c r="J367" s="15">
        <v>1</v>
      </c>
      <c r="K367" s="15"/>
      <c r="L367" s="15"/>
      <c r="M367" s="15"/>
      <c r="N367" s="15"/>
      <c r="O367" s="15"/>
      <c r="P367" s="15"/>
      <c r="Q367" s="15"/>
    </row>
    <row r="368" spans="2:17" x14ac:dyDescent="0.2">
      <c r="B368" t="s">
        <v>1531</v>
      </c>
      <c r="C368" s="72" t="s">
        <v>2863</v>
      </c>
      <c r="D368" t="s">
        <v>423</v>
      </c>
      <c r="E368" s="15">
        <v>-5.8841829536621596E-3</v>
      </c>
      <c r="F368" s="15">
        <v>1.61649231190443E-2</v>
      </c>
      <c r="G368" s="15">
        <v>0.71586899632377099</v>
      </c>
      <c r="H368" s="15">
        <v>0.92096609974249299</v>
      </c>
      <c r="I368" s="15">
        <v>0.84186126713040998</v>
      </c>
      <c r="J368" s="15">
        <v>1</v>
      </c>
      <c r="K368" s="15"/>
      <c r="L368" s="15"/>
      <c r="M368" s="15"/>
      <c r="N368" s="15"/>
      <c r="O368" s="15"/>
      <c r="P368" s="15"/>
      <c r="Q368" s="15"/>
    </row>
    <row r="369" spans="2:17" x14ac:dyDescent="0.2">
      <c r="B369" t="s">
        <v>1531</v>
      </c>
      <c r="C369" s="72" t="s">
        <v>2863</v>
      </c>
      <c r="D369" t="s">
        <v>427</v>
      </c>
      <c r="E369" s="15">
        <v>-1.0996645698812301E-3</v>
      </c>
      <c r="F369" s="15">
        <v>1.6504648967919599E-2</v>
      </c>
      <c r="G369" s="15">
        <v>0.94688113864409196</v>
      </c>
      <c r="H369" s="15">
        <v>0.97459473294586996</v>
      </c>
      <c r="I369" s="15">
        <v>0.96154182195796001</v>
      </c>
      <c r="J369" s="15">
        <v>1</v>
      </c>
      <c r="K369" s="15"/>
      <c r="L369" s="15"/>
      <c r="M369" s="15"/>
      <c r="N369" s="15"/>
      <c r="O369" s="15"/>
      <c r="P369" s="15"/>
      <c r="Q369" s="15"/>
    </row>
    <row r="370" spans="2:17" x14ac:dyDescent="0.2">
      <c r="B370" t="s">
        <v>1531</v>
      </c>
      <c r="C370" s="72" t="s">
        <v>2863</v>
      </c>
      <c r="D370" t="s">
        <v>429</v>
      </c>
      <c r="E370" s="15">
        <v>-4.8865046384611198E-3</v>
      </c>
      <c r="F370" s="15">
        <v>1.6441727212533602E-2</v>
      </c>
      <c r="G370" s="15">
        <v>0.76632649043341095</v>
      </c>
      <c r="H370" s="15">
        <v>0.95120035764687605</v>
      </c>
      <c r="I370" s="15">
        <v>0.87074477258046801</v>
      </c>
      <c r="J370" s="15">
        <v>1</v>
      </c>
      <c r="K370" s="15"/>
      <c r="L370" s="15"/>
      <c r="M370" s="15"/>
      <c r="N370" s="15"/>
      <c r="O370" s="15"/>
      <c r="P370" s="15"/>
      <c r="Q370" s="15"/>
    </row>
    <row r="371" spans="2:17" x14ac:dyDescent="0.2">
      <c r="B371" t="s">
        <v>1531</v>
      </c>
      <c r="C371" s="72" t="s">
        <v>2863</v>
      </c>
      <c r="D371" t="s">
        <v>434</v>
      </c>
      <c r="E371" s="15">
        <v>-2.1901502635516602E-3</v>
      </c>
      <c r="F371" s="15">
        <v>1.6646796031321201E-2</v>
      </c>
      <c r="G371" s="15">
        <v>0.89533361277294499</v>
      </c>
      <c r="H371" s="15">
        <v>0.96160164258419401</v>
      </c>
      <c r="I371" s="15">
        <v>0.93615570578594598</v>
      </c>
      <c r="J371" s="15">
        <v>1</v>
      </c>
      <c r="K371" s="15"/>
      <c r="L371" s="15"/>
      <c r="M371" s="15"/>
      <c r="N371" s="15"/>
      <c r="O371" s="15"/>
      <c r="P371" s="15"/>
      <c r="Q371" s="15"/>
    </row>
    <row r="372" spans="2:17" x14ac:dyDescent="0.2">
      <c r="B372" t="s">
        <v>1531</v>
      </c>
      <c r="C372" s="72" t="s">
        <v>2863</v>
      </c>
      <c r="D372" t="s">
        <v>438</v>
      </c>
      <c r="E372" s="15">
        <v>-4.3980915697554301E-2</v>
      </c>
      <c r="F372" s="15">
        <v>1.6149785905543401E-2</v>
      </c>
      <c r="G372" s="15">
        <v>6.48726127352645E-3</v>
      </c>
      <c r="H372" s="15">
        <v>0.124437466246735</v>
      </c>
      <c r="I372" s="15">
        <v>2.1727176646255199E-2</v>
      </c>
      <c r="J372" s="15">
        <v>1</v>
      </c>
      <c r="K372" s="15"/>
      <c r="L372" s="15"/>
      <c r="M372" s="15"/>
      <c r="N372" s="15"/>
      <c r="O372" s="15"/>
      <c r="P372" s="15"/>
      <c r="Q372" s="15"/>
    </row>
    <row r="373" spans="2:17" x14ac:dyDescent="0.2">
      <c r="B373" t="s">
        <v>1531</v>
      </c>
      <c r="C373" s="72" t="s">
        <v>2863</v>
      </c>
      <c r="D373" t="s">
        <v>443</v>
      </c>
      <c r="E373" s="15">
        <v>1.3514393619957101E-2</v>
      </c>
      <c r="F373" s="15">
        <v>1.6587601165219401E-2</v>
      </c>
      <c r="G373" s="15">
        <v>0.41526967738464798</v>
      </c>
      <c r="H373" s="15">
        <v>0.76192958198400595</v>
      </c>
      <c r="I373" s="15">
        <v>0.58181873790279404</v>
      </c>
      <c r="J373" s="15">
        <v>1</v>
      </c>
      <c r="K373" s="15"/>
      <c r="L373" s="15"/>
      <c r="M373" s="15"/>
      <c r="N373" s="15"/>
      <c r="O373" s="15"/>
      <c r="P373" s="15"/>
      <c r="Q373" s="15"/>
    </row>
    <row r="374" spans="2:17" x14ac:dyDescent="0.2">
      <c r="B374" t="s">
        <v>1531</v>
      </c>
      <c r="C374" s="72" t="s">
        <v>2863</v>
      </c>
      <c r="D374" t="s">
        <v>447</v>
      </c>
      <c r="E374" s="15">
        <v>-3.2129727378025601E-2</v>
      </c>
      <c r="F374" s="15">
        <v>1.6537190595934899E-2</v>
      </c>
      <c r="G374" s="15">
        <v>5.2096976458713098E-2</v>
      </c>
      <c r="H374" s="15">
        <v>0.39303449187164302</v>
      </c>
      <c r="I374" s="15">
        <v>0.12491434128168701</v>
      </c>
      <c r="J374" s="15">
        <v>1</v>
      </c>
      <c r="K374" s="15"/>
      <c r="L374" s="15"/>
      <c r="M374" s="15"/>
      <c r="N374" s="15"/>
      <c r="O374" s="15"/>
      <c r="P374" s="15"/>
      <c r="Q374" s="15"/>
    </row>
    <row r="375" spans="2:17" x14ac:dyDescent="0.2">
      <c r="B375" t="s">
        <v>1531</v>
      </c>
      <c r="C375" s="72" t="s">
        <v>2863</v>
      </c>
      <c r="D375" t="s">
        <v>339</v>
      </c>
      <c r="E375" s="15">
        <v>-1.6360316552233099E-2</v>
      </c>
      <c r="F375" s="15">
        <v>1.81400728009781E-2</v>
      </c>
      <c r="G375" s="15">
        <v>0.36717381743143501</v>
      </c>
      <c r="H375" s="15">
        <v>0.74608964240605402</v>
      </c>
      <c r="I375" s="15">
        <v>0.53435603831456802</v>
      </c>
      <c r="J375" s="15">
        <v>1</v>
      </c>
      <c r="K375" s="15"/>
      <c r="L375" s="15"/>
      <c r="M375" s="15"/>
      <c r="N375" s="15"/>
      <c r="O375" s="15"/>
      <c r="P375" s="15"/>
      <c r="Q375" s="15"/>
    </row>
    <row r="376" spans="2:17" x14ac:dyDescent="0.2">
      <c r="B376" t="s">
        <v>1531</v>
      </c>
      <c r="C376" s="72" t="s">
        <v>2863</v>
      </c>
      <c r="D376" t="s">
        <v>340</v>
      </c>
      <c r="E376" s="15">
        <v>-1.71762679462483E-2</v>
      </c>
      <c r="F376" s="15">
        <v>1.81755071081128E-2</v>
      </c>
      <c r="G376" s="15">
        <v>0.34470711458504799</v>
      </c>
      <c r="H376" s="15">
        <v>0.72743637508213599</v>
      </c>
      <c r="I376" s="15">
        <v>0.51084015104082603</v>
      </c>
      <c r="J376" s="15">
        <v>1</v>
      </c>
      <c r="K376" s="15"/>
      <c r="L376" s="15"/>
      <c r="M376" s="15"/>
      <c r="N376" s="15"/>
      <c r="O376" s="15"/>
      <c r="P376" s="15"/>
      <c r="Q376" s="15"/>
    </row>
    <row r="377" spans="2:17" x14ac:dyDescent="0.2">
      <c r="B377" t="s">
        <v>1531</v>
      </c>
      <c r="C377" s="72" t="s">
        <v>2863</v>
      </c>
      <c r="D377" t="s">
        <v>341</v>
      </c>
      <c r="E377" s="15">
        <v>-1.40765052248759E-2</v>
      </c>
      <c r="F377" s="15">
        <v>1.8172609248457299E-2</v>
      </c>
      <c r="G377" s="15">
        <v>0.438624126225234</v>
      </c>
      <c r="H377" s="15">
        <v>0.79102299686772903</v>
      </c>
      <c r="I377" s="15">
        <v>0.60648552184485105</v>
      </c>
      <c r="J377" s="15">
        <v>1</v>
      </c>
      <c r="K377" s="15"/>
      <c r="L377" s="15"/>
      <c r="M377" s="15"/>
      <c r="N377" s="15"/>
      <c r="O377" s="15"/>
      <c r="P377" s="15"/>
      <c r="Q377" s="15"/>
    </row>
    <row r="378" spans="2:17" x14ac:dyDescent="0.2">
      <c r="B378" t="s">
        <v>1531</v>
      </c>
      <c r="C378" s="72" t="s">
        <v>2863</v>
      </c>
      <c r="D378" t="s">
        <v>343</v>
      </c>
      <c r="E378" s="15">
        <v>-1.55243277190244E-2</v>
      </c>
      <c r="F378" s="15">
        <v>1.81152546578646E-2</v>
      </c>
      <c r="G378" s="15">
        <v>0.391512343814576</v>
      </c>
      <c r="H378" s="15">
        <v>0.755690714478225</v>
      </c>
      <c r="I378" s="15">
        <v>0.56149843745384598</v>
      </c>
      <c r="J378" s="15">
        <v>1</v>
      </c>
      <c r="K378" s="15"/>
      <c r="L378" s="15"/>
      <c r="M378" s="15"/>
      <c r="N378" s="15"/>
      <c r="O378" s="15"/>
      <c r="P378" s="15"/>
      <c r="Q378" s="15"/>
    </row>
    <row r="379" spans="2:17" x14ac:dyDescent="0.2">
      <c r="B379" t="s">
        <v>1531</v>
      </c>
      <c r="C379" s="72" t="s">
        <v>2863</v>
      </c>
      <c r="D379" t="s">
        <v>344</v>
      </c>
      <c r="E379" s="15">
        <v>-6.3626655737483101E-3</v>
      </c>
      <c r="F379" s="15">
        <v>1.7761097076626299E-2</v>
      </c>
      <c r="G379" s="15">
        <v>0.72018676046213903</v>
      </c>
      <c r="H379" s="15">
        <v>0.92096609974249299</v>
      </c>
      <c r="I379" s="15">
        <v>0.84257638116225497</v>
      </c>
      <c r="J379" s="15">
        <v>1</v>
      </c>
      <c r="K379" s="15"/>
      <c r="L379" s="15"/>
      <c r="M379" s="15"/>
      <c r="N379" s="15"/>
      <c r="O379" s="15"/>
      <c r="P379" s="15"/>
      <c r="Q379" s="15"/>
    </row>
    <row r="380" spans="2:17" x14ac:dyDescent="0.2">
      <c r="B380" t="s">
        <v>1531</v>
      </c>
      <c r="C380" s="72" t="s">
        <v>2863</v>
      </c>
      <c r="D380" t="s">
        <v>348</v>
      </c>
      <c r="E380" s="15">
        <v>-1.6362957944829799E-2</v>
      </c>
      <c r="F380" s="15">
        <v>1.8164497954531001E-2</v>
      </c>
      <c r="G380" s="15">
        <v>0.36774086639919301</v>
      </c>
      <c r="H380" s="15">
        <v>0.74608964240605402</v>
      </c>
      <c r="I380" s="15">
        <v>0.53438927555254601</v>
      </c>
      <c r="J380" s="15">
        <v>1</v>
      </c>
      <c r="K380" s="15"/>
      <c r="L380" s="15"/>
      <c r="M380" s="15"/>
      <c r="N380" s="15"/>
      <c r="O380" s="15"/>
      <c r="P380" s="15"/>
      <c r="Q380" s="15"/>
    </row>
    <row r="381" spans="2:17" x14ac:dyDescent="0.2">
      <c r="B381" t="s">
        <v>1531</v>
      </c>
      <c r="C381" s="72" t="s">
        <v>2863</v>
      </c>
      <c r="D381" t="s">
        <v>349</v>
      </c>
      <c r="E381" s="15">
        <v>-7.2319222045545903E-3</v>
      </c>
      <c r="F381" s="15">
        <v>1.8283923634883601E-2</v>
      </c>
      <c r="G381" s="15">
        <v>0.69247085699528499</v>
      </c>
      <c r="H381" s="15">
        <v>0.92065907679099201</v>
      </c>
      <c r="I381" s="15">
        <v>0.82642166756790203</v>
      </c>
      <c r="J381" s="15">
        <v>1</v>
      </c>
      <c r="K381" s="15"/>
      <c r="L381" s="15"/>
      <c r="M381" s="15"/>
      <c r="N381" s="15"/>
      <c r="O381" s="15"/>
      <c r="P381" s="15"/>
      <c r="Q381" s="15"/>
    </row>
    <row r="382" spans="2:17" x14ac:dyDescent="0.2">
      <c r="B382" t="s">
        <v>1531</v>
      </c>
      <c r="C382" s="72" t="s">
        <v>2863</v>
      </c>
      <c r="D382" t="s">
        <v>350</v>
      </c>
      <c r="E382" s="15">
        <v>-2.64888468522585E-2</v>
      </c>
      <c r="F382" s="15">
        <v>1.8290229893679899E-2</v>
      </c>
      <c r="G382" s="15">
        <v>0.147629390528943</v>
      </c>
      <c r="H382" s="15">
        <v>0.59170761668280103</v>
      </c>
      <c r="I382" s="15">
        <v>0.282153998202963</v>
      </c>
      <c r="J382" s="15">
        <v>1</v>
      </c>
      <c r="K382" s="15"/>
      <c r="L382" s="15"/>
      <c r="M382" s="15"/>
      <c r="N382" s="15"/>
      <c r="O382" s="15"/>
      <c r="P382" s="15"/>
      <c r="Q382" s="15"/>
    </row>
    <row r="383" spans="2:17" x14ac:dyDescent="0.2">
      <c r="B383" t="s">
        <v>1531</v>
      </c>
      <c r="C383" s="72" t="s">
        <v>2863</v>
      </c>
      <c r="D383" t="s">
        <v>353</v>
      </c>
      <c r="E383" s="15">
        <v>7.0392579503376698E-3</v>
      </c>
      <c r="F383" s="15">
        <v>1.8109735123638001E-2</v>
      </c>
      <c r="G383" s="15">
        <v>0.69751959236331196</v>
      </c>
      <c r="H383" s="15">
        <v>0.92065907679099201</v>
      </c>
      <c r="I383" s="15">
        <v>0.83150640671558695</v>
      </c>
      <c r="J383" s="15">
        <v>1</v>
      </c>
      <c r="K383" s="15"/>
      <c r="L383" s="15"/>
      <c r="M383" s="15"/>
      <c r="N383" s="15"/>
      <c r="O383" s="15"/>
      <c r="P383" s="15"/>
      <c r="Q383" s="15"/>
    </row>
    <row r="384" spans="2:17" x14ac:dyDescent="0.2">
      <c r="B384" t="s">
        <v>1531</v>
      </c>
      <c r="C384" s="72" t="s">
        <v>2863</v>
      </c>
      <c r="D384" t="s">
        <v>1100</v>
      </c>
      <c r="E384" s="15">
        <v>-3.5435187204443E-3</v>
      </c>
      <c r="F384" s="15">
        <v>1.44316646584291E-2</v>
      </c>
      <c r="G384" s="15">
        <v>0.80605491577260402</v>
      </c>
      <c r="H384" s="15">
        <v>0.96160164258419401</v>
      </c>
      <c r="I384" s="15">
        <v>0.89798092517433803</v>
      </c>
      <c r="J384" s="15">
        <v>1</v>
      </c>
      <c r="K384" s="15"/>
      <c r="L384" s="15"/>
      <c r="M384" s="15"/>
      <c r="N384" s="15"/>
      <c r="O384" s="15"/>
      <c r="P384" s="15"/>
      <c r="Q384" s="15"/>
    </row>
    <row r="385" spans="2:17" x14ac:dyDescent="0.2">
      <c r="B385" t="s">
        <v>1531</v>
      </c>
      <c r="C385" s="72" t="s">
        <v>2863</v>
      </c>
      <c r="D385" t="s">
        <v>1102</v>
      </c>
      <c r="E385" s="15">
        <v>-1.39692585032245E-2</v>
      </c>
      <c r="F385" s="15">
        <v>1.4459747463791301E-2</v>
      </c>
      <c r="G385" s="15">
        <v>0.33407362914935501</v>
      </c>
      <c r="H385" s="15">
        <v>0.72669624485065798</v>
      </c>
      <c r="I385" s="15">
        <v>0.50134804943466404</v>
      </c>
      <c r="J385" s="15">
        <v>1</v>
      </c>
      <c r="K385" s="15"/>
      <c r="L385" s="15"/>
      <c r="M385" s="15"/>
      <c r="N385" s="15"/>
      <c r="O385" s="15"/>
      <c r="P385" s="15"/>
      <c r="Q385" s="15"/>
    </row>
    <row r="386" spans="2:17" x14ac:dyDescent="0.2">
      <c r="B386" t="s">
        <v>1531</v>
      </c>
      <c r="C386" s="72" t="s">
        <v>2863</v>
      </c>
      <c r="D386" t="s">
        <v>1103</v>
      </c>
      <c r="E386" s="15">
        <v>-1.7345578736629199E-2</v>
      </c>
      <c r="F386" s="15">
        <v>1.5296496559489E-2</v>
      </c>
      <c r="G386" s="15">
        <v>0.25689087613620398</v>
      </c>
      <c r="H386" s="15">
        <v>0.65636669118294499</v>
      </c>
      <c r="I386" s="15">
        <v>0.41440347755916601</v>
      </c>
      <c r="J386" s="15">
        <v>1</v>
      </c>
      <c r="K386" s="15"/>
      <c r="L386" s="15"/>
      <c r="M386" s="15"/>
      <c r="N386" s="15"/>
      <c r="O386" s="15"/>
      <c r="P386" s="15"/>
      <c r="Q386" s="15"/>
    </row>
    <row r="387" spans="2:17" x14ac:dyDescent="0.2">
      <c r="B387" t="s">
        <v>1531</v>
      </c>
      <c r="C387" s="72" t="s">
        <v>2863</v>
      </c>
      <c r="D387" t="s">
        <v>1126</v>
      </c>
      <c r="E387" s="15">
        <v>-1.09176082238757E-2</v>
      </c>
      <c r="F387" s="15">
        <v>2.3387027232129199E-2</v>
      </c>
      <c r="G387" s="15">
        <v>0.64067488599459599</v>
      </c>
      <c r="H387" s="15">
        <v>0.913394600978782</v>
      </c>
      <c r="I387" s="15">
        <v>0.78412065513259699</v>
      </c>
      <c r="J387" s="15">
        <v>1</v>
      </c>
      <c r="K387" s="15"/>
      <c r="L387" s="15"/>
      <c r="M387" s="15"/>
      <c r="N387" s="15"/>
      <c r="O387" s="15"/>
      <c r="P387" s="15"/>
      <c r="Q387" s="15"/>
    </row>
    <row r="388" spans="2:17" x14ac:dyDescent="0.2">
      <c r="B388" t="s">
        <v>1531</v>
      </c>
      <c r="C388" s="72" t="s">
        <v>2863</v>
      </c>
      <c r="D388" t="s">
        <v>1128</v>
      </c>
      <c r="E388" s="15">
        <v>-3.2368565738442302E-2</v>
      </c>
      <c r="F388" s="15">
        <v>2.39045162005464E-2</v>
      </c>
      <c r="G388" s="15">
        <v>0.175850968581274</v>
      </c>
      <c r="H388" s="15">
        <v>0.61433994608908205</v>
      </c>
      <c r="I388" s="15">
        <v>0.31876764923237899</v>
      </c>
      <c r="J388" s="15">
        <v>1</v>
      </c>
      <c r="K388" s="15"/>
      <c r="L388" s="15"/>
      <c r="M388" s="15"/>
      <c r="N388" s="15"/>
      <c r="O388" s="15"/>
      <c r="P388" s="15"/>
      <c r="Q388" s="15"/>
    </row>
    <row r="389" spans="2:17" x14ac:dyDescent="0.2">
      <c r="B389" t="s">
        <v>1531</v>
      </c>
      <c r="C389" s="72" t="s">
        <v>2863</v>
      </c>
      <c r="D389" t="s">
        <v>1129</v>
      </c>
      <c r="E389" s="15">
        <v>-4.6512083848396397E-2</v>
      </c>
      <c r="F389" s="15">
        <v>2.41862679381777E-2</v>
      </c>
      <c r="G389" s="15">
        <v>5.46026677204497E-2</v>
      </c>
      <c r="H389" s="15">
        <v>0.39303449187164302</v>
      </c>
      <c r="I389" s="15">
        <v>0.12784581201640399</v>
      </c>
      <c r="J389" s="15">
        <v>1</v>
      </c>
      <c r="K389" s="15"/>
      <c r="L389" s="15"/>
      <c r="M389" s="15"/>
      <c r="N389" s="15"/>
      <c r="O389" s="15"/>
      <c r="P389" s="15"/>
      <c r="Q389" s="15"/>
    </row>
    <row r="390" spans="2:17" x14ac:dyDescent="0.2">
      <c r="B390" t="s">
        <v>1531</v>
      </c>
      <c r="C390" s="72" t="s">
        <v>2863</v>
      </c>
      <c r="D390" t="s">
        <v>596</v>
      </c>
      <c r="E390" s="15">
        <v>-3.1510685930441297E-2</v>
      </c>
      <c r="F390" s="15">
        <v>2.3522854896172601E-2</v>
      </c>
      <c r="G390" s="15">
        <v>0.180516950983522</v>
      </c>
      <c r="H390" s="15">
        <v>0.61433994608908205</v>
      </c>
      <c r="I390" s="15">
        <v>0.32410773524394798</v>
      </c>
      <c r="J390" s="15">
        <v>1</v>
      </c>
      <c r="K390" s="15"/>
      <c r="L390" s="15"/>
      <c r="M390" s="15"/>
      <c r="N390" s="15"/>
      <c r="O390" s="15"/>
      <c r="P390" s="15"/>
      <c r="Q390" s="15"/>
    </row>
    <row r="391" spans="2:17" x14ac:dyDescent="0.2">
      <c r="B391" t="s">
        <v>1531</v>
      </c>
      <c r="C391" s="72" t="s">
        <v>2863</v>
      </c>
      <c r="D391" t="s">
        <v>597</v>
      </c>
      <c r="E391" s="15">
        <v>-2.7961437453095699E-2</v>
      </c>
      <c r="F391" s="15">
        <v>2.3619050535809899E-2</v>
      </c>
      <c r="G391" s="15">
        <v>0.23660063877179999</v>
      </c>
      <c r="H391" s="15">
        <v>0.65636669118294499</v>
      </c>
      <c r="I391" s="15">
        <v>0.396559255460955</v>
      </c>
      <c r="J391" s="15">
        <v>1</v>
      </c>
      <c r="K391" s="15"/>
      <c r="L391" s="15"/>
      <c r="M391" s="15"/>
      <c r="N391" s="15"/>
      <c r="O391" s="15"/>
      <c r="P391" s="15"/>
      <c r="Q391" s="15"/>
    </row>
    <row r="392" spans="2:17" x14ac:dyDescent="0.2">
      <c r="B392" t="s">
        <v>1531</v>
      </c>
      <c r="C392" s="72" t="s">
        <v>2863</v>
      </c>
      <c r="D392" t="s">
        <v>598</v>
      </c>
      <c r="E392" s="15">
        <v>2.7647487657527499E-3</v>
      </c>
      <c r="F392" s="15">
        <v>2.33469339900618E-2</v>
      </c>
      <c r="G392" s="15">
        <v>0.90574565285717301</v>
      </c>
      <c r="H392" s="15">
        <v>0.96160164258419401</v>
      </c>
      <c r="I392" s="15">
        <v>0.93866568149736496</v>
      </c>
      <c r="J392" s="15">
        <v>1</v>
      </c>
      <c r="K392" s="15"/>
      <c r="L392" s="15"/>
      <c r="M392" s="15"/>
      <c r="N392" s="15"/>
      <c r="O392" s="15"/>
      <c r="P392" s="15"/>
      <c r="Q392" s="15"/>
    </row>
    <row r="393" spans="2:17" x14ac:dyDescent="0.2">
      <c r="B393" t="s">
        <v>1531</v>
      </c>
      <c r="C393" s="72" t="s">
        <v>2863</v>
      </c>
      <c r="D393" t="s">
        <v>599</v>
      </c>
      <c r="E393" s="15">
        <v>3.88629465121554E-3</v>
      </c>
      <c r="F393" s="15">
        <v>2.3363201324315901E-2</v>
      </c>
      <c r="G393" s="15">
        <v>0.86790231381712302</v>
      </c>
      <c r="H393" s="15">
        <v>0.96160164258419401</v>
      </c>
      <c r="I393" s="15">
        <v>0.92769700210442196</v>
      </c>
      <c r="J393" s="15">
        <v>1</v>
      </c>
      <c r="K393" s="15"/>
      <c r="L393" s="15"/>
      <c r="M393" s="15"/>
      <c r="N393" s="15"/>
      <c r="O393" s="15"/>
      <c r="P393" s="15"/>
      <c r="Q393" s="15"/>
    </row>
    <row r="394" spans="2:17" x14ac:dyDescent="0.2">
      <c r="B394" t="s">
        <v>1531</v>
      </c>
      <c r="C394" s="72" t="s">
        <v>2863</v>
      </c>
      <c r="D394" t="s">
        <v>600</v>
      </c>
      <c r="E394" s="15">
        <v>-1.5557724640313899E-2</v>
      </c>
      <c r="F394" s="15">
        <v>2.3451694578626898E-2</v>
      </c>
      <c r="G394" s="15">
        <v>0.50715195192155504</v>
      </c>
      <c r="H394" s="15">
        <v>0.85495973596928498</v>
      </c>
      <c r="I394" s="15">
        <v>0.67075177587776502</v>
      </c>
      <c r="J394" s="15">
        <v>1</v>
      </c>
      <c r="K394" s="15"/>
      <c r="L394" s="15"/>
      <c r="M394" s="15"/>
      <c r="N394" s="15"/>
      <c r="O394" s="15"/>
      <c r="P394" s="15"/>
      <c r="Q394" s="15"/>
    </row>
    <row r="395" spans="2:17" x14ac:dyDescent="0.2">
      <c r="B395" t="s">
        <v>1531</v>
      </c>
      <c r="C395" s="72" t="s">
        <v>2863</v>
      </c>
      <c r="D395" t="s">
        <v>602</v>
      </c>
      <c r="E395" s="15">
        <v>-4.39390818721168E-2</v>
      </c>
      <c r="F395" s="15">
        <v>2.3029728603928101E-2</v>
      </c>
      <c r="G395" s="15">
        <v>5.6526688769715498E-2</v>
      </c>
      <c r="H395" s="15">
        <v>0.39303449187164302</v>
      </c>
      <c r="I395" s="15">
        <v>0.131937293477986</v>
      </c>
      <c r="J395" s="15">
        <v>1</v>
      </c>
      <c r="K395" s="15"/>
      <c r="L395" s="15"/>
      <c r="M395" s="15"/>
      <c r="N395" s="15"/>
      <c r="O395" s="15"/>
      <c r="P395" s="15"/>
      <c r="Q395" s="15"/>
    </row>
    <row r="396" spans="2:17" x14ac:dyDescent="0.2">
      <c r="B396" t="s">
        <v>1531</v>
      </c>
      <c r="C396" s="72" t="s">
        <v>2863</v>
      </c>
      <c r="D396" t="s">
        <v>606</v>
      </c>
      <c r="E396" s="15">
        <v>-3.3946509835764099E-3</v>
      </c>
      <c r="F396" s="15">
        <v>2.3324525839542198E-2</v>
      </c>
      <c r="G396" s="15">
        <v>0.88429778036177498</v>
      </c>
      <c r="H396" s="15">
        <v>0.96160164258419401</v>
      </c>
      <c r="I396" s="15">
        <v>0.93364184227418501</v>
      </c>
      <c r="J396" s="15">
        <v>1</v>
      </c>
      <c r="K396" s="15"/>
      <c r="L396" s="15"/>
      <c r="M396" s="15"/>
      <c r="N396" s="15"/>
      <c r="O396" s="15"/>
      <c r="P396" s="15"/>
      <c r="Q396" s="15"/>
    </row>
    <row r="397" spans="2:17" x14ac:dyDescent="0.2">
      <c r="B397" t="s">
        <v>1531</v>
      </c>
      <c r="C397" s="72" t="s">
        <v>2863</v>
      </c>
      <c r="D397" t="s">
        <v>1151</v>
      </c>
      <c r="E397" s="15">
        <v>-2.1698358243649801E-3</v>
      </c>
      <c r="F397" s="15">
        <v>1.6762687422388602E-2</v>
      </c>
      <c r="G397" s="15">
        <v>0.89701179881859605</v>
      </c>
      <c r="H397" s="15">
        <v>0.96160164258419401</v>
      </c>
      <c r="I397" s="15">
        <v>0.93615570578594598</v>
      </c>
      <c r="J397" s="15">
        <v>1</v>
      </c>
      <c r="K397" s="15"/>
      <c r="L397" s="15"/>
      <c r="M397" s="15"/>
      <c r="N397" s="15"/>
      <c r="O397" s="15"/>
      <c r="P397" s="15"/>
      <c r="Q397" s="15"/>
    </row>
    <row r="398" spans="2:17" x14ac:dyDescent="0.2">
      <c r="B398" t="s">
        <v>1531</v>
      </c>
      <c r="C398" s="72" t="s">
        <v>2863</v>
      </c>
      <c r="D398" t="s">
        <v>1144</v>
      </c>
      <c r="E398" s="15">
        <v>7.4718696721305204E-3</v>
      </c>
      <c r="F398" s="15">
        <v>1.6653352762387899E-2</v>
      </c>
      <c r="G398" s="15">
        <v>0.65369022905479801</v>
      </c>
      <c r="H398" s="15">
        <v>0.92065907679099201</v>
      </c>
      <c r="I398" s="15">
        <v>0.79727536607261495</v>
      </c>
      <c r="J398" s="15">
        <v>1</v>
      </c>
      <c r="K398" s="15"/>
      <c r="L398" s="15"/>
      <c r="M398" s="15"/>
      <c r="N398" s="15"/>
      <c r="O398" s="15"/>
      <c r="P398" s="15"/>
      <c r="Q398" s="15"/>
    </row>
    <row r="399" spans="2:17" x14ac:dyDescent="0.2">
      <c r="B399" t="s">
        <v>1531</v>
      </c>
      <c r="C399" s="72" t="s">
        <v>2863</v>
      </c>
      <c r="D399" t="s">
        <v>1167</v>
      </c>
      <c r="E399" s="15">
        <v>-1.43826705318963E-2</v>
      </c>
      <c r="F399" s="15">
        <v>1.6392167183334101E-2</v>
      </c>
      <c r="G399" s="15">
        <v>0.38031485824523897</v>
      </c>
      <c r="H399" s="15">
        <v>0.755690714478225</v>
      </c>
      <c r="I399" s="15">
        <v>0.54813138722503696</v>
      </c>
      <c r="J399" s="15">
        <v>1</v>
      </c>
      <c r="K399" s="15"/>
      <c r="L399" s="15"/>
      <c r="M399" s="15"/>
      <c r="N399" s="15"/>
      <c r="O399" s="15"/>
      <c r="P399" s="15"/>
      <c r="Q399" s="15"/>
    </row>
    <row r="400" spans="2:17" x14ac:dyDescent="0.2">
      <c r="B400" t="s">
        <v>1531</v>
      </c>
      <c r="C400" s="72" t="s">
        <v>2863</v>
      </c>
      <c r="D400" t="s">
        <v>1168</v>
      </c>
      <c r="E400" s="15">
        <v>-2.8634117836884802E-2</v>
      </c>
      <c r="F400" s="15">
        <v>1.64293564695954E-2</v>
      </c>
      <c r="G400" s="15">
        <v>8.1426851807886794E-2</v>
      </c>
      <c r="H400" s="15">
        <v>0.46701971979144602</v>
      </c>
      <c r="I400" s="15">
        <v>0.17675993550888999</v>
      </c>
      <c r="J400" s="15">
        <v>1</v>
      </c>
      <c r="K400" s="15"/>
      <c r="L400" s="15"/>
      <c r="M400" s="15"/>
      <c r="N400" s="15"/>
      <c r="O400" s="15"/>
      <c r="P400" s="15"/>
      <c r="Q400" s="15"/>
    </row>
    <row r="401" spans="2:17" x14ac:dyDescent="0.2">
      <c r="B401" t="s">
        <v>1531</v>
      </c>
      <c r="C401" s="72" t="s">
        <v>2863</v>
      </c>
      <c r="D401" t="s">
        <v>1169</v>
      </c>
      <c r="E401" s="15">
        <v>-4.34927953046767E-3</v>
      </c>
      <c r="F401" s="15">
        <v>1.64056278937545E-2</v>
      </c>
      <c r="G401" s="15">
        <v>0.79093809997108599</v>
      </c>
      <c r="H401" s="15">
        <v>0.96160164258419401</v>
      </c>
      <c r="I401" s="15">
        <v>0.88436462056038201</v>
      </c>
      <c r="J401" s="15">
        <v>1</v>
      </c>
      <c r="K401" s="15"/>
      <c r="L401" s="15"/>
      <c r="M401" s="15"/>
      <c r="N401" s="15"/>
      <c r="O401" s="15"/>
      <c r="P401" s="15"/>
      <c r="Q401" s="15"/>
    </row>
    <row r="402" spans="2:17" x14ac:dyDescent="0.2">
      <c r="B402" t="s">
        <v>1531</v>
      </c>
      <c r="C402" s="72" t="s">
        <v>2863</v>
      </c>
      <c r="D402" t="s">
        <v>1173</v>
      </c>
      <c r="E402" s="15">
        <v>-6.8582527275260798E-3</v>
      </c>
      <c r="F402" s="15">
        <v>1.6604387849031399E-2</v>
      </c>
      <c r="G402" s="15">
        <v>0.67959767726034304</v>
      </c>
      <c r="H402" s="15">
        <v>0.92065907679099201</v>
      </c>
      <c r="I402" s="15">
        <v>0.81660085365565105</v>
      </c>
      <c r="J402" s="15">
        <v>1</v>
      </c>
      <c r="K402" s="15"/>
      <c r="L402" s="15"/>
      <c r="M402" s="15"/>
      <c r="N402" s="15"/>
      <c r="O402" s="15"/>
      <c r="P402" s="15"/>
      <c r="Q402" s="15"/>
    </row>
    <row r="403" spans="2:17" x14ac:dyDescent="0.2">
      <c r="B403" t="s">
        <v>1531</v>
      </c>
      <c r="C403" s="72" t="s">
        <v>2863</v>
      </c>
      <c r="D403" t="s">
        <v>1162</v>
      </c>
      <c r="E403" s="15">
        <v>-1.84684265574603E-2</v>
      </c>
      <c r="F403" s="15">
        <v>1.6224354425848599E-2</v>
      </c>
      <c r="G403" s="15">
        <v>0.25504866761120998</v>
      </c>
      <c r="H403" s="15">
        <v>0.65636669118294499</v>
      </c>
      <c r="I403" s="15">
        <v>0.41269377964697301</v>
      </c>
      <c r="J403" s="15">
        <v>1</v>
      </c>
      <c r="K403" s="15"/>
      <c r="L403" s="15"/>
      <c r="M403" s="15"/>
      <c r="N403" s="15"/>
      <c r="O403" s="15"/>
      <c r="P403" s="15"/>
      <c r="Q403" s="15"/>
    </row>
    <row r="404" spans="2:17" x14ac:dyDescent="0.2">
      <c r="B404" t="s">
        <v>1531</v>
      </c>
      <c r="C404" s="72" t="s">
        <v>2863</v>
      </c>
      <c r="D404" t="s">
        <v>1161</v>
      </c>
      <c r="E404" s="15">
        <v>-3.0798097142951501E-3</v>
      </c>
      <c r="F404" s="15">
        <v>1.6763015095145498E-2</v>
      </c>
      <c r="G404" s="15">
        <v>0.85423657536090203</v>
      </c>
      <c r="H404" s="15">
        <v>0.96160164258419401</v>
      </c>
      <c r="I404" s="15">
        <v>0.920551161395048</v>
      </c>
      <c r="J404" s="15">
        <v>1</v>
      </c>
      <c r="K404" s="15"/>
      <c r="L404" s="15"/>
      <c r="M404" s="15"/>
      <c r="N404" s="15"/>
      <c r="O404" s="15"/>
      <c r="P404" s="15"/>
      <c r="Q404" s="15"/>
    </row>
    <row r="405" spans="2:17" x14ac:dyDescent="0.2">
      <c r="B405" t="s">
        <v>1531</v>
      </c>
      <c r="C405" s="72" t="s">
        <v>2863</v>
      </c>
      <c r="D405" t="s">
        <v>1325</v>
      </c>
      <c r="E405" s="15">
        <v>5.87844706972529E-2</v>
      </c>
      <c r="F405" s="15">
        <v>8.2038810466286999E-2</v>
      </c>
      <c r="G405" s="15">
        <v>0.473655107892545</v>
      </c>
      <c r="H405" s="15">
        <v>0.82674155599889698</v>
      </c>
      <c r="I405" s="15">
        <v>0.644782114615013</v>
      </c>
      <c r="J405" s="15">
        <v>1</v>
      </c>
      <c r="K405" s="15"/>
      <c r="L405" s="15"/>
      <c r="M405" s="15"/>
      <c r="N405" s="15"/>
      <c r="O405" s="15"/>
      <c r="P405" s="15"/>
      <c r="Q405" s="15"/>
    </row>
    <row r="406" spans="2:17" x14ac:dyDescent="0.2">
      <c r="B406" t="s">
        <v>1531</v>
      </c>
      <c r="C406" s="72" t="s">
        <v>2863</v>
      </c>
      <c r="D406" t="s">
        <v>727</v>
      </c>
      <c r="E406" s="15">
        <v>-4.4119638938981701E-2</v>
      </c>
      <c r="F406" s="15">
        <v>5.2149847146014103E-2</v>
      </c>
      <c r="G406" s="15">
        <v>0.39754345643167299</v>
      </c>
      <c r="H406" s="15">
        <v>0.755690714478225</v>
      </c>
      <c r="I406" s="15">
        <v>0.56600316671446005</v>
      </c>
      <c r="J406" s="15">
        <v>1</v>
      </c>
      <c r="K406" s="15"/>
      <c r="L406" s="15"/>
      <c r="M406" s="15"/>
      <c r="N406" s="15"/>
      <c r="O406" s="15"/>
      <c r="P406" s="15"/>
      <c r="Q406" s="15"/>
    </row>
    <row r="407" spans="2:17" x14ac:dyDescent="0.2">
      <c r="B407" t="s">
        <v>1531</v>
      </c>
      <c r="C407" s="72" t="s">
        <v>2863</v>
      </c>
      <c r="D407" t="s">
        <v>734</v>
      </c>
      <c r="E407" s="15">
        <v>-3.6328453921489E-2</v>
      </c>
      <c r="F407" s="15">
        <v>5.7966096075880401E-2</v>
      </c>
      <c r="G407" s="15">
        <v>0.53084344533794203</v>
      </c>
      <c r="H407" s="15">
        <v>0.85904035584851002</v>
      </c>
      <c r="I407" s="15">
        <v>0.688855885401634</v>
      </c>
      <c r="J407" s="15">
        <v>1</v>
      </c>
      <c r="K407" s="15"/>
      <c r="L407" s="15"/>
      <c r="M407" s="15"/>
      <c r="N407" s="15"/>
      <c r="O407" s="15"/>
      <c r="P407" s="15"/>
      <c r="Q407" s="15"/>
    </row>
    <row r="408" spans="2:17" x14ac:dyDescent="0.2">
      <c r="B408" t="s">
        <v>1531</v>
      </c>
      <c r="C408" s="72" t="s">
        <v>2863</v>
      </c>
      <c r="D408" t="s">
        <v>736</v>
      </c>
      <c r="E408" s="15">
        <v>-4.1997501177049902E-2</v>
      </c>
      <c r="F408" s="15">
        <v>7.3627710525756396E-2</v>
      </c>
      <c r="G408" s="15">
        <v>0.56840408022925404</v>
      </c>
      <c r="H408" s="15">
        <v>0.88186221270862197</v>
      </c>
      <c r="I408" s="15">
        <v>0.72423466744186304</v>
      </c>
      <c r="J408" s="15">
        <v>1</v>
      </c>
      <c r="K408" s="15"/>
      <c r="L408" s="15"/>
      <c r="M408" s="15"/>
      <c r="N408" s="15"/>
      <c r="O408" s="15"/>
      <c r="P408" s="15"/>
      <c r="Q408" s="15"/>
    </row>
    <row r="409" spans="2:17" x14ac:dyDescent="0.2">
      <c r="B409" t="s">
        <v>1531</v>
      </c>
      <c r="C409" s="72" t="s">
        <v>2863</v>
      </c>
      <c r="D409" t="s">
        <v>748</v>
      </c>
      <c r="E409" s="15">
        <v>-7.6075599104753699E-2</v>
      </c>
      <c r="F409" s="15">
        <v>7.3163808094196398E-2</v>
      </c>
      <c r="G409" s="15">
        <v>0.29843364560733898</v>
      </c>
      <c r="H409" s="15">
        <v>0.70677758698842397</v>
      </c>
      <c r="I409" s="15">
        <v>0.46233112498640699</v>
      </c>
      <c r="J409" s="15">
        <v>1</v>
      </c>
      <c r="K409" s="15"/>
      <c r="L409" s="15"/>
      <c r="M409" s="15"/>
      <c r="N409" s="15"/>
      <c r="O409" s="15"/>
      <c r="P409" s="15"/>
      <c r="Q409" s="15"/>
    </row>
    <row r="410" spans="2:17" x14ac:dyDescent="0.2">
      <c r="B410" t="s">
        <v>1531</v>
      </c>
      <c r="C410" s="72" t="s">
        <v>2863</v>
      </c>
      <c r="D410" t="s">
        <v>754</v>
      </c>
      <c r="E410" s="15">
        <v>-4.2205005137264398E-2</v>
      </c>
      <c r="F410" s="15">
        <v>4.9426430635338303E-2</v>
      </c>
      <c r="G410" s="15">
        <v>0.39316291067250803</v>
      </c>
      <c r="H410" s="15">
        <v>0.755690714478225</v>
      </c>
      <c r="I410" s="15">
        <v>0.56280443793690105</v>
      </c>
      <c r="J410" s="15">
        <v>1</v>
      </c>
      <c r="K410" s="15"/>
      <c r="L410" s="15"/>
      <c r="M410" s="15"/>
      <c r="N410" s="15"/>
      <c r="O410" s="15"/>
      <c r="P410" s="15"/>
      <c r="Q410" s="15"/>
    </row>
    <row r="411" spans="2:17" x14ac:dyDescent="0.2">
      <c r="B411" t="s">
        <v>1531</v>
      </c>
      <c r="C411" s="72" t="s">
        <v>2863</v>
      </c>
      <c r="D411" t="s">
        <v>755</v>
      </c>
      <c r="E411" s="15">
        <v>-6.8289383129154599E-2</v>
      </c>
      <c r="F411" s="15">
        <v>6.0396970224065399E-2</v>
      </c>
      <c r="G411" s="15">
        <v>0.25819163681604002</v>
      </c>
      <c r="H411" s="15">
        <v>0.65636669118294499</v>
      </c>
      <c r="I411" s="15">
        <v>0.41523197689164998</v>
      </c>
      <c r="J411" s="15">
        <v>1</v>
      </c>
      <c r="K411" s="15"/>
      <c r="L411" s="15"/>
      <c r="M411" s="15"/>
      <c r="N411" s="15"/>
      <c r="O411" s="15"/>
      <c r="P411" s="15"/>
      <c r="Q411" s="15"/>
    </row>
    <row r="412" spans="2:17" x14ac:dyDescent="0.2">
      <c r="B412" t="s">
        <v>1531</v>
      </c>
      <c r="C412" s="72" t="s">
        <v>2863</v>
      </c>
      <c r="D412" t="s">
        <v>1422</v>
      </c>
      <c r="E412" s="15">
        <v>-1.24648069846406E-2</v>
      </c>
      <c r="F412" s="15">
        <v>5.5493636129529997E-2</v>
      </c>
      <c r="G412" s="15">
        <v>0.82227733800345604</v>
      </c>
      <c r="H412" s="15">
        <v>0.96160164258419401</v>
      </c>
      <c r="I412" s="15">
        <v>0.90648128693171004</v>
      </c>
      <c r="J412" s="15">
        <v>1</v>
      </c>
      <c r="K412" s="15"/>
      <c r="L412" s="15"/>
      <c r="M412" s="15"/>
      <c r="N412" s="15"/>
      <c r="O412" s="15"/>
      <c r="P412" s="15"/>
      <c r="Q412" s="15"/>
    </row>
    <row r="413" spans="2:17" x14ac:dyDescent="0.2">
      <c r="B413" t="s">
        <v>1531</v>
      </c>
      <c r="C413" s="72" t="s">
        <v>2863</v>
      </c>
      <c r="D413" t="s">
        <v>1433</v>
      </c>
      <c r="E413" s="15">
        <v>-6.8735963905087502E-2</v>
      </c>
      <c r="F413" s="15">
        <v>6.3921098568933701E-2</v>
      </c>
      <c r="G413" s="15">
        <v>0.28222918704531702</v>
      </c>
      <c r="H413" s="15">
        <v>0.69119250029775103</v>
      </c>
      <c r="I413" s="15">
        <v>0.445069943696277</v>
      </c>
      <c r="J413" s="15">
        <v>1</v>
      </c>
      <c r="K413" s="15"/>
      <c r="L413" s="15"/>
      <c r="M413" s="15"/>
      <c r="N413" s="15"/>
      <c r="O413" s="15"/>
      <c r="P413" s="15"/>
      <c r="Q413" s="15"/>
    </row>
    <row r="414" spans="2:17" x14ac:dyDescent="0.2">
      <c r="B414" t="s">
        <v>1531</v>
      </c>
      <c r="C414" s="72" t="s">
        <v>2863</v>
      </c>
      <c r="D414" t="s">
        <v>1455</v>
      </c>
      <c r="E414" s="15">
        <v>-9.8193637049725294E-2</v>
      </c>
      <c r="F414" s="15">
        <v>7.4556875952700094E-2</v>
      </c>
      <c r="G414" s="15">
        <v>0.187828592606852</v>
      </c>
      <c r="H414" s="15">
        <v>0.62151312358293898</v>
      </c>
      <c r="I414" s="15">
        <v>0.33304061378189698</v>
      </c>
      <c r="J414" s="15">
        <v>1</v>
      </c>
      <c r="K414" s="15"/>
      <c r="L414" s="15"/>
      <c r="M414" s="15"/>
      <c r="N414" s="15"/>
      <c r="O414" s="15"/>
      <c r="P414" s="15"/>
      <c r="Q414" s="15"/>
    </row>
    <row r="415" spans="2:17" x14ac:dyDescent="0.2">
      <c r="B415" t="s">
        <v>1531</v>
      </c>
      <c r="C415" s="72" t="s">
        <v>2863</v>
      </c>
      <c r="D415" t="s">
        <v>1461</v>
      </c>
      <c r="E415" s="15">
        <v>-9.4750775829388706E-2</v>
      </c>
      <c r="F415" s="15">
        <v>7.2054788163688405E-2</v>
      </c>
      <c r="G415" s="15">
        <v>0.18851582895406699</v>
      </c>
      <c r="H415" s="15">
        <v>0.62151312358293898</v>
      </c>
      <c r="I415" s="15">
        <v>0.33369832138681299</v>
      </c>
      <c r="J415" s="15">
        <v>1</v>
      </c>
      <c r="K415" s="15"/>
      <c r="L415" s="15"/>
      <c r="M415" s="15"/>
      <c r="N415" s="15"/>
      <c r="O415" s="15"/>
      <c r="P415" s="15"/>
      <c r="Q415" s="15"/>
    </row>
    <row r="416" spans="2:17" x14ac:dyDescent="0.2">
      <c r="B416" t="s">
        <v>1531</v>
      </c>
      <c r="C416" s="72" t="s">
        <v>2863</v>
      </c>
      <c r="D416" t="s">
        <v>1462</v>
      </c>
      <c r="E416" s="15">
        <v>-0.17231992092060899</v>
      </c>
      <c r="F416" s="15">
        <v>9.2692799102950002E-2</v>
      </c>
      <c r="G416" s="15">
        <v>6.3021010605797595E-2</v>
      </c>
      <c r="H416" s="15">
        <v>0.39303449187164302</v>
      </c>
      <c r="I416" s="15">
        <v>0.14285352948924099</v>
      </c>
      <c r="J416" s="15">
        <v>1</v>
      </c>
      <c r="K416" s="15"/>
      <c r="L416" s="15"/>
      <c r="M416" s="15"/>
      <c r="N416" s="15"/>
      <c r="O416" s="15"/>
      <c r="P416" s="15"/>
      <c r="Q416" s="15"/>
    </row>
    <row r="417" spans="2:17" x14ac:dyDescent="0.2">
      <c r="B417" t="s">
        <v>1531</v>
      </c>
      <c r="C417" s="72" t="s">
        <v>2863</v>
      </c>
      <c r="D417" t="s">
        <v>1472</v>
      </c>
      <c r="E417" s="15">
        <v>-0.14112483242940499</v>
      </c>
      <c r="F417" s="15">
        <v>7.5273057708810404E-2</v>
      </c>
      <c r="G417" s="15">
        <v>6.0814934213984602E-2</v>
      </c>
      <c r="H417" s="15">
        <v>0.39303449187164302</v>
      </c>
      <c r="I417" s="15">
        <v>0.13917517482809899</v>
      </c>
      <c r="J417" s="15">
        <v>1</v>
      </c>
      <c r="K417" s="15"/>
      <c r="L417" s="15"/>
      <c r="M417" s="15"/>
      <c r="N417" s="15"/>
      <c r="O417" s="15"/>
      <c r="P417" s="15"/>
      <c r="Q417" s="15"/>
    </row>
    <row r="418" spans="2:17" x14ac:dyDescent="0.2">
      <c r="B418" t="s">
        <v>1531</v>
      </c>
      <c r="C418" s="72" t="s">
        <v>2863</v>
      </c>
      <c r="D418" t="s">
        <v>1476</v>
      </c>
      <c r="E418" s="15">
        <v>-0.10116578459306599</v>
      </c>
      <c r="F418" s="15">
        <v>4.9928118292252799E-2</v>
      </c>
      <c r="G418" s="15">
        <v>4.2741357214069998E-2</v>
      </c>
      <c r="H418" s="15">
        <v>0.39303449187164302</v>
      </c>
      <c r="I418" s="15">
        <v>0.106099133790221</v>
      </c>
      <c r="J418" s="15">
        <v>1</v>
      </c>
      <c r="K418" s="15"/>
      <c r="L418" s="15"/>
      <c r="M418" s="15"/>
      <c r="N418" s="15"/>
      <c r="O418" s="15"/>
      <c r="P418" s="15"/>
      <c r="Q418" s="15"/>
    </row>
    <row r="419" spans="2:17" x14ac:dyDescent="0.2">
      <c r="B419" t="s">
        <v>1531</v>
      </c>
      <c r="C419" s="72" t="s">
        <v>2863</v>
      </c>
      <c r="D419" t="s">
        <v>3221</v>
      </c>
      <c r="E419" s="15">
        <v>-3.10649501495107E-2</v>
      </c>
      <c r="F419" s="15">
        <v>5.7462865040957697E-2</v>
      </c>
      <c r="G419" s="15">
        <v>0.588777015492293</v>
      </c>
      <c r="H419" s="15">
        <v>0.89683700411488498</v>
      </c>
      <c r="I419" s="15">
        <v>0.74658623959659698</v>
      </c>
      <c r="J419" s="15">
        <v>1</v>
      </c>
      <c r="K419" s="15"/>
      <c r="L419" s="15"/>
      <c r="M419" s="15"/>
      <c r="N419" s="15"/>
      <c r="O419" s="15"/>
      <c r="P419" s="15"/>
      <c r="Q419" s="15"/>
    </row>
    <row r="420" spans="2:17" x14ac:dyDescent="0.2">
      <c r="B420" t="s">
        <v>1531</v>
      </c>
      <c r="C420" s="72" t="s">
        <v>2863</v>
      </c>
      <c r="D420" t="s">
        <v>3222</v>
      </c>
      <c r="E420" s="15">
        <v>-9.4171347369439107E-2</v>
      </c>
      <c r="F420" s="15">
        <v>7.0289266610861295E-2</v>
      </c>
      <c r="G420" s="15">
        <v>0.18032060998805199</v>
      </c>
      <c r="H420" s="15">
        <v>0.61433994608908205</v>
      </c>
      <c r="I420" s="15">
        <v>0.32410773524394798</v>
      </c>
      <c r="J420" s="15">
        <v>1</v>
      </c>
      <c r="K420" s="15"/>
      <c r="L420" s="15"/>
      <c r="M420" s="15"/>
      <c r="N420" s="15"/>
      <c r="O420" s="15"/>
      <c r="P420" s="15"/>
      <c r="Q420" s="15"/>
    </row>
    <row r="421" spans="2:17" x14ac:dyDescent="0.2">
      <c r="B421" t="s">
        <v>1531</v>
      </c>
      <c r="C421" s="72" t="s">
        <v>2863</v>
      </c>
      <c r="D421" t="s">
        <v>3223</v>
      </c>
      <c r="E421" s="15">
        <v>4.9961639270378499E-2</v>
      </c>
      <c r="F421" s="15">
        <v>4.5623991407130499E-2</v>
      </c>
      <c r="G421" s="15">
        <v>0.27348429023019799</v>
      </c>
      <c r="H421" s="15">
        <v>0.67888453221849199</v>
      </c>
      <c r="I421" s="15">
        <v>0.43583976766292898</v>
      </c>
      <c r="J421" s="15">
        <v>1</v>
      </c>
      <c r="K421" s="15"/>
      <c r="L421" s="15"/>
      <c r="M421" s="15"/>
      <c r="N421" s="15"/>
      <c r="O421" s="15"/>
      <c r="P421" s="15"/>
      <c r="Q421" s="15"/>
    </row>
    <row r="422" spans="2:17" x14ac:dyDescent="0.2">
      <c r="B422" t="s">
        <v>1531</v>
      </c>
      <c r="C422" s="72" t="s">
        <v>2863</v>
      </c>
      <c r="D422" t="s">
        <v>784</v>
      </c>
      <c r="E422" s="15">
        <v>2.7941142743523099E-2</v>
      </c>
      <c r="F422" s="15">
        <v>1.7089827987823901E-2</v>
      </c>
      <c r="G422" s="15">
        <v>0.102132733011284</v>
      </c>
      <c r="H422" s="15">
        <v>0.49184587089079101</v>
      </c>
      <c r="I422" s="15">
        <v>0.21168965290158101</v>
      </c>
      <c r="J422" s="15">
        <v>1</v>
      </c>
      <c r="K422" s="15"/>
      <c r="L422" s="15"/>
      <c r="M422" s="15"/>
      <c r="N422" s="15"/>
      <c r="O422" s="15"/>
      <c r="P422" s="15"/>
      <c r="Q422" s="15"/>
    </row>
    <row r="423" spans="2:17" x14ac:dyDescent="0.2">
      <c r="B423" t="s">
        <v>1531</v>
      </c>
      <c r="C423" s="72" t="s">
        <v>2863</v>
      </c>
      <c r="D423" t="s">
        <v>788</v>
      </c>
      <c r="E423" s="15">
        <v>3.2655200613701398E-2</v>
      </c>
      <c r="F423" s="15">
        <v>1.7477147104483101E-2</v>
      </c>
      <c r="G423" s="15">
        <v>6.1771608296652201E-2</v>
      </c>
      <c r="H423" s="15">
        <v>0.39303449187164302</v>
      </c>
      <c r="I423" s="15">
        <v>0.14105854275534199</v>
      </c>
      <c r="J423" s="15">
        <v>1</v>
      </c>
      <c r="K423" s="15"/>
      <c r="L423" s="15"/>
      <c r="M423" s="15"/>
      <c r="N423" s="15"/>
      <c r="O423" s="15"/>
      <c r="P423" s="15"/>
      <c r="Q423" s="15"/>
    </row>
    <row r="424" spans="2:17" x14ac:dyDescent="0.2">
      <c r="B424" t="s">
        <v>1531</v>
      </c>
      <c r="C424" s="72" t="s">
        <v>2863</v>
      </c>
      <c r="D424" t="s">
        <v>794</v>
      </c>
      <c r="E424" s="15">
        <v>-5.1653475602168403E-2</v>
      </c>
      <c r="F424" s="15">
        <v>1.6130842002985101E-2</v>
      </c>
      <c r="G424" s="15">
        <v>1.3737619577455101E-3</v>
      </c>
      <c r="H424" s="15">
        <v>6.3294811429452702E-2</v>
      </c>
      <c r="I424" s="15">
        <v>6.1673143209426198E-3</v>
      </c>
      <c r="J424" s="15">
        <v>1</v>
      </c>
      <c r="K424" s="15"/>
      <c r="L424" s="15"/>
      <c r="M424" s="15"/>
      <c r="N424" s="15"/>
      <c r="O424" s="15"/>
      <c r="P424" s="15"/>
      <c r="Q424" s="15"/>
    </row>
    <row r="425" spans="2:17" x14ac:dyDescent="0.2">
      <c r="B425" t="s">
        <v>1531</v>
      </c>
      <c r="C425" s="72" t="s">
        <v>2863</v>
      </c>
      <c r="D425" t="s">
        <v>814</v>
      </c>
      <c r="E425" s="15">
        <v>3.3726115676918501E-2</v>
      </c>
      <c r="F425" s="15">
        <v>1.7398809225086201E-2</v>
      </c>
      <c r="G425" s="15">
        <v>5.2640708800717202E-2</v>
      </c>
      <c r="H425" s="15">
        <v>0.39303449187164302</v>
      </c>
      <c r="I425" s="15">
        <v>0.12536331328387501</v>
      </c>
      <c r="J425" s="15">
        <v>1</v>
      </c>
      <c r="K425" s="15"/>
      <c r="L425" s="15"/>
      <c r="M425" s="15"/>
      <c r="N425" s="15"/>
      <c r="O425" s="15"/>
      <c r="P425" s="15"/>
      <c r="Q425" s="15"/>
    </row>
    <row r="426" spans="2:17" x14ac:dyDescent="0.2">
      <c r="B426" t="s">
        <v>1531</v>
      </c>
      <c r="C426" s="72" t="s">
        <v>2863</v>
      </c>
      <c r="D426" t="s">
        <v>94</v>
      </c>
      <c r="E426" s="15">
        <v>-5.9767000699894497E-2</v>
      </c>
      <c r="F426" s="15">
        <v>1.4928491373867E-2</v>
      </c>
      <c r="G426" s="15">
        <v>6.3731858605741305E-5</v>
      </c>
      <c r="H426" s="15">
        <v>8.7680191189524002E-3</v>
      </c>
      <c r="I426" s="15">
        <v>4.39458240712791E-4</v>
      </c>
      <c r="J426" s="15">
        <v>6.7237110829057006E-2</v>
      </c>
      <c r="K426" s="15"/>
      <c r="L426" s="15"/>
      <c r="M426" s="15"/>
      <c r="N426" s="15"/>
      <c r="O426" s="15"/>
      <c r="P426" s="15"/>
      <c r="Q426" s="15"/>
    </row>
    <row r="427" spans="2:17" x14ac:dyDescent="0.2">
      <c r="B427" t="s">
        <v>1525</v>
      </c>
      <c r="C427" s="72" t="s">
        <v>2872</v>
      </c>
      <c r="D427" t="s">
        <v>784</v>
      </c>
      <c r="E427" s="15">
        <v>2.4323664031251899E-2</v>
      </c>
      <c r="F427" s="15">
        <v>1.7316566268793299E-2</v>
      </c>
      <c r="G427" s="15">
        <v>0.16020252288189299</v>
      </c>
      <c r="H427" s="15">
        <v>0.21668418159025299</v>
      </c>
      <c r="I427" s="15">
        <v>0.30073605274092102</v>
      </c>
      <c r="J427" s="15">
        <v>1</v>
      </c>
      <c r="K427" s="15"/>
      <c r="L427" s="15"/>
      <c r="M427" s="15"/>
      <c r="N427" s="15"/>
      <c r="O427" s="15"/>
      <c r="P427" s="15"/>
      <c r="Q427" s="15"/>
    </row>
    <row r="428" spans="2:17" x14ac:dyDescent="0.2">
      <c r="B428" t="s">
        <v>1525</v>
      </c>
      <c r="C428" s="72" t="s">
        <v>2872</v>
      </c>
      <c r="D428" t="s">
        <v>788</v>
      </c>
      <c r="E428" s="15">
        <v>1.8888103048889299E-2</v>
      </c>
      <c r="F428" s="15">
        <v>1.7726976891599199E-2</v>
      </c>
      <c r="G428" s="15">
        <v>0.28671530718976901</v>
      </c>
      <c r="H428" s="15">
        <v>0.34768350469563902</v>
      </c>
      <c r="I428" s="15">
        <v>0.448790280541848</v>
      </c>
      <c r="J428" s="15">
        <v>1</v>
      </c>
      <c r="K428" s="15"/>
      <c r="L428" s="15"/>
      <c r="M428" s="15"/>
      <c r="N428" s="15"/>
      <c r="O428" s="15"/>
      <c r="P428" s="15"/>
      <c r="Q428" s="15"/>
    </row>
    <row r="429" spans="2:17" x14ac:dyDescent="0.2">
      <c r="B429" t="s">
        <v>1525</v>
      </c>
      <c r="C429" s="72" t="s">
        <v>2872</v>
      </c>
      <c r="D429" t="s">
        <v>794</v>
      </c>
      <c r="E429" s="15">
        <v>-4.69928982115825E-2</v>
      </c>
      <c r="F429" s="15">
        <v>1.6422871590549601E-2</v>
      </c>
      <c r="G429" s="15">
        <v>4.2377865412686301E-3</v>
      </c>
      <c r="H429" s="15">
        <v>9.7192713066052306E-3</v>
      </c>
      <c r="I429" s="15">
        <v>1.5363796567142299E-2</v>
      </c>
      <c r="J429" s="15">
        <v>1</v>
      </c>
      <c r="K429" s="15"/>
      <c r="L429" s="15"/>
      <c r="M429" s="15"/>
      <c r="N429" s="15"/>
      <c r="O429" s="15"/>
      <c r="P429" s="15"/>
      <c r="Q429" s="15"/>
    </row>
    <row r="430" spans="2:17" x14ac:dyDescent="0.2">
      <c r="B430" t="s">
        <v>1525</v>
      </c>
      <c r="C430" s="72" t="s">
        <v>2872</v>
      </c>
      <c r="D430" t="s">
        <v>814</v>
      </c>
      <c r="E430" s="15">
        <v>1.06645062326015E-2</v>
      </c>
      <c r="F430" s="15">
        <v>1.7701498493245E-2</v>
      </c>
      <c r="G430" s="15">
        <v>0.54689988757005703</v>
      </c>
      <c r="H430" s="15">
        <v>0.59482410452207202</v>
      </c>
      <c r="I430" s="15">
        <v>0.70277634760829399</v>
      </c>
      <c r="J430" s="15">
        <v>1</v>
      </c>
      <c r="K430" s="15"/>
      <c r="L430" s="15"/>
      <c r="M430" s="15"/>
      <c r="N430" s="15"/>
      <c r="O430" s="15"/>
      <c r="P430" s="15"/>
      <c r="Q430" s="15"/>
    </row>
    <row r="431" spans="2:17" x14ac:dyDescent="0.2">
      <c r="B431" t="s">
        <v>1525</v>
      </c>
      <c r="C431" s="72" t="s">
        <v>2872</v>
      </c>
      <c r="D431" t="s">
        <v>94</v>
      </c>
      <c r="E431" s="15">
        <v>-2.3934487003085501E-2</v>
      </c>
      <c r="F431" s="15">
        <v>1.5870499570221099E-2</v>
      </c>
      <c r="G431" s="15">
        <v>0.13160534620526501</v>
      </c>
      <c r="H431" s="15">
        <v>0.18268900032441401</v>
      </c>
      <c r="I431" s="15">
        <v>0.25711785230843498</v>
      </c>
      <c r="J431" s="15">
        <v>1</v>
      </c>
      <c r="K431" s="15"/>
      <c r="L431" s="15"/>
      <c r="M431" s="15"/>
      <c r="N431" s="15"/>
      <c r="O431" s="15"/>
      <c r="P431" s="15"/>
      <c r="Q431" s="15"/>
    </row>
    <row r="432" spans="2:17" x14ac:dyDescent="0.2">
      <c r="B432" t="s">
        <v>1525</v>
      </c>
      <c r="C432" s="72" t="s">
        <v>2872</v>
      </c>
      <c r="D432" t="s">
        <v>117</v>
      </c>
      <c r="E432" s="15">
        <v>8.6352894381693905E-3</v>
      </c>
      <c r="F432" s="15">
        <v>1.7241905509216501E-2</v>
      </c>
      <c r="G432" s="15">
        <v>0.61651534383019602</v>
      </c>
      <c r="H432" s="15">
        <v>0.65643388105839695</v>
      </c>
      <c r="I432" s="15">
        <v>0.76478767742077503</v>
      </c>
      <c r="J432" s="15">
        <v>1</v>
      </c>
      <c r="K432" s="15"/>
      <c r="L432" s="15"/>
      <c r="M432" s="15"/>
      <c r="N432" s="15"/>
      <c r="O432" s="15"/>
      <c r="P432" s="15"/>
      <c r="Q432" s="15"/>
    </row>
    <row r="433" spans="2:17" x14ac:dyDescent="0.2">
      <c r="B433" t="s">
        <v>1525</v>
      </c>
      <c r="C433" s="72" t="s">
        <v>2872</v>
      </c>
      <c r="D433" t="s">
        <v>861</v>
      </c>
      <c r="E433" s="15">
        <v>-3.6747063719832697E-2</v>
      </c>
      <c r="F433" s="15">
        <v>1.7039311468583299E-2</v>
      </c>
      <c r="G433" s="15">
        <v>3.1093705712901799E-2</v>
      </c>
      <c r="H433" s="15">
        <v>5.4673099211852302E-2</v>
      </c>
      <c r="I433" s="15">
        <v>8.24217576058075E-2</v>
      </c>
      <c r="J433" s="15">
        <v>1</v>
      </c>
      <c r="K433" s="15"/>
      <c r="L433" s="15"/>
      <c r="M433" s="15"/>
      <c r="N433" s="15"/>
      <c r="O433" s="15"/>
      <c r="P433" s="15"/>
      <c r="Q433" s="15"/>
    </row>
    <row r="434" spans="2:17" x14ac:dyDescent="0.2">
      <c r="B434" t="s">
        <v>1525</v>
      </c>
      <c r="C434" s="72" t="s">
        <v>2872</v>
      </c>
      <c r="D434" t="s">
        <v>862</v>
      </c>
      <c r="E434" s="15">
        <v>5.5471772336108401E-2</v>
      </c>
      <c r="F434" s="15">
        <v>1.7312056079745401E-2</v>
      </c>
      <c r="G434" s="15">
        <v>1.3643670730768599E-3</v>
      </c>
      <c r="H434" s="15">
        <v>3.9983535058224703E-3</v>
      </c>
      <c r="I434" s="15">
        <v>6.1513130858807203E-3</v>
      </c>
      <c r="J434" s="15">
        <v>1</v>
      </c>
      <c r="K434" s="15"/>
      <c r="L434" s="15"/>
      <c r="M434" s="15"/>
      <c r="N434" s="15"/>
      <c r="O434" s="15"/>
      <c r="P434" s="15"/>
      <c r="Q434" s="15"/>
    </row>
    <row r="435" spans="2:17" x14ac:dyDescent="0.2">
      <c r="B435" t="s">
        <v>1525</v>
      </c>
      <c r="C435" s="72" t="s">
        <v>2872</v>
      </c>
      <c r="D435" t="s">
        <v>857</v>
      </c>
      <c r="E435" s="15">
        <v>-3.3885423386269799E-2</v>
      </c>
      <c r="F435" s="15">
        <v>1.7049751033252101E-2</v>
      </c>
      <c r="G435" s="15">
        <v>4.6937301465813701E-2</v>
      </c>
      <c r="H435" s="15">
        <v>7.6030631934185702E-2</v>
      </c>
      <c r="I435" s="15">
        <v>0.114098739738326</v>
      </c>
      <c r="J435" s="15">
        <v>1</v>
      </c>
      <c r="K435" s="15"/>
      <c r="L435" s="15"/>
      <c r="M435" s="15"/>
      <c r="N435" s="15"/>
      <c r="O435" s="15"/>
      <c r="P435" s="15"/>
      <c r="Q435" s="15"/>
    </row>
    <row r="436" spans="2:17" x14ac:dyDescent="0.2">
      <c r="B436" t="s">
        <v>1525</v>
      </c>
      <c r="C436" s="72" t="s">
        <v>2872</v>
      </c>
      <c r="D436" s="51" t="s">
        <v>865</v>
      </c>
      <c r="E436" s="74">
        <v>-0.12889401069352599</v>
      </c>
      <c r="F436" s="74">
        <v>1.6882626382009401E-2</v>
      </c>
      <c r="G436" s="74">
        <v>2.7506725184695701E-14</v>
      </c>
      <c r="H436" s="74">
        <v>1.9346396713235999E-12</v>
      </c>
      <c r="I436" s="74">
        <v>3.2243994522060002E-12</v>
      </c>
      <c r="J436" s="74">
        <v>2.9019595069854E-11</v>
      </c>
      <c r="K436" s="15"/>
      <c r="L436" s="15"/>
      <c r="M436" s="15"/>
      <c r="N436" s="15"/>
      <c r="O436" s="15"/>
      <c r="P436" s="15"/>
      <c r="Q436" s="15"/>
    </row>
    <row r="437" spans="2:17" x14ac:dyDescent="0.2">
      <c r="B437" t="s">
        <v>1525</v>
      </c>
      <c r="C437" s="72" t="s">
        <v>2872</v>
      </c>
      <c r="D437" t="s">
        <v>209</v>
      </c>
      <c r="E437" s="15">
        <v>3.10459860292304E-2</v>
      </c>
      <c r="F437" s="15">
        <v>1.6693505570754202E-2</v>
      </c>
      <c r="G437" s="15">
        <v>6.2983174771925707E-2</v>
      </c>
      <c r="H437" s="15">
        <v>9.6477890930414895E-2</v>
      </c>
      <c r="I437" s="15">
        <v>0.14285352948924099</v>
      </c>
      <c r="J437" s="15">
        <v>1</v>
      </c>
      <c r="K437" s="15"/>
      <c r="L437" s="15"/>
      <c r="M437" s="15"/>
      <c r="N437" s="15"/>
      <c r="O437" s="15"/>
      <c r="P437" s="15"/>
      <c r="Q437" s="15"/>
    </row>
    <row r="438" spans="2:17" x14ac:dyDescent="0.2">
      <c r="B438" t="s">
        <v>1525</v>
      </c>
      <c r="C438" s="72" t="s">
        <v>2872</v>
      </c>
      <c r="D438" t="s">
        <v>208</v>
      </c>
      <c r="E438" s="15">
        <v>2.9136907413869699E-2</v>
      </c>
      <c r="F438" s="15">
        <v>1.6874849813206399E-2</v>
      </c>
      <c r="G438" s="15">
        <v>8.4297179349004103E-2</v>
      </c>
      <c r="H438" s="15">
        <v>0.123093163576382</v>
      </c>
      <c r="I438" s="15">
        <v>0.182356669694138</v>
      </c>
      <c r="J438" s="15">
        <v>1</v>
      </c>
      <c r="K438" s="15"/>
      <c r="L438" s="15"/>
      <c r="M438" s="15"/>
      <c r="N438" s="15"/>
      <c r="O438" s="15"/>
      <c r="P438" s="15"/>
      <c r="Q438" s="15"/>
    </row>
    <row r="439" spans="2:17" x14ac:dyDescent="0.2">
      <c r="B439" t="s">
        <v>1525</v>
      </c>
      <c r="C439" s="72" t="s">
        <v>2872</v>
      </c>
      <c r="D439" t="s">
        <v>196</v>
      </c>
      <c r="E439" s="15">
        <v>-2.95337823041248E-2</v>
      </c>
      <c r="F439" s="15">
        <v>1.6933272973668499E-2</v>
      </c>
      <c r="G439" s="15">
        <v>8.1203580788173302E-2</v>
      </c>
      <c r="H439" s="15">
        <v>0.119817870953179</v>
      </c>
      <c r="I439" s="15">
        <v>0.17663871697221201</v>
      </c>
      <c r="J439" s="15">
        <v>1</v>
      </c>
      <c r="K439" s="15"/>
      <c r="L439" s="15"/>
      <c r="M439" s="15"/>
      <c r="N439" s="15"/>
      <c r="O439" s="15"/>
      <c r="P439" s="15"/>
      <c r="Q439" s="15"/>
    </row>
    <row r="440" spans="2:17" x14ac:dyDescent="0.2">
      <c r="B440" t="s">
        <v>1525</v>
      </c>
      <c r="C440" s="72" t="s">
        <v>2872</v>
      </c>
      <c r="D440" t="s">
        <v>201</v>
      </c>
      <c r="E440" s="15">
        <v>4.3906865921998703E-2</v>
      </c>
      <c r="F440" s="15">
        <v>1.7007845129615898E-2</v>
      </c>
      <c r="G440" s="15">
        <v>9.8663491707550195E-3</v>
      </c>
      <c r="H440" s="15">
        <v>1.9924711931192898E-2</v>
      </c>
      <c r="I440" s="15">
        <v>3.0563709318789201E-2</v>
      </c>
      <c r="J440" s="15">
        <v>1</v>
      </c>
      <c r="K440" s="15"/>
      <c r="L440" s="15"/>
      <c r="M440" s="15"/>
      <c r="N440" s="15"/>
      <c r="O440" s="15"/>
      <c r="P440" s="15"/>
      <c r="Q440" s="15"/>
    </row>
    <row r="441" spans="2:17" x14ac:dyDescent="0.2">
      <c r="B441" t="s">
        <v>1525</v>
      </c>
      <c r="C441" s="72" t="s">
        <v>2872</v>
      </c>
      <c r="D441" t="s">
        <v>866</v>
      </c>
      <c r="E441" s="15">
        <v>-6.5623960628165704E-3</v>
      </c>
      <c r="F441" s="15">
        <v>1.6961353444835001E-2</v>
      </c>
      <c r="G441" s="15">
        <v>0.698846817082314</v>
      </c>
      <c r="H441" s="15">
        <v>0.72998355645726898</v>
      </c>
      <c r="I441" s="15">
        <v>0.83214829799304901</v>
      </c>
      <c r="J441" s="15">
        <v>1</v>
      </c>
      <c r="K441" s="15"/>
      <c r="L441" s="15"/>
      <c r="M441" s="15"/>
      <c r="N441" s="15"/>
      <c r="O441" s="15"/>
      <c r="P441" s="15"/>
      <c r="Q441" s="15"/>
    </row>
    <row r="442" spans="2:17" x14ac:dyDescent="0.2">
      <c r="B442" t="s">
        <v>1525</v>
      </c>
      <c r="C442" s="72" t="s">
        <v>2872</v>
      </c>
      <c r="D442" t="s">
        <v>869</v>
      </c>
      <c r="E442" s="15">
        <v>-1.00357019648128E-2</v>
      </c>
      <c r="F442" s="15">
        <v>1.68822398860058E-2</v>
      </c>
      <c r="G442" s="15">
        <v>0.552239200463437</v>
      </c>
      <c r="H442" s="15">
        <v>0.59755113486043698</v>
      </c>
      <c r="I442" s="15">
        <v>0.70705383069044503</v>
      </c>
      <c r="J442" s="15">
        <v>1</v>
      </c>
      <c r="K442" s="15"/>
      <c r="L442" s="15"/>
      <c r="M442" s="15"/>
      <c r="N442" s="15"/>
      <c r="O442" s="15"/>
      <c r="P442" s="15"/>
      <c r="Q442" s="15"/>
    </row>
    <row r="443" spans="2:17" x14ac:dyDescent="0.2">
      <c r="B443" t="s">
        <v>1525</v>
      </c>
      <c r="C443" s="72" t="s">
        <v>2872</v>
      </c>
      <c r="D443" t="s">
        <v>169</v>
      </c>
      <c r="E443" s="15">
        <v>-3.8382984635682099E-2</v>
      </c>
      <c r="F443" s="15">
        <v>1.67438043051635E-2</v>
      </c>
      <c r="G443" s="15">
        <v>2.1930835537378901E-2</v>
      </c>
      <c r="H443" s="15">
        <v>3.9891433606784099E-2</v>
      </c>
      <c r="I443" s="15">
        <v>6.0727116776731697E-2</v>
      </c>
      <c r="J443" s="15">
        <v>1</v>
      </c>
      <c r="K443" s="15"/>
      <c r="L443" s="15"/>
      <c r="M443" s="15"/>
      <c r="N443" s="15"/>
      <c r="O443" s="15"/>
      <c r="P443" s="15"/>
      <c r="Q443" s="15"/>
    </row>
    <row r="444" spans="2:17" x14ac:dyDescent="0.2">
      <c r="B444" t="s">
        <v>1525</v>
      </c>
      <c r="C444" s="72" t="s">
        <v>2872</v>
      </c>
      <c r="D444" t="s">
        <v>172</v>
      </c>
      <c r="E444" s="15">
        <v>-1.3887203640290301E-2</v>
      </c>
      <c r="F444" s="15">
        <v>1.6716987849161199E-2</v>
      </c>
      <c r="G444" s="15">
        <v>0.40617344519740101</v>
      </c>
      <c r="H444" s="15">
        <v>0.476125538536954</v>
      </c>
      <c r="I444" s="15">
        <v>0.57561389268431196</v>
      </c>
      <c r="J444" s="15">
        <v>1</v>
      </c>
      <c r="K444" s="15"/>
      <c r="L444" s="15"/>
      <c r="M444" s="15"/>
      <c r="N444" s="15"/>
      <c r="O444" s="15"/>
      <c r="P444" s="15"/>
      <c r="Q444" s="15"/>
    </row>
    <row r="445" spans="2:17" x14ac:dyDescent="0.2">
      <c r="B445" t="s">
        <v>1525</v>
      </c>
      <c r="C445" s="72" t="s">
        <v>2872</v>
      </c>
      <c r="D445" t="s">
        <v>174</v>
      </c>
      <c r="E445" s="15">
        <v>1.6634326731779302E-2</v>
      </c>
      <c r="F445" s="15">
        <v>1.6955809327732999E-2</v>
      </c>
      <c r="G445" s="15">
        <v>0.32662598112935398</v>
      </c>
      <c r="H445" s="15">
        <v>0.38718023605782997</v>
      </c>
      <c r="I445" s="15">
        <v>0.49439083226896502</v>
      </c>
      <c r="J445" s="15">
        <v>1</v>
      </c>
      <c r="K445" s="15"/>
      <c r="L445" s="15"/>
      <c r="M445" s="15"/>
      <c r="N445" s="15"/>
      <c r="O445" s="15"/>
      <c r="P445" s="15"/>
      <c r="Q445" s="15"/>
    </row>
    <row r="446" spans="2:17" x14ac:dyDescent="0.2">
      <c r="B446" t="s">
        <v>1525</v>
      </c>
      <c r="C446" s="72" t="s">
        <v>2872</v>
      </c>
      <c r="D446" s="51" t="s">
        <v>175</v>
      </c>
      <c r="E446" s="74">
        <v>6.9110697601205501E-2</v>
      </c>
      <c r="F446" s="74">
        <v>1.6870893786585801E-2</v>
      </c>
      <c r="G446" s="74">
        <v>4.2704514690049901E-5</v>
      </c>
      <c r="H446" s="74">
        <v>2.03956385572164E-4</v>
      </c>
      <c r="I446" s="74">
        <v>3.1952668792909698E-4</v>
      </c>
      <c r="J446" s="74">
        <v>4.5053262998002698E-2</v>
      </c>
      <c r="K446" s="15"/>
      <c r="L446" s="15"/>
      <c r="M446" s="15"/>
      <c r="N446" s="15"/>
      <c r="O446" s="15"/>
      <c r="P446" s="15"/>
      <c r="Q446" s="15"/>
    </row>
    <row r="447" spans="2:17" x14ac:dyDescent="0.2">
      <c r="B447" t="s">
        <v>1525</v>
      </c>
      <c r="C447" s="72" t="s">
        <v>2872</v>
      </c>
      <c r="D447" t="s">
        <v>176</v>
      </c>
      <c r="E447" s="15">
        <v>-1.31168037246269E-2</v>
      </c>
      <c r="F447" s="15">
        <v>1.6784554273795101E-2</v>
      </c>
      <c r="G447" s="15">
        <v>0.434562099821797</v>
      </c>
      <c r="H447" s="15">
        <v>0.50105247575081502</v>
      </c>
      <c r="I447" s="15">
        <v>0.60244811473324</v>
      </c>
      <c r="J447" s="15">
        <v>1</v>
      </c>
      <c r="K447" s="15"/>
      <c r="L447" s="15"/>
      <c r="M447" s="15"/>
      <c r="N447" s="15"/>
      <c r="O447" s="15"/>
      <c r="P447" s="15"/>
      <c r="Q447" s="15"/>
    </row>
    <row r="448" spans="2:17" x14ac:dyDescent="0.2">
      <c r="B448" t="s">
        <v>1525</v>
      </c>
      <c r="C448" s="72" t="s">
        <v>2872</v>
      </c>
      <c r="D448" t="s">
        <v>177</v>
      </c>
      <c r="E448" s="15">
        <v>-1.37317095338734E-2</v>
      </c>
      <c r="F448" s="15">
        <v>1.66809559113811E-2</v>
      </c>
      <c r="G448" s="15">
        <v>0.410439907667901</v>
      </c>
      <c r="H448" s="15">
        <v>0.47846862164600601</v>
      </c>
      <c r="I448" s="15">
        <v>0.57812296740939295</v>
      </c>
      <c r="J448" s="15">
        <v>1</v>
      </c>
      <c r="K448" s="15"/>
      <c r="L448" s="15"/>
      <c r="M448" s="15"/>
      <c r="N448" s="15"/>
      <c r="O448" s="15"/>
      <c r="P448" s="15"/>
      <c r="Q448" s="15"/>
    </row>
    <row r="449" spans="2:17" x14ac:dyDescent="0.2">
      <c r="B449" t="s">
        <v>1525</v>
      </c>
      <c r="C449" s="72" t="s">
        <v>2872</v>
      </c>
      <c r="D449" t="s">
        <v>178</v>
      </c>
      <c r="E449" s="15">
        <v>-8.2080429804962003E-3</v>
      </c>
      <c r="F449" s="15">
        <v>1.6751009008438299E-2</v>
      </c>
      <c r="G449" s="15">
        <v>0.62415572235255501</v>
      </c>
      <c r="H449" s="15">
        <v>0.65848428708194495</v>
      </c>
      <c r="I449" s="15">
        <v>0.77105888417089596</v>
      </c>
      <c r="J449" s="15">
        <v>1</v>
      </c>
      <c r="K449" s="15"/>
      <c r="L449" s="15"/>
      <c r="M449" s="15"/>
      <c r="N449" s="15"/>
      <c r="O449" s="15"/>
      <c r="P449" s="15"/>
      <c r="Q449" s="15"/>
    </row>
    <row r="450" spans="2:17" x14ac:dyDescent="0.2">
      <c r="B450" t="s">
        <v>1525</v>
      </c>
      <c r="C450" s="72" t="s">
        <v>2872</v>
      </c>
      <c r="D450" t="s">
        <v>179</v>
      </c>
      <c r="E450" s="15">
        <v>-2.2206709264142001E-2</v>
      </c>
      <c r="F450" s="15">
        <v>1.6831045766194E-2</v>
      </c>
      <c r="G450" s="15">
        <v>0.187106472380725</v>
      </c>
      <c r="H450" s="15">
        <v>0.24521407249896299</v>
      </c>
      <c r="I450" s="15">
        <v>0.33261183381922499</v>
      </c>
      <c r="J450" s="15">
        <v>1</v>
      </c>
      <c r="K450" s="15"/>
      <c r="L450" s="15"/>
      <c r="M450" s="15"/>
      <c r="N450" s="15"/>
      <c r="O450" s="15"/>
      <c r="P450" s="15"/>
      <c r="Q450" s="15"/>
    </row>
    <row r="451" spans="2:17" x14ac:dyDescent="0.2">
      <c r="B451" t="s">
        <v>1525</v>
      </c>
      <c r="C451" s="72" t="s">
        <v>2872</v>
      </c>
      <c r="D451" t="s">
        <v>193</v>
      </c>
      <c r="E451" s="15">
        <v>-2.3471370286946201E-2</v>
      </c>
      <c r="F451" s="15">
        <v>1.6867806707584601E-2</v>
      </c>
      <c r="G451" s="15">
        <v>0.16414559524682201</v>
      </c>
      <c r="H451" s="15">
        <v>0.219789339938463</v>
      </c>
      <c r="I451" s="15">
        <v>0.30623206093718802</v>
      </c>
      <c r="J451" s="15">
        <v>1</v>
      </c>
      <c r="K451" s="15"/>
      <c r="L451" s="15"/>
      <c r="M451" s="15"/>
      <c r="N451" s="15"/>
      <c r="O451" s="15"/>
      <c r="P451" s="15"/>
      <c r="Q451" s="15"/>
    </row>
    <row r="452" spans="2:17" x14ac:dyDescent="0.2">
      <c r="B452" t="s">
        <v>1525</v>
      </c>
      <c r="C452" s="72" t="s">
        <v>2872</v>
      </c>
      <c r="D452" t="s">
        <v>194</v>
      </c>
      <c r="E452" s="15">
        <v>1.82721107187723E-2</v>
      </c>
      <c r="F452" s="15">
        <v>1.6827537083919299E-2</v>
      </c>
      <c r="G452" s="15">
        <v>0.277605280708</v>
      </c>
      <c r="H452" s="15">
        <v>0.33858216317565298</v>
      </c>
      <c r="I452" s="15">
        <v>0.43975010682723698</v>
      </c>
      <c r="J452" s="15">
        <v>1</v>
      </c>
      <c r="K452" s="15"/>
      <c r="L452" s="15"/>
      <c r="M452" s="15"/>
      <c r="N452" s="15"/>
      <c r="O452" s="15"/>
      <c r="P452" s="15"/>
      <c r="Q452" s="15"/>
    </row>
    <row r="453" spans="2:17" x14ac:dyDescent="0.2">
      <c r="B453" t="s">
        <v>1525</v>
      </c>
      <c r="C453" s="72" t="s">
        <v>2872</v>
      </c>
      <c r="D453" t="s">
        <v>195</v>
      </c>
      <c r="E453" s="15">
        <v>-1.9160104642798E-2</v>
      </c>
      <c r="F453" s="15">
        <v>1.6772757340028699E-2</v>
      </c>
      <c r="G453" s="15">
        <v>0.25337580479442301</v>
      </c>
      <c r="H453" s="15">
        <v>0.31627884533610801</v>
      </c>
      <c r="I453" s="15">
        <v>0.41225445032762997</v>
      </c>
      <c r="J453" s="15">
        <v>1</v>
      </c>
      <c r="K453" s="15"/>
      <c r="L453" s="15"/>
      <c r="M453" s="15"/>
      <c r="N453" s="15"/>
      <c r="O453" s="15"/>
      <c r="P453" s="15"/>
      <c r="Q453" s="15"/>
    </row>
    <row r="454" spans="2:17" x14ac:dyDescent="0.2">
      <c r="B454" t="s">
        <v>1525</v>
      </c>
      <c r="C454" s="72" t="s">
        <v>2872</v>
      </c>
      <c r="D454" t="s">
        <v>890</v>
      </c>
      <c r="E454" s="15">
        <v>-2.96486496130801E-2</v>
      </c>
      <c r="F454" s="15">
        <v>1.6598169390430899E-2</v>
      </c>
      <c r="G454" s="15">
        <v>7.4121993135148903E-2</v>
      </c>
      <c r="H454" s="15">
        <v>0.110920145755436</v>
      </c>
      <c r="I454" s="15">
        <v>0.163254076738167</v>
      </c>
      <c r="J454" s="15">
        <v>1</v>
      </c>
      <c r="K454" s="15"/>
      <c r="L454" s="15"/>
      <c r="M454" s="15"/>
      <c r="N454" s="15"/>
      <c r="O454" s="15"/>
      <c r="P454" s="15"/>
      <c r="Q454" s="15"/>
    </row>
    <row r="455" spans="2:17" x14ac:dyDescent="0.2">
      <c r="B455" t="s">
        <v>1525</v>
      </c>
      <c r="C455" s="72" t="s">
        <v>2872</v>
      </c>
      <c r="D455" s="51" t="s">
        <v>891</v>
      </c>
      <c r="E455" s="74">
        <v>-0.14498412900481</v>
      </c>
      <c r="F455" s="74">
        <v>1.6731366122847601E-2</v>
      </c>
      <c r="G455" s="74">
        <v>6.1501021900398699E-18</v>
      </c>
      <c r="H455" s="74">
        <v>1.29767156209841E-15</v>
      </c>
      <c r="I455" s="74">
        <v>2.1627859368306899E-15</v>
      </c>
      <c r="J455" s="74">
        <v>6.4883578104920701E-15</v>
      </c>
      <c r="K455" s="15"/>
      <c r="L455" s="15"/>
      <c r="M455" s="15"/>
      <c r="N455" s="15"/>
      <c r="O455" s="15"/>
      <c r="P455" s="15"/>
      <c r="Q455" s="15"/>
    </row>
    <row r="456" spans="2:17" x14ac:dyDescent="0.2">
      <c r="B456" t="s">
        <v>1525</v>
      </c>
      <c r="C456" s="72" t="s">
        <v>2872</v>
      </c>
      <c r="D456" t="s">
        <v>3189</v>
      </c>
      <c r="E456" s="15">
        <v>-6.3671229704201096E-2</v>
      </c>
      <c r="F456" s="15">
        <v>1.6247316224918599E-2</v>
      </c>
      <c r="G456" s="15">
        <v>9.0277817483983504E-5</v>
      </c>
      <c r="H456" s="15">
        <v>3.6631960556001E-4</v>
      </c>
      <c r="I456" s="15">
        <v>5.8431348126136598E-4</v>
      </c>
      <c r="J456" s="15">
        <v>9.5243097445602595E-2</v>
      </c>
      <c r="K456" s="15"/>
      <c r="L456" s="15"/>
      <c r="M456" s="15"/>
      <c r="N456" s="15"/>
      <c r="O456" s="15"/>
      <c r="P456" s="15"/>
      <c r="Q456" s="15"/>
    </row>
    <row r="457" spans="2:17" x14ac:dyDescent="0.2">
      <c r="B457" t="s">
        <v>1525</v>
      </c>
      <c r="C457" s="72" t="s">
        <v>2872</v>
      </c>
      <c r="D457" t="s">
        <v>621</v>
      </c>
      <c r="E457" s="15">
        <v>-4.9515746715173101E-2</v>
      </c>
      <c r="F457" s="15">
        <v>1.6318725315204299E-2</v>
      </c>
      <c r="G457" s="15">
        <v>2.4241977708928299E-3</v>
      </c>
      <c r="H457" s="15">
        <v>6.39382162072984E-3</v>
      </c>
      <c r="I457" s="15">
        <v>9.7989603382832805E-3</v>
      </c>
      <c r="J457" s="15">
        <v>1</v>
      </c>
      <c r="K457" s="15"/>
      <c r="L457" s="15"/>
      <c r="M457" s="15"/>
      <c r="N457" s="15"/>
      <c r="O457" s="15"/>
      <c r="P457" s="15"/>
      <c r="Q457" s="15"/>
    </row>
    <row r="458" spans="2:17" x14ac:dyDescent="0.2">
      <c r="B458" t="s">
        <v>1525</v>
      </c>
      <c r="C458" s="72" t="s">
        <v>2872</v>
      </c>
      <c r="D458" t="s">
        <v>623</v>
      </c>
      <c r="E458" s="15">
        <v>-3.4029058891845397E-2</v>
      </c>
      <c r="F458" s="15">
        <v>1.6930452353795099E-2</v>
      </c>
      <c r="G458" s="15">
        <v>4.4496702667925797E-2</v>
      </c>
      <c r="H458" s="15">
        <v>7.2781428394824405E-2</v>
      </c>
      <c r="I458" s="15">
        <v>0.109025716598427</v>
      </c>
      <c r="J458" s="15">
        <v>1</v>
      </c>
      <c r="K458" s="15"/>
      <c r="L458" s="15"/>
      <c r="M458" s="15"/>
      <c r="N458" s="15"/>
      <c r="O458" s="15"/>
      <c r="P458" s="15"/>
      <c r="Q458" s="15"/>
    </row>
    <row r="459" spans="2:17" x14ac:dyDescent="0.2">
      <c r="B459" t="s">
        <v>1525</v>
      </c>
      <c r="C459" s="72" t="s">
        <v>2872</v>
      </c>
      <c r="D459" t="s">
        <v>640</v>
      </c>
      <c r="E459" s="15">
        <v>-3.5484335495277401E-2</v>
      </c>
      <c r="F459" s="15">
        <v>1.6879330045466899E-2</v>
      </c>
      <c r="G459" s="15">
        <v>3.5587858425889997E-2</v>
      </c>
      <c r="H459" s="15">
        <v>6.0556759095667601E-2</v>
      </c>
      <c r="I459" s="15">
        <v>9.1350828806116599E-2</v>
      </c>
      <c r="J459" s="15">
        <v>1</v>
      </c>
      <c r="K459" s="15"/>
      <c r="L459" s="15"/>
      <c r="M459" s="15"/>
      <c r="N459" s="15"/>
      <c r="O459" s="15"/>
      <c r="P459" s="15"/>
      <c r="Q459" s="15"/>
    </row>
    <row r="460" spans="2:17" x14ac:dyDescent="0.2">
      <c r="B460" t="s">
        <v>1525</v>
      </c>
      <c r="C460" s="72" t="s">
        <v>2872</v>
      </c>
      <c r="D460" t="s">
        <v>614</v>
      </c>
      <c r="E460" s="15">
        <v>-5.2528546734444397E-2</v>
      </c>
      <c r="F460" s="15">
        <v>1.70181537767078E-2</v>
      </c>
      <c r="G460" s="15">
        <v>2.03672121287558E-3</v>
      </c>
      <c r="H460" s="15">
        <v>5.4398503280601003E-3</v>
      </c>
      <c r="I460" s="15">
        <v>8.4967014651610995E-3</v>
      </c>
      <c r="J460" s="15">
        <v>1</v>
      </c>
      <c r="K460" s="15"/>
      <c r="L460" s="15"/>
      <c r="M460" s="15"/>
      <c r="N460" s="15"/>
      <c r="O460" s="15"/>
      <c r="P460" s="15"/>
      <c r="Q460" s="15"/>
    </row>
    <row r="461" spans="2:17" x14ac:dyDescent="0.2">
      <c r="B461" t="s">
        <v>1525</v>
      </c>
      <c r="C461" s="72" t="s">
        <v>2872</v>
      </c>
      <c r="D461" t="s">
        <v>620</v>
      </c>
      <c r="E461" s="15">
        <v>-3.1563503626421498E-2</v>
      </c>
      <c r="F461" s="15">
        <v>1.6810984024832099E-2</v>
      </c>
      <c r="G461" s="15">
        <v>6.05043934849488E-2</v>
      </c>
      <c r="H461" s="15">
        <v>9.3872724019993095E-2</v>
      </c>
      <c r="I461" s="15">
        <v>0.13876837463825101</v>
      </c>
      <c r="J461" s="15">
        <v>1</v>
      </c>
      <c r="K461" s="15"/>
      <c r="L461" s="15"/>
      <c r="M461" s="15"/>
      <c r="N461" s="15"/>
      <c r="O461" s="15"/>
      <c r="P461" s="15"/>
      <c r="Q461" s="15"/>
    </row>
    <row r="462" spans="2:17" x14ac:dyDescent="0.2">
      <c r="B462" t="s">
        <v>1525</v>
      </c>
      <c r="C462" s="72" t="s">
        <v>2872</v>
      </c>
      <c r="D462" t="s">
        <v>235</v>
      </c>
      <c r="E462" s="15">
        <v>-3.5500048450098E-2</v>
      </c>
      <c r="F462" s="15">
        <v>1.6794494237188099E-2</v>
      </c>
      <c r="G462" s="15">
        <v>3.4587853149114701E-2</v>
      </c>
      <c r="H462" s="15">
        <v>5.9819975528386901E-2</v>
      </c>
      <c r="I462" s="15">
        <v>9.0044334369880893E-2</v>
      </c>
      <c r="J462" s="15">
        <v>1</v>
      </c>
      <c r="K462" s="15"/>
      <c r="L462" s="15"/>
      <c r="M462" s="15"/>
      <c r="N462" s="15"/>
      <c r="O462" s="15"/>
      <c r="P462" s="15"/>
      <c r="Q462" s="15"/>
    </row>
    <row r="463" spans="2:17" x14ac:dyDescent="0.2">
      <c r="B463" t="s">
        <v>1525</v>
      </c>
      <c r="C463" s="72" t="s">
        <v>2872</v>
      </c>
      <c r="D463" t="s">
        <v>237</v>
      </c>
      <c r="E463" s="15">
        <v>-3.6680374037463097E-2</v>
      </c>
      <c r="F463" s="15">
        <v>1.68310650835733E-2</v>
      </c>
      <c r="G463" s="15">
        <v>2.9359510292709501E-2</v>
      </c>
      <c r="H463" s="15">
        <v>5.20576190904345E-2</v>
      </c>
      <c r="I463" s="15">
        <v>7.8415907237489896E-2</v>
      </c>
      <c r="J463" s="15">
        <v>1</v>
      </c>
      <c r="K463" s="15"/>
      <c r="L463" s="15"/>
      <c r="M463" s="15"/>
      <c r="N463" s="15"/>
      <c r="O463" s="15"/>
      <c r="P463" s="15"/>
      <c r="Q463" s="15"/>
    </row>
    <row r="464" spans="2:17" x14ac:dyDescent="0.2">
      <c r="B464" t="s">
        <v>1525</v>
      </c>
      <c r="C464" s="72" t="s">
        <v>2872</v>
      </c>
      <c r="D464" t="s">
        <v>257</v>
      </c>
      <c r="E464" s="15">
        <v>-3.9590484820174299E-2</v>
      </c>
      <c r="F464" s="15">
        <v>1.669712736133E-2</v>
      </c>
      <c r="G464" s="15">
        <v>1.7779434706102101E-2</v>
      </c>
      <c r="H464" s="15">
        <v>3.3198767460066697E-2</v>
      </c>
      <c r="I464" s="15">
        <v>5.11098191142716E-2</v>
      </c>
      <c r="J464" s="15">
        <v>1</v>
      </c>
      <c r="K464" s="15"/>
      <c r="L464" s="15"/>
      <c r="M464" s="15"/>
      <c r="N464" s="15"/>
      <c r="O464" s="15"/>
      <c r="P464" s="15"/>
      <c r="Q464" s="15"/>
    </row>
    <row r="465" spans="2:17" x14ac:dyDescent="0.2">
      <c r="B465" t="s">
        <v>1525</v>
      </c>
      <c r="C465" s="72" t="s">
        <v>2872</v>
      </c>
      <c r="D465" t="s">
        <v>259</v>
      </c>
      <c r="E465" s="15">
        <v>-5.2042505855062503E-2</v>
      </c>
      <c r="F465" s="15">
        <v>1.68494019334753E-2</v>
      </c>
      <c r="G465" s="15">
        <v>2.0227981750622001E-3</v>
      </c>
      <c r="H465" s="15">
        <v>5.4398503280601003E-3</v>
      </c>
      <c r="I465" s="15">
        <v>8.4967014651610995E-3</v>
      </c>
      <c r="J465" s="15">
        <v>1</v>
      </c>
      <c r="K465" s="15"/>
      <c r="L465" s="15"/>
      <c r="M465" s="15"/>
      <c r="N465" s="15"/>
      <c r="O465" s="15"/>
      <c r="P465" s="15"/>
      <c r="Q465" s="15"/>
    </row>
    <row r="466" spans="2:17" x14ac:dyDescent="0.2">
      <c r="B466" t="s">
        <v>1525</v>
      </c>
      <c r="C466" s="72" t="s">
        <v>2872</v>
      </c>
      <c r="D466" t="s">
        <v>260</v>
      </c>
      <c r="E466" s="15">
        <v>-6.4900358469173497E-2</v>
      </c>
      <c r="F466" s="15">
        <v>1.6927313132403799E-2</v>
      </c>
      <c r="G466" s="15">
        <v>1.2777994447326401E-4</v>
      </c>
      <c r="H466" s="15">
        <v>4.9021033243379505E-4</v>
      </c>
      <c r="I466" s="15">
        <v>7.7923607756817204E-4</v>
      </c>
      <c r="J466" s="15">
        <v>0.134807841419294</v>
      </c>
      <c r="K466" s="15"/>
      <c r="L466" s="15"/>
      <c r="M466" s="15"/>
      <c r="N466" s="15"/>
      <c r="O466" s="15"/>
      <c r="P466" s="15"/>
      <c r="Q466" s="15"/>
    </row>
    <row r="467" spans="2:17" x14ac:dyDescent="0.2">
      <c r="B467" t="s">
        <v>1525</v>
      </c>
      <c r="C467" s="72" t="s">
        <v>2872</v>
      </c>
      <c r="D467" t="s">
        <v>261</v>
      </c>
      <c r="E467" s="15">
        <v>-4.9782585909129103E-2</v>
      </c>
      <c r="F467" s="15">
        <v>1.6723244402553E-2</v>
      </c>
      <c r="G467" s="15">
        <v>2.9285296640635099E-3</v>
      </c>
      <c r="H467" s="15">
        <v>7.1851134781093203E-3</v>
      </c>
      <c r="I467" s="15">
        <v>1.1317211705446899E-2</v>
      </c>
      <c r="J467" s="15">
        <v>1</v>
      </c>
      <c r="K467" s="15"/>
      <c r="L467" s="15"/>
      <c r="M467" s="15"/>
      <c r="N467" s="15"/>
      <c r="O467" s="15"/>
      <c r="P467" s="15"/>
      <c r="Q467" s="15"/>
    </row>
    <row r="468" spans="2:17" x14ac:dyDescent="0.2">
      <c r="B468" t="s">
        <v>1525</v>
      </c>
      <c r="C468" s="72" t="s">
        <v>2872</v>
      </c>
      <c r="D468" t="s">
        <v>266</v>
      </c>
      <c r="E468" s="15">
        <v>-1.9467772530150501E-2</v>
      </c>
      <c r="F468" s="15">
        <v>1.6747784308285E-2</v>
      </c>
      <c r="G468" s="15">
        <v>0.245134459112436</v>
      </c>
      <c r="H468" s="15">
        <v>0.307877207575738</v>
      </c>
      <c r="I468" s="15">
        <v>0.40408883494315601</v>
      </c>
      <c r="J468" s="15">
        <v>1</v>
      </c>
      <c r="K468" s="15"/>
      <c r="L468" s="15"/>
      <c r="M468" s="15"/>
      <c r="N468" s="15"/>
      <c r="O468" s="15"/>
      <c r="P468" s="15"/>
      <c r="Q468" s="15"/>
    </row>
    <row r="469" spans="2:17" x14ac:dyDescent="0.2">
      <c r="B469" t="s">
        <v>1525</v>
      </c>
      <c r="C469" s="72" t="s">
        <v>2872</v>
      </c>
      <c r="D469" t="s">
        <v>269</v>
      </c>
      <c r="E469" s="15">
        <v>-6.1277372727941197E-2</v>
      </c>
      <c r="F469" s="15">
        <v>1.6902647127972799E-2</v>
      </c>
      <c r="G469" s="15">
        <v>2.9183177961031998E-4</v>
      </c>
      <c r="H469" s="15">
        <v>1.0802895701364501E-3</v>
      </c>
      <c r="I469" s="15">
        <v>1.6732746059178699E-3</v>
      </c>
      <c r="J469" s="15">
        <v>0.307882527488887</v>
      </c>
      <c r="K469" s="15"/>
      <c r="L469" s="15"/>
      <c r="M469" s="15"/>
      <c r="N469" s="15"/>
      <c r="O469" s="15"/>
      <c r="P469" s="15"/>
      <c r="Q469" s="15"/>
    </row>
    <row r="470" spans="2:17" x14ac:dyDescent="0.2">
      <c r="B470" t="s">
        <v>1525</v>
      </c>
      <c r="C470" s="72" t="s">
        <v>2872</v>
      </c>
      <c r="D470" t="s">
        <v>272</v>
      </c>
      <c r="E470" s="15">
        <v>-4.1691647788258998E-2</v>
      </c>
      <c r="F470" s="15">
        <v>1.69484804443037E-2</v>
      </c>
      <c r="G470" s="15">
        <v>1.39351550763796E-2</v>
      </c>
      <c r="H470" s="15">
        <v>2.67866571695617E-2</v>
      </c>
      <c r="I470" s="15">
        <v>4.1267959224815E-2</v>
      </c>
      <c r="J470" s="15">
        <v>1</v>
      </c>
      <c r="K470" s="15"/>
      <c r="L470" s="15"/>
      <c r="M470" s="15"/>
      <c r="N470" s="15"/>
      <c r="O470" s="15"/>
      <c r="P470" s="15"/>
      <c r="Q470" s="15"/>
    </row>
    <row r="471" spans="2:17" x14ac:dyDescent="0.2">
      <c r="B471" t="s">
        <v>1525</v>
      </c>
      <c r="C471" s="72" t="s">
        <v>2872</v>
      </c>
      <c r="D471" t="s">
        <v>273</v>
      </c>
      <c r="E471" s="15">
        <v>-2.4294196904131801E-2</v>
      </c>
      <c r="F471" s="15">
        <v>1.66885033954043E-2</v>
      </c>
      <c r="G471" s="15">
        <v>0.14553632638689001</v>
      </c>
      <c r="H471" s="15">
        <v>0.198117192694411</v>
      </c>
      <c r="I471" s="15">
        <v>0.279165135160307</v>
      </c>
      <c r="J471" s="15">
        <v>1</v>
      </c>
      <c r="K471" s="15"/>
      <c r="L471" s="15"/>
      <c r="M471" s="15"/>
      <c r="N471" s="15"/>
      <c r="O471" s="15"/>
      <c r="P471" s="15"/>
      <c r="Q471" s="15"/>
    </row>
    <row r="472" spans="2:17" x14ac:dyDescent="0.2">
      <c r="B472" t="s">
        <v>1525</v>
      </c>
      <c r="C472" s="72" t="s">
        <v>2872</v>
      </c>
      <c r="D472" t="s">
        <v>274</v>
      </c>
      <c r="E472" s="15">
        <v>-5.0333972462111E-2</v>
      </c>
      <c r="F472" s="15">
        <v>1.68194033894019E-2</v>
      </c>
      <c r="G472" s="15">
        <v>2.78148349343889E-3</v>
      </c>
      <c r="H472" s="15">
        <v>6.9046237307718401E-3</v>
      </c>
      <c r="I472" s="15">
        <v>1.0860267650084399E-2</v>
      </c>
      <c r="J472" s="15">
        <v>1</v>
      </c>
      <c r="K472" s="15"/>
      <c r="L472" s="15"/>
      <c r="M472" s="15"/>
      <c r="N472" s="15"/>
      <c r="O472" s="15"/>
      <c r="P472" s="15"/>
      <c r="Q472" s="15"/>
    </row>
    <row r="473" spans="2:17" x14ac:dyDescent="0.2">
      <c r="B473" t="s">
        <v>1525</v>
      </c>
      <c r="C473" s="72" t="s">
        <v>2872</v>
      </c>
      <c r="D473" t="s">
        <v>276</v>
      </c>
      <c r="E473" s="15">
        <v>-2.8859306068002698E-2</v>
      </c>
      <c r="F473" s="15">
        <v>1.6729469531186099E-2</v>
      </c>
      <c r="G473" s="15">
        <v>8.4590088713627706E-2</v>
      </c>
      <c r="H473" s="15">
        <v>0.123093163576382</v>
      </c>
      <c r="I473" s="15">
        <v>0.18250008914698801</v>
      </c>
      <c r="J473" s="15">
        <v>1</v>
      </c>
      <c r="K473" s="15"/>
      <c r="L473" s="15"/>
      <c r="M473" s="15"/>
      <c r="N473" s="15"/>
      <c r="O473" s="15"/>
      <c r="P473" s="15"/>
      <c r="Q473" s="15"/>
    </row>
    <row r="474" spans="2:17" x14ac:dyDescent="0.2">
      <c r="B474" t="s">
        <v>1525</v>
      </c>
      <c r="C474" s="72" t="s">
        <v>2872</v>
      </c>
      <c r="D474" t="s">
        <v>279</v>
      </c>
      <c r="E474" s="15">
        <v>-3.3313204251030397E-2</v>
      </c>
      <c r="F474" s="15">
        <v>1.6782332595273699E-2</v>
      </c>
      <c r="G474" s="15">
        <v>4.7203852053925702E-2</v>
      </c>
      <c r="H474" s="15">
        <v>7.6030631934185702E-2</v>
      </c>
      <c r="I474" s="15">
        <v>0.114482905556073</v>
      </c>
      <c r="J474" s="15">
        <v>1</v>
      </c>
      <c r="K474" s="15"/>
      <c r="L474" s="15"/>
      <c r="M474" s="15"/>
      <c r="N474" s="15"/>
      <c r="O474" s="15"/>
      <c r="P474" s="15"/>
      <c r="Q474" s="15"/>
    </row>
    <row r="475" spans="2:17" x14ac:dyDescent="0.2">
      <c r="B475" t="s">
        <v>1525</v>
      </c>
      <c r="C475" s="72" t="s">
        <v>2872</v>
      </c>
      <c r="D475" s="51" t="s">
        <v>927</v>
      </c>
      <c r="E475" s="74">
        <v>-7.7182534726472199E-2</v>
      </c>
      <c r="F475" s="74">
        <v>1.73536544548742E-2</v>
      </c>
      <c r="G475" s="74">
        <v>8.90670374183378E-6</v>
      </c>
      <c r="H475" s="74">
        <v>6.1680316230970506E-5</v>
      </c>
      <c r="I475" s="74">
        <v>9.3035370768659799E-5</v>
      </c>
      <c r="J475" s="74">
        <v>9.39657244763464E-3</v>
      </c>
      <c r="K475" s="15"/>
      <c r="L475" s="15"/>
      <c r="M475" s="15"/>
      <c r="N475" s="15"/>
      <c r="O475" s="15"/>
      <c r="P475" s="15"/>
      <c r="Q475" s="15"/>
    </row>
    <row r="476" spans="2:17" x14ac:dyDescent="0.2">
      <c r="B476" t="s">
        <v>1525</v>
      </c>
      <c r="C476" s="72" t="s">
        <v>2872</v>
      </c>
      <c r="D476" t="s">
        <v>928</v>
      </c>
      <c r="E476" s="15">
        <v>-2.92673537034486E-3</v>
      </c>
      <c r="F476" s="15">
        <v>1.6929164328775101E-2</v>
      </c>
      <c r="G476" s="15">
        <v>0.86275287452949001</v>
      </c>
      <c r="H476" s="15">
        <v>0.86686122155105905</v>
      </c>
      <c r="I476" s="15">
        <v>0.92594535364050101</v>
      </c>
      <c r="J476" s="15">
        <v>1</v>
      </c>
      <c r="K476" s="15"/>
      <c r="L476" s="15"/>
      <c r="M476" s="15"/>
      <c r="N476" s="15"/>
      <c r="O476" s="15"/>
      <c r="P476" s="15"/>
      <c r="Q476" s="15"/>
    </row>
    <row r="477" spans="2:17" x14ac:dyDescent="0.2">
      <c r="B477" t="s">
        <v>1525</v>
      </c>
      <c r="C477" s="72" t="s">
        <v>2872</v>
      </c>
      <c r="D477" t="s">
        <v>929</v>
      </c>
      <c r="E477" s="15">
        <v>-4.2708328569926103E-2</v>
      </c>
      <c r="F477" s="15">
        <v>1.7305295007800699E-2</v>
      </c>
      <c r="G477" s="15">
        <v>1.3628211332930599E-2</v>
      </c>
      <c r="H477" s="15">
        <v>2.6693121614915698E-2</v>
      </c>
      <c r="I477" s="15">
        <v>4.0718321107498602E-2</v>
      </c>
      <c r="J477" s="15">
        <v>1</v>
      </c>
      <c r="K477" s="15"/>
      <c r="L477" s="15"/>
      <c r="M477" s="15"/>
      <c r="N477" s="15"/>
      <c r="O477" s="15"/>
      <c r="P477" s="15"/>
      <c r="Q477" s="15"/>
    </row>
    <row r="478" spans="2:17" x14ac:dyDescent="0.2">
      <c r="B478" t="s">
        <v>1525</v>
      </c>
      <c r="C478" s="72" t="s">
        <v>2872</v>
      </c>
      <c r="D478" t="s">
        <v>930</v>
      </c>
      <c r="E478" s="15">
        <v>-5.1551327241112999E-2</v>
      </c>
      <c r="F478" s="15">
        <v>1.76216066839005E-2</v>
      </c>
      <c r="G478" s="15">
        <v>3.4584029671068202E-3</v>
      </c>
      <c r="H478" s="15">
        <v>8.2923071143129502E-3</v>
      </c>
      <c r="I478" s="15">
        <v>1.2984395481486499E-2</v>
      </c>
      <c r="J478" s="15">
        <v>1</v>
      </c>
      <c r="K478" s="15"/>
      <c r="L478" s="15"/>
      <c r="M478" s="15"/>
      <c r="N478" s="15"/>
      <c r="O478" s="15"/>
      <c r="P478" s="15"/>
      <c r="Q478" s="15"/>
    </row>
    <row r="479" spans="2:17" x14ac:dyDescent="0.2">
      <c r="B479" t="s">
        <v>1525</v>
      </c>
      <c r="C479" s="72" t="s">
        <v>2872</v>
      </c>
      <c r="D479" t="s">
        <v>931</v>
      </c>
      <c r="E479" s="15">
        <v>-3.2454732274297002E-2</v>
      </c>
      <c r="F479" s="15">
        <v>1.7285375866625999E-2</v>
      </c>
      <c r="G479" s="15">
        <v>6.0505642022365198E-2</v>
      </c>
      <c r="H479" s="15">
        <v>9.3872724019993095E-2</v>
      </c>
      <c r="I479" s="15">
        <v>0.13876837463825101</v>
      </c>
      <c r="J479" s="15">
        <v>1</v>
      </c>
      <c r="K479" s="15"/>
      <c r="L479" s="15"/>
      <c r="M479" s="15"/>
      <c r="N479" s="15"/>
      <c r="O479" s="15"/>
      <c r="P479" s="15"/>
      <c r="Q479" s="15"/>
    </row>
    <row r="480" spans="2:17" x14ac:dyDescent="0.2">
      <c r="B480" t="s">
        <v>1525</v>
      </c>
      <c r="C480" s="72" t="s">
        <v>2872</v>
      </c>
      <c r="D480" t="s">
        <v>932</v>
      </c>
      <c r="E480" s="15">
        <v>-4.0851121048590802E-2</v>
      </c>
      <c r="F480" s="15">
        <v>1.7051068551196001E-2</v>
      </c>
      <c r="G480" s="15">
        <v>1.66247106176967E-2</v>
      </c>
      <c r="H480" s="15">
        <v>3.1319767324410698E-2</v>
      </c>
      <c r="I480" s="15">
        <v>4.81842574221703E-2</v>
      </c>
      <c r="J480" s="15">
        <v>1</v>
      </c>
      <c r="K480" s="15"/>
      <c r="L480" s="15"/>
      <c r="M480" s="15"/>
      <c r="N480" s="15"/>
      <c r="O480" s="15"/>
      <c r="P480" s="15"/>
      <c r="Q480" s="15"/>
    </row>
    <row r="481" spans="2:17" x14ac:dyDescent="0.2">
      <c r="B481" t="s">
        <v>1525</v>
      </c>
      <c r="C481" s="72" t="s">
        <v>2872</v>
      </c>
      <c r="D481" t="s">
        <v>933</v>
      </c>
      <c r="E481" s="15">
        <v>-5.6857220041550402E-2</v>
      </c>
      <c r="F481" s="15">
        <v>1.68607378795676E-2</v>
      </c>
      <c r="G481" s="15">
        <v>7.5239153166695703E-4</v>
      </c>
      <c r="H481" s="15">
        <v>2.4423786643342801E-3</v>
      </c>
      <c r="I481" s="15">
        <v>3.7619576583347901E-3</v>
      </c>
      <c r="J481" s="15">
        <v>0.79377306590864005</v>
      </c>
      <c r="K481" s="15"/>
      <c r="L481" s="15"/>
      <c r="M481" s="15"/>
      <c r="N481" s="15"/>
      <c r="O481" s="15"/>
      <c r="P481" s="15"/>
      <c r="Q481" s="15"/>
    </row>
    <row r="482" spans="2:17" x14ac:dyDescent="0.2">
      <c r="B482" t="s">
        <v>1525</v>
      </c>
      <c r="C482" s="72" t="s">
        <v>2872</v>
      </c>
      <c r="D482" t="s">
        <v>934</v>
      </c>
      <c r="E482" s="15">
        <v>-4.7885386296891902E-2</v>
      </c>
      <c r="F482" s="15">
        <v>1.6805349824902099E-2</v>
      </c>
      <c r="G482" s="15">
        <v>4.4003258994799498E-3</v>
      </c>
      <c r="H482" s="15">
        <v>9.9835351052717097E-3</v>
      </c>
      <c r="I482" s="15">
        <v>1.5844176873554099E-2</v>
      </c>
      <c r="J482" s="15">
        <v>1</v>
      </c>
      <c r="K482" s="15"/>
      <c r="L482" s="15"/>
      <c r="M482" s="15"/>
      <c r="N482" s="15"/>
      <c r="O482" s="15"/>
      <c r="P482" s="15"/>
      <c r="Q482" s="15"/>
    </row>
    <row r="483" spans="2:17" x14ac:dyDescent="0.2">
      <c r="B483" t="s">
        <v>1525</v>
      </c>
      <c r="C483" s="72" t="s">
        <v>2872</v>
      </c>
      <c r="D483" t="s">
        <v>935</v>
      </c>
      <c r="E483" s="15">
        <v>-6.8742642339686494E-2</v>
      </c>
      <c r="F483" s="15">
        <v>1.6916793910149899E-2</v>
      </c>
      <c r="G483" s="15">
        <v>4.9174314725052803E-5</v>
      </c>
      <c r="H483" s="15">
        <v>2.1616209181221101E-4</v>
      </c>
      <c r="I483" s="15">
        <v>3.5053312185763898E-4</v>
      </c>
      <c r="J483" s="15">
        <v>5.1878902034930598E-2</v>
      </c>
      <c r="K483" s="15"/>
      <c r="L483" s="15"/>
      <c r="M483" s="15"/>
      <c r="N483" s="15"/>
      <c r="O483" s="15"/>
      <c r="P483" s="15"/>
      <c r="Q483" s="15"/>
    </row>
    <row r="484" spans="2:17" x14ac:dyDescent="0.2">
      <c r="B484" t="s">
        <v>1525</v>
      </c>
      <c r="C484" s="72" t="s">
        <v>2872</v>
      </c>
      <c r="D484" t="s">
        <v>937</v>
      </c>
      <c r="E484" s="15">
        <v>-3.2833399414264698E-2</v>
      </c>
      <c r="F484" s="15">
        <v>1.70209815692649E-2</v>
      </c>
      <c r="G484" s="15">
        <v>5.3794871150479401E-2</v>
      </c>
      <c r="H484" s="15">
        <v>8.5343742953016194E-2</v>
      </c>
      <c r="I484" s="15">
        <v>0.12639997564310901</v>
      </c>
      <c r="J484" s="15">
        <v>1</v>
      </c>
      <c r="K484" s="15"/>
      <c r="L484" s="15"/>
      <c r="M484" s="15"/>
      <c r="N484" s="15"/>
      <c r="O484" s="15"/>
      <c r="P484" s="15"/>
      <c r="Q484" s="15"/>
    </row>
    <row r="485" spans="2:17" x14ac:dyDescent="0.2">
      <c r="B485" t="s">
        <v>1525</v>
      </c>
      <c r="C485" s="72" t="s">
        <v>2872</v>
      </c>
      <c r="D485" t="s">
        <v>938</v>
      </c>
      <c r="E485" s="15">
        <v>-8.8968632160604296E-3</v>
      </c>
      <c r="F485" s="15">
        <v>1.6825084365173201E-2</v>
      </c>
      <c r="G485" s="15">
        <v>0.59698092310555295</v>
      </c>
      <c r="H485" s="15">
        <v>0.63940596332625199</v>
      </c>
      <c r="I485" s="15">
        <v>0.75067327041282295</v>
      </c>
      <c r="J485" s="15">
        <v>1</v>
      </c>
      <c r="K485" s="15"/>
      <c r="L485" s="15"/>
      <c r="M485" s="15"/>
      <c r="N485" s="15"/>
      <c r="O485" s="15"/>
      <c r="P485" s="15"/>
      <c r="Q485" s="15"/>
    </row>
    <row r="486" spans="2:17" x14ac:dyDescent="0.2">
      <c r="B486" t="s">
        <v>1525</v>
      </c>
      <c r="C486" s="72" t="s">
        <v>2872</v>
      </c>
      <c r="D486" t="s">
        <v>939</v>
      </c>
      <c r="E486" s="15">
        <v>-4.5208175986824299E-3</v>
      </c>
      <c r="F486" s="15">
        <v>1.70844351144738E-2</v>
      </c>
      <c r="G486" s="15">
        <v>0.79131772683317603</v>
      </c>
      <c r="H486" s="15">
        <v>0.80273096327788496</v>
      </c>
      <c r="I486" s="15">
        <v>0.88436462056038201</v>
      </c>
      <c r="J486" s="15">
        <v>1</v>
      </c>
      <c r="K486" s="15"/>
      <c r="L486" s="15"/>
      <c r="M486" s="15"/>
      <c r="N486" s="15"/>
      <c r="O486" s="15"/>
      <c r="P486" s="15"/>
      <c r="Q486" s="15"/>
    </row>
    <row r="487" spans="2:17" x14ac:dyDescent="0.2">
      <c r="B487" t="s">
        <v>1525</v>
      </c>
      <c r="C487" s="72" t="s">
        <v>2872</v>
      </c>
      <c r="D487" t="s">
        <v>940</v>
      </c>
      <c r="E487" s="15">
        <v>-6.5476244358777996E-2</v>
      </c>
      <c r="F487" s="15">
        <v>1.69358729541206E-2</v>
      </c>
      <c r="G487" s="15">
        <v>1.12163781012181E-4</v>
      </c>
      <c r="H487" s="15">
        <v>4.4653882629377799E-4</v>
      </c>
      <c r="I487" s="15">
        <v>6.9200461384708305E-4</v>
      </c>
      <c r="J487" s="15">
        <v>0.118332788967851</v>
      </c>
      <c r="K487" s="15"/>
      <c r="L487" s="15"/>
      <c r="M487" s="15"/>
      <c r="N487" s="15"/>
      <c r="O487" s="15"/>
      <c r="P487" s="15"/>
      <c r="Q487" s="15"/>
    </row>
    <row r="488" spans="2:17" x14ac:dyDescent="0.2">
      <c r="B488" t="s">
        <v>1525</v>
      </c>
      <c r="C488" s="72" t="s">
        <v>2872</v>
      </c>
      <c r="D488" t="s">
        <v>944</v>
      </c>
      <c r="E488" s="15">
        <v>-6.6263937429375405E-2</v>
      </c>
      <c r="F488" s="15">
        <v>1.6845673916399101E-2</v>
      </c>
      <c r="G488" s="15">
        <v>8.4973496115431195E-5</v>
      </c>
      <c r="H488" s="15">
        <v>3.5155701334031302E-4</v>
      </c>
      <c r="I488" s="15">
        <v>5.5397687891938201E-4</v>
      </c>
      <c r="J488" s="15">
        <v>8.9647038401779899E-2</v>
      </c>
      <c r="K488" s="15"/>
      <c r="L488" s="15"/>
      <c r="M488" s="15"/>
      <c r="N488" s="15"/>
      <c r="O488" s="15"/>
      <c r="P488" s="15"/>
      <c r="Q488" s="15"/>
    </row>
    <row r="489" spans="2:17" x14ac:dyDescent="0.2">
      <c r="B489" t="s">
        <v>1525</v>
      </c>
      <c r="C489" s="72" t="s">
        <v>2872</v>
      </c>
      <c r="D489" t="s">
        <v>945</v>
      </c>
      <c r="E489" s="15">
        <v>3.2477795385701101E-3</v>
      </c>
      <c r="F489" s="15">
        <v>1.7012743920403799E-2</v>
      </c>
      <c r="G489" s="15">
        <v>0.84861064806253195</v>
      </c>
      <c r="H489" s="15">
        <v>0.85673132412054698</v>
      </c>
      <c r="I489" s="15">
        <v>0.91636052579935601</v>
      </c>
      <c r="J489" s="15">
        <v>1</v>
      </c>
      <c r="K489" s="15"/>
      <c r="L489" s="15"/>
      <c r="M489" s="15"/>
      <c r="N489" s="15"/>
      <c r="O489" s="15"/>
      <c r="P489" s="15"/>
      <c r="Q489" s="15"/>
    </row>
    <row r="490" spans="2:17" x14ac:dyDescent="0.2">
      <c r="B490" t="s">
        <v>1525</v>
      </c>
      <c r="C490" s="72" t="s">
        <v>2872</v>
      </c>
      <c r="D490" t="s">
        <v>946</v>
      </c>
      <c r="E490" s="15">
        <v>-5.3411303002790601E-2</v>
      </c>
      <c r="F490" s="15">
        <v>1.69665352640209E-2</v>
      </c>
      <c r="G490" s="15">
        <v>1.6547185413691801E-3</v>
      </c>
      <c r="H490" s="15">
        <v>4.7087412643276498E-3</v>
      </c>
      <c r="I490" s="15">
        <v>7.2137523187788804E-3</v>
      </c>
      <c r="J490" s="15">
        <v>1</v>
      </c>
      <c r="K490" s="15"/>
      <c r="L490" s="15"/>
      <c r="M490" s="15"/>
      <c r="N490" s="15"/>
      <c r="O490" s="15"/>
      <c r="P490" s="15"/>
      <c r="Q490" s="15"/>
    </row>
    <row r="491" spans="2:17" x14ac:dyDescent="0.2">
      <c r="B491" t="s">
        <v>1525</v>
      </c>
      <c r="C491" s="72" t="s">
        <v>2872</v>
      </c>
      <c r="D491" t="s">
        <v>948</v>
      </c>
      <c r="E491" s="15">
        <v>-1.05014342029159E-2</v>
      </c>
      <c r="F491" s="15">
        <v>1.7014465311137102E-2</v>
      </c>
      <c r="G491" s="15">
        <v>0.53713102147065395</v>
      </c>
      <c r="H491" s="15">
        <v>0.58722614264408302</v>
      </c>
      <c r="I491" s="15">
        <v>0.69360248182563</v>
      </c>
      <c r="J491" s="15">
        <v>1</v>
      </c>
      <c r="K491" s="15"/>
      <c r="L491" s="15"/>
      <c r="M491" s="15"/>
      <c r="N491" s="15"/>
      <c r="O491" s="15"/>
      <c r="P491" s="15"/>
      <c r="Q491" s="15"/>
    </row>
    <row r="492" spans="2:17" x14ac:dyDescent="0.2">
      <c r="B492" t="s">
        <v>1525</v>
      </c>
      <c r="C492" s="72" t="s">
        <v>2872</v>
      </c>
      <c r="D492" t="s">
        <v>951</v>
      </c>
      <c r="E492" s="15">
        <v>-3.4268420353407297E-2</v>
      </c>
      <c r="F492" s="15">
        <v>1.6612744367202899E-2</v>
      </c>
      <c r="G492" s="15">
        <v>3.91888610402156E-2</v>
      </c>
      <c r="H492" s="15">
        <v>6.5625791107027695E-2</v>
      </c>
      <c r="I492" s="15">
        <v>9.9281979324360697E-2</v>
      </c>
      <c r="J492" s="15">
        <v>1</v>
      </c>
      <c r="K492" s="15"/>
      <c r="L492" s="15"/>
      <c r="M492" s="15"/>
      <c r="N492" s="15"/>
      <c r="O492" s="15"/>
      <c r="P492" s="15"/>
      <c r="Q492" s="15"/>
    </row>
    <row r="493" spans="2:17" x14ac:dyDescent="0.2">
      <c r="B493" t="s">
        <v>1525</v>
      </c>
      <c r="C493" s="72" t="s">
        <v>2872</v>
      </c>
      <c r="D493" t="s">
        <v>953</v>
      </c>
      <c r="E493" s="15">
        <v>-3.1584087255904197E-2</v>
      </c>
      <c r="F493" s="15">
        <v>1.6990382325895899E-2</v>
      </c>
      <c r="G493" s="15">
        <v>6.3099284115626805E-2</v>
      </c>
      <c r="H493" s="15">
        <v>9.6477890930414895E-2</v>
      </c>
      <c r="I493" s="15">
        <v>0.14285352948924099</v>
      </c>
      <c r="J493" s="15">
        <v>1</v>
      </c>
      <c r="K493" s="15"/>
      <c r="L493" s="15"/>
      <c r="M493" s="15"/>
      <c r="N493" s="15"/>
      <c r="O493" s="15"/>
      <c r="P493" s="15"/>
      <c r="Q493" s="15"/>
    </row>
    <row r="494" spans="2:17" x14ac:dyDescent="0.2">
      <c r="B494" t="s">
        <v>1525</v>
      </c>
      <c r="C494" s="72" t="s">
        <v>2872</v>
      </c>
      <c r="D494" t="s">
        <v>956</v>
      </c>
      <c r="E494" s="15">
        <v>-3.0877929599088E-2</v>
      </c>
      <c r="F494" s="15">
        <v>1.6965215463739001E-2</v>
      </c>
      <c r="G494" s="15">
        <v>6.8812583690036497E-2</v>
      </c>
      <c r="H494" s="15">
        <v>0.103710393989984</v>
      </c>
      <c r="I494" s="15">
        <v>0.15315880968984899</v>
      </c>
      <c r="J494" s="15">
        <v>1</v>
      </c>
      <c r="K494" s="15"/>
      <c r="L494" s="15"/>
      <c r="M494" s="15"/>
      <c r="N494" s="15"/>
      <c r="O494" s="15"/>
      <c r="P494" s="15"/>
      <c r="Q494" s="15"/>
    </row>
    <row r="495" spans="2:17" x14ac:dyDescent="0.2">
      <c r="B495" t="s">
        <v>1525</v>
      </c>
      <c r="C495" s="72" t="s">
        <v>2872</v>
      </c>
      <c r="D495" t="s">
        <v>986</v>
      </c>
      <c r="E495" s="15">
        <v>1.11334162002349E-2</v>
      </c>
      <c r="F495" s="15">
        <v>1.6962743941248599E-2</v>
      </c>
      <c r="G495" s="15">
        <v>0.51163484836154804</v>
      </c>
      <c r="H495" s="15">
        <v>0.56226538023065997</v>
      </c>
      <c r="I495" s="15">
        <v>0.67352698339352202</v>
      </c>
      <c r="J495" s="15">
        <v>1</v>
      </c>
      <c r="K495" s="15"/>
      <c r="L495" s="15"/>
      <c r="M495" s="15"/>
      <c r="N495" s="15"/>
      <c r="O495" s="15"/>
      <c r="P495" s="15"/>
      <c r="Q495" s="15"/>
    </row>
    <row r="496" spans="2:17" x14ac:dyDescent="0.2">
      <c r="B496" t="s">
        <v>1525</v>
      </c>
      <c r="C496" s="72" t="s">
        <v>2872</v>
      </c>
      <c r="D496" t="s">
        <v>984</v>
      </c>
      <c r="E496" s="15">
        <v>-2.49478078112991E-2</v>
      </c>
      <c r="F496" s="15">
        <v>1.6802547632379001E-2</v>
      </c>
      <c r="G496" s="15">
        <v>0.13767578192681301</v>
      </c>
      <c r="H496" s="15">
        <v>0.18863370121141201</v>
      </c>
      <c r="I496" s="15">
        <v>0.26602188632378698</v>
      </c>
      <c r="J496" s="15">
        <v>1</v>
      </c>
      <c r="K496" s="15"/>
      <c r="L496" s="15"/>
      <c r="M496" s="15"/>
      <c r="N496" s="15"/>
      <c r="O496" s="15"/>
      <c r="P496" s="15"/>
      <c r="Q496" s="15"/>
    </row>
    <row r="497" spans="2:17" x14ac:dyDescent="0.2">
      <c r="B497" t="s">
        <v>1525</v>
      </c>
      <c r="C497" s="72" t="s">
        <v>2872</v>
      </c>
      <c r="D497" t="s">
        <v>992</v>
      </c>
      <c r="E497" s="15">
        <v>1.18003637869586E-2</v>
      </c>
      <c r="F497" s="15">
        <v>1.6955425694360399E-2</v>
      </c>
      <c r="G497" s="15">
        <v>0.48648679657664901</v>
      </c>
      <c r="H497" s="15">
        <v>0.54311488929985696</v>
      </c>
      <c r="I497" s="15">
        <v>0.65132432790401595</v>
      </c>
      <c r="J497" s="15">
        <v>1</v>
      </c>
      <c r="K497" s="15"/>
      <c r="L497" s="15"/>
      <c r="M497" s="15"/>
      <c r="N497" s="15"/>
      <c r="O497" s="15"/>
      <c r="P497" s="15"/>
      <c r="Q497" s="15"/>
    </row>
    <row r="498" spans="2:17" x14ac:dyDescent="0.2">
      <c r="B498" t="s">
        <v>1525</v>
      </c>
      <c r="C498" s="72" t="s">
        <v>2872</v>
      </c>
      <c r="D498" t="s">
        <v>998</v>
      </c>
      <c r="E498" s="15">
        <v>9.0436398463009694E-3</v>
      </c>
      <c r="F498" s="15">
        <v>1.6842991681970901E-2</v>
      </c>
      <c r="G498" s="15">
        <v>0.59133689357920804</v>
      </c>
      <c r="H498" s="15">
        <v>0.63659226808782099</v>
      </c>
      <c r="I498" s="15">
        <v>0.74803408000727201</v>
      </c>
      <c r="J498" s="15">
        <v>1</v>
      </c>
      <c r="K498" s="15"/>
      <c r="L498" s="15"/>
      <c r="M498" s="15"/>
      <c r="N498" s="15"/>
      <c r="O498" s="15"/>
      <c r="P498" s="15"/>
      <c r="Q498" s="15"/>
    </row>
    <row r="499" spans="2:17" x14ac:dyDescent="0.2">
      <c r="B499" t="s">
        <v>1525</v>
      </c>
      <c r="C499" s="72" t="s">
        <v>2872</v>
      </c>
      <c r="D499" t="s">
        <v>1000</v>
      </c>
      <c r="E499" s="15">
        <v>-2.0152093604408901E-2</v>
      </c>
      <c r="F499" s="15">
        <v>1.6822847206464001E-2</v>
      </c>
      <c r="G499" s="15">
        <v>0.231017866108437</v>
      </c>
      <c r="H499" s="15">
        <v>0.29364319125831501</v>
      </c>
      <c r="I499" s="15">
        <v>0.38933522163642398</v>
      </c>
      <c r="J499" s="15">
        <v>1</v>
      </c>
      <c r="K499" s="15"/>
      <c r="L499" s="15"/>
      <c r="M499" s="15"/>
      <c r="N499" s="15"/>
      <c r="O499" s="15"/>
      <c r="P499" s="15"/>
      <c r="Q499" s="15"/>
    </row>
    <row r="500" spans="2:17" x14ac:dyDescent="0.2">
      <c r="B500" t="s">
        <v>1525</v>
      </c>
      <c r="C500" s="72" t="s">
        <v>2872</v>
      </c>
      <c r="D500" t="s">
        <v>1001</v>
      </c>
      <c r="E500" s="15">
        <v>-1.9152756894774001E-2</v>
      </c>
      <c r="F500" s="15">
        <v>1.6817439738347002E-2</v>
      </c>
      <c r="G500" s="15">
        <v>0.254821818517243</v>
      </c>
      <c r="H500" s="15">
        <v>0.31627884533610801</v>
      </c>
      <c r="I500" s="15">
        <v>0.41269377964697301</v>
      </c>
      <c r="J500" s="15">
        <v>1</v>
      </c>
      <c r="K500" s="15"/>
      <c r="L500" s="15"/>
      <c r="M500" s="15"/>
      <c r="N500" s="15"/>
      <c r="O500" s="15"/>
      <c r="P500" s="15"/>
      <c r="Q500" s="15"/>
    </row>
    <row r="501" spans="2:17" x14ac:dyDescent="0.2">
      <c r="B501" t="s">
        <v>1525</v>
      </c>
      <c r="C501" s="72" t="s">
        <v>2872</v>
      </c>
      <c r="D501" t="s">
        <v>1002</v>
      </c>
      <c r="E501" s="15">
        <v>5.1286792720962402E-3</v>
      </c>
      <c r="F501" s="15">
        <v>1.70221630566562E-2</v>
      </c>
      <c r="G501" s="15">
        <v>0.76320387671054601</v>
      </c>
      <c r="H501" s="15">
        <v>0.785541551150854</v>
      </c>
      <c r="I501" s="15">
        <v>0.87046496208608204</v>
      </c>
      <c r="J501" s="15">
        <v>1</v>
      </c>
      <c r="K501" s="15"/>
      <c r="L501" s="15"/>
      <c r="M501" s="15"/>
      <c r="N501" s="15"/>
      <c r="O501" s="15"/>
      <c r="P501" s="15"/>
      <c r="Q501" s="15"/>
    </row>
    <row r="502" spans="2:17" x14ac:dyDescent="0.2">
      <c r="B502" t="s">
        <v>1525</v>
      </c>
      <c r="C502" s="72" t="s">
        <v>2872</v>
      </c>
      <c r="D502" t="s">
        <v>233</v>
      </c>
      <c r="E502" s="15">
        <v>-3.08218703026793E-2</v>
      </c>
      <c r="F502" s="15">
        <v>1.5707930753851799E-2</v>
      </c>
      <c r="G502" s="15">
        <v>4.9800778980789003E-2</v>
      </c>
      <c r="H502" s="15">
        <v>7.9605790643534E-2</v>
      </c>
      <c r="I502" s="15">
        <v>0.120228425228221</v>
      </c>
      <c r="J502" s="15">
        <v>1</v>
      </c>
      <c r="K502" s="15"/>
      <c r="L502" s="15"/>
      <c r="M502" s="15"/>
      <c r="N502" s="15"/>
      <c r="O502" s="15"/>
      <c r="P502" s="15"/>
      <c r="Q502" s="15"/>
    </row>
    <row r="503" spans="2:17" x14ac:dyDescent="0.2">
      <c r="B503" t="s">
        <v>1525</v>
      </c>
      <c r="C503" s="72" t="s">
        <v>2872</v>
      </c>
      <c r="D503" t="s">
        <v>234</v>
      </c>
      <c r="E503" s="15">
        <v>-5.5097646344665498E-2</v>
      </c>
      <c r="F503" s="15">
        <v>1.6540032342849599E-2</v>
      </c>
      <c r="G503" s="15">
        <v>8.7161986466673298E-4</v>
      </c>
      <c r="H503" s="15">
        <v>2.7865422946163699E-3</v>
      </c>
      <c r="I503" s="15">
        <v>4.2375988812138402E-3</v>
      </c>
      <c r="J503" s="15">
        <v>0.91955895722340297</v>
      </c>
      <c r="K503" s="15"/>
      <c r="L503" s="15"/>
      <c r="M503" s="15"/>
      <c r="N503" s="15"/>
      <c r="O503" s="15"/>
      <c r="P503" s="15"/>
      <c r="Q503" s="15"/>
    </row>
    <row r="504" spans="2:17" x14ac:dyDescent="0.2">
      <c r="B504" t="s">
        <v>1525</v>
      </c>
      <c r="C504" s="72" t="s">
        <v>2872</v>
      </c>
      <c r="D504" t="s">
        <v>1038</v>
      </c>
      <c r="E504" s="15">
        <v>-4.3745291766193101E-2</v>
      </c>
      <c r="F504" s="15">
        <v>1.68043504614688E-2</v>
      </c>
      <c r="G504" s="15">
        <v>9.2653030478927808E-3</v>
      </c>
      <c r="H504" s="15">
        <v>1.8980378088401698E-2</v>
      </c>
      <c r="I504" s="15">
        <v>2.9022748921306601E-2</v>
      </c>
      <c r="J504" s="15">
        <v>1</v>
      </c>
      <c r="K504" s="15"/>
      <c r="L504" s="15"/>
      <c r="M504" s="15"/>
      <c r="N504" s="15"/>
      <c r="O504" s="15"/>
      <c r="P504" s="15"/>
      <c r="Q504" s="15"/>
    </row>
    <row r="505" spans="2:17" x14ac:dyDescent="0.2">
      <c r="B505" t="s">
        <v>1525</v>
      </c>
      <c r="C505" s="72" t="s">
        <v>2872</v>
      </c>
      <c r="D505" t="s">
        <v>1040</v>
      </c>
      <c r="E505" s="15">
        <v>-1.98069317585284E-2</v>
      </c>
      <c r="F505" s="15">
        <v>1.69275256853176E-2</v>
      </c>
      <c r="G505" s="15">
        <v>0.242020823917239</v>
      </c>
      <c r="H505" s="15">
        <v>0.30578678950022398</v>
      </c>
      <c r="I505" s="15">
        <v>0.40204091297911398</v>
      </c>
      <c r="J505" s="15">
        <v>1</v>
      </c>
      <c r="K505" s="15"/>
      <c r="L505" s="15"/>
      <c r="M505" s="15"/>
      <c r="N505" s="15"/>
      <c r="O505" s="15"/>
      <c r="P505" s="15"/>
      <c r="Q505" s="15"/>
    </row>
    <row r="506" spans="2:17" x14ac:dyDescent="0.2">
      <c r="B506" t="s">
        <v>1525</v>
      </c>
      <c r="C506" s="72" t="s">
        <v>2872</v>
      </c>
      <c r="D506" t="s">
        <v>3190</v>
      </c>
      <c r="E506" s="15">
        <v>-1.36320445738483E-2</v>
      </c>
      <c r="F506" s="15">
        <v>1.68302797743442E-2</v>
      </c>
      <c r="G506" s="15">
        <v>0.41800051224359602</v>
      </c>
      <c r="H506" s="15">
        <v>0.48460498946922398</v>
      </c>
      <c r="I506" s="15">
        <v>0.58486809073871904</v>
      </c>
      <c r="J506" s="15">
        <v>1</v>
      </c>
      <c r="K506" s="15"/>
      <c r="L506" s="15"/>
      <c r="M506" s="15"/>
      <c r="N506" s="15"/>
      <c r="O506" s="15"/>
      <c r="P506" s="15"/>
      <c r="Q506" s="15"/>
    </row>
    <row r="507" spans="2:17" x14ac:dyDescent="0.2">
      <c r="B507" t="s">
        <v>1525</v>
      </c>
      <c r="C507" s="72" t="s">
        <v>2872</v>
      </c>
      <c r="D507" s="51" t="s">
        <v>3191</v>
      </c>
      <c r="E507" s="74">
        <v>-7.2881394480946493E-2</v>
      </c>
      <c r="F507" s="74">
        <v>1.6541035461270798E-2</v>
      </c>
      <c r="G507" s="74">
        <v>1.0765878137750499E-5</v>
      </c>
      <c r="H507" s="74">
        <v>6.6345487883531998E-5</v>
      </c>
      <c r="I507" s="74">
        <v>1.05166679956729E-4</v>
      </c>
      <c r="J507" s="74">
        <v>1.13580014353268E-2</v>
      </c>
      <c r="K507" s="15"/>
      <c r="L507" s="15"/>
      <c r="M507" s="15"/>
      <c r="N507" s="15"/>
      <c r="O507" s="15"/>
      <c r="P507" s="15"/>
      <c r="Q507" s="15"/>
    </row>
    <row r="508" spans="2:17" x14ac:dyDescent="0.2">
      <c r="B508" t="s">
        <v>1525</v>
      </c>
      <c r="C508" s="72" t="s">
        <v>2872</v>
      </c>
      <c r="D508" t="s">
        <v>3192</v>
      </c>
      <c r="E508" s="15">
        <v>-2.3243404403837799E-2</v>
      </c>
      <c r="F508" s="15">
        <v>1.6721258466942501E-2</v>
      </c>
      <c r="G508" s="15">
        <v>0.164581591043968</v>
      </c>
      <c r="H508" s="15">
        <v>0.219789339938463</v>
      </c>
      <c r="I508" s="15">
        <v>0.30623206093718802</v>
      </c>
      <c r="J508" s="15">
        <v>1</v>
      </c>
      <c r="K508" s="15"/>
      <c r="L508" s="15"/>
      <c r="M508" s="15"/>
      <c r="N508" s="15"/>
      <c r="O508" s="15"/>
      <c r="P508" s="15"/>
      <c r="Q508" s="15"/>
    </row>
    <row r="509" spans="2:17" x14ac:dyDescent="0.2">
      <c r="B509" t="s">
        <v>1525</v>
      </c>
      <c r="C509" s="72" t="s">
        <v>2872</v>
      </c>
      <c r="D509" t="s">
        <v>3193</v>
      </c>
      <c r="E509" s="15">
        <v>-1.9984519748311402E-2</v>
      </c>
      <c r="F509" s="15">
        <v>1.6040488442970301E-2</v>
      </c>
      <c r="G509" s="15">
        <v>0.21287373290105299</v>
      </c>
      <c r="H509" s="15">
        <v>0.27556047633203801</v>
      </c>
      <c r="I509" s="15">
        <v>0.365550696227605</v>
      </c>
      <c r="J509" s="15">
        <v>1</v>
      </c>
      <c r="K509" s="15"/>
      <c r="L509" s="15"/>
      <c r="M509" s="15"/>
      <c r="N509" s="15"/>
      <c r="O509" s="15"/>
      <c r="P509" s="15"/>
      <c r="Q509" s="15"/>
    </row>
    <row r="510" spans="2:17" x14ac:dyDescent="0.2">
      <c r="B510" t="s">
        <v>1525</v>
      </c>
      <c r="C510" s="72" t="s">
        <v>2872</v>
      </c>
      <c r="D510" s="51" t="s">
        <v>3194</v>
      </c>
      <c r="E510" s="74">
        <v>-6.9880554817802198E-2</v>
      </c>
      <c r="F510" s="74">
        <v>1.68078811492904E-2</v>
      </c>
      <c r="G510" s="74">
        <v>3.2764856281516999E-5</v>
      </c>
      <c r="H510" s="74">
        <v>1.64604397033335E-4</v>
      </c>
      <c r="I510" s="74">
        <v>2.5605128427407702E-4</v>
      </c>
      <c r="J510" s="74">
        <v>3.4566923377000403E-2</v>
      </c>
      <c r="K510" s="15"/>
      <c r="L510" s="15"/>
      <c r="M510" s="15"/>
      <c r="N510" s="15"/>
      <c r="O510" s="15"/>
      <c r="P510" s="15"/>
      <c r="Q510" s="15"/>
    </row>
    <row r="511" spans="2:17" x14ac:dyDescent="0.2">
      <c r="B511" t="s">
        <v>1525</v>
      </c>
      <c r="C511" s="72" t="s">
        <v>2872</v>
      </c>
      <c r="D511" t="s">
        <v>3195</v>
      </c>
      <c r="E511" s="15">
        <v>-2.8014168396641899E-3</v>
      </c>
      <c r="F511" s="15">
        <v>1.6811361540091999E-2</v>
      </c>
      <c r="G511" s="15">
        <v>0.86766226634735999</v>
      </c>
      <c r="H511" s="15">
        <v>0.86766226634735999</v>
      </c>
      <c r="I511" s="15">
        <v>0.92769700210442196</v>
      </c>
      <c r="J511" s="15">
        <v>1</v>
      </c>
      <c r="K511" s="15"/>
      <c r="L511" s="15"/>
      <c r="M511" s="15"/>
      <c r="N511" s="15"/>
      <c r="O511" s="15"/>
      <c r="P511" s="15"/>
      <c r="Q511" s="15"/>
    </row>
    <row r="512" spans="2:17" x14ac:dyDescent="0.2">
      <c r="B512" t="s">
        <v>1525</v>
      </c>
      <c r="C512" s="72" t="s">
        <v>2872</v>
      </c>
      <c r="D512" t="s">
        <v>3196</v>
      </c>
      <c r="E512" s="15">
        <v>-5.8783225065642299E-2</v>
      </c>
      <c r="F512" s="15">
        <v>1.6536671675050799E-2</v>
      </c>
      <c r="G512" s="15">
        <v>3.82198481998257E-4</v>
      </c>
      <c r="H512" s="15">
        <v>1.3668454186717301E-3</v>
      </c>
      <c r="I512" s="15">
        <v>2.1110963272678602E-3</v>
      </c>
      <c r="J512" s="15">
        <v>0.40321939850816102</v>
      </c>
      <c r="K512" s="15"/>
      <c r="L512" s="15"/>
      <c r="M512" s="15"/>
      <c r="N512" s="15"/>
      <c r="O512" s="15"/>
      <c r="P512" s="15"/>
      <c r="Q512" s="15"/>
    </row>
    <row r="513" spans="2:17" x14ac:dyDescent="0.2">
      <c r="B513" t="s">
        <v>1525</v>
      </c>
      <c r="C513" s="72" t="s">
        <v>2872</v>
      </c>
      <c r="D513" t="s">
        <v>3197</v>
      </c>
      <c r="E513" s="15">
        <v>-3.2004372750885197E-2</v>
      </c>
      <c r="F513" s="15">
        <v>1.68567789070945E-2</v>
      </c>
      <c r="G513" s="15">
        <v>5.76793411654744E-2</v>
      </c>
      <c r="H513" s="15">
        <v>9.0823440193396193E-2</v>
      </c>
      <c r="I513" s="15">
        <v>0.13403459235589299</v>
      </c>
      <c r="J513" s="15">
        <v>1</v>
      </c>
      <c r="K513" s="15"/>
      <c r="L513" s="15"/>
      <c r="M513" s="15"/>
      <c r="N513" s="15"/>
      <c r="O513" s="15"/>
      <c r="P513" s="15"/>
      <c r="Q513" s="15"/>
    </row>
    <row r="514" spans="2:17" x14ac:dyDescent="0.2">
      <c r="B514" t="s">
        <v>1525</v>
      </c>
      <c r="C514" s="72" t="s">
        <v>2872</v>
      </c>
      <c r="D514" t="s">
        <v>1141</v>
      </c>
      <c r="E514" s="15">
        <v>-5.40351450209016E-2</v>
      </c>
      <c r="F514" s="15">
        <v>1.6474110163785E-2</v>
      </c>
      <c r="G514" s="15">
        <v>1.04570863437622E-3</v>
      </c>
      <c r="H514" s="15">
        <v>3.24295975860437E-3</v>
      </c>
      <c r="I514" s="15">
        <v>4.99195750799508E-3</v>
      </c>
      <c r="J514" s="15">
        <v>1</v>
      </c>
      <c r="K514" s="15"/>
      <c r="L514" s="15"/>
      <c r="M514" s="15"/>
      <c r="N514" s="15"/>
      <c r="O514" s="15"/>
      <c r="P514" s="15"/>
      <c r="Q514" s="15"/>
    </row>
    <row r="515" spans="2:17" x14ac:dyDescent="0.2">
      <c r="B515" t="s">
        <v>1525</v>
      </c>
      <c r="C515" s="72" t="s">
        <v>2872</v>
      </c>
      <c r="D515" t="s">
        <v>1142</v>
      </c>
      <c r="E515" s="15">
        <v>-4.33604193379519E-2</v>
      </c>
      <c r="F515" s="15">
        <v>1.65618959443402E-2</v>
      </c>
      <c r="G515" s="15">
        <v>8.8711232311657201E-3</v>
      </c>
      <c r="H515" s="15">
        <v>1.8351049037019299E-2</v>
      </c>
      <c r="I515" s="15">
        <v>2.79374179369547E-2</v>
      </c>
      <c r="J515" s="15">
        <v>1</v>
      </c>
      <c r="K515" s="15"/>
      <c r="L515" s="15"/>
      <c r="M515" s="15"/>
      <c r="N515" s="15"/>
      <c r="O515" s="15"/>
      <c r="P515" s="15"/>
      <c r="Q515" s="15"/>
    </row>
    <row r="516" spans="2:17" x14ac:dyDescent="0.2">
      <c r="B516" t="s">
        <v>1525</v>
      </c>
      <c r="C516" s="72" t="s">
        <v>2872</v>
      </c>
      <c r="D516" t="s">
        <v>3198</v>
      </c>
      <c r="E516" s="15">
        <v>-3.56866385495525E-2</v>
      </c>
      <c r="F516" s="15">
        <v>1.58092907231372E-2</v>
      </c>
      <c r="G516" s="15">
        <v>2.4035615851006099E-2</v>
      </c>
      <c r="H516" s="15">
        <v>4.3346281577455403E-2</v>
      </c>
      <c r="I516" s="15">
        <v>6.5693198763760105E-2</v>
      </c>
      <c r="J516" s="15">
        <v>1</v>
      </c>
      <c r="K516" s="15"/>
      <c r="L516" s="15"/>
      <c r="M516" s="15"/>
      <c r="N516" s="15"/>
      <c r="O516" s="15"/>
      <c r="P516" s="15"/>
      <c r="Q516" s="15"/>
    </row>
    <row r="517" spans="2:17" x14ac:dyDescent="0.2">
      <c r="B517" t="s">
        <v>1525</v>
      </c>
      <c r="C517" s="72" t="s">
        <v>2872</v>
      </c>
      <c r="D517" t="s">
        <v>1134</v>
      </c>
      <c r="E517" s="15">
        <v>-1.7405642753528901E-2</v>
      </c>
      <c r="F517" s="15">
        <v>1.6810395389913701E-2</v>
      </c>
      <c r="G517" s="15">
        <v>0.30053098558246</v>
      </c>
      <c r="H517" s="15">
        <v>0.358260101457057</v>
      </c>
      <c r="I517" s="15">
        <v>0.46489763898753</v>
      </c>
      <c r="J517" s="15">
        <v>1</v>
      </c>
      <c r="K517" s="15"/>
      <c r="L517" s="15"/>
      <c r="M517" s="15"/>
      <c r="N517" s="15"/>
      <c r="O517" s="15"/>
      <c r="P517" s="15"/>
      <c r="Q517" s="15"/>
    </row>
    <row r="518" spans="2:17" x14ac:dyDescent="0.2">
      <c r="B518" t="s">
        <v>1525</v>
      </c>
      <c r="C518" s="72" t="s">
        <v>2872</v>
      </c>
      <c r="D518" t="s">
        <v>1136</v>
      </c>
      <c r="E518" s="15">
        <v>-5.14334233016061E-2</v>
      </c>
      <c r="F518" s="15">
        <v>1.6483028977644601E-2</v>
      </c>
      <c r="G518" s="15">
        <v>1.81720033158195E-3</v>
      </c>
      <c r="H518" s="15">
        <v>5.04512197320779E-3</v>
      </c>
      <c r="I518" s="15">
        <v>7.8571571713891807E-3</v>
      </c>
      <c r="J518" s="15">
        <v>1</v>
      </c>
      <c r="K518" s="15"/>
      <c r="L518" s="15"/>
      <c r="M518" s="15"/>
      <c r="N518" s="15"/>
      <c r="O518" s="15"/>
      <c r="P518" s="15"/>
      <c r="Q518" s="15"/>
    </row>
    <row r="519" spans="2:17" x14ac:dyDescent="0.2">
      <c r="B519" t="s">
        <v>1525</v>
      </c>
      <c r="C519" s="72" t="s">
        <v>2872</v>
      </c>
      <c r="D519" t="s">
        <v>1137</v>
      </c>
      <c r="E519" s="15">
        <v>-4.2507103592240997E-2</v>
      </c>
      <c r="F519" s="15">
        <v>1.6618818670738399E-2</v>
      </c>
      <c r="G519" s="15">
        <v>1.0566218839488301E-2</v>
      </c>
      <c r="H519" s="15">
        <v>2.10327563691701E-2</v>
      </c>
      <c r="I519" s="15">
        <v>3.2311190943942497E-2</v>
      </c>
      <c r="J519" s="15">
        <v>1</v>
      </c>
      <c r="K519" s="15"/>
      <c r="L519" s="15"/>
      <c r="M519" s="15"/>
      <c r="N519" s="15"/>
      <c r="O519" s="15"/>
      <c r="P519" s="15"/>
      <c r="Q519" s="15"/>
    </row>
    <row r="520" spans="2:17" x14ac:dyDescent="0.2">
      <c r="B520" t="s">
        <v>1525</v>
      </c>
      <c r="C520" s="72" t="s">
        <v>2872</v>
      </c>
      <c r="D520" t="s">
        <v>1138</v>
      </c>
      <c r="E520" s="15">
        <v>-4.99890570063517E-2</v>
      </c>
      <c r="F520" s="15">
        <v>1.6657229512948599E-2</v>
      </c>
      <c r="G520" s="15">
        <v>2.7047610199838102E-3</v>
      </c>
      <c r="H520" s="15">
        <v>6.8918192683642904E-3</v>
      </c>
      <c r="I520" s="15">
        <v>1.06873515958162E-2</v>
      </c>
      <c r="J520" s="15">
        <v>1</v>
      </c>
      <c r="K520" s="15"/>
      <c r="L520" s="15"/>
      <c r="M520" s="15"/>
      <c r="N520" s="15"/>
      <c r="O520" s="15"/>
      <c r="P520" s="15"/>
      <c r="Q520" s="15"/>
    </row>
    <row r="521" spans="2:17" x14ac:dyDescent="0.2">
      <c r="B521" t="s">
        <v>1525</v>
      </c>
      <c r="C521" s="72" t="s">
        <v>2872</v>
      </c>
      <c r="D521" t="s">
        <v>1054</v>
      </c>
      <c r="E521" s="15">
        <v>3.4638291651293701E-2</v>
      </c>
      <c r="F521" s="15">
        <v>1.70076332326684E-2</v>
      </c>
      <c r="G521" s="15">
        <v>4.1761772822755498E-2</v>
      </c>
      <c r="H521" s="15">
        <v>6.8841672387511002E-2</v>
      </c>
      <c r="I521" s="15">
        <v>0.104157613068575</v>
      </c>
      <c r="J521" s="15">
        <v>1</v>
      </c>
      <c r="K521" s="15"/>
      <c r="L521" s="15"/>
      <c r="M521" s="15"/>
      <c r="N521" s="15"/>
      <c r="O521" s="15"/>
      <c r="P521" s="15"/>
      <c r="Q521" s="15"/>
    </row>
    <row r="522" spans="2:17" x14ac:dyDescent="0.2">
      <c r="B522" t="s">
        <v>1525</v>
      </c>
      <c r="C522" s="72" t="s">
        <v>2872</v>
      </c>
      <c r="D522" t="s">
        <v>312</v>
      </c>
      <c r="E522" s="15">
        <v>-4.8346570483435601E-3</v>
      </c>
      <c r="F522" s="15">
        <v>1.7025356176587899E-2</v>
      </c>
      <c r="G522" s="15">
        <v>0.77644788779826202</v>
      </c>
      <c r="H522" s="15">
        <v>0.79529371031763696</v>
      </c>
      <c r="I522" s="15">
        <v>0.874124908673234</v>
      </c>
      <c r="J522" s="15">
        <v>1</v>
      </c>
      <c r="K522" s="15"/>
      <c r="L522" s="15"/>
      <c r="M522" s="15"/>
      <c r="N522" s="15"/>
      <c r="O522" s="15"/>
      <c r="P522" s="15"/>
      <c r="Q522" s="15"/>
    </row>
    <row r="523" spans="2:17" x14ac:dyDescent="0.2">
      <c r="B523" t="s">
        <v>1525</v>
      </c>
      <c r="C523" s="72" t="s">
        <v>2872</v>
      </c>
      <c r="D523" s="51" t="s">
        <v>1059</v>
      </c>
      <c r="E523" s="74">
        <v>-0.13086906051465499</v>
      </c>
      <c r="F523" s="74">
        <v>1.7045891724314401E-2</v>
      </c>
      <c r="G523" s="74">
        <v>1.98363586210877E-14</v>
      </c>
      <c r="H523" s="74">
        <v>1.9346396713235999E-12</v>
      </c>
      <c r="I523" s="74">
        <v>2.6159197931559398E-12</v>
      </c>
      <c r="J523" s="74">
        <v>2.0927358345247499E-11</v>
      </c>
      <c r="K523" s="15"/>
      <c r="L523" s="15"/>
      <c r="M523" s="15"/>
      <c r="N523" s="15"/>
      <c r="O523" s="15"/>
      <c r="P523" s="15"/>
      <c r="Q523" s="15"/>
    </row>
    <row r="524" spans="2:17" x14ac:dyDescent="0.2">
      <c r="B524" t="s">
        <v>1525</v>
      </c>
      <c r="C524" s="72" t="s">
        <v>2872</v>
      </c>
      <c r="D524" s="51" t="s">
        <v>1060</v>
      </c>
      <c r="E524" s="74">
        <v>-9.4318130336902797E-2</v>
      </c>
      <c r="F524" s="74">
        <v>1.6998578279273299E-2</v>
      </c>
      <c r="G524" s="74">
        <v>3.0451299124589698E-8</v>
      </c>
      <c r="H524" s="74">
        <v>7.1391379058760296E-7</v>
      </c>
      <c r="I524" s="74">
        <v>9.7351880534673209E-7</v>
      </c>
      <c r="J524" s="74">
        <v>3.2126120576442098E-5</v>
      </c>
      <c r="K524" s="15"/>
      <c r="L524" s="15"/>
      <c r="M524" s="15"/>
      <c r="N524" s="15"/>
      <c r="O524" s="15"/>
      <c r="P524" s="15"/>
      <c r="Q524" s="15"/>
    </row>
    <row r="525" spans="2:17" x14ac:dyDescent="0.2">
      <c r="B525" t="s">
        <v>1525</v>
      </c>
      <c r="C525" s="72" t="s">
        <v>2872</v>
      </c>
      <c r="D525" t="s">
        <v>1477</v>
      </c>
      <c r="E525" s="15">
        <v>2.5554986006338501E-2</v>
      </c>
      <c r="F525" s="15">
        <v>1.7100466459416201E-2</v>
      </c>
      <c r="G525" s="15">
        <v>0.13513931477086</v>
      </c>
      <c r="H525" s="15">
        <v>0.186368597494455</v>
      </c>
      <c r="I525" s="15">
        <v>0.26304792819789302</v>
      </c>
      <c r="J525" s="15">
        <v>1</v>
      </c>
      <c r="K525" s="15"/>
      <c r="L525" s="15"/>
      <c r="M525" s="15"/>
      <c r="N525" s="15"/>
      <c r="O525" s="15"/>
      <c r="P525" s="15"/>
      <c r="Q525" s="15"/>
    </row>
    <row r="526" spans="2:17" x14ac:dyDescent="0.2">
      <c r="B526" t="s">
        <v>1525</v>
      </c>
      <c r="C526" s="72" t="s">
        <v>2872</v>
      </c>
      <c r="D526" s="51" t="s">
        <v>324</v>
      </c>
      <c r="E526" s="74">
        <v>-9.4135938510859593E-2</v>
      </c>
      <c r="F526" s="74">
        <v>1.7023943391870799E-2</v>
      </c>
      <c r="G526" s="74">
        <v>3.3897305423563501E-8</v>
      </c>
      <c r="H526" s="74">
        <v>7.1523314443719098E-7</v>
      </c>
      <c r="I526" s="74">
        <v>1.0217616349102699E-6</v>
      </c>
      <c r="J526" s="74">
        <v>3.57616572218595E-5</v>
      </c>
      <c r="K526" s="15"/>
      <c r="L526" s="15"/>
      <c r="M526" s="15"/>
      <c r="N526" s="15"/>
      <c r="O526" s="15"/>
      <c r="P526" s="15"/>
      <c r="Q526" s="15"/>
    </row>
    <row r="527" spans="2:17" x14ac:dyDescent="0.2">
      <c r="B527" t="s">
        <v>1525</v>
      </c>
      <c r="C527" s="72" t="s">
        <v>2872</v>
      </c>
      <c r="D527" s="51" t="s">
        <v>328</v>
      </c>
      <c r="E527" s="74">
        <v>-7.5713431650933999E-2</v>
      </c>
      <c r="F527" s="74">
        <v>1.6930531742509702E-2</v>
      </c>
      <c r="G527" s="74">
        <v>7.9447745473885008E-6</v>
      </c>
      <c r="H527" s="74">
        <v>5.8354884767609597E-5</v>
      </c>
      <c r="I527" s="74">
        <v>8.6341411135748905E-5</v>
      </c>
      <c r="J527" s="74">
        <v>8.3817371474948603E-3</v>
      </c>
      <c r="K527" s="15"/>
      <c r="L527" s="15"/>
      <c r="M527" s="15"/>
      <c r="N527" s="15"/>
      <c r="O527" s="15"/>
      <c r="P527" s="15"/>
      <c r="Q527" s="15"/>
    </row>
    <row r="528" spans="2:17" x14ac:dyDescent="0.2">
      <c r="B528" t="s">
        <v>1525</v>
      </c>
      <c r="C528" s="72" t="s">
        <v>2872</v>
      </c>
      <c r="D528" t="s">
        <v>1068</v>
      </c>
      <c r="E528" s="15">
        <v>-1.1755142401941299E-2</v>
      </c>
      <c r="F528" s="15">
        <v>1.7042744234783299E-2</v>
      </c>
      <c r="G528" s="15">
        <v>0.49038935036399101</v>
      </c>
      <c r="H528" s="15">
        <v>0.54459027856211595</v>
      </c>
      <c r="I528" s="15">
        <v>0.65571706544234498</v>
      </c>
      <c r="J528" s="15">
        <v>1</v>
      </c>
      <c r="K528" s="15"/>
      <c r="L528" s="15"/>
      <c r="M528" s="15"/>
      <c r="N528" s="15"/>
      <c r="O528" s="15"/>
      <c r="P528" s="15"/>
      <c r="Q528" s="15"/>
    </row>
    <row r="529" spans="2:17" x14ac:dyDescent="0.2">
      <c r="B529" t="s">
        <v>1525</v>
      </c>
      <c r="C529" s="72" t="s">
        <v>2872</v>
      </c>
      <c r="D529" s="51" t="s">
        <v>1069</v>
      </c>
      <c r="E529" s="74">
        <v>7.4717666585997405E-2</v>
      </c>
      <c r="F529" s="74">
        <v>1.6976233978713701E-2</v>
      </c>
      <c r="G529" s="74">
        <v>1.10051757152778E-5</v>
      </c>
      <c r="H529" s="74">
        <v>6.6345487883531998E-5</v>
      </c>
      <c r="I529" s="74">
        <v>1.06517985134111E-4</v>
      </c>
      <c r="J529" s="74">
        <v>1.16104603796181E-2</v>
      </c>
      <c r="K529" s="15"/>
      <c r="L529" s="15"/>
      <c r="M529" s="15"/>
      <c r="N529" s="15"/>
      <c r="O529" s="15"/>
      <c r="P529" s="15"/>
      <c r="Q529" s="15"/>
    </row>
    <row r="530" spans="2:17" x14ac:dyDescent="0.2">
      <c r="B530" t="s">
        <v>1525</v>
      </c>
      <c r="C530" s="72" t="s">
        <v>2872</v>
      </c>
      <c r="D530" s="51" t="s">
        <v>1072</v>
      </c>
      <c r="E530" s="74">
        <v>9.1432588438267903E-2</v>
      </c>
      <c r="F530" s="74">
        <v>1.68183620122049E-2</v>
      </c>
      <c r="G530" s="74">
        <v>5.7211538246011E-8</v>
      </c>
      <c r="H530" s="74">
        <v>1.09742132453712E-6</v>
      </c>
      <c r="I530" s="74">
        <v>1.58837296972478E-6</v>
      </c>
      <c r="J530" s="74">
        <v>6.0358172849541599E-5</v>
      </c>
      <c r="K530" s="15"/>
      <c r="L530" s="15"/>
      <c r="M530" s="15"/>
      <c r="N530" s="15"/>
      <c r="O530" s="15"/>
      <c r="P530" s="15"/>
      <c r="Q530" s="15"/>
    </row>
    <row r="531" spans="2:17" x14ac:dyDescent="0.2">
      <c r="B531" t="s">
        <v>1525</v>
      </c>
      <c r="C531" s="72" t="s">
        <v>2872</v>
      </c>
      <c r="D531" t="s">
        <v>1074</v>
      </c>
      <c r="E531" s="15">
        <v>-4.5603124065378399E-2</v>
      </c>
      <c r="F531" s="15">
        <v>1.6922317283814398E-2</v>
      </c>
      <c r="G531" s="15">
        <v>7.06729498633628E-3</v>
      </c>
      <c r="H531" s="15">
        <v>1.52918803073443E-2</v>
      </c>
      <c r="I531" s="15">
        <v>2.3520492777870002E-2</v>
      </c>
      <c r="J531" s="15">
        <v>1</v>
      </c>
      <c r="K531" s="15"/>
      <c r="L531" s="15"/>
      <c r="M531" s="15"/>
      <c r="N531" s="15"/>
      <c r="O531" s="15"/>
      <c r="P531" s="15"/>
      <c r="Q531" s="15"/>
    </row>
    <row r="532" spans="2:17" x14ac:dyDescent="0.2">
      <c r="B532" t="s">
        <v>1525</v>
      </c>
      <c r="C532" s="72" t="s">
        <v>2872</v>
      </c>
      <c r="D532" s="51" t="s">
        <v>1075</v>
      </c>
      <c r="E532" s="74">
        <v>7.2797556774008301E-2</v>
      </c>
      <c r="F532" s="74">
        <v>1.6725202071836798E-2</v>
      </c>
      <c r="G532" s="74">
        <v>1.37579273022138E-5</v>
      </c>
      <c r="H532" s="74">
        <v>8.0636740576864202E-5</v>
      </c>
      <c r="I532" s="74">
        <v>1.25125976757203E-4</v>
      </c>
      <c r="J532" s="74">
        <v>1.45146133038356E-2</v>
      </c>
      <c r="K532" s="15"/>
      <c r="L532" s="15"/>
      <c r="M532" s="15"/>
      <c r="N532" s="15"/>
      <c r="O532" s="15"/>
      <c r="P532" s="15"/>
      <c r="Q532" s="15"/>
    </row>
    <row r="533" spans="2:17" x14ac:dyDescent="0.2">
      <c r="B533" t="s">
        <v>1525</v>
      </c>
      <c r="C533" s="72" t="s">
        <v>2872</v>
      </c>
      <c r="D533" s="51" t="s">
        <v>1077</v>
      </c>
      <c r="E533" s="74">
        <v>-7.5242689078628106E-2</v>
      </c>
      <c r="F533" s="74">
        <v>1.6933553823306E-2</v>
      </c>
      <c r="G533" s="74">
        <v>9.0620369818013499E-6</v>
      </c>
      <c r="H533" s="74">
        <v>6.1680316230970506E-5</v>
      </c>
      <c r="I533" s="74">
        <v>9.3729892311768904E-5</v>
      </c>
      <c r="J533" s="74">
        <v>9.5604490158004204E-3</v>
      </c>
      <c r="K533" s="15"/>
      <c r="L533" s="15"/>
      <c r="M533" s="15"/>
      <c r="N533" s="15"/>
      <c r="O533" s="15"/>
      <c r="P533" s="15"/>
      <c r="Q533" s="15"/>
    </row>
    <row r="534" spans="2:17" x14ac:dyDescent="0.2">
      <c r="B534" t="s">
        <v>1525</v>
      </c>
      <c r="C534" s="72" t="s">
        <v>2872</v>
      </c>
      <c r="D534" s="51" t="s">
        <v>1078</v>
      </c>
      <c r="E534" s="74">
        <v>8.9392225916149301E-2</v>
      </c>
      <c r="F534" s="74">
        <v>1.68651485023033E-2</v>
      </c>
      <c r="G534" s="74">
        <v>1.21157674048431E-7</v>
      </c>
      <c r="H534" s="74">
        <v>1.82698592237982E-6</v>
      </c>
      <c r="I534" s="74">
        <v>2.9741631294555299E-6</v>
      </c>
      <c r="J534" s="74">
        <v>1.27821346121095E-4</v>
      </c>
      <c r="K534" s="15"/>
      <c r="L534" s="15"/>
      <c r="M534" s="15"/>
      <c r="N534" s="15"/>
      <c r="O534" s="15"/>
      <c r="P534" s="15"/>
      <c r="Q534" s="15"/>
    </row>
    <row r="535" spans="2:17" x14ac:dyDescent="0.2">
      <c r="B535" t="s">
        <v>1525</v>
      </c>
      <c r="C535" s="72" t="s">
        <v>2872</v>
      </c>
      <c r="D535" t="s">
        <v>1079</v>
      </c>
      <c r="E535" s="15">
        <v>-2.9150921775367E-2</v>
      </c>
      <c r="F535" s="15">
        <v>1.6974478044051299E-2</v>
      </c>
      <c r="G535" s="15">
        <v>8.5984938578616402E-2</v>
      </c>
      <c r="H535" s="15">
        <v>0.124265904384165</v>
      </c>
      <c r="I535" s="15">
        <v>0.184004280325437</v>
      </c>
      <c r="J535" s="15">
        <v>1</v>
      </c>
      <c r="K535" s="15"/>
      <c r="L535" s="15"/>
      <c r="M535" s="15"/>
      <c r="N535" s="15"/>
      <c r="O535" s="15"/>
      <c r="P535" s="15"/>
      <c r="Q535" s="15"/>
    </row>
    <row r="536" spans="2:17" x14ac:dyDescent="0.2">
      <c r="B536" t="s">
        <v>1525</v>
      </c>
      <c r="C536" s="72" t="s">
        <v>2872</v>
      </c>
      <c r="D536" t="s">
        <v>3199</v>
      </c>
      <c r="E536" s="15">
        <v>-5.1239023803975402E-2</v>
      </c>
      <c r="F536" s="15">
        <v>1.7045512767014999E-2</v>
      </c>
      <c r="G536" s="15">
        <v>2.6613164458986101E-3</v>
      </c>
      <c r="H536" s="15">
        <v>6.8918192683642904E-3</v>
      </c>
      <c r="I536" s="15">
        <v>1.05552212421919E-2</v>
      </c>
      <c r="J536" s="15">
        <v>1</v>
      </c>
      <c r="K536" s="15"/>
      <c r="L536" s="15"/>
      <c r="M536" s="15"/>
      <c r="N536" s="15"/>
      <c r="O536" s="15"/>
      <c r="P536" s="15"/>
      <c r="Q536" s="15"/>
    </row>
    <row r="537" spans="2:17" x14ac:dyDescent="0.2">
      <c r="B537" t="s">
        <v>1525</v>
      </c>
      <c r="C537" s="72" t="s">
        <v>2872</v>
      </c>
      <c r="D537" t="s">
        <v>3200</v>
      </c>
      <c r="E537" s="15">
        <v>6.8057423335072101E-2</v>
      </c>
      <c r="F537" s="15">
        <v>1.68279766297765E-2</v>
      </c>
      <c r="G537" s="15">
        <v>5.3372796174929699E-5</v>
      </c>
      <c r="H537" s="15">
        <v>2.2982979577367701E-4</v>
      </c>
      <c r="I537" s="15">
        <v>3.7538866643033902E-4</v>
      </c>
      <c r="J537" s="15">
        <v>5.6308299964550799E-2</v>
      </c>
      <c r="K537" s="15"/>
      <c r="L537" s="15"/>
      <c r="M537" s="15"/>
      <c r="N537" s="15"/>
      <c r="O537" s="15"/>
      <c r="P537" s="15"/>
      <c r="Q537" s="15"/>
    </row>
    <row r="538" spans="2:17" x14ac:dyDescent="0.2">
      <c r="B538" t="s">
        <v>1525</v>
      </c>
      <c r="C538" s="72" t="s">
        <v>2872</v>
      </c>
      <c r="D538" t="s">
        <v>3201</v>
      </c>
      <c r="E538" s="15">
        <v>1.7795589724802299E-2</v>
      </c>
      <c r="F538" s="15">
        <v>1.7021611639734101E-2</v>
      </c>
      <c r="G538" s="15">
        <v>0.29586254402759299</v>
      </c>
      <c r="H538" s="15">
        <v>0.356725695941841</v>
      </c>
      <c r="I538" s="15">
        <v>0.46087067155023997</v>
      </c>
      <c r="J538" s="15">
        <v>1</v>
      </c>
      <c r="K538" s="15"/>
      <c r="L538" s="15"/>
      <c r="M538" s="15"/>
      <c r="N538" s="15"/>
      <c r="O538" s="15"/>
      <c r="P538" s="15"/>
      <c r="Q538" s="15"/>
    </row>
    <row r="539" spans="2:17" x14ac:dyDescent="0.2">
      <c r="B539" t="s">
        <v>1525</v>
      </c>
      <c r="C539" s="72" t="s">
        <v>2872</v>
      </c>
      <c r="D539" t="s">
        <v>3202</v>
      </c>
      <c r="E539" s="15">
        <v>4.9064615853698403E-2</v>
      </c>
      <c r="F539" s="15">
        <v>1.6896617221823399E-2</v>
      </c>
      <c r="G539" s="15">
        <v>3.7043318732702299E-3</v>
      </c>
      <c r="H539" s="15">
        <v>8.7821800591013199E-3</v>
      </c>
      <c r="I539" s="15">
        <v>1.37608103038736E-2</v>
      </c>
      <c r="J539" s="15">
        <v>1</v>
      </c>
      <c r="K539" s="15"/>
      <c r="L539" s="15"/>
      <c r="M539" s="15"/>
      <c r="N539" s="15"/>
      <c r="O539" s="15"/>
      <c r="P539" s="15"/>
      <c r="Q539" s="15"/>
    </row>
    <row r="540" spans="2:17" x14ac:dyDescent="0.2">
      <c r="B540" t="s">
        <v>1525</v>
      </c>
      <c r="C540" s="72" t="s">
        <v>2872</v>
      </c>
      <c r="D540" s="51" t="s">
        <v>3203</v>
      </c>
      <c r="E540" s="74">
        <v>9.5577594831629906E-2</v>
      </c>
      <c r="F540" s="74">
        <v>1.67935262164721E-2</v>
      </c>
      <c r="G540" s="74">
        <v>1.34334879420105E-8</v>
      </c>
      <c r="H540" s="74">
        <v>3.54308244470527E-7</v>
      </c>
      <c r="I540" s="74">
        <v>4.8987987975366305E-7</v>
      </c>
      <c r="J540" s="74">
        <v>1.41723297788211E-5</v>
      </c>
      <c r="K540" s="15"/>
      <c r="L540" s="15"/>
      <c r="M540" s="15"/>
      <c r="N540" s="15"/>
      <c r="O540" s="15"/>
      <c r="P540" s="15"/>
      <c r="Q540" s="15"/>
    </row>
    <row r="541" spans="2:17" x14ac:dyDescent="0.2">
      <c r="B541" t="s">
        <v>1525</v>
      </c>
      <c r="C541" s="72" t="s">
        <v>2872</v>
      </c>
      <c r="D541" t="s">
        <v>3204</v>
      </c>
      <c r="E541" s="15">
        <v>1.88891536802284E-2</v>
      </c>
      <c r="F541" s="15">
        <v>1.68918279186001E-2</v>
      </c>
      <c r="G541" s="15">
        <v>0.26352527065477299</v>
      </c>
      <c r="H541" s="15">
        <v>0.325168608819632</v>
      </c>
      <c r="I541" s="15">
        <v>0.42188036500877901</v>
      </c>
      <c r="J541" s="15">
        <v>1</v>
      </c>
      <c r="K541" s="15"/>
      <c r="L541" s="15"/>
      <c r="M541" s="15"/>
      <c r="N541" s="15"/>
      <c r="O541" s="15"/>
      <c r="P541" s="15"/>
      <c r="Q541" s="15"/>
    </row>
    <row r="542" spans="2:17" x14ac:dyDescent="0.2">
      <c r="B542" t="s">
        <v>1525</v>
      </c>
      <c r="C542" s="72" t="s">
        <v>2872</v>
      </c>
      <c r="D542" t="s">
        <v>3205</v>
      </c>
      <c r="E542" s="15">
        <v>-4.9823186528373899E-2</v>
      </c>
      <c r="F542" s="15">
        <v>1.69958650605497E-2</v>
      </c>
      <c r="G542" s="15">
        <v>3.3901679576439198E-3</v>
      </c>
      <c r="H542" s="15">
        <v>8.2221314834812192E-3</v>
      </c>
      <c r="I542" s="15">
        <v>1.29318099671809E-2</v>
      </c>
      <c r="J542" s="15">
        <v>1</v>
      </c>
      <c r="K542" s="15"/>
      <c r="L542" s="15"/>
      <c r="M542" s="15"/>
      <c r="N542" s="15"/>
      <c r="O542" s="15"/>
      <c r="P542" s="15"/>
      <c r="Q542" s="15"/>
    </row>
    <row r="543" spans="2:17" x14ac:dyDescent="0.2">
      <c r="B543" t="s">
        <v>1525</v>
      </c>
      <c r="C543" s="72" t="s">
        <v>2872</v>
      </c>
      <c r="D543" t="s">
        <v>3206</v>
      </c>
      <c r="E543" s="15">
        <v>4.1357068982123199E-2</v>
      </c>
      <c r="F543" s="15">
        <v>1.6982346246393401E-2</v>
      </c>
      <c r="G543" s="15">
        <v>1.49176948739956E-2</v>
      </c>
      <c r="H543" s="15">
        <v>2.8357059625343E-2</v>
      </c>
      <c r="I543" s="15">
        <v>4.3596033496025997E-2</v>
      </c>
      <c r="J543" s="15">
        <v>1</v>
      </c>
      <c r="K543" s="15"/>
      <c r="L543" s="15"/>
      <c r="M543" s="15"/>
      <c r="N543" s="15"/>
      <c r="O543" s="15"/>
      <c r="P543" s="15"/>
      <c r="Q543" s="15"/>
    </row>
    <row r="544" spans="2:17" x14ac:dyDescent="0.2">
      <c r="B544" t="s">
        <v>1525</v>
      </c>
      <c r="C544" s="72" t="s">
        <v>2872</v>
      </c>
      <c r="D544" t="s">
        <v>3207</v>
      </c>
      <c r="E544" s="15">
        <v>5.3442090390313099E-2</v>
      </c>
      <c r="F544" s="15">
        <v>1.6994821975267398E-2</v>
      </c>
      <c r="G544" s="15">
        <v>1.67372319822073E-3</v>
      </c>
      <c r="H544" s="15">
        <v>4.7087412643276498E-3</v>
      </c>
      <c r="I544" s="15">
        <v>7.2665760251970002E-3</v>
      </c>
      <c r="J544" s="15">
        <v>1</v>
      </c>
      <c r="K544" s="15"/>
      <c r="L544" s="15"/>
      <c r="M544" s="15"/>
      <c r="N544" s="15"/>
      <c r="O544" s="15"/>
      <c r="P544" s="15"/>
      <c r="Q544" s="15"/>
    </row>
    <row r="545" spans="2:17" x14ac:dyDescent="0.2">
      <c r="B545" t="s">
        <v>1525</v>
      </c>
      <c r="C545" s="72" t="s">
        <v>2872</v>
      </c>
      <c r="D545" t="s">
        <v>3208</v>
      </c>
      <c r="E545" s="15">
        <v>-6.0422592074159703E-2</v>
      </c>
      <c r="F545" s="15">
        <v>1.6916402413630901E-2</v>
      </c>
      <c r="G545" s="15">
        <v>3.5818847728125001E-4</v>
      </c>
      <c r="H545" s="15">
        <v>1.3030649776955799E-3</v>
      </c>
      <c r="I545" s="15">
        <v>1.9994118705381901E-3</v>
      </c>
      <c r="J545" s="15">
        <v>0.37788884353171898</v>
      </c>
      <c r="K545" s="15"/>
      <c r="L545" s="15"/>
      <c r="M545" s="15"/>
      <c r="N545" s="15"/>
      <c r="O545" s="15"/>
      <c r="P545" s="15"/>
      <c r="Q545" s="15"/>
    </row>
    <row r="546" spans="2:17" x14ac:dyDescent="0.2">
      <c r="B546" t="s">
        <v>1525</v>
      </c>
      <c r="C546" s="72" t="s">
        <v>2872</v>
      </c>
      <c r="D546" t="s">
        <v>3209</v>
      </c>
      <c r="E546" s="15">
        <v>-1.4928920575066101E-2</v>
      </c>
      <c r="F546" s="15">
        <v>1.70122512422494E-2</v>
      </c>
      <c r="G546" s="15">
        <v>0.38023946145769999</v>
      </c>
      <c r="H546" s="15">
        <v>0.44821523110376899</v>
      </c>
      <c r="I546" s="15">
        <v>0.54813138722503696</v>
      </c>
      <c r="J546" s="15">
        <v>1</v>
      </c>
      <c r="K546" s="15"/>
      <c r="L546" s="15"/>
      <c r="M546" s="15"/>
      <c r="N546" s="15"/>
      <c r="O546" s="15"/>
      <c r="P546" s="15"/>
      <c r="Q546" s="15"/>
    </row>
    <row r="547" spans="2:17" x14ac:dyDescent="0.2">
      <c r="B547" t="s">
        <v>1525</v>
      </c>
      <c r="C547" s="72" t="s">
        <v>2872</v>
      </c>
      <c r="D547" t="s">
        <v>3210</v>
      </c>
      <c r="E547" s="15">
        <v>-5.5673364056528202E-2</v>
      </c>
      <c r="F547" s="15">
        <v>1.6994014528752401E-2</v>
      </c>
      <c r="G547" s="15">
        <v>1.06049394949622E-3</v>
      </c>
      <c r="H547" s="15">
        <v>3.24295975860437E-3</v>
      </c>
      <c r="I547" s="15">
        <v>5.0397347599932798E-3</v>
      </c>
      <c r="J547" s="15">
        <v>1</v>
      </c>
      <c r="K547" s="15"/>
      <c r="L547" s="15"/>
      <c r="M547" s="15"/>
      <c r="N547" s="15"/>
      <c r="O547" s="15"/>
      <c r="P547" s="15"/>
      <c r="Q547" s="15"/>
    </row>
    <row r="548" spans="2:17" x14ac:dyDescent="0.2">
      <c r="B548" t="s">
        <v>1525</v>
      </c>
      <c r="C548" s="72" t="s">
        <v>2872</v>
      </c>
      <c r="D548" s="51" t="s">
        <v>3211</v>
      </c>
      <c r="E548" s="74">
        <v>7.5603644750558599E-2</v>
      </c>
      <c r="F548" s="74">
        <v>1.68383397962041E-2</v>
      </c>
      <c r="G548" s="74">
        <v>7.3064272358314601E-6</v>
      </c>
      <c r="H548" s="74">
        <v>5.70983758059422E-5</v>
      </c>
      <c r="I548" s="74">
        <v>8.1139797197917797E-5</v>
      </c>
      <c r="J548" s="74">
        <v>7.7082807338021897E-3</v>
      </c>
      <c r="K548" s="15"/>
      <c r="L548" s="15"/>
      <c r="M548" s="15"/>
      <c r="N548" s="15"/>
      <c r="O548" s="15"/>
      <c r="P548" s="15"/>
      <c r="Q548" s="15"/>
    </row>
    <row r="549" spans="2:17" x14ac:dyDescent="0.2">
      <c r="B549" t="s">
        <v>1525</v>
      </c>
      <c r="C549" s="72" t="s">
        <v>2872</v>
      </c>
      <c r="D549" s="51" t="s">
        <v>3212</v>
      </c>
      <c r="E549" s="74">
        <v>7.0994031224719603E-2</v>
      </c>
      <c r="F549" s="74">
        <v>1.6829037578590601E-2</v>
      </c>
      <c r="G549" s="74">
        <v>2.5077091892257801E-5</v>
      </c>
      <c r="H549" s="74">
        <v>1.3567349716067699E-4</v>
      </c>
      <c r="I549" s="74">
        <v>2.03025296967105E-4</v>
      </c>
      <c r="J549" s="74">
        <v>2.6456331946331998E-2</v>
      </c>
      <c r="K549" s="15"/>
      <c r="L549" s="15"/>
      <c r="M549" s="15"/>
      <c r="N549" s="15"/>
      <c r="O549" s="15"/>
      <c r="P549" s="15"/>
      <c r="Q549" s="15"/>
    </row>
    <row r="550" spans="2:17" x14ac:dyDescent="0.2">
      <c r="B550" t="s">
        <v>1525</v>
      </c>
      <c r="C550" s="72" t="s">
        <v>2872</v>
      </c>
      <c r="D550" s="51" t="s">
        <v>3213</v>
      </c>
      <c r="E550" s="74">
        <v>7.3236212642830006E-2</v>
      </c>
      <c r="F550" s="74">
        <v>1.6613820367195001E-2</v>
      </c>
      <c r="G550" s="74">
        <v>1.06758600624514E-5</v>
      </c>
      <c r="H550" s="74">
        <v>6.6345487883531998E-5</v>
      </c>
      <c r="I550" s="74">
        <v>1.05166679956729E-4</v>
      </c>
      <c r="J550" s="74">
        <v>1.1263032365886201E-2</v>
      </c>
      <c r="K550" s="15"/>
      <c r="L550" s="15"/>
      <c r="M550" s="15"/>
      <c r="N550" s="15"/>
      <c r="O550" s="15"/>
      <c r="P550" s="15"/>
      <c r="Q550" s="15"/>
    </row>
    <row r="551" spans="2:17" x14ac:dyDescent="0.2">
      <c r="B551" t="s">
        <v>1525</v>
      </c>
      <c r="C551" s="72" t="s">
        <v>2872</v>
      </c>
      <c r="D551" s="51" t="s">
        <v>3214</v>
      </c>
      <c r="E551" s="74">
        <v>7.5120100221916494E-2</v>
      </c>
      <c r="F551" s="74">
        <v>1.6667677301155901E-2</v>
      </c>
      <c r="G551" s="74">
        <v>6.7491241688063998E-6</v>
      </c>
      <c r="H551" s="74">
        <v>5.4771738446851899E-5</v>
      </c>
      <c r="I551" s="74">
        <v>7.6562645140760803E-5</v>
      </c>
      <c r="J551" s="74">
        <v>7.1203259980907501E-3</v>
      </c>
      <c r="K551" s="15"/>
      <c r="L551" s="15"/>
      <c r="M551" s="15"/>
      <c r="N551" s="15"/>
      <c r="O551" s="15"/>
      <c r="P551" s="15"/>
      <c r="Q551" s="15"/>
    </row>
    <row r="552" spans="2:17" x14ac:dyDescent="0.2">
      <c r="B552" t="s">
        <v>1525</v>
      </c>
      <c r="C552" s="72" t="s">
        <v>2872</v>
      </c>
      <c r="D552" t="s">
        <v>3215</v>
      </c>
      <c r="E552" s="15">
        <v>-2.0845440753060301E-2</v>
      </c>
      <c r="F552" s="15">
        <v>1.6863444960887299E-2</v>
      </c>
      <c r="G552" s="15">
        <v>0.21647298120525099</v>
      </c>
      <c r="H552" s="15">
        <v>0.27758861662495099</v>
      </c>
      <c r="I552" s="15">
        <v>0.36992372826285602</v>
      </c>
      <c r="J552" s="15">
        <v>1</v>
      </c>
      <c r="K552" s="15"/>
      <c r="L552" s="15"/>
      <c r="M552" s="15"/>
      <c r="N552" s="15"/>
      <c r="O552" s="15"/>
      <c r="P552" s="15"/>
      <c r="Q552" s="15"/>
    </row>
    <row r="553" spans="2:17" x14ac:dyDescent="0.2">
      <c r="B553" t="s">
        <v>1525</v>
      </c>
      <c r="C553" s="72" t="s">
        <v>2872</v>
      </c>
      <c r="D553" t="s">
        <v>3216</v>
      </c>
      <c r="E553" s="15">
        <v>5.3933983655320497E-2</v>
      </c>
      <c r="F553" s="15">
        <v>1.6655236623417599E-2</v>
      </c>
      <c r="G553" s="15">
        <v>1.2115144696070201E-3</v>
      </c>
      <c r="H553" s="15">
        <v>3.6518507583868801E-3</v>
      </c>
      <c r="I553" s="15">
        <v>5.5571641975452604E-3</v>
      </c>
      <c r="J553" s="15">
        <v>1</v>
      </c>
      <c r="K553" s="15"/>
      <c r="L553" s="15"/>
      <c r="M553" s="15"/>
      <c r="N553" s="15"/>
      <c r="O553" s="15"/>
      <c r="P553" s="15"/>
      <c r="Q553" s="15"/>
    </row>
    <row r="554" spans="2:17" x14ac:dyDescent="0.2">
      <c r="B554" t="s">
        <v>1525</v>
      </c>
      <c r="C554" s="72" t="s">
        <v>2872</v>
      </c>
      <c r="D554" t="s">
        <v>3217</v>
      </c>
      <c r="E554" s="15">
        <v>3.5357243612418703E-2</v>
      </c>
      <c r="F554" s="15">
        <v>1.7038242038018798E-2</v>
      </c>
      <c r="G554" s="15">
        <v>3.8027972721749903E-2</v>
      </c>
      <c r="H554" s="15">
        <v>6.4191217954313901E-2</v>
      </c>
      <c r="I554" s="15">
        <v>9.6673521015533004E-2</v>
      </c>
      <c r="J554" s="15">
        <v>1</v>
      </c>
      <c r="K554" s="15"/>
      <c r="L554" s="15"/>
      <c r="M554" s="15"/>
      <c r="N554" s="15"/>
      <c r="O554" s="15"/>
      <c r="P554" s="15"/>
      <c r="Q554" s="15"/>
    </row>
    <row r="555" spans="2:17" x14ac:dyDescent="0.2">
      <c r="B555" t="s">
        <v>1525</v>
      </c>
      <c r="C555" s="72" t="s">
        <v>2872</v>
      </c>
      <c r="D555" t="s">
        <v>3218</v>
      </c>
      <c r="E555" s="15">
        <v>-2.69250273043798E-2</v>
      </c>
      <c r="F555" s="15">
        <v>1.70418193581501E-2</v>
      </c>
      <c r="G555" s="15">
        <v>0.114190296384641</v>
      </c>
      <c r="H555" s="15">
        <v>0.16279832795377799</v>
      </c>
      <c r="I555" s="15">
        <v>0.231674543626531</v>
      </c>
      <c r="J555" s="15">
        <v>1</v>
      </c>
      <c r="K555" s="15"/>
      <c r="L555" s="15"/>
      <c r="M555" s="15"/>
      <c r="N555" s="15"/>
      <c r="O555" s="15"/>
      <c r="P555" s="15"/>
      <c r="Q555" s="15"/>
    </row>
    <row r="556" spans="2:17" x14ac:dyDescent="0.2">
      <c r="B556" t="s">
        <v>1525</v>
      </c>
      <c r="C556" s="72" t="s">
        <v>2872</v>
      </c>
      <c r="D556" t="s">
        <v>3219</v>
      </c>
      <c r="E556" s="15">
        <v>5.6032781156296903E-2</v>
      </c>
      <c r="F556" s="15">
        <v>1.68575416132495E-2</v>
      </c>
      <c r="G556" s="15">
        <v>8.9482908111805301E-4</v>
      </c>
      <c r="H556" s="15">
        <v>2.8180438226255099E-3</v>
      </c>
      <c r="I556" s="15">
        <v>4.3304801861446997E-3</v>
      </c>
      <c r="J556" s="15">
        <v>0.94404468057954505</v>
      </c>
      <c r="K556" s="15"/>
      <c r="L556" s="15"/>
      <c r="M556" s="15"/>
      <c r="N556" s="15"/>
      <c r="O556" s="15"/>
      <c r="P556" s="15"/>
      <c r="Q556" s="15"/>
    </row>
    <row r="557" spans="2:17" x14ac:dyDescent="0.2">
      <c r="B557" t="s">
        <v>1525</v>
      </c>
      <c r="C557" s="72" t="s">
        <v>2872</v>
      </c>
      <c r="D557" t="s">
        <v>3220</v>
      </c>
      <c r="E557" s="15">
        <v>5.9398248073519899E-2</v>
      </c>
      <c r="F557" s="15">
        <v>1.6964477272646002E-2</v>
      </c>
      <c r="G557" s="15">
        <v>4.67492638102471E-4</v>
      </c>
      <c r="H557" s="15">
        <v>1.5909830103164699E-3</v>
      </c>
      <c r="I557" s="15">
        <v>2.4784157447141002E-3</v>
      </c>
      <c r="J557" s="15">
        <v>0.49320473319810598</v>
      </c>
      <c r="K557" s="15"/>
      <c r="L557" s="15"/>
      <c r="M557" s="15"/>
      <c r="N557" s="15"/>
      <c r="O557" s="15"/>
      <c r="P557" s="15"/>
      <c r="Q557" s="15"/>
    </row>
    <row r="558" spans="2:17" x14ac:dyDescent="0.2">
      <c r="B558" t="s">
        <v>1525</v>
      </c>
      <c r="C558" s="72" t="s">
        <v>2872</v>
      </c>
      <c r="D558" s="51" t="s">
        <v>355</v>
      </c>
      <c r="E558" s="74">
        <v>-7.5347421469269302E-2</v>
      </c>
      <c r="F558" s="74">
        <v>1.70081061790094E-2</v>
      </c>
      <c r="G558" s="74">
        <v>9.6436855591621792E-6</v>
      </c>
      <c r="H558" s="74">
        <v>6.3588051655725597E-5</v>
      </c>
      <c r="I558" s="74">
        <v>9.7827771778039504E-5</v>
      </c>
      <c r="J558" s="74">
        <v>1.0174088264916101E-2</v>
      </c>
      <c r="K558" s="15"/>
      <c r="L558" s="15"/>
      <c r="M558" s="15"/>
      <c r="N558" s="15"/>
      <c r="O558" s="15"/>
      <c r="P558" s="15"/>
      <c r="Q558" s="15"/>
    </row>
    <row r="559" spans="2:17" x14ac:dyDescent="0.2">
      <c r="B559" t="s">
        <v>1525</v>
      </c>
      <c r="C559" s="72" t="s">
        <v>2872</v>
      </c>
      <c r="D559" t="s">
        <v>356</v>
      </c>
      <c r="E559" s="15">
        <v>-4.8933052477728903E-2</v>
      </c>
      <c r="F559" s="15">
        <v>1.6887776466780101E-2</v>
      </c>
      <c r="G559" s="15">
        <v>3.7796011315340099E-3</v>
      </c>
      <c r="H559" s="15">
        <v>8.7939603751302393E-3</v>
      </c>
      <c r="I559" s="15">
        <v>1.3990391505889E-2</v>
      </c>
      <c r="J559" s="15">
        <v>1</v>
      </c>
      <c r="K559" s="15"/>
      <c r="L559" s="15"/>
      <c r="M559" s="15"/>
      <c r="N559" s="15"/>
      <c r="O559" s="15"/>
      <c r="P559" s="15"/>
      <c r="Q559" s="15"/>
    </row>
    <row r="560" spans="2:17" x14ac:dyDescent="0.2">
      <c r="B560" t="s">
        <v>1525</v>
      </c>
      <c r="C560" s="72" t="s">
        <v>2872</v>
      </c>
      <c r="D560" t="s">
        <v>358</v>
      </c>
      <c r="E560" s="15">
        <v>-3.8983083591285599E-2</v>
      </c>
      <c r="F560" s="15">
        <v>1.6874169997940801E-2</v>
      </c>
      <c r="G560" s="15">
        <v>2.09215456315252E-2</v>
      </c>
      <c r="H560" s="15">
        <v>3.8386488071754897E-2</v>
      </c>
      <c r="I560" s="15">
        <v>5.8547030878671302E-2</v>
      </c>
      <c r="J560" s="15">
        <v>1</v>
      </c>
      <c r="K560" s="15"/>
      <c r="L560" s="15"/>
      <c r="M560" s="15"/>
      <c r="N560" s="15"/>
      <c r="O560" s="15"/>
      <c r="P560" s="15"/>
      <c r="Q560" s="15"/>
    </row>
    <row r="561" spans="2:17" x14ac:dyDescent="0.2">
      <c r="B561" t="s">
        <v>1525</v>
      </c>
      <c r="C561" s="72" t="s">
        <v>2872</v>
      </c>
      <c r="D561" s="51" t="s">
        <v>359</v>
      </c>
      <c r="E561" s="74">
        <v>-8.1901402950876404E-2</v>
      </c>
      <c r="F561" s="74">
        <v>1.6755115251952599E-2</v>
      </c>
      <c r="G561" s="74">
        <v>1.0538905333987201E-6</v>
      </c>
      <c r="H561" s="74">
        <v>1.17037317130069E-5</v>
      </c>
      <c r="I561" s="74">
        <v>1.6594843473666499E-5</v>
      </c>
      <c r="J561" s="74">
        <v>1.11185451273565E-3</v>
      </c>
      <c r="K561" s="15"/>
      <c r="L561" s="15"/>
      <c r="M561" s="15"/>
      <c r="N561" s="15"/>
      <c r="O561" s="15"/>
      <c r="P561" s="15"/>
      <c r="Q561" s="15"/>
    </row>
    <row r="562" spans="2:17" x14ac:dyDescent="0.2">
      <c r="B562" t="s">
        <v>1525</v>
      </c>
      <c r="C562" s="72" t="s">
        <v>2872</v>
      </c>
      <c r="D562" t="s">
        <v>360</v>
      </c>
      <c r="E562" s="15">
        <v>-5.3996070430164599E-2</v>
      </c>
      <c r="F562" s="15">
        <v>1.6911361641062599E-2</v>
      </c>
      <c r="G562" s="15">
        <v>1.4183097922337001E-3</v>
      </c>
      <c r="H562" s="15">
        <v>4.0994981665933104E-3</v>
      </c>
      <c r="I562" s="15">
        <v>6.3135731257660697E-3</v>
      </c>
      <c r="J562" s="15">
        <v>1</v>
      </c>
      <c r="K562" s="15"/>
      <c r="L562" s="15"/>
      <c r="M562" s="15"/>
      <c r="N562" s="15"/>
      <c r="O562" s="15"/>
      <c r="P562" s="15"/>
      <c r="Q562" s="15"/>
    </row>
    <row r="563" spans="2:17" x14ac:dyDescent="0.2">
      <c r="B563" t="s">
        <v>1525</v>
      </c>
      <c r="C563" s="72" t="s">
        <v>2872</v>
      </c>
      <c r="D563" s="51" t="s">
        <v>361</v>
      </c>
      <c r="E563" s="74">
        <v>-0.101522902000114</v>
      </c>
      <c r="F563" s="74">
        <v>1.6537820549833802E-2</v>
      </c>
      <c r="G563" s="74">
        <v>9.0381022013334798E-10</v>
      </c>
      <c r="H563" s="74">
        <v>2.7243422349733799E-8</v>
      </c>
      <c r="I563" s="74">
        <v>4.5405703916222897E-8</v>
      </c>
      <c r="J563" s="74">
        <v>9.5351978224068201E-7</v>
      </c>
      <c r="K563" s="15"/>
      <c r="L563" s="15"/>
      <c r="M563" s="15"/>
      <c r="N563" s="15"/>
      <c r="O563" s="15"/>
      <c r="P563" s="15"/>
      <c r="Q563" s="15"/>
    </row>
    <row r="564" spans="2:17" x14ac:dyDescent="0.2">
      <c r="B564" t="s">
        <v>1525</v>
      </c>
      <c r="C564" s="72" t="s">
        <v>2872</v>
      </c>
      <c r="D564" t="s">
        <v>366</v>
      </c>
      <c r="E564" s="15">
        <v>-5.1462540505082997E-2</v>
      </c>
      <c r="F564" s="15">
        <v>1.7172769468928099E-2</v>
      </c>
      <c r="G564" s="15">
        <v>2.7436626471213301E-3</v>
      </c>
      <c r="H564" s="15">
        <v>6.8918192683642904E-3</v>
      </c>
      <c r="I564" s="15">
        <v>1.07604613112008E-2</v>
      </c>
      <c r="J564" s="15">
        <v>1</v>
      </c>
      <c r="K564" s="15"/>
      <c r="L564" s="15"/>
      <c r="M564" s="15"/>
      <c r="N564" s="15"/>
      <c r="O564" s="15"/>
      <c r="P564" s="15"/>
      <c r="Q564" s="15"/>
    </row>
    <row r="565" spans="2:17" x14ac:dyDescent="0.2">
      <c r="B565" t="s">
        <v>1525</v>
      </c>
      <c r="C565" s="72" t="s">
        <v>2872</v>
      </c>
      <c r="D565" s="51" t="s">
        <v>368</v>
      </c>
      <c r="E565" s="74">
        <v>-8.1694222495225399E-2</v>
      </c>
      <c r="F565" s="74">
        <v>1.7020528781239001E-2</v>
      </c>
      <c r="G565" s="74">
        <v>1.6407103512013399E-6</v>
      </c>
      <c r="H565" s="74">
        <v>1.5735903822885601E-5</v>
      </c>
      <c r="I565" s="74">
        <v>2.3711635897498798E-5</v>
      </c>
      <c r="J565" s="74">
        <v>1.73094942051741E-3</v>
      </c>
      <c r="K565" s="15"/>
      <c r="L565" s="15"/>
      <c r="M565" s="15"/>
      <c r="N565" s="15"/>
      <c r="O565" s="15"/>
      <c r="P565" s="15"/>
      <c r="Q565" s="15"/>
    </row>
    <row r="566" spans="2:17" x14ac:dyDescent="0.2">
      <c r="B566" t="s">
        <v>1525</v>
      </c>
      <c r="C566" s="72" t="s">
        <v>2872</v>
      </c>
      <c r="D566" s="51" t="s">
        <v>369</v>
      </c>
      <c r="E566" s="74">
        <v>-8.22331605959052E-2</v>
      </c>
      <c r="F566" s="74">
        <v>1.69193921659644E-2</v>
      </c>
      <c r="G566" s="74">
        <v>1.21230133291132E-6</v>
      </c>
      <c r="H566" s="74">
        <v>1.2789779062214401E-5</v>
      </c>
      <c r="I566" s="74">
        <v>1.88084986209036E-5</v>
      </c>
      <c r="J566" s="74">
        <v>1.2789779062214401E-3</v>
      </c>
      <c r="K566" s="15"/>
      <c r="L566" s="15"/>
      <c r="M566" s="15"/>
      <c r="N566" s="15"/>
      <c r="O566" s="15"/>
      <c r="P566" s="15"/>
      <c r="Q566" s="15"/>
    </row>
    <row r="567" spans="2:17" x14ac:dyDescent="0.2">
      <c r="B567" t="s">
        <v>1525</v>
      </c>
      <c r="C567" s="72" t="s">
        <v>2872</v>
      </c>
      <c r="D567" s="51" t="s">
        <v>370</v>
      </c>
      <c r="E567" s="74">
        <v>-8.5224785447897994E-2</v>
      </c>
      <c r="F567" s="74">
        <v>1.6943792435826398E-2</v>
      </c>
      <c r="G567" s="74">
        <v>5.0972118256591895E-7</v>
      </c>
      <c r="H567" s="74">
        <v>6.3265393836122902E-6</v>
      </c>
      <c r="I567" s="74">
        <v>9.3230693296580207E-6</v>
      </c>
      <c r="J567" s="74">
        <v>5.3775584760704499E-4</v>
      </c>
      <c r="K567" s="15"/>
      <c r="L567" s="15"/>
      <c r="M567" s="15"/>
      <c r="N567" s="15"/>
      <c r="O567" s="15"/>
      <c r="P567" s="15"/>
      <c r="Q567" s="15"/>
    </row>
    <row r="568" spans="2:17" x14ac:dyDescent="0.2">
      <c r="B568" t="s">
        <v>1525</v>
      </c>
      <c r="C568" s="72" t="s">
        <v>2872</v>
      </c>
      <c r="D568" s="51" t="s">
        <v>371</v>
      </c>
      <c r="E568" s="74">
        <v>-8.5307510224694599E-2</v>
      </c>
      <c r="F568" s="74">
        <v>1.6860754336633199E-2</v>
      </c>
      <c r="G568" s="74">
        <v>4.3656836069062099E-7</v>
      </c>
      <c r="H568" s="74">
        <v>5.7572452566075602E-6</v>
      </c>
      <c r="I568" s="74">
        <v>8.2459190944650195E-6</v>
      </c>
      <c r="J568" s="74">
        <v>4.6057962052860498E-4</v>
      </c>
      <c r="K568" s="15"/>
      <c r="L568" s="15"/>
      <c r="M568" s="15"/>
      <c r="N568" s="15"/>
      <c r="O568" s="15"/>
      <c r="P568" s="15"/>
      <c r="Q568" s="15"/>
    </row>
    <row r="569" spans="2:17" x14ac:dyDescent="0.2">
      <c r="B569" t="s">
        <v>1525</v>
      </c>
      <c r="C569" s="72" t="s">
        <v>2872</v>
      </c>
      <c r="D569" t="s">
        <v>372</v>
      </c>
      <c r="E569" s="15">
        <v>-4.3893556545304302E-2</v>
      </c>
      <c r="F569" s="15">
        <v>1.70139300401419E-2</v>
      </c>
      <c r="G569" s="15">
        <v>9.9151410084135395E-3</v>
      </c>
      <c r="H569" s="15">
        <v>1.9924711931192898E-2</v>
      </c>
      <c r="I569" s="15">
        <v>3.0563709318789201E-2</v>
      </c>
      <c r="J569" s="15">
        <v>1</v>
      </c>
      <c r="K569" s="15"/>
      <c r="L569" s="15"/>
      <c r="M569" s="15"/>
      <c r="N569" s="15"/>
      <c r="O569" s="15"/>
      <c r="P569" s="15"/>
      <c r="Q569" s="15"/>
    </row>
    <row r="570" spans="2:17" x14ac:dyDescent="0.2">
      <c r="B570" t="s">
        <v>1525</v>
      </c>
      <c r="C570" s="72" t="s">
        <v>2872</v>
      </c>
      <c r="D570" t="s">
        <v>374</v>
      </c>
      <c r="E570" s="15">
        <v>-4.0285942322603498E-2</v>
      </c>
      <c r="F570" s="15">
        <v>1.70679948971252E-2</v>
      </c>
      <c r="G570" s="15">
        <v>1.8301747138157999E-2</v>
      </c>
      <c r="H570" s="15">
        <v>3.3874286369748603E-2</v>
      </c>
      <c r="I570" s="15">
        <v>5.2044051834923798E-2</v>
      </c>
      <c r="J570" s="15">
        <v>1</v>
      </c>
      <c r="K570" s="15"/>
      <c r="L570" s="15"/>
      <c r="M570" s="15"/>
      <c r="N570" s="15"/>
      <c r="O570" s="15"/>
      <c r="P570" s="15"/>
      <c r="Q570" s="15"/>
    </row>
    <row r="571" spans="2:17" x14ac:dyDescent="0.2">
      <c r="B571" t="s">
        <v>1525</v>
      </c>
      <c r="C571" s="72" t="s">
        <v>2872</v>
      </c>
      <c r="D571" s="51" t="s">
        <v>375</v>
      </c>
      <c r="E571" s="74">
        <v>-6.9591576881387299E-2</v>
      </c>
      <c r="F571" s="74">
        <v>1.7041953276605199E-2</v>
      </c>
      <c r="G571" s="74">
        <v>4.5120521038390603E-5</v>
      </c>
      <c r="H571" s="74">
        <v>2.03956385572164E-4</v>
      </c>
      <c r="I571" s="74">
        <v>3.28285963078483E-4</v>
      </c>
      <c r="J571" s="74">
        <v>4.7602149695502097E-2</v>
      </c>
      <c r="K571" s="15"/>
      <c r="L571" s="15"/>
      <c r="M571" s="15"/>
      <c r="N571" s="15"/>
      <c r="O571" s="15"/>
      <c r="P571" s="15"/>
      <c r="Q571" s="15"/>
    </row>
    <row r="572" spans="2:17" x14ac:dyDescent="0.2">
      <c r="B572" t="s">
        <v>1525</v>
      </c>
      <c r="C572" s="72" t="s">
        <v>2872</v>
      </c>
      <c r="D572" t="s">
        <v>376</v>
      </c>
      <c r="E572" s="15">
        <v>-4.6847629794369197E-2</v>
      </c>
      <c r="F572" s="15">
        <v>1.70287340036991E-2</v>
      </c>
      <c r="G572" s="15">
        <v>5.9633668150629801E-3</v>
      </c>
      <c r="H572" s="15">
        <v>1.3244951557666199E-2</v>
      </c>
      <c r="I572" s="15">
        <v>2.0164589711190499E-2</v>
      </c>
      <c r="J572" s="15">
        <v>1</v>
      </c>
      <c r="K572" s="15"/>
      <c r="L572" s="15"/>
      <c r="M572" s="15"/>
      <c r="N572" s="15"/>
      <c r="O572" s="15"/>
      <c r="P572" s="15"/>
      <c r="Q572" s="15"/>
    </row>
    <row r="573" spans="2:17" x14ac:dyDescent="0.2">
      <c r="B573" t="s">
        <v>1525</v>
      </c>
      <c r="C573" s="72" t="s">
        <v>2872</v>
      </c>
      <c r="D573" s="51" t="s">
        <v>377</v>
      </c>
      <c r="E573" s="74">
        <v>-7.5826477705177697E-2</v>
      </c>
      <c r="F573" s="74">
        <v>1.6964374613757199E-2</v>
      </c>
      <c r="G573" s="74">
        <v>8.0203396126098504E-6</v>
      </c>
      <c r="H573" s="74">
        <v>5.8354884767609597E-5</v>
      </c>
      <c r="I573" s="74">
        <v>8.6341411135748905E-5</v>
      </c>
      <c r="J573" s="74">
        <v>8.4614582913033892E-3</v>
      </c>
      <c r="K573" s="15"/>
      <c r="L573" s="15"/>
      <c r="M573" s="15"/>
      <c r="N573" s="15"/>
      <c r="O573" s="15"/>
      <c r="P573" s="15"/>
      <c r="Q573" s="15"/>
    </row>
    <row r="574" spans="2:17" x14ac:dyDescent="0.2">
      <c r="B574" t="s">
        <v>1525</v>
      </c>
      <c r="C574" s="72" t="s">
        <v>2872</v>
      </c>
      <c r="D574" s="51" t="s">
        <v>387</v>
      </c>
      <c r="E574" s="74">
        <v>-6.8717734511102704E-2</v>
      </c>
      <c r="F574" s="74">
        <v>1.68346080485271E-2</v>
      </c>
      <c r="G574" s="74">
        <v>4.5431043231714303E-5</v>
      </c>
      <c r="H574" s="74">
        <v>2.03956385572164E-4</v>
      </c>
      <c r="I574" s="74">
        <v>3.28285963078483E-4</v>
      </c>
      <c r="J574" s="74">
        <v>4.7929750609458498E-2</v>
      </c>
      <c r="K574" s="15"/>
      <c r="L574" s="15"/>
      <c r="M574" s="15"/>
      <c r="N574" s="15"/>
      <c r="O574" s="15"/>
      <c r="P574" s="15"/>
      <c r="Q574" s="15"/>
    </row>
    <row r="575" spans="2:17" x14ac:dyDescent="0.2">
      <c r="B575" t="s">
        <v>1525</v>
      </c>
      <c r="C575" s="72" t="s">
        <v>2872</v>
      </c>
      <c r="D575" s="51" t="s">
        <v>388</v>
      </c>
      <c r="E575" s="74">
        <v>-6.9832285756642298E-2</v>
      </c>
      <c r="F575" s="74">
        <v>1.6890677486455299E-2</v>
      </c>
      <c r="G575" s="74">
        <v>3.6254976228582099E-5</v>
      </c>
      <c r="H575" s="74">
        <v>1.7790232521466999E-4</v>
      </c>
      <c r="I575" s="74">
        <v>2.7517266130326699E-4</v>
      </c>
      <c r="J575" s="74">
        <v>3.8248999921154103E-2</v>
      </c>
      <c r="K575" s="15"/>
      <c r="L575" s="15"/>
      <c r="M575" s="15"/>
      <c r="N575" s="15"/>
      <c r="O575" s="15"/>
      <c r="P575" s="15"/>
      <c r="Q575" s="15"/>
    </row>
    <row r="576" spans="2:17" x14ac:dyDescent="0.2">
      <c r="B576" t="s">
        <v>1525</v>
      </c>
      <c r="C576" s="72" t="s">
        <v>2872</v>
      </c>
      <c r="D576" s="51" t="s">
        <v>389</v>
      </c>
      <c r="E576" s="74">
        <v>-7.2738125953494298E-2</v>
      </c>
      <c r="F576" s="74">
        <v>1.6883348567470799E-2</v>
      </c>
      <c r="G576" s="74">
        <v>1.68028085043222E-5</v>
      </c>
      <c r="H576" s="74">
        <v>9.3299805116104796E-5</v>
      </c>
      <c r="I576" s="74">
        <v>1.4412165017934901E-4</v>
      </c>
      <c r="J576" s="74">
        <v>1.77269629720599E-2</v>
      </c>
      <c r="K576" s="15"/>
      <c r="L576" s="15"/>
      <c r="M576" s="15"/>
      <c r="N576" s="15"/>
      <c r="O576" s="15"/>
      <c r="P576" s="15"/>
      <c r="Q576" s="15"/>
    </row>
    <row r="577" spans="2:17" x14ac:dyDescent="0.2">
      <c r="B577" t="s">
        <v>1525</v>
      </c>
      <c r="C577" s="72" t="s">
        <v>2872</v>
      </c>
      <c r="D577" s="51" t="s">
        <v>391</v>
      </c>
      <c r="E577" s="74">
        <v>-7.3596819934621804E-2</v>
      </c>
      <c r="F577" s="74">
        <v>1.7049297335057102E-2</v>
      </c>
      <c r="G577" s="74">
        <v>1.61776311145336E-5</v>
      </c>
      <c r="H577" s="74">
        <v>9.2256220680178103E-5</v>
      </c>
      <c r="I577" s="74">
        <v>1.3989672808059801E-4</v>
      </c>
      <c r="J577" s="74">
        <v>1.7067400825832899E-2</v>
      </c>
      <c r="K577" s="15"/>
      <c r="L577" s="15"/>
      <c r="M577" s="15"/>
      <c r="N577" s="15"/>
      <c r="O577" s="15"/>
      <c r="P577" s="15"/>
      <c r="Q577" s="15"/>
    </row>
    <row r="578" spans="2:17" x14ac:dyDescent="0.2">
      <c r="B578" t="s">
        <v>1525</v>
      </c>
      <c r="C578" s="72" t="s">
        <v>2872</v>
      </c>
      <c r="D578" s="51" t="s">
        <v>414</v>
      </c>
      <c r="E578" s="74">
        <v>-6.9023092869198804E-2</v>
      </c>
      <c r="F578" s="74">
        <v>1.6886305409261001E-2</v>
      </c>
      <c r="G578" s="74">
        <v>4.4367640147732102E-5</v>
      </c>
      <c r="H578" s="74">
        <v>2.03956385572164E-4</v>
      </c>
      <c r="I578" s="74">
        <v>3.2505458580456498E-4</v>
      </c>
      <c r="J578" s="74">
        <v>4.6807860355857399E-2</v>
      </c>
      <c r="K578" s="15"/>
      <c r="L578" s="15"/>
      <c r="M578" s="15"/>
      <c r="N578" s="15"/>
      <c r="O578" s="15"/>
      <c r="P578" s="15"/>
      <c r="Q578" s="15"/>
    </row>
    <row r="579" spans="2:17" x14ac:dyDescent="0.2">
      <c r="B579" t="s">
        <v>1525</v>
      </c>
      <c r="C579" s="72" t="s">
        <v>2872</v>
      </c>
      <c r="D579" s="51" t="s">
        <v>423</v>
      </c>
      <c r="E579" s="74">
        <v>-6.9153900760687601E-2</v>
      </c>
      <c r="F579" s="74">
        <v>1.6481994546615902E-2</v>
      </c>
      <c r="G579" s="74">
        <v>2.77364941601769E-5</v>
      </c>
      <c r="H579" s="74">
        <v>1.4274146994627601E-4</v>
      </c>
      <c r="I579" s="74">
        <v>2.2001504766155301E-4</v>
      </c>
      <c r="J579" s="74">
        <v>2.9262001338986598E-2</v>
      </c>
      <c r="K579" s="15"/>
      <c r="L579" s="15"/>
      <c r="M579" s="15"/>
      <c r="N579" s="15"/>
      <c r="O579" s="15"/>
      <c r="P579" s="15"/>
      <c r="Q579" s="15"/>
    </row>
    <row r="580" spans="2:17" x14ac:dyDescent="0.2">
      <c r="B580" t="s">
        <v>1525</v>
      </c>
      <c r="C580" s="72" t="s">
        <v>2872</v>
      </c>
      <c r="D580" s="51" t="s">
        <v>427</v>
      </c>
      <c r="E580" s="74">
        <v>-7.0859561813431296E-2</v>
      </c>
      <c r="F580" s="74">
        <v>1.6828191868101701E-2</v>
      </c>
      <c r="G580" s="74">
        <v>2.5950623628634001E-5</v>
      </c>
      <c r="H580" s="74">
        <v>1.3688953964104399E-4</v>
      </c>
      <c r="I580" s="74">
        <v>2.0740839339552201E-4</v>
      </c>
      <c r="J580" s="74">
        <v>2.7377907928208899E-2</v>
      </c>
      <c r="K580" s="15"/>
      <c r="L580" s="15"/>
      <c r="M580" s="15"/>
      <c r="N580" s="15"/>
      <c r="O580" s="15"/>
      <c r="P580" s="15"/>
      <c r="Q580" s="15"/>
    </row>
    <row r="581" spans="2:17" x14ac:dyDescent="0.2">
      <c r="B581" t="s">
        <v>1525</v>
      </c>
      <c r="C581" s="72" t="s">
        <v>2872</v>
      </c>
      <c r="D581" t="s">
        <v>429</v>
      </c>
      <c r="E581" s="15">
        <v>-2.3000534361939301E-2</v>
      </c>
      <c r="F581" s="15">
        <v>1.6848726105633802E-2</v>
      </c>
      <c r="G581" s="15">
        <v>0.17228686721679601</v>
      </c>
      <c r="H581" s="15">
        <v>0.228632257753107</v>
      </c>
      <c r="I581" s="15">
        <v>0.31556014741965199</v>
      </c>
      <c r="J581" s="15">
        <v>1</v>
      </c>
      <c r="K581" s="15"/>
      <c r="L581" s="15"/>
      <c r="M581" s="15"/>
      <c r="N581" s="15"/>
      <c r="O581" s="15"/>
      <c r="P581" s="15"/>
      <c r="Q581" s="15"/>
    </row>
    <row r="582" spans="2:17" x14ac:dyDescent="0.2">
      <c r="B582" t="s">
        <v>1525</v>
      </c>
      <c r="C582" s="72" t="s">
        <v>2872</v>
      </c>
      <c r="D582" t="s">
        <v>434</v>
      </c>
      <c r="E582" s="15">
        <v>-5.8807038642703501E-2</v>
      </c>
      <c r="F582" s="15">
        <v>1.70160842470434E-2</v>
      </c>
      <c r="G582" s="15">
        <v>5.5337809369849199E-4</v>
      </c>
      <c r="H582" s="15">
        <v>1.8533774249267E-3</v>
      </c>
      <c r="I582" s="15">
        <v>2.8759304869552201E-3</v>
      </c>
      <c r="J582" s="15">
        <v>0.58381388885190899</v>
      </c>
      <c r="K582" s="15"/>
      <c r="L582" s="15"/>
      <c r="M582" s="15"/>
      <c r="N582" s="15"/>
      <c r="O582" s="15"/>
      <c r="P582" s="15"/>
      <c r="Q582" s="15"/>
    </row>
    <row r="583" spans="2:17" x14ac:dyDescent="0.2">
      <c r="B583" t="s">
        <v>1525</v>
      </c>
      <c r="C583" s="72" t="s">
        <v>2872</v>
      </c>
      <c r="D583" t="s">
        <v>438</v>
      </c>
      <c r="E583" s="15">
        <v>-5.7237591726105298E-2</v>
      </c>
      <c r="F583" s="15">
        <v>1.6679775712578102E-2</v>
      </c>
      <c r="G583" s="15">
        <v>6.05299627975977E-4</v>
      </c>
      <c r="H583" s="15">
        <v>1.9955972109832998E-3</v>
      </c>
      <c r="I583" s="15">
        <v>3.0999568325954202E-3</v>
      </c>
      <c r="J583" s="15">
        <v>0.63859110751465598</v>
      </c>
      <c r="K583" s="15"/>
      <c r="L583" s="15"/>
      <c r="M583" s="15"/>
      <c r="N583" s="15"/>
      <c r="O583" s="15"/>
      <c r="P583" s="15"/>
      <c r="Q583" s="15"/>
    </row>
    <row r="584" spans="2:17" x14ac:dyDescent="0.2">
      <c r="B584" t="s">
        <v>1525</v>
      </c>
      <c r="C584" s="72" t="s">
        <v>2872</v>
      </c>
      <c r="D584" s="51" t="s">
        <v>443</v>
      </c>
      <c r="E584" s="74">
        <v>-8.0920035069273602E-2</v>
      </c>
      <c r="F584" s="74">
        <v>1.6979788959282E-2</v>
      </c>
      <c r="G584" s="74">
        <v>1.9415655156569602E-6</v>
      </c>
      <c r="H584" s="74">
        <v>1.7811753208853001E-5</v>
      </c>
      <c r="I584" s="74">
        <v>2.7221608970783199E-5</v>
      </c>
      <c r="J584" s="74">
        <v>2.0483516190180902E-3</v>
      </c>
      <c r="K584" s="15"/>
      <c r="L584" s="15"/>
      <c r="M584" s="15"/>
      <c r="N584" s="15"/>
      <c r="O584" s="15"/>
      <c r="P584" s="15"/>
      <c r="Q584" s="15"/>
    </row>
    <row r="585" spans="2:17" x14ac:dyDescent="0.2">
      <c r="B585" t="s">
        <v>1525</v>
      </c>
      <c r="C585" s="72" t="s">
        <v>2872</v>
      </c>
      <c r="D585" t="s">
        <v>447</v>
      </c>
      <c r="E585" s="15">
        <v>-2.1056771232987201E-2</v>
      </c>
      <c r="F585" s="15">
        <v>1.6861336370027898E-2</v>
      </c>
      <c r="G585" s="15">
        <v>0.21180105112337899</v>
      </c>
      <c r="H585" s="15">
        <v>0.27556047633203801</v>
      </c>
      <c r="I585" s="15">
        <v>0.36451893790402101</v>
      </c>
      <c r="J585" s="15">
        <v>1</v>
      </c>
      <c r="K585" s="15"/>
      <c r="L585" s="15"/>
      <c r="M585" s="15"/>
      <c r="N585" s="15"/>
      <c r="O585" s="15"/>
      <c r="P585" s="15"/>
      <c r="Q585" s="15"/>
    </row>
    <row r="586" spans="2:17" x14ac:dyDescent="0.2">
      <c r="B586" t="s">
        <v>1525</v>
      </c>
      <c r="C586" s="72" t="s">
        <v>2872</v>
      </c>
      <c r="D586" s="51" t="s">
        <v>339</v>
      </c>
      <c r="E586" s="74">
        <v>-9.9469916364944594E-2</v>
      </c>
      <c r="F586" s="74">
        <v>1.87463849152412E-2</v>
      </c>
      <c r="G586" s="74">
        <v>1.18625092604001E-7</v>
      </c>
      <c r="H586" s="74">
        <v>1.82698592237982E-6</v>
      </c>
      <c r="I586" s="74">
        <v>2.9741631294555299E-6</v>
      </c>
      <c r="J586" s="74">
        <v>1.2514947269722101E-4</v>
      </c>
      <c r="K586" s="15"/>
      <c r="L586" s="15"/>
      <c r="M586" s="15"/>
      <c r="N586" s="15"/>
      <c r="O586" s="15"/>
      <c r="P586" s="15"/>
      <c r="Q586" s="15"/>
    </row>
    <row r="587" spans="2:17" x14ac:dyDescent="0.2">
      <c r="B587" t="s">
        <v>1525</v>
      </c>
      <c r="C587" s="72" t="s">
        <v>2872</v>
      </c>
      <c r="D587" s="51" t="s">
        <v>340</v>
      </c>
      <c r="E587" s="74">
        <v>-9.2438010601430406E-2</v>
      </c>
      <c r="F587" s="74">
        <v>1.8892510324062702E-2</v>
      </c>
      <c r="G587" s="74">
        <v>1.03558105456208E-6</v>
      </c>
      <c r="H587" s="74">
        <v>1.17037317130069E-5</v>
      </c>
      <c r="I587" s="74">
        <v>1.65536062509545E-5</v>
      </c>
      <c r="J587" s="74">
        <v>1.092538012563E-3</v>
      </c>
      <c r="K587" s="15"/>
      <c r="L587" s="15"/>
      <c r="M587" s="15"/>
      <c r="N587" s="15"/>
      <c r="O587" s="15"/>
      <c r="P587" s="15"/>
      <c r="Q587" s="15"/>
    </row>
    <row r="588" spans="2:17" x14ac:dyDescent="0.2">
      <c r="B588" t="s">
        <v>1525</v>
      </c>
      <c r="C588" s="72" t="s">
        <v>2872</v>
      </c>
      <c r="D588" s="51" t="s">
        <v>341</v>
      </c>
      <c r="E588" s="74">
        <v>-0.11890066478163799</v>
      </c>
      <c r="F588" s="74">
        <v>1.8829747613122699E-2</v>
      </c>
      <c r="G588" s="74">
        <v>3.0264466956031899E-10</v>
      </c>
      <c r="H588" s="74">
        <v>1.59645063193068E-8</v>
      </c>
      <c r="I588" s="74">
        <v>1.9955632899133598E-8</v>
      </c>
      <c r="J588" s="74">
        <v>3.1929012638613699E-7</v>
      </c>
      <c r="K588" s="15"/>
      <c r="L588" s="15"/>
      <c r="M588" s="15"/>
      <c r="N588" s="15"/>
      <c r="O588" s="15"/>
      <c r="P588" s="15"/>
      <c r="Q588" s="15"/>
    </row>
    <row r="589" spans="2:17" x14ac:dyDescent="0.2">
      <c r="B589" t="s">
        <v>1525</v>
      </c>
      <c r="C589" s="72" t="s">
        <v>2872</v>
      </c>
      <c r="D589" s="51" t="s">
        <v>343</v>
      </c>
      <c r="E589" s="74">
        <v>-0.116538396073985</v>
      </c>
      <c r="F589" s="74">
        <v>1.8800931638259299E-2</v>
      </c>
      <c r="G589" s="74">
        <v>6.3128380020926903E-10</v>
      </c>
      <c r="H589" s="74">
        <v>2.2200146974025901E-8</v>
      </c>
      <c r="I589" s="74">
        <v>3.3300220461038899E-8</v>
      </c>
      <c r="J589" s="74">
        <v>6.6600440922077899E-7</v>
      </c>
      <c r="K589" s="15"/>
      <c r="L589" s="15"/>
      <c r="M589" s="15"/>
      <c r="N589" s="15"/>
      <c r="O589" s="15"/>
      <c r="P589" s="15"/>
      <c r="Q589" s="15"/>
    </row>
    <row r="590" spans="2:17" x14ac:dyDescent="0.2">
      <c r="B590" t="s">
        <v>1525</v>
      </c>
      <c r="C590" s="72" t="s">
        <v>2872</v>
      </c>
      <c r="D590" s="51" t="s">
        <v>344</v>
      </c>
      <c r="E590" s="74">
        <v>-8.9898629307925901E-2</v>
      </c>
      <c r="F590" s="74">
        <v>1.8619384281468102E-2</v>
      </c>
      <c r="G590" s="74">
        <v>1.43154221242782E-6</v>
      </c>
      <c r="H590" s="74">
        <v>1.43835908010605E-5</v>
      </c>
      <c r="I590" s="74">
        <v>2.1047916441530299E-5</v>
      </c>
      <c r="J590" s="74">
        <v>1.51027703411135E-3</v>
      </c>
      <c r="K590" s="15"/>
      <c r="L590" s="15"/>
      <c r="M590" s="15"/>
      <c r="N590" s="15"/>
      <c r="O590" s="15"/>
      <c r="P590" s="15"/>
      <c r="Q590" s="15"/>
    </row>
    <row r="591" spans="2:17" x14ac:dyDescent="0.2">
      <c r="B591" t="s">
        <v>1525</v>
      </c>
      <c r="C591" s="72" t="s">
        <v>2872</v>
      </c>
      <c r="D591" s="51" t="s">
        <v>348</v>
      </c>
      <c r="E591" s="74">
        <v>-9.9512096892073895E-2</v>
      </c>
      <c r="F591" s="74">
        <v>1.87683348425156E-2</v>
      </c>
      <c r="G591" s="74">
        <v>1.21221814755059E-7</v>
      </c>
      <c r="H591" s="74">
        <v>1.82698592237982E-6</v>
      </c>
      <c r="I591" s="74">
        <v>2.9741631294555299E-6</v>
      </c>
      <c r="J591" s="74">
        <v>1.2788901456658799E-4</v>
      </c>
      <c r="K591" s="15"/>
      <c r="L591" s="15"/>
      <c r="M591" s="15"/>
      <c r="N591" s="15"/>
      <c r="O591" s="15"/>
      <c r="P591" s="15"/>
      <c r="Q591" s="15"/>
    </row>
    <row r="592" spans="2:17" x14ac:dyDescent="0.2">
      <c r="B592" t="s">
        <v>1525</v>
      </c>
      <c r="C592" s="72" t="s">
        <v>2872</v>
      </c>
      <c r="D592" s="51" t="s">
        <v>349</v>
      </c>
      <c r="E592" s="74">
        <v>-9.8196364566179403E-2</v>
      </c>
      <c r="F592" s="74">
        <v>1.8947426763832001E-2</v>
      </c>
      <c r="G592" s="74">
        <v>2.30507603394316E-7</v>
      </c>
      <c r="H592" s="74">
        <v>3.2424736210800402E-6</v>
      </c>
      <c r="I592" s="74">
        <v>5.1664331602607297E-6</v>
      </c>
      <c r="J592" s="74">
        <v>2.4318552158100301E-4</v>
      </c>
      <c r="K592" s="15"/>
      <c r="L592" s="15"/>
      <c r="M592" s="15"/>
      <c r="N592" s="15"/>
      <c r="O592" s="15"/>
      <c r="P592" s="15"/>
      <c r="Q592" s="15"/>
    </row>
    <row r="593" spans="2:17" x14ac:dyDescent="0.2">
      <c r="B593" t="s">
        <v>1525</v>
      </c>
      <c r="C593" s="72" t="s">
        <v>2872</v>
      </c>
      <c r="D593" s="51" t="s">
        <v>350</v>
      </c>
      <c r="E593" s="74">
        <v>-0.118069618661079</v>
      </c>
      <c r="F593" s="74">
        <v>1.89230041089361E-2</v>
      </c>
      <c r="G593" s="74">
        <v>4.8799632441556902E-10</v>
      </c>
      <c r="H593" s="74">
        <v>2.0593444890337001E-8</v>
      </c>
      <c r="I593" s="74">
        <v>2.7990376869060402E-8</v>
      </c>
      <c r="J593" s="74">
        <v>5.1483612225842497E-7</v>
      </c>
      <c r="K593" s="15"/>
      <c r="L593" s="15"/>
      <c r="M593" s="15"/>
      <c r="N593" s="15"/>
      <c r="O593" s="15"/>
      <c r="P593" s="15"/>
      <c r="Q593" s="15"/>
    </row>
    <row r="594" spans="2:17" x14ac:dyDescent="0.2">
      <c r="B594" t="s">
        <v>1525</v>
      </c>
      <c r="C594" s="72" t="s">
        <v>2872</v>
      </c>
      <c r="D594" t="s">
        <v>353</v>
      </c>
      <c r="E594" s="15">
        <v>-7.4954268162491303E-2</v>
      </c>
      <c r="F594" s="15">
        <v>1.8861643506570099E-2</v>
      </c>
      <c r="G594" s="15">
        <v>7.2028723135051699E-5</v>
      </c>
      <c r="H594" s="15">
        <v>3.0396121162991802E-4</v>
      </c>
      <c r="I594" s="15">
        <v>4.8711732632999701E-4</v>
      </c>
      <c r="J594" s="15">
        <v>7.5990302907479504E-2</v>
      </c>
      <c r="K594" s="15"/>
      <c r="L594" s="15"/>
      <c r="M594" s="15"/>
      <c r="N594" s="15"/>
      <c r="O594" s="15"/>
      <c r="P594" s="15"/>
      <c r="Q594" s="15"/>
    </row>
    <row r="595" spans="2:17" x14ac:dyDescent="0.2">
      <c r="B595" t="s">
        <v>1525</v>
      </c>
      <c r="C595" s="72" t="s">
        <v>2872</v>
      </c>
      <c r="D595" t="s">
        <v>1100</v>
      </c>
      <c r="E595" s="15">
        <v>-2.4178785723641901E-2</v>
      </c>
      <c r="F595" s="15">
        <v>1.54134391983553E-2</v>
      </c>
      <c r="G595" s="15">
        <v>0.11679931431981599</v>
      </c>
      <c r="H595" s="15">
        <v>0.16429770214320699</v>
      </c>
      <c r="I595" s="15">
        <v>0.23382025921708799</v>
      </c>
      <c r="J595" s="15">
        <v>1</v>
      </c>
      <c r="K595" s="15"/>
      <c r="L595" s="15"/>
      <c r="M595" s="15"/>
      <c r="N595" s="15"/>
      <c r="O595" s="15"/>
      <c r="P595" s="15"/>
      <c r="Q595" s="15"/>
    </row>
    <row r="596" spans="2:17" x14ac:dyDescent="0.2">
      <c r="B596" t="s">
        <v>1525</v>
      </c>
      <c r="C596" s="72" t="s">
        <v>2872</v>
      </c>
      <c r="D596" t="s">
        <v>1102</v>
      </c>
      <c r="E596" s="15">
        <v>-2.82638106452738E-2</v>
      </c>
      <c r="F596" s="15">
        <v>1.5449937108140899E-2</v>
      </c>
      <c r="G596" s="15">
        <v>6.7415395046256502E-2</v>
      </c>
      <c r="H596" s="15">
        <v>0.102335599674533</v>
      </c>
      <c r="I596" s="15">
        <v>0.15068483426652701</v>
      </c>
      <c r="J596" s="15">
        <v>1</v>
      </c>
      <c r="K596" s="15"/>
      <c r="L596" s="15"/>
      <c r="M596" s="15"/>
      <c r="N596" s="15"/>
      <c r="O596" s="15"/>
      <c r="P596" s="15"/>
      <c r="Q596" s="15"/>
    </row>
    <row r="597" spans="2:17" x14ac:dyDescent="0.2">
      <c r="B597" t="s">
        <v>1525</v>
      </c>
      <c r="C597" s="72" t="s">
        <v>2872</v>
      </c>
      <c r="D597" t="s">
        <v>1103</v>
      </c>
      <c r="E597" s="15">
        <v>-1.13408606863785E-2</v>
      </c>
      <c r="F597" s="15">
        <v>1.61210100740562E-2</v>
      </c>
      <c r="G597" s="15">
        <v>0.48179636953632099</v>
      </c>
      <c r="H597" s="15">
        <v>0.54073954240512601</v>
      </c>
      <c r="I597" s="15">
        <v>0.64804785637015705</v>
      </c>
      <c r="J597" s="15">
        <v>1</v>
      </c>
      <c r="K597" s="15"/>
      <c r="L597" s="15"/>
      <c r="M597" s="15"/>
      <c r="N597" s="15"/>
      <c r="O597" s="15"/>
      <c r="P597" s="15"/>
      <c r="Q597" s="15"/>
    </row>
    <row r="598" spans="2:17" x14ac:dyDescent="0.2">
      <c r="B598" t="s">
        <v>1525</v>
      </c>
      <c r="C598" s="72" t="s">
        <v>2872</v>
      </c>
      <c r="D598" t="s">
        <v>1126</v>
      </c>
      <c r="E598" s="15">
        <v>-9.1627980722279706E-2</v>
      </c>
      <c r="F598" s="15">
        <v>2.3801912647150099E-2</v>
      </c>
      <c r="G598" s="15">
        <v>1.2172140431057099E-4</v>
      </c>
      <c r="H598" s="15">
        <v>4.7561511684315698E-4</v>
      </c>
      <c r="I598" s="15">
        <v>7.4660512527704895E-4</v>
      </c>
      <c r="J598" s="15">
        <v>0.12841608154765199</v>
      </c>
      <c r="K598" s="15"/>
      <c r="L598" s="15"/>
      <c r="M598" s="15"/>
      <c r="N598" s="15"/>
      <c r="O598" s="15"/>
      <c r="P598" s="15"/>
      <c r="Q598" s="15"/>
    </row>
    <row r="599" spans="2:17" x14ac:dyDescent="0.2">
      <c r="B599" t="s">
        <v>1525</v>
      </c>
      <c r="C599" s="72" t="s">
        <v>2872</v>
      </c>
      <c r="D599" t="s">
        <v>1128</v>
      </c>
      <c r="E599" s="15">
        <v>-5.49928592210914E-2</v>
      </c>
      <c r="F599" s="15">
        <v>2.44001254557554E-2</v>
      </c>
      <c r="G599" s="15">
        <v>2.4309247425511001E-2</v>
      </c>
      <c r="H599" s="15">
        <v>4.3468230565956098E-2</v>
      </c>
      <c r="I599" s="15">
        <v>6.6269395436470493E-2</v>
      </c>
      <c r="J599" s="15">
        <v>1</v>
      </c>
      <c r="K599" s="15"/>
      <c r="L599" s="15"/>
      <c r="M599" s="15"/>
      <c r="N599" s="15"/>
      <c r="O599" s="15"/>
      <c r="P599" s="15"/>
      <c r="Q599" s="15"/>
    </row>
    <row r="600" spans="2:17" x14ac:dyDescent="0.2">
      <c r="B600" t="s">
        <v>1525</v>
      </c>
      <c r="C600" s="72" t="s">
        <v>2872</v>
      </c>
      <c r="D600" t="s">
        <v>1129</v>
      </c>
      <c r="E600" s="15">
        <v>-8.6482317627323405E-2</v>
      </c>
      <c r="F600" s="15">
        <v>2.4459607509049599E-2</v>
      </c>
      <c r="G600" s="15">
        <v>4.1548048203066302E-4</v>
      </c>
      <c r="H600" s="15">
        <v>1.46110636180783E-3</v>
      </c>
      <c r="I600" s="15">
        <v>2.2711497851935201E-3</v>
      </c>
      <c r="J600" s="15">
        <v>0.43833190854234999</v>
      </c>
      <c r="K600" s="15"/>
      <c r="L600" s="15"/>
      <c r="M600" s="15"/>
      <c r="N600" s="15"/>
      <c r="O600" s="15"/>
      <c r="P600" s="15"/>
      <c r="Q600" s="15"/>
    </row>
    <row r="601" spans="2:17" x14ac:dyDescent="0.2">
      <c r="B601" t="s">
        <v>1525</v>
      </c>
      <c r="C601" s="72" t="s">
        <v>2872</v>
      </c>
      <c r="D601" t="s">
        <v>596</v>
      </c>
      <c r="E601" s="15">
        <v>-5.05793973061133E-2</v>
      </c>
      <c r="F601" s="15">
        <v>2.4028131271653999E-2</v>
      </c>
      <c r="G601" s="15">
        <v>3.5402564214221298E-2</v>
      </c>
      <c r="H601" s="15">
        <v>6.0556759095667601E-2</v>
      </c>
      <c r="I601" s="15">
        <v>9.1319572728614795E-2</v>
      </c>
      <c r="J601" s="15">
        <v>1</v>
      </c>
      <c r="K601" s="15"/>
      <c r="L601" s="15"/>
      <c r="M601" s="15"/>
      <c r="N601" s="15"/>
      <c r="O601" s="15"/>
      <c r="P601" s="15"/>
      <c r="Q601" s="15"/>
    </row>
    <row r="602" spans="2:17" x14ac:dyDescent="0.2">
      <c r="B602" t="s">
        <v>1525</v>
      </c>
      <c r="C602" s="72" t="s">
        <v>2872</v>
      </c>
      <c r="D602" s="51" t="s">
        <v>597</v>
      </c>
      <c r="E602" s="74">
        <v>-0.113145071488155</v>
      </c>
      <c r="F602" s="74">
        <v>2.3958519080820698E-2</v>
      </c>
      <c r="G602" s="74">
        <v>2.4781335654685E-6</v>
      </c>
      <c r="H602" s="74">
        <v>2.17869242630772E-5</v>
      </c>
      <c r="I602" s="74">
        <v>3.2950501983711402E-5</v>
      </c>
      <c r="J602" s="74">
        <v>2.6144309115692598E-3</v>
      </c>
      <c r="K602" s="15"/>
      <c r="L602" s="15"/>
      <c r="M602" s="15"/>
      <c r="N602" s="15"/>
      <c r="O602" s="15"/>
      <c r="P602" s="15"/>
      <c r="Q602" s="15"/>
    </row>
    <row r="603" spans="2:17" x14ac:dyDescent="0.2">
      <c r="B603" t="s">
        <v>1525</v>
      </c>
      <c r="C603" s="72" t="s">
        <v>2872</v>
      </c>
      <c r="D603" t="s">
        <v>598</v>
      </c>
      <c r="E603" s="15">
        <v>-8.3505758152735796E-2</v>
      </c>
      <c r="F603" s="15">
        <v>2.37465619263264E-2</v>
      </c>
      <c r="G603" s="15">
        <v>4.4610709741611598E-4</v>
      </c>
      <c r="H603" s="15">
        <v>1.54309176319345E-3</v>
      </c>
      <c r="I603" s="15">
        <v>2.3782271500558398E-3</v>
      </c>
      <c r="J603" s="15">
        <v>0.47064298777400199</v>
      </c>
      <c r="K603" s="15"/>
      <c r="L603" s="15"/>
      <c r="M603" s="15"/>
      <c r="N603" s="15"/>
      <c r="O603" s="15"/>
      <c r="P603" s="15"/>
      <c r="Q603" s="15"/>
    </row>
    <row r="604" spans="2:17" x14ac:dyDescent="0.2">
      <c r="B604" t="s">
        <v>1525</v>
      </c>
      <c r="C604" s="72" t="s">
        <v>2872</v>
      </c>
      <c r="D604" t="s">
        <v>599</v>
      </c>
      <c r="E604" s="15">
        <v>-6.37887215728591E-2</v>
      </c>
      <c r="F604" s="15">
        <v>2.3788659954409899E-2</v>
      </c>
      <c r="G604" s="15">
        <v>7.3847986142709697E-3</v>
      </c>
      <c r="H604" s="15">
        <v>1.55819250761117E-2</v>
      </c>
      <c r="I604" s="15">
        <v>2.4120627052804499E-2</v>
      </c>
      <c r="J604" s="15">
        <v>1</v>
      </c>
      <c r="K604" s="15"/>
      <c r="L604" s="15"/>
      <c r="M604" s="15"/>
      <c r="N604" s="15"/>
      <c r="O604" s="15"/>
      <c r="P604" s="15"/>
      <c r="Q604" s="15"/>
    </row>
    <row r="605" spans="2:17" x14ac:dyDescent="0.2">
      <c r="B605" t="s">
        <v>1525</v>
      </c>
      <c r="C605" s="72" t="s">
        <v>2872</v>
      </c>
      <c r="D605" t="s">
        <v>600</v>
      </c>
      <c r="E605" s="15">
        <v>-1.58248496249365E-2</v>
      </c>
      <c r="F605" s="15">
        <v>2.3901665215595499E-2</v>
      </c>
      <c r="G605" s="15">
        <v>0.50799115538041195</v>
      </c>
      <c r="H605" s="15">
        <v>0.56118394651972203</v>
      </c>
      <c r="I605" s="15">
        <v>0.67075177587776502</v>
      </c>
      <c r="J605" s="15">
        <v>1</v>
      </c>
      <c r="K605" s="15"/>
      <c r="L605" s="15"/>
      <c r="M605" s="15"/>
      <c r="N605" s="15"/>
      <c r="O605" s="15"/>
      <c r="P605" s="15"/>
      <c r="Q605" s="15"/>
    </row>
    <row r="606" spans="2:17" x14ac:dyDescent="0.2">
      <c r="B606" t="s">
        <v>1525</v>
      </c>
      <c r="C606" s="72" t="s">
        <v>2872</v>
      </c>
      <c r="D606" t="s">
        <v>602</v>
      </c>
      <c r="E606" s="15">
        <v>-3.70650625575299E-2</v>
      </c>
      <c r="F606" s="15">
        <v>2.3609563778616598E-2</v>
      </c>
      <c r="G606" s="15">
        <v>0.116578048263853</v>
      </c>
      <c r="H606" s="15">
        <v>0.16429770214320699</v>
      </c>
      <c r="I606" s="15">
        <v>0.23382025921708799</v>
      </c>
      <c r="J606" s="15">
        <v>1</v>
      </c>
      <c r="K606" s="15"/>
      <c r="L606" s="15"/>
      <c r="M606" s="15"/>
      <c r="N606" s="15"/>
      <c r="O606" s="15"/>
      <c r="P606" s="15"/>
      <c r="Q606" s="15"/>
    </row>
    <row r="607" spans="2:17" x14ac:dyDescent="0.2">
      <c r="B607" t="s">
        <v>1525</v>
      </c>
      <c r="C607" s="72" t="s">
        <v>2872</v>
      </c>
      <c r="D607" t="s">
        <v>606</v>
      </c>
      <c r="E607" s="15">
        <v>-5.8438870638794299E-2</v>
      </c>
      <c r="F607" s="15">
        <v>2.3754374265188401E-2</v>
      </c>
      <c r="G607" s="15">
        <v>1.39646080030891E-2</v>
      </c>
      <c r="H607" s="15">
        <v>2.67866571695617E-2</v>
      </c>
      <c r="I607" s="15">
        <v>4.1267959224815E-2</v>
      </c>
      <c r="J607" s="15">
        <v>1</v>
      </c>
      <c r="K607" s="15"/>
      <c r="L607" s="15"/>
      <c r="M607" s="15"/>
      <c r="N607" s="15"/>
      <c r="O607" s="15"/>
      <c r="P607" s="15"/>
      <c r="Q607" s="15"/>
    </row>
    <row r="608" spans="2:17" x14ac:dyDescent="0.2">
      <c r="B608" t="s">
        <v>1525</v>
      </c>
      <c r="C608" s="72" t="s">
        <v>2872</v>
      </c>
      <c r="D608" t="s">
        <v>1151</v>
      </c>
      <c r="E608" s="15">
        <v>-4.6851984867219004E-3</v>
      </c>
      <c r="F608" s="15">
        <v>1.7107170560204301E-2</v>
      </c>
      <c r="G608" s="15">
        <v>0.78419465282896195</v>
      </c>
      <c r="H608" s="15">
        <v>0.79934817269039204</v>
      </c>
      <c r="I608" s="15">
        <v>0.87919804328858198</v>
      </c>
      <c r="J608" s="15">
        <v>1</v>
      </c>
      <c r="K608" s="15"/>
      <c r="L608" s="15"/>
      <c r="M608" s="15"/>
      <c r="N608" s="15"/>
      <c r="O608" s="15"/>
      <c r="P608" s="15"/>
      <c r="Q608" s="15"/>
    </row>
    <row r="609" spans="2:17" x14ac:dyDescent="0.2">
      <c r="B609" t="s">
        <v>1525</v>
      </c>
      <c r="C609" s="72" t="s">
        <v>2872</v>
      </c>
      <c r="D609" t="s">
        <v>1144</v>
      </c>
      <c r="E609" s="15">
        <v>-2.1021616886432899E-2</v>
      </c>
      <c r="F609" s="15">
        <v>1.70281105585335E-2</v>
      </c>
      <c r="G609" s="15">
        <v>0.21707166702899</v>
      </c>
      <c r="H609" s="15">
        <v>0.27758861662495099</v>
      </c>
      <c r="I609" s="15">
        <v>0.36996867320773003</v>
      </c>
      <c r="J609" s="15">
        <v>1</v>
      </c>
      <c r="K609" s="15"/>
      <c r="L609" s="15"/>
      <c r="M609" s="15"/>
      <c r="N609" s="15"/>
      <c r="O609" s="15"/>
      <c r="P609" s="15"/>
      <c r="Q609" s="15"/>
    </row>
    <row r="610" spans="2:17" x14ac:dyDescent="0.2">
      <c r="B610" t="s">
        <v>1525</v>
      </c>
      <c r="C610" s="72" t="s">
        <v>2872</v>
      </c>
      <c r="D610" t="s">
        <v>1167</v>
      </c>
      <c r="E610" s="15">
        <v>-3.4332982050148099E-2</v>
      </c>
      <c r="F610" s="15">
        <v>1.67509305265146E-2</v>
      </c>
      <c r="G610" s="15">
        <v>4.0461269817427099E-2</v>
      </c>
      <c r="H610" s="15">
        <v>6.7223054578560107E-2</v>
      </c>
      <c r="I610" s="15">
        <v>0.101558783870421</v>
      </c>
      <c r="J610" s="15">
        <v>1</v>
      </c>
      <c r="K610" s="15"/>
      <c r="L610" s="15"/>
      <c r="M610" s="15"/>
      <c r="N610" s="15"/>
      <c r="O610" s="15"/>
      <c r="P610" s="15"/>
      <c r="Q610" s="15"/>
    </row>
    <row r="611" spans="2:17" x14ac:dyDescent="0.2">
      <c r="B611" t="s">
        <v>1525</v>
      </c>
      <c r="C611" s="72" t="s">
        <v>2872</v>
      </c>
      <c r="D611" t="s">
        <v>1168</v>
      </c>
      <c r="E611" s="15">
        <v>-2.5486471760474898E-2</v>
      </c>
      <c r="F611" s="15">
        <v>1.6762646844941002E-2</v>
      </c>
      <c r="G611" s="15">
        <v>0.12847412082916801</v>
      </c>
      <c r="H611" s="15">
        <v>0.179523440363936</v>
      </c>
      <c r="I611" s="15">
        <v>0.251933452555338</v>
      </c>
      <c r="J611" s="15">
        <v>1</v>
      </c>
      <c r="K611" s="15"/>
      <c r="L611" s="15"/>
      <c r="M611" s="15"/>
      <c r="N611" s="15"/>
      <c r="O611" s="15"/>
      <c r="P611" s="15"/>
      <c r="Q611" s="15"/>
    </row>
    <row r="612" spans="2:17" x14ac:dyDescent="0.2">
      <c r="B612" t="s">
        <v>1525</v>
      </c>
      <c r="C612" s="72" t="s">
        <v>2872</v>
      </c>
      <c r="D612" t="s">
        <v>1169</v>
      </c>
      <c r="E612" s="15">
        <v>-4.12226207957943E-2</v>
      </c>
      <c r="F612" s="15">
        <v>1.6709457884606E-2</v>
      </c>
      <c r="G612" s="15">
        <v>1.3662830020904701E-2</v>
      </c>
      <c r="H612" s="15">
        <v>2.6693121614915698E-2</v>
      </c>
      <c r="I612" s="15">
        <v>4.0718321107498602E-2</v>
      </c>
      <c r="J612" s="15">
        <v>1</v>
      </c>
      <c r="K612" s="15"/>
      <c r="L612" s="15"/>
      <c r="M612" s="15"/>
      <c r="N612" s="15"/>
      <c r="O612" s="15"/>
      <c r="P612" s="15"/>
      <c r="Q612" s="15"/>
    </row>
    <row r="613" spans="2:17" x14ac:dyDescent="0.2">
      <c r="B613" t="s">
        <v>1525</v>
      </c>
      <c r="C613" s="72" t="s">
        <v>2872</v>
      </c>
      <c r="D613" t="s">
        <v>1173</v>
      </c>
      <c r="E613" s="15">
        <v>-4.5767105578170902E-2</v>
      </c>
      <c r="F613" s="15">
        <v>1.6993348715185E-2</v>
      </c>
      <c r="G613" s="15">
        <v>7.1023899057807696E-3</v>
      </c>
      <c r="H613" s="15">
        <v>1.52918803073443E-2</v>
      </c>
      <c r="I613" s="15">
        <v>2.3542081493383701E-2</v>
      </c>
      <c r="J613" s="15">
        <v>1</v>
      </c>
      <c r="K613" s="15"/>
      <c r="L613" s="15"/>
      <c r="M613" s="15"/>
      <c r="N613" s="15"/>
      <c r="O613" s="15"/>
      <c r="P613" s="15"/>
      <c r="Q613" s="15"/>
    </row>
    <row r="614" spans="2:17" x14ac:dyDescent="0.2">
      <c r="B614" t="s">
        <v>1525</v>
      </c>
      <c r="C614" s="72" t="s">
        <v>2872</v>
      </c>
      <c r="D614" t="s">
        <v>1162</v>
      </c>
      <c r="E614" s="15">
        <v>-4.3705240053321201E-2</v>
      </c>
      <c r="F614" s="15">
        <v>1.65476236338917E-2</v>
      </c>
      <c r="G614" s="15">
        <v>8.2906031632256905E-3</v>
      </c>
      <c r="H614" s="15">
        <v>1.7319972944956599E-2</v>
      </c>
      <c r="I614" s="15">
        <v>2.64247321365653E-2</v>
      </c>
      <c r="J614" s="15">
        <v>1</v>
      </c>
      <c r="K614" s="15"/>
      <c r="L614" s="15"/>
      <c r="M614" s="15"/>
      <c r="N614" s="15"/>
      <c r="O614" s="15"/>
      <c r="P614" s="15"/>
      <c r="Q614" s="15"/>
    </row>
    <row r="615" spans="2:17" x14ac:dyDescent="0.2">
      <c r="B615" t="s">
        <v>1525</v>
      </c>
      <c r="C615" s="72" t="s">
        <v>2872</v>
      </c>
      <c r="D615" t="s">
        <v>1161</v>
      </c>
      <c r="E615" s="15">
        <v>4.9035859414046597E-2</v>
      </c>
      <c r="F615" s="15">
        <v>1.69293855756576E-2</v>
      </c>
      <c r="G615" s="15">
        <v>3.7926558963831802E-3</v>
      </c>
      <c r="H615" s="15">
        <v>8.7939603751302393E-3</v>
      </c>
      <c r="I615" s="15">
        <v>1.3990391505889E-2</v>
      </c>
      <c r="J615" s="15">
        <v>1</v>
      </c>
      <c r="K615" s="15"/>
      <c r="L615" s="15"/>
      <c r="M615" s="15"/>
      <c r="N615" s="15"/>
      <c r="O615" s="15"/>
      <c r="P615" s="15"/>
      <c r="Q615" s="15"/>
    </row>
    <row r="616" spans="2:17" x14ac:dyDescent="0.2">
      <c r="B616" t="s">
        <v>1525</v>
      </c>
      <c r="C616" s="72" t="s">
        <v>2872</v>
      </c>
      <c r="D616" t="s">
        <v>1325</v>
      </c>
      <c r="E616" s="15">
        <v>6.1613476890038897E-2</v>
      </c>
      <c r="F616" s="15">
        <v>8.3997693286480601E-2</v>
      </c>
      <c r="G616" s="15">
        <v>0.46324504376165399</v>
      </c>
      <c r="H616" s="15">
        <v>0.52834975261464301</v>
      </c>
      <c r="I616" s="15">
        <v>0.63388264743001899</v>
      </c>
      <c r="J616" s="15">
        <v>1</v>
      </c>
      <c r="K616" s="15"/>
      <c r="L616" s="15"/>
      <c r="M616" s="15"/>
      <c r="N616" s="15"/>
      <c r="O616" s="15"/>
      <c r="P616" s="15"/>
      <c r="Q616" s="15"/>
    </row>
    <row r="617" spans="2:17" x14ac:dyDescent="0.2">
      <c r="B617" t="s">
        <v>1525</v>
      </c>
      <c r="C617" s="72" t="s">
        <v>2872</v>
      </c>
      <c r="D617" t="s">
        <v>727</v>
      </c>
      <c r="E617" s="15">
        <v>-2.6608056398609602E-2</v>
      </c>
      <c r="F617" s="15">
        <v>5.3523912102818101E-2</v>
      </c>
      <c r="G617" s="15">
        <v>0.619101148486356</v>
      </c>
      <c r="H617" s="15">
        <v>0.65643388105839695</v>
      </c>
      <c r="I617" s="15">
        <v>0.766609990203175</v>
      </c>
      <c r="J617" s="15">
        <v>1</v>
      </c>
      <c r="K617" s="15"/>
      <c r="L617" s="15"/>
      <c r="M617" s="15"/>
      <c r="N617" s="15"/>
      <c r="O617" s="15"/>
      <c r="P617" s="15"/>
      <c r="Q617" s="15"/>
    </row>
    <row r="618" spans="2:17" x14ac:dyDescent="0.2">
      <c r="B618" t="s">
        <v>1525</v>
      </c>
      <c r="C618" s="72" t="s">
        <v>2872</v>
      </c>
      <c r="D618" t="s">
        <v>734</v>
      </c>
      <c r="E618" s="15">
        <v>-4.6792658899043098E-2</v>
      </c>
      <c r="F618" s="15">
        <v>6.0644040368557001E-2</v>
      </c>
      <c r="G618" s="15">
        <v>0.44035413561251002</v>
      </c>
      <c r="H618" s="15">
        <v>0.50497131855565003</v>
      </c>
      <c r="I618" s="15">
        <v>0.60808064538115003</v>
      </c>
      <c r="J618" s="15">
        <v>1</v>
      </c>
      <c r="K618" s="15"/>
      <c r="L618" s="15"/>
      <c r="M618" s="15"/>
      <c r="N618" s="15"/>
      <c r="O618" s="15"/>
      <c r="P618" s="15"/>
      <c r="Q618" s="15"/>
    </row>
    <row r="619" spans="2:17" x14ac:dyDescent="0.2">
      <c r="B619" t="s">
        <v>1525</v>
      </c>
      <c r="C619" s="72" t="s">
        <v>2872</v>
      </c>
      <c r="D619" t="s">
        <v>736</v>
      </c>
      <c r="E619" s="15">
        <v>-0.16208743417704999</v>
      </c>
      <c r="F619" s="15">
        <v>7.6410239807190902E-2</v>
      </c>
      <c r="G619" s="15">
        <v>3.3898333726266001E-2</v>
      </c>
      <c r="H619" s="15">
        <v>5.9111970382166298E-2</v>
      </c>
      <c r="I619" s="15">
        <v>8.8741295486874996E-2</v>
      </c>
      <c r="J619" s="15">
        <v>1</v>
      </c>
      <c r="K619" s="15"/>
      <c r="L619" s="15"/>
      <c r="M619" s="15"/>
      <c r="N619" s="15"/>
      <c r="O619" s="15"/>
      <c r="P619" s="15"/>
      <c r="Q619" s="15"/>
    </row>
    <row r="620" spans="2:17" x14ac:dyDescent="0.2">
      <c r="B620" t="s">
        <v>1525</v>
      </c>
      <c r="C620" s="72" t="s">
        <v>2872</v>
      </c>
      <c r="D620" t="s">
        <v>748</v>
      </c>
      <c r="E620" s="15">
        <v>-5.4718217724639501E-2</v>
      </c>
      <c r="F620" s="15">
        <v>7.6684980154185595E-2</v>
      </c>
      <c r="G620" s="15">
        <v>0.47550830687022999</v>
      </c>
      <c r="H620" s="15">
        <v>0.53942071370762701</v>
      </c>
      <c r="I620" s="15">
        <v>0.64595706078042903</v>
      </c>
      <c r="J620" s="15">
        <v>1</v>
      </c>
      <c r="K620" s="15"/>
      <c r="L620" s="15"/>
      <c r="M620" s="15"/>
      <c r="N620" s="15"/>
      <c r="O620" s="15"/>
      <c r="P620" s="15"/>
      <c r="Q620" s="15"/>
    </row>
    <row r="621" spans="2:17" x14ac:dyDescent="0.2">
      <c r="B621" t="s">
        <v>1525</v>
      </c>
      <c r="C621" s="72" t="s">
        <v>2872</v>
      </c>
      <c r="D621" t="s">
        <v>754</v>
      </c>
      <c r="E621" s="15">
        <v>-0.13852388197953899</v>
      </c>
      <c r="F621" s="15">
        <v>5.0628493903631298E-2</v>
      </c>
      <c r="G621" s="15">
        <v>6.2174891821919201E-3</v>
      </c>
      <c r="H621" s="15">
        <v>1.36655230983593E-2</v>
      </c>
      <c r="I621" s="15">
        <v>2.0889971615326401E-2</v>
      </c>
      <c r="J621" s="15">
        <v>1</v>
      </c>
      <c r="K621" s="15"/>
      <c r="L621" s="15"/>
      <c r="M621" s="15"/>
      <c r="N621" s="15"/>
      <c r="O621" s="15"/>
      <c r="P621" s="15"/>
      <c r="Q621" s="15"/>
    </row>
    <row r="622" spans="2:17" x14ac:dyDescent="0.2">
      <c r="B622" t="s">
        <v>1525</v>
      </c>
      <c r="C622" s="72" t="s">
        <v>2872</v>
      </c>
      <c r="D622" t="s">
        <v>755</v>
      </c>
      <c r="E622" s="15">
        <v>-0.10716140138701299</v>
      </c>
      <c r="F622" s="15">
        <v>6.10635988065815E-2</v>
      </c>
      <c r="G622" s="15">
        <v>7.9273915580984095E-2</v>
      </c>
      <c r="H622" s="15">
        <v>0.11779433934920901</v>
      </c>
      <c r="I622" s="15">
        <v>0.173155240037139</v>
      </c>
      <c r="J622" s="15">
        <v>1</v>
      </c>
      <c r="K622" s="15"/>
      <c r="L622" s="15"/>
      <c r="M622" s="15"/>
      <c r="N622" s="15"/>
      <c r="O622" s="15"/>
      <c r="P622" s="15"/>
      <c r="Q622" s="15"/>
    </row>
    <row r="623" spans="2:17" x14ac:dyDescent="0.2">
      <c r="B623" t="s">
        <v>1525</v>
      </c>
      <c r="C623" s="72" t="s">
        <v>2872</v>
      </c>
      <c r="D623" t="s">
        <v>1422</v>
      </c>
      <c r="E623" s="15">
        <v>-1.87757656234743E-2</v>
      </c>
      <c r="F623" s="15">
        <v>5.6260120228160702E-2</v>
      </c>
      <c r="G623" s="15">
        <v>0.73858229404257802</v>
      </c>
      <c r="H623" s="15">
        <v>0.76392580413227495</v>
      </c>
      <c r="I623" s="15">
        <v>0.85227358635316997</v>
      </c>
      <c r="J623" s="15">
        <v>1</v>
      </c>
      <c r="K623" s="15"/>
      <c r="L623" s="15"/>
      <c r="M623" s="15"/>
      <c r="N623" s="15"/>
      <c r="O623" s="15"/>
      <c r="P623" s="15"/>
      <c r="Q623" s="15"/>
    </row>
    <row r="624" spans="2:17" x14ac:dyDescent="0.2">
      <c r="B624" t="s">
        <v>1525</v>
      </c>
      <c r="C624" s="72" t="s">
        <v>2872</v>
      </c>
      <c r="D624" t="s">
        <v>1433</v>
      </c>
      <c r="E624" s="15">
        <v>-0.206624523548985</v>
      </c>
      <c r="F624" s="15">
        <v>6.6487821662672197E-2</v>
      </c>
      <c r="G624" s="15">
        <v>1.8854628711852299E-3</v>
      </c>
      <c r="H624" s="15">
        <v>5.1666579976634196E-3</v>
      </c>
      <c r="I624" s="15">
        <v>8.0860297930911307E-3</v>
      </c>
      <c r="J624" s="15">
        <v>1</v>
      </c>
      <c r="K624" s="15"/>
      <c r="L624" s="15"/>
      <c r="M624" s="15"/>
      <c r="N624" s="15"/>
      <c r="O624" s="15"/>
      <c r="P624" s="15"/>
      <c r="Q624" s="15"/>
    </row>
    <row r="625" spans="2:17" x14ac:dyDescent="0.2">
      <c r="B625" t="s">
        <v>1525</v>
      </c>
      <c r="C625" s="72" t="s">
        <v>2872</v>
      </c>
      <c r="D625" s="51" t="s">
        <v>1455</v>
      </c>
      <c r="E625" s="74">
        <v>-0.35244832786883901</v>
      </c>
      <c r="F625" s="74">
        <v>7.8155431085253704E-2</v>
      </c>
      <c r="G625" s="74">
        <v>6.4955473756448601E-6</v>
      </c>
      <c r="H625" s="74">
        <v>5.4771738446851899E-5</v>
      </c>
      <c r="I625" s="74">
        <v>7.4486983492449201E-5</v>
      </c>
      <c r="J625" s="74">
        <v>6.8528024813053201E-3</v>
      </c>
      <c r="K625" s="15"/>
      <c r="L625" s="15"/>
      <c r="M625" s="15"/>
      <c r="N625" s="15"/>
      <c r="O625" s="15"/>
      <c r="P625" s="15"/>
      <c r="Q625" s="15"/>
    </row>
    <row r="626" spans="2:17" x14ac:dyDescent="0.2">
      <c r="B626" t="s">
        <v>1525</v>
      </c>
      <c r="C626" s="72" t="s">
        <v>2872</v>
      </c>
      <c r="D626" t="s">
        <v>1461</v>
      </c>
      <c r="E626" s="15">
        <v>-0.198238858540184</v>
      </c>
      <c r="F626" s="15">
        <v>7.3860200318250302E-2</v>
      </c>
      <c r="G626" s="15">
        <v>7.2752760160815699E-3</v>
      </c>
      <c r="H626" s="15">
        <v>1.55058913070021E-2</v>
      </c>
      <c r="I626" s="15">
        <v>2.39109538846295E-2</v>
      </c>
      <c r="J626" s="15">
        <v>1</v>
      </c>
      <c r="K626" s="15"/>
      <c r="L626" s="15"/>
      <c r="M626" s="15"/>
      <c r="N626" s="15"/>
      <c r="O626" s="15"/>
      <c r="P626" s="15"/>
      <c r="Q626" s="15"/>
    </row>
    <row r="627" spans="2:17" x14ac:dyDescent="0.2">
      <c r="B627" t="s">
        <v>1525</v>
      </c>
      <c r="C627" s="72" t="s">
        <v>2872</v>
      </c>
      <c r="D627" t="s">
        <v>1462</v>
      </c>
      <c r="E627" s="15">
        <v>-0.36636440140697302</v>
      </c>
      <c r="F627" s="15">
        <v>9.7892981273468002E-2</v>
      </c>
      <c r="G627" s="15">
        <v>1.8219913304381801E-4</v>
      </c>
      <c r="H627" s="15">
        <v>6.8650030486152897E-4</v>
      </c>
      <c r="I627" s="15">
        <v>1.0921595759160699E-3</v>
      </c>
      <c r="J627" s="15">
        <v>0.192220085361228</v>
      </c>
      <c r="K627" s="15"/>
      <c r="L627" s="15"/>
      <c r="M627" s="15"/>
      <c r="N627" s="15"/>
      <c r="O627" s="15"/>
      <c r="P627" s="15"/>
      <c r="Q627" s="15"/>
    </row>
    <row r="628" spans="2:17" x14ac:dyDescent="0.2">
      <c r="B628" t="s">
        <v>1525</v>
      </c>
      <c r="C628" s="72" t="s">
        <v>2872</v>
      </c>
      <c r="D628" t="s">
        <v>1472</v>
      </c>
      <c r="E628" s="15">
        <v>-0.23115538118215201</v>
      </c>
      <c r="F628" s="15">
        <v>7.71201945284158E-2</v>
      </c>
      <c r="G628" s="15">
        <v>2.7234750559273898E-3</v>
      </c>
      <c r="H628" s="15">
        <v>6.8918192683642904E-3</v>
      </c>
      <c r="I628" s="15">
        <v>1.0721142477624601E-2</v>
      </c>
      <c r="J628" s="15">
        <v>1</v>
      </c>
      <c r="K628" s="15"/>
      <c r="L628" s="15"/>
      <c r="M628" s="15"/>
      <c r="N628" s="15"/>
      <c r="O628" s="15"/>
      <c r="P628" s="15"/>
      <c r="Q628" s="15"/>
    </row>
    <row r="629" spans="2:17" x14ac:dyDescent="0.2">
      <c r="B629" t="s">
        <v>1525</v>
      </c>
      <c r="C629" s="72" t="s">
        <v>2872</v>
      </c>
      <c r="D629" t="s">
        <v>1476</v>
      </c>
      <c r="E629" s="15">
        <v>-6.8245253068811795E-2</v>
      </c>
      <c r="F629" s="15">
        <v>5.1297975510937302E-2</v>
      </c>
      <c r="G629" s="15">
        <v>0.18339661610081801</v>
      </c>
      <c r="H629" s="15">
        <v>0.24185428748295401</v>
      </c>
      <c r="I629" s="15">
        <v>0.327383130264573</v>
      </c>
      <c r="J629" s="15">
        <v>1</v>
      </c>
      <c r="K629" s="15"/>
      <c r="L629" s="15"/>
      <c r="M629" s="15"/>
      <c r="N629" s="15"/>
      <c r="O629" s="15"/>
      <c r="P629" s="15"/>
      <c r="Q629" s="15"/>
    </row>
    <row r="630" spans="2:17" x14ac:dyDescent="0.2">
      <c r="B630" t="s">
        <v>1525</v>
      </c>
      <c r="C630" s="72" t="s">
        <v>2872</v>
      </c>
      <c r="D630" t="s">
        <v>3221</v>
      </c>
      <c r="E630" s="15">
        <v>-6.3936998966268296E-2</v>
      </c>
      <c r="F630" s="15">
        <v>5.8226507659414999E-2</v>
      </c>
      <c r="G630" s="15">
        <v>0.27217229153776101</v>
      </c>
      <c r="H630" s="15">
        <v>0.33388577624690502</v>
      </c>
      <c r="I630" s="15">
        <v>0.43440509466314398</v>
      </c>
      <c r="J630" s="15">
        <v>1</v>
      </c>
      <c r="K630" s="15"/>
      <c r="L630" s="15"/>
      <c r="M630" s="15"/>
      <c r="N630" s="15"/>
      <c r="O630" s="15"/>
      <c r="P630" s="15"/>
      <c r="Q630" s="15"/>
    </row>
    <row r="631" spans="2:17" x14ac:dyDescent="0.2">
      <c r="B631" t="s">
        <v>1525</v>
      </c>
      <c r="C631" s="72" t="s">
        <v>2872</v>
      </c>
      <c r="D631" t="s">
        <v>3222</v>
      </c>
      <c r="E631" s="15">
        <v>-0.237552183629087</v>
      </c>
      <c r="F631" s="15">
        <v>7.3669074390731906E-2</v>
      </c>
      <c r="G631" s="15">
        <v>1.26155451136348E-3</v>
      </c>
      <c r="H631" s="15">
        <v>3.74912678729148E-3</v>
      </c>
      <c r="I631" s="15">
        <v>5.7616450627206699E-3</v>
      </c>
      <c r="J631" s="15">
        <v>1</v>
      </c>
      <c r="K631" s="15"/>
      <c r="L631" s="15"/>
      <c r="M631" s="15"/>
      <c r="N631" s="15"/>
      <c r="O631" s="15"/>
      <c r="P631" s="15"/>
      <c r="Q631" s="15"/>
    </row>
    <row r="632" spans="2:17" x14ac:dyDescent="0.2">
      <c r="B632" t="s">
        <v>1525</v>
      </c>
      <c r="C632" s="72" t="s">
        <v>2872</v>
      </c>
      <c r="D632" t="s">
        <v>3223</v>
      </c>
      <c r="E632" s="15">
        <v>7.9054267481520002E-2</v>
      </c>
      <c r="F632" s="15">
        <v>4.6492274767354298E-2</v>
      </c>
      <c r="G632" s="15">
        <v>8.9060549572784004E-2</v>
      </c>
      <c r="H632" s="15">
        <v>0.12783521061127501</v>
      </c>
      <c r="I632" s="15">
        <v>0.188294348295165</v>
      </c>
      <c r="J632" s="15">
        <v>1</v>
      </c>
      <c r="K632" s="15"/>
      <c r="L632" s="15"/>
      <c r="M632" s="15"/>
      <c r="N632" s="15"/>
      <c r="O632" s="15"/>
      <c r="P632" s="15"/>
      <c r="Q632" s="15"/>
    </row>
    <row r="633" spans="2:17" x14ac:dyDescent="0.2">
      <c r="B633" t="s">
        <v>1525</v>
      </c>
      <c r="C633" s="72" t="s">
        <v>2872</v>
      </c>
      <c r="D633" t="s">
        <v>784</v>
      </c>
      <c r="E633" s="15">
        <v>-1.56950962996685E-2</v>
      </c>
      <c r="F633" s="15">
        <v>1.5064967524901E-2</v>
      </c>
      <c r="G633" s="15">
        <v>0.29755326127352699</v>
      </c>
      <c r="H633" s="15">
        <v>0.35672578482223999</v>
      </c>
      <c r="I633" s="15">
        <v>0.46164513329937001</v>
      </c>
      <c r="J633" s="15">
        <v>1</v>
      </c>
      <c r="K633" s="15"/>
      <c r="L633" s="15"/>
      <c r="M633" s="15"/>
      <c r="N633" s="15"/>
      <c r="O633" s="15"/>
      <c r="P633" s="15"/>
      <c r="Q633" s="15"/>
    </row>
    <row r="634" spans="2:17" x14ac:dyDescent="0.2">
      <c r="B634" t="s">
        <v>1525</v>
      </c>
      <c r="C634" s="72" t="s">
        <v>2872</v>
      </c>
      <c r="D634" t="s">
        <v>788</v>
      </c>
      <c r="E634" s="15">
        <v>-6.45381833361117E-3</v>
      </c>
      <c r="F634" s="15">
        <v>1.54284552349572E-2</v>
      </c>
      <c r="G634" s="15">
        <v>0.67574625901506902</v>
      </c>
      <c r="H634" s="15">
        <v>0.70936547588149002</v>
      </c>
      <c r="I634" s="15">
        <v>0.81475691801245398</v>
      </c>
      <c r="J634" s="15">
        <v>1</v>
      </c>
      <c r="K634" s="15"/>
      <c r="L634" s="15"/>
      <c r="M634" s="15"/>
      <c r="N634" s="15"/>
      <c r="O634" s="15"/>
      <c r="P634" s="15"/>
      <c r="Q634" s="15"/>
    </row>
    <row r="635" spans="2:17" x14ac:dyDescent="0.2">
      <c r="B635" t="s">
        <v>1525</v>
      </c>
      <c r="C635" s="72" t="s">
        <v>2872</v>
      </c>
      <c r="D635" t="s">
        <v>794</v>
      </c>
      <c r="E635" s="15">
        <v>-3.97255346578907E-2</v>
      </c>
      <c r="F635" s="15">
        <v>1.42973555000146E-2</v>
      </c>
      <c r="G635" s="15">
        <v>5.4843403244398898E-3</v>
      </c>
      <c r="H635" s="15">
        <v>1.2310593706987401E-2</v>
      </c>
      <c r="I635" s="15">
        <v>1.9351100475866499E-2</v>
      </c>
      <c r="J635" s="15">
        <v>1</v>
      </c>
      <c r="K635" s="15"/>
      <c r="L635" s="15"/>
      <c r="M635" s="15"/>
      <c r="N635" s="15"/>
      <c r="O635" s="15"/>
      <c r="P635" s="15"/>
      <c r="Q635" s="15"/>
    </row>
    <row r="636" spans="2:17" x14ac:dyDescent="0.2">
      <c r="B636" t="s">
        <v>1525</v>
      </c>
      <c r="C636" s="72" t="s">
        <v>2872</v>
      </c>
      <c r="D636" t="s">
        <v>814</v>
      </c>
      <c r="E636" s="15">
        <v>5.6605725285372001E-3</v>
      </c>
      <c r="F636" s="15">
        <v>1.54489987056613E-2</v>
      </c>
      <c r="G636" s="15">
        <v>0.71408306454844594</v>
      </c>
      <c r="H636" s="15">
        <v>0.74222426906267103</v>
      </c>
      <c r="I636" s="15">
        <v>0.84186126713040998</v>
      </c>
      <c r="J636" s="15">
        <v>1</v>
      </c>
      <c r="K636" s="15"/>
      <c r="L636" s="15"/>
      <c r="M636" s="15"/>
      <c r="N636" s="15"/>
      <c r="O636" s="15"/>
      <c r="P636" s="15"/>
      <c r="Q636" s="15"/>
    </row>
    <row r="637" spans="2:17" x14ac:dyDescent="0.2">
      <c r="B637" t="s">
        <v>1525</v>
      </c>
      <c r="C637" s="72" t="s">
        <v>2872</v>
      </c>
      <c r="D637" t="s">
        <v>94</v>
      </c>
      <c r="E637" s="15">
        <v>-9.6482171147744007E-3</v>
      </c>
      <c r="F637" s="15">
        <v>1.3698981033071701E-2</v>
      </c>
      <c r="G637" s="15">
        <v>0.48128765961023801</v>
      </c>
      <c r="H637" s="15">
        <v>0.54073954240512601</v>
      </c>
      <c r="I637" s="15">
        <v>0.64804785637015705</v>
      </c>
      <c r="J637" s="15">
        <v>1</v>
      </c>
      <c r="K637" s="15"/>
      <c r="L637" s="15"/>
      <c r="M637" s="15"/>
      <c r="N637" s="15"/>
      <c r="O637" s="15"/>
      <c r="P637" s="15"/>
      <c r="Q637" s="15"/>
    </row>
    <row r="638" spans="2:17" x14ac:dyDescent="0.2">
      <c r="B638" t="s">
        <v>1524</v>
      </c>
      <c r="C638" s="72" t="s">
        <v>2870</v>
      </c>
      <c r="D638" t="s">
        <v>784</v>
      </c>
      <c r="E638" s="15">
        <v>2.5286648933480701E-2</v>
      </c>
      <c r="F638" s="15">
        <v>1.7499430595068501E-2</v>
      </c>
      <c r="G638" s="15">
        <v>0.14853535546398</v>
      </c>
      <c r="H638" s="15">
        <v>0.199623949063055</v>
      </c>
      <c r="I638" s="15">
        <v>0.28303703686090598</v>
      </c>
      <c r="J638" s="15">
        <v>1</v>
      </c>
      <c r="K638" s="15"/>
      <c r="L638" s="15"/>
      <c r="M638" s="15"/>
      <c r="N638" s="15"/>
      <c r="O638" s="15"/>
      <c r="P638" s="15"/>
      <c r="Q638" s="15"/>
    </row>
    <row r="639" spans="2:17" x14ac:dyDescent="0.2">
      <c r="B639" t="s">
        <v>1524</v>
      </c>
      <c r="C639" s="72" t="s">
        <v>2870</v>
      </c>
      <c r="D639" t="s">
        <v>788</v>
      </c>
      <c r="E639" s="15">
        <v>2.1112506698658901E-2</v>
      </c>
      <c r="F639" s="15">
        <v>1.79255889579099E-2</v>
      </c>
      <c r="G639" s="15">
        <v>0.23895360621366599</v>
      </c>
      <c r="H639" s="15">
        <v>0.29658359359460901</v>
      </c>
      <c r="I639" s="15">
        <v>0.39825601035611002</v>
      </c>
      <c r="J639" s="15">
        <v>1</v>
      </c>
      <c r="K639" s="15"/>
      <c r="L639" s="15"/>
      <c r="M639" s="15"/>
      <c r="N639" s="15"/>
      <c r="O639" s="15"/>
      <c r="P639" s="15"/>
      <c r="Q639" s="15"/>
    </row>
    <row r="640" spans="2:17" x14ac:dyDescent="0.2">
      <c r="B640" t="s">
        <v>1524</v>
      </c>
      <c r="C640" s="72" t="s">
        <v>2870</v>
      </c>
      <c r="D640" t="s">
        <v>794</v>
      </c>
      <c r="E640" s="15">
        <v>-4.5918502405980999E-2</v>
      </c>
      <c r="F640" s="15">
        <v>1.65907947916283E-2</v>
      </c>
      <c r="G640" s="15">
        <v>5.6694923711289296E-3</v>
      </c>
      <c r="H640" s="15">
        <v>1.2083463538466699E-2</v>
      </c>
      <c r="I640" s="15">
        <v>1.9740311721257502E-2</v>
      </c>
      <c r="J640" s="15">
        <v>1</v>
      </c>
      <c r="K640" s="15"/>
      <c r="L640" s="15"/>
      <c r="M640" s="15"/>
      <c r="N640" s="15"/>
      <c r="O640" s="15"/>
      <c r="P640" s="15"/>
      <c r="Q640" s="15"/>
    </row>
    <row r="641" spans="2:17" x14ac:dyDescent="0.2">
      <c r="B641" t="s">
        <v>1524</v>
      </c>
      <c r="C641" s="72" t="s">
        <v>2870</v>
      </c>
      <c r="D641" t="s">
        <v>814</v>
      </c>
      <c r="E641" s="15">
        <v>1.18577088218095E-2</v>
      </c>
      <c r="F641" s="15">
        <v>1.7900997223754499E-2</v>
      </c>
      <c r="G641" s="15">
        <v>0.507749970008886</v>
      </c>
      <c r="H641" s="15">
        <v>0.55799606079101605</v>
      </c>
      <c r="I641" s="15">
        <v>0.67075177587776502</v>
      </c>
      <c r="J641" s="15">
        <v>1</v>
      </c>
      <c r="K641" s="15"/>
      <c r="L641" s="15"/>
      <c r="M641" s="15"/>
      <c r="N641" s="15"/>
      <c r="O641" s="15"/>
      <c r="P641" s="15"/>
      <c r="Q641" s="15"/>
    </row>
    <row r="642" spans="2:17" x14ac:dyDescent="0.2">
      <c r="B642" t="s">
        <v>1524</v>
      </c>
      <c r="C642" s="72" t="s">
        <v>2870</v>
      </c>
      <c r="D642" t="s">
        <v>94</v>
      </c>
      <c r="E642" s="15">
        <v>-2.5977832663768598E-2</v>
      </c>
      <c r="F642" s="15">
        <v>1.6091390514875799E-2</v>
      </c>
      <c r="G642" s="15">
        <v>0.10652072802105</v>
      </c>
      <c r="H642" s="15">
        <v>0.148846845115507</v>
      </c>
      <c r="I642" s="15">
        <v>0.218636902844762</v>
      </c>
      <c r="J642" s="15">
        <v>1</v>
      </c>
      <c r="K642" s="15"/>
      <c r="L642" s="15"/>
      <c r="M642" s="15"/>
      <c r="N642" s="15"/>
      <c r="O642" s="15"/>
      <c r="P642" s="15"/>
      <c r="Q642" s="15"/>
    </row>
    <row r="643" spans="2:17" x14ac:dyDescent="0.2">
      <c r="B643" t="s">
        <v>1524</v>
      </c>
      <c r="C643" s="72" t="s">
        <v>2870</v>
      </c>
      <c r="D643" t="s">
        <v>117</v>
      </c>
      <c r="E643" s="15">
        <v>1.12427994002761E-2</v>
      </c>
      <c r="F643" s="15">
        <v>1.74368314848872E-2</v>
      </c>
      <c r="G643" s="15">
        <v>0.519108704756851</v>
      </c>
      <c r="H643" s="15">
        <v>0.56459761187472002</v>
      </c>
      <c r="I643" s="15">
        <v>0.67947851553161098</v>
      </c>
      <c r="J643" s="15">
        <v>1</v>
      </c>
      <c r="K643" s="15"/>
      <c r="L643" s="15"/>
      <c r="M643" s="15"/>
      <c r="N643" s="15"/>
      <c r="O643" s="15"/>
      <c r="P643" s="15"/>
      <c r="Q643" s="15"/>
    </row>
    <row r="644" spans="2:17" x14ac:dyDescent="0.2">
      <c r="B644" t="s">
        <v>1524</v>
      </c>
      <c r="C644" s="72" t="s">
        <v>2870</v>
      </c>
      <c r="D644" t="s">
        <v>861</v>
      </c>
      <c r="E644" s="15">
        <v>-3.8163281181365201E-2</v>
      </c>
      <c r="F644" s="15">
        <v>1.72145543879333E-2</v>
      </c>
      <c r="G644" s="15">
        <v>2.6682783085776901E-2</v>
      </c>
      <c r="H644" s="15">
        <v>4.6529481248751503E-2</v>
      </c>
      <c r="I644" s="15">
        <v>7.23659027133539E-2</v>
      </c>
      <c r="J644" s="15">
        <v>1</v>
      </c>
      <c r="K644" s="15"/>
      <c r="L644" s="15"/>
      <c r="M644" s="15"/>
      <c r="N644" s="15"/>
      <c r="O644" s="15"/>
      <c r="P644" s="15"/>
      <c r="Q644" s="15"/>
    </row>
    <row r="645" spans="2:17" x14ac:dyDescent="0.2">
      <c r="B645" t="s">
        <v>1524</v>
      </c>
      <c r="C645" s="72" t="s">
        <v>2870</v>
      </c>
      <c r="D645" t="s">
        <v>862</v>
      </c>
      <c r="E645" s="15">
        <v>6.14306935316817E-2</v>
      </c>
      <c r="F645" s="15">
        <v>1.74777391012634E-2</v>
      </c>
      <c r="G645" s="15">
        <v>4.4475272318289597E-4</v>
      </c>
      <c r="H645" s="15">
        <v>1.4269362900335E-3</v>
      </c>
      <c r="I645" s="15">
        <v>2.3782271500558398E-3</v>
      </c>
      <c r="J645" s="15">
        <v>0.469214122957955</v>
      </c>
      <c r="K645" s="15"/>
      <c r="L645" s="15"/>
      <c r="M645" s="15"/>
      <c r="N645" s="15"/>
      <c r="O645" s="15"/>
      <c r="P645" s="15"/>
      <c r="Q645" s="15"/>
    </row>
    <row r="646" spans="2:17" x14ac:dyDescent="0.2">
      <c r="B646" t="s">
        <v>1524</v>
      </c>
      <c r="C646" s="72" t="s">
        <v>2870</v>
      </c>
      <c r="D646" t="s">
        <v>857</v>
      </c>
      <c r="E646" s="15">
        <v>-3.4724388705675201E-2</v>
      </c>
      <c r="F646" s="15">
        <v>1.7218631055343499E-2</v>
      </c>
      <c r="G646" s="15">
        <v>4.3792340126696298E-2</v>
      </c>
      <c r="H646" s="15">
        <v>7.0001392172219207E-2</v>
      </c>
      <c r="I646" s="15">
        <v>0.107946072041273</v>
      </c>
      <c r="J646" s="15">
        <v>1</v>
      </c>
      <c r="K646" s="15"/>
      <c r="L646" s="15"/>
      <c r="M646" s="15"/>
      <c r="N646" s="15"/>
      <c r="O646" s="15"/>
      <c r="P646" s="15"/>
      <c r="Q646" s="15"/>
    </row>
    <row r="647" spans="2:17" x14ac:dyDescent="0.2">
      <c r="B647" t="s">
        <v>1524</v>
      </c>
      <c r="C647" s="72" t="s">
        <v>2870</v>
      </c>
      <c r="D647" s="51" t="s">
        <v>865</v>
      </c>
      <c r="E647" s="74">
        <v>-0.13452442978245099</v>
      </c>
      <c r="F647" s="74">
        <v>1.7058959498625601E-2</v>
      </c>
      <c r="G647" s="74">
        <v>3.9004505256452997E-15</v>
      </c>
      <c r="H647" s="74">
        <v>2.7433168697038602E-13</v>
      </c>
      <c r="I647" s="74">
        <v>6.8582921742596502E-13</v>
      </c>
      <c r="J647" s="74">
        <v>4.1149753045557897E-12</v>
      </c>
      <c r="K647" s="15"/>
      <c r="L647" s="15"/>
      <c r="M647" s="15"/>
      <c r="N647" s="15"/>
      <c r="O647" s="15"/>
      <c r="P647" s="15"/>
      <c r="Q647" s="15"/>
    </row>
    <row r="648" spans="2:17" x14ac:dyDescent="0.2">
      <c r="B648" t="s">
        <v>1524</v>
      </c>
      <c r="C648" s="72" t="s">
        <v>2870</v>
      </c>
      <c r="D648" t="s">
        <v>209</v>
      </c>
      <c r="E648" s="15">
        <v>3.4188666683987498E-2</v>
      </c>
      <c r="F648" s="15">
        <v>1.6864589560781101E-2</v>
      </c>
      <c r="G648" s="15">
        <v>4.2695396863483698E-2</v>
      </c>
      <c r="H648" s="15">
        <v>6.9401621194932803E-2</v>
      </c>
      <c r="I648" s="15">
        <v>0.106099133790221</v>
      </c>
      <c r="J648" s="15">
        <v>1</v>
      </c>
      <c r="K648" s="15"/>
      <c r="L648" s="15"/>
      <c r="M648" s="15"/>
      <c r="N648" s="15"/>
      <c r="O648" s="15"/>
      <c r="P648" s="15"/>
      <c r="Q648" s="15"/>
    </row>
    <row r="649" spans="2:17" x14ac:dyDescent="0.2">
      <c r="B649" t="s">
        <v>1524</v>
      </c>
      <c r="C649" s="72" t="s">
        <v>2870</v>
      </c>
      <c r="D649" t="s">
        <v>208</v>
      </c>
      <c r="E649" s="15">
        <v>2.5964053549854899E-2</v>
      </c>
      <c r="F649" s="15">
        <v>1.7052503787669201E-2</v>
      </c>
      <c r="G649" s="15">
        <v>0.127927876087255</v>
      </c>
      <c r="H649" s="15">
        <v>0.17527780424942099</v>
      </c>
      <c r="I649" s="15">
        <v>0.251933452555338</v>
      </c>
      <c r="J649" s="15">
        <v>1</v>
      </c>
      <c r="K649" s="15"/>
      <c r="L649" s="15"/>
      <c r="M649" s="15"/>
      <c r="N649" s="15"/>
      <c r="O649" s="15"/>
      <c r="P649" s="15"/>
      <c r="Q649" s="15"/>
    </row>
    <row r="650" spans="2:17" x14ac:dyDescent="0.2">
      <c r="B650" t="s">
        <v>1524</v>
      </c>
      <c r="C650" s="72" t="s">
        <v>2870</v>
      </c>
      <c r="D650" t="s">
        <v>196</v>
      </c>
      <c r="E650" s="15">
        <v>-3.3013094718832001E-2</v>
      </c>
      <c r="F650" s="15">
        <v>1.7105958535257398E-2</v>
      </c>
      <c r="G650" s="15">
        <v>5.3678419089824299E-2</v>
      </c>
      <c r="H650" s="15">
        <v>8.0327279630871898E-2</v>
      </c>
      <c r="I650" s="15">
        <v>0.12639997564310901</v>
      </c>
      <c r="J650" s="15">
        <v>1</v>
      </c>
      <c r="K650" s="15"/>
      <c r="L650" s="15"/>
      <c r="M650" s="15"/>
      <c r="N650" s="15"/>
      <c r="O650" s="15"/>
      <c r="P650" s="15"/>
      <c r="Q650" s="15"/>
    </row>
    <row r="651" spans="2:17" x14ac:dyDescent="0.2">
      <c r="B651" t="s">
        <v>1524</v>
      </c>
      <c r="C651" s="72" t="s">
        <v>2870</v>
      </c>
      <c r="D651" t="s">
        <v>201</v>
      </c>
      <c r="E651" s="15">
        <v>4.54058127093857E-2</v>
      </c>
      <c r="F651" s="15">
        <v>1.7184959166371801E-2</v>
      </c>
      <c r="G651" s="15">
        <v>8.2656212599657494E-3</v>
      </c>
      <c r="H651" s="15">
        <v>1.6769673902430501E-2</v>
      </c>
      <c r="I651" s="15">
        <v>2.64247321365653E-2</v>
      </c>
      <c r="J651" s="15">
        <v>1</v>
      </c>
      <c r="K651" s="15"/>
      <c r="L651" s="15"/>
      <c r="M651" s="15"/>
      <c r="N651" s="15"/>
      <c r="O651" s="15"/>
      <c r="P651" s="15"/>
      <c r="Q651" s="15"/>
    </row>
    <row r="652" spans="2:17" x14ac:dyDescent="0.2">
      <c r="B652" t="s">
        <v>1524</v>
      </c>
      <c r="C652" s="72" t="s">
        <v>2870</v>
      </c>
      <c r="D652" t="s">
        <v>866</v>
      </c>
      <c r="E652" s="15">
        <v>-1.2436265293687901E-2</v>
      </c>
      <c r="F652" s="15">
        <v>1.71330553259765E-2</v>
      </c>
      <c r="G652" s="15">
        <v>0.46796087386457702</v>
      </c>
      <c r="H652" s="15">
        <v>0.53085884078185896</v>
      </c>
      <c r="I652" s="15">
        <v>0.638678812324875</v>
      </c>
      <c r="J652" s="15">
        <v>1</v>
      </c>
      <c r="K652" s="15"/>
      <c r="L652" s="15"/>
      <c r="M652" s="15"/>
      <c r="N652" s="15"/>
      <c r="O652" s="15"/>
      <c r="P652" s="15"/>
      <c r="Q652" s="15"/>
    </row>
    <row r="653" spans="2:17" x14ac:dyDescent="0.2">
      <c r="B653" t="s">
        <v>1524</v>
      </c>
      <c r="C653" s="72" t="s">
        <v>2870</v>
      </c>
      <c r="D653" t="s">
        <v>869</v>
      </c>
      <c r="E653" s="15">
        <v>-1.51794178535618E-2</v>
      </c>
      <c r="F653" s="15">
        <v>1.7054514806914299E-2</v>
      </c>
      <c r="G653" s="15">
        <v>0.37348567995913001</v>
      </c>
      <c r="H653" s="15">
        <v>0.43063102989823099</v>
      </c>
      <c r="I653" s="15">
        <v>0.54199091108236797</v>
      </c>
      <c r="J653" s="15">
        <v>1</v>
      </c>
      <c r="K653" s="15"/>
      <c r="L653" s="15"/>
      <c r="M653" s="15"/>
      <c r="N653" s="15"/>
      <c r="O653" s="15"/>
      <c r="P653" s="15"/>
      <c r="Q653" s="15"/>
    </row>
    <row r="654" spans="2:17" x14ac:dyDescent="0.2">
      <c r="B654" t="s">
        <v>1524</v>
      </c>
      <c r="C654" s="72" t="s">
        <v>2870</v>
      </c>
      <c r="D654" t="s">
        <v>169</v>
      </c>
      <c r="E654" s="15">
        <v>-3.7512033342412501E-2</v>
      </c>
      <c r="F654" s="15">
        <v>1.69164166664637E-2</v>
      </c>
      <c r="G654" s="15">
        <v>2.66399430278207E-2</v>
      </c>
      <c r="H654" s="15">
        <v>4.6529481248751503E-2</v>
      </c>
      <c r="I654" s="15">
        <v>7.23659027133539E-2</v>
      </c>
      <c r="J654" s="15">
        <v>1</v>
      </c>
      <c r="K654" s="15"/>
      <c r="L654" s="15"/>
      <c r="M654" s="15"/>
      <c r="N654" s="15"/>
      <c r="O654" s="15"/>
      <c r="P654" s="15"/>
      <c r="Q654" s="15"/>
    </row>
    <row r="655" spans="2:17" x14ac:dyDescent="0.2">
      <c r="B655" t="s">
        <v>1524</v>
      </c>
      <c r="C655" s="72" t="s">
        <v>2870</v>
      </c>
      <c r="D655" t="s">
        <v>172</v>
      </c>
      <c r="E655" s="15">
        <v>-1.1921092742077401E-2</v>
      </c>
      <c r="F655" s="15">
        <v>1.6890664870737999E-2</v>
      </c>
      <c r="G655" s="15">
        <v>0.48036145615153703</v>
      </c>
      <c r="H655" s="15">
        <v>0.54118890133039699</v>
      </c>
      <c r="I655" s="15">
        <v>0.64804785637015705</v>
      </c>
      <c r="J655" s="15">
        <v>1</v>
      </c>
      <c r="K655" s="15"/>
      <c r="L655" s="15"/>
      <c r="M655" s="15"/>
      <c r="N655" s="15"/>
      <c r="O655" s="15"/>
      <c r="P655" s="15"/>
      <c r="Q655" s="15"/>
    </row>
    <row r="656" spans="2:17" x14ac:dyDescent="0.2">
      <c r="B656" t="s">
        <v>1524</v>
      </c>
      <c r="C656" s="72" t="s">
        <v>2870</v>
      </c>
      <c r="D656" t="s">
        <v>174</v>
      </c>
      <c r="E656" s="15">
        <v>1.8386648514868899E-2</v>
      </c>
      <c r="F656" s="15">
        <v>1.7123464751022201E-2</v>
      </c>
      <c r="G656" s="15">
        <v>0.282984126720075</v>
      </c>
      <c r="H656" s="15">
        <v>0.34119800421677599</v>
      </c>
      <c r="I656" s="15">
        <v>0.445594408492058</v>
      </c>
      <c r="J656" s="15">
        <v>1</v>
      </c>
      <c r="K656" s="15"/>
      <c r="L656" s="15"/>
      <c r="M656" s="15"/>
      <c r="N656" s="15"/>
      <c r="O656" s="15"/>
      <c r="P656" s="15"/>
      <c r="Q656" s="15"/>
    </row>
    <row r="657" spans="2:17" x14ac:dyDescent="0.2">
      <c r="B657" t="s">
        <v>1524</v>
      </c>
      <c r="C657" s="72" t="s">
        <v>2870</v>
      </c>
      <c r="D657" s="51" t="s">
        <v>175</v>
      </c>
      <c r="E657" s="74">
        <v>7.1185628493485101E-2</v>
      </c>
      <c r="F657" s="74">
        <v>1.7037482954606602E-2</v>
      </c>
      <c r="G657" s="74">
        <v>2.99539588234899E-5</v>
      </c>
      <c r="H657" s="74">
        <v>1.34474155569284E-4</v>
      </c>
      <c r="I657" s="74">
        <v>2.3583154148344699E-4</v>
      </c>
      <c r="J657" s="74">
        <v>3.1601426558781801E-2</v>
      </c>
      <c r="K657" s="15"/>
      <c r="L657" s="15"/>
      <c r="M657" s="15"/>
      <c r="N657" s="15"/>
      <c r="O657" s="15"/>
      <c r="P657" s="15"/>
      <c r="Q657" s="15"/>
    </row>
    <row r="658" spans="2:17" x14ac:dyDescent="0.2">
      <c r="B658" t="s">
        <v>1524</v>
      </c>
      <c r="C658" s="72" t="s">
        <v>2870</v>
      </c>
      <c r="D658" t="s">
        <v>176</v>
      </c>
      <c r="E658" s="15">
        <v>-1.08555593951551E-2</v>
      </c>
      <c r="F658" s="15">
        <v>1.69553903299062E-2</v>
      </c>
      <c r="G658" s="15">
        <v>0.52204858473028204</v>
      </c>
      <c r="H658" s="15">
        <v>0.56488334040045896</v>
      </c>
      <c r="I658" s="15">
        <v>0.68079265375827902</v>
      </c>
      <c r="J658" s="15">
        <v>1</v>
      </c>
      <c r="K658" s="15"/>
      <c r="L658" s="15"/>
      <c r="M658" s="15"/>
      <c r="N658" s="15"/>
      <c r="O658" s="15"/>
      <c r="P658" s="15"/>
      <c r="Q658" s="15"/>
    </row>
    <row r="659" spans="2:17" x14ac:dyDescent="0.2">
      <c r="B659" t="s">
        <v>1524</v>
      </c>
      <c r="C659" s="72" t="s">
        <v>2870</v>
      </c>
      <c r="D659" t="s">
        <v>177</v>
      </c>
      <c r="E659" s="15">
        <v>-1.14799027625595E-2</v>
      </c>
      <c r="F659" s="15">
        <v>1.68531826184713E-2</v>
      </c>
      <c r="G659" s="15">
        <v>0.49579843578303201</v>
      </c>
      <c r="H659" s="15">
        <v>0.55032703410014605</v>
      </c>
      <c r="I659" s="15">
        <v>0.66043857291805397</v>
      </c>
      <c r="J659" s="15">
        <v>1</v>
      </c>
      <c r="K659" s="15"/>
      <c r="L659" s="15"/>
      <c r="M659" s="15"/>
      <c r="N659" s="15"/>
      <c r="O659" s="15"/>
      <c r="P659" s="15"/>
      <c r="Q659" s="15"/>
    </row>
    <row r="660" spans="2:17" x14ac:dyDescent="0.2">
      <c r="B660" t="s">
        <v>1524</v>
      </c>
      <c r="C660" s="72" t="s">
        <v>2870</v>
      </c>
      <c r="D660" t="s">
        <v>178</v>
      </c>
      <c r="E660" s="15">
        <v>-1.04656889148632E-2</v>
      </c>
      <c r="F660" s="15">
        <v>1.69246218785493E-2</v>
      </c>
      <c r="G660" s="15">
        <v>0.53636240172248695</v>
      </c>
      <c r="H660" s="15">
        <v>0.57447952671799296</v>
      </c>
      <c r="I660" s="15">
        <v>0.69345874242306804</v>
      </c>
      <c r="J660" s="15">
        <v>1</v>
      </c>
      <c r="K660" s="15"/>
      <c r="L660" s="15"/>
      <c r="M660" s="15"/>
      <c r="N660" s="15"/>
      <c r="O660" s="15"/>
      <c r="P660" s="15"/>
      <c r="Q660" s="15"/>
    </row>
    <row r="661" spans="2:17" x14ac:dyDescent="0.2">
      <c r="B661" t="s">
        <v>1524</v>
      </c>
      <c r="C661" s="72" t="s">
        <v>2870</v>
      </c>
      <c r="D661" t="s">
        <v>179</v>
      </c>
      <c r="E661" s="15">
        <v>-2.3071951727622501E-2</v>
      </c>
      <c r="F661" s="15">
        <v>1.6997975441934099E-2</v>
      </c>
      <c r="G661" s="15">
        <v>0.17474345005490499</v>
      </c>
      <c r="H661" s="15">
        <v>0.229011602245869</v>
      </c>
      <c r="I661" s="15">
        <v>0.31730523202740901</v>
      </c>
      <c r="J661" s="15">
        <v>1</v>
      </c>
      <c r="K661" s="15"/>
      <c r="L661" s="15"/>
      <c r="M661" s="15"/>
      <c r="N661" s="15"/>
      <c r="O661" s="15"/>
      <c r="P661" s="15"/>
      <c r="Q661" s="15"/>
    </row>
    <row r="662" spans="2:17" x14ac:dyDescent="0.2">
      <c r="B662" t="s">
        <v>1524</v>
      </c>
      <c r="C662" s="72" t="s">
        <v>2870</v>
      </c>
      <c r="D662" t="s">
        <v>193</v>
      </c>
      <c r="E662" s="15">
        <v>-2.1055809482425601E-2</v>
      </c>
      <c r="F662" s="15">
        <v>1.70418152920465E-2</v>
      </c>
      <c r="G662" s="15">
        <v>0.216694657882886</v>
      </c>
      <c r="H662" s="15">
        <v>0.27215817150767202</v>
      </c>
      <c r="I662" s="15">
        <v>0.36992372826285602</v>
      </c>
      <c r="J662" s="15">
        <v>1</v>
      </c>
      <c r="K662" s="15"/>
      <c r="L662" s="15"/>
      <c r="M662" s="15"/>
      <c r="N662" s="15"/>
      <c r="O662" s="15"/>
      <c r="P662" s="15"/>
      <c r="Q662" s="15"/>
    </row>
    <row r="663" spans="2:17" x14ac:dyDescent="0.2">
      <c r="B663" t="s">
        <v>1524</v>
      </c>
      <c r="C663" s="72" t="s">
        <v>2870</v>
      </c>
      <c r="D663" t="s">
        <v>194</v>
      </c>
      <c r="E663" s="15">
        <v>2.11702429781837E-2</v>
      </c>
      <c r="F663" s="15">
        <v>1.7000380897479898E-2</v>
      </c>
      <c r="G663" s="15">
        <v>0.213093533819884</v>
      </c>
      <c r="H663" s="15">
        <v>0.26923793794009199</v>
      </c>
      <c r="I663" s="15">
        <v>0.365550696227605</v>
      </c>
      <c r="J663" s="15">
        <v>1</v>
      </c>
      <c r="K663" s="15"/>
      <c r="L663" s="15"/>
      <c r="M663" s="15"/>
      <c r="N663" s="15"/>
      <c r="O663" s="15"/>
      <c r="P663" s="15"/>
      <c r="Q663" s="15"/>
    </row>
    <row r="664" spans="2:17" x14ac:dyDescent="0.2">
      <c r="B664" t="s">
        <v>1524</v>
      </c>
      <c r="C664" s="72" t="s">
        <v>2870</v>
      </c>
      <c r="D664" t="s">
        <v>195</v>
      </c>
      <c r="E664" s="15">
        <v>-2.1279767209017902E-2</v>
      </c>
      <c r="F664" s="15">
        <v>1.6943992584267101E-2</v>
      </c>
      <c r="G664" s="15">
        <v>0.20922188694749699</v>
      </c>
      <c r="H664" s="15">
        <v>0.26593866352965001</v>
      </c>
      <c r="I664" s="15">
        <v>0.36125874096499</v>
      </c>
      <c r="J664" s="15">
        <v>1</v>
      </c>
      <c r="K664" s="15"/>
      <c r="L664" s="15"/>
      <c r="M664" s="15"/>
      <c r="N664" s="15"/>
      <c r="O664" s="15"/>
      <c r="P664" s="15"/>
      <c r="Q664" s="15"/>
    </row>
    <row r="665" spans="2:17" x14ac:dyDescent="0.2">
      <c r="B665" t="s">
        <v>1524</v>
      </c>
      <c r="C665" s="72" t="s">
        <v>2870</v>
      </c>
      <c r="D665" t="s">
        <v>890</v>
      </c>
      <c r="E665" s="15">
        <v>-2.8147396642097401E-2</v>
      </c>
      <c r="F665" s="15">
        <v>1.6796092534501102E-2</v>
      </c>
      <c r="G665" s="15">
        <v>9.3838424335839304E-2</v>
      </c>
      <c r="H665" s="15">
        <v>0.13316810725839001</v>
      </c>
      <c r="I665" s="15">
        <v>0.19681816635051799</v>
      </c>
      <c r="J665" s="15">
        <v>1</v>
      </c>
      <c r="K665" s="15"/>
      <c r="L665" s="15"/>
      <c r="M665" s="15"/>
      <c r="N665" s="15"/>
      <c r="O665" s="15"/>
      <c r="P665" s="15"/>
      <c r="Q665" s="15"/>
    </row>
    <row r="666" spans="2:17" x14ac:dyDescent="0.2">
      <c r="B666" t="s">
        <v>1524</v>
      </c>
      <c r="C666" s="72" t="s">
        <v>2870</v>
      </c>
      <c r="D666" s="51" t="s">
        <v>891</v>
      </c>
      <c r="E666" s="74">
        <v>-0.15270449016665899</v>
      </c>
      <c r="F666" s="74">
        <v>1.69066663287992E-2</v>
      </c>
      <c r="G666" s="74">
        <v>2.4326795092792898E-19</v>
      </c>
      <c r="H666" s="74">
        <v>5.1329537645792999E-17</v>
      </c>
      <c r="I666" s="74">
        <v>1.2832384411448301E-16</v>
      </c>
      <c r="J666" s="74">
        <v>2.5664768822896498E-16</v>
      </c>
      <c r="K666" s="15"/>
      <c r="L666" s="15"/>
      <c r="M666" s="15"/>
      <c r="N666" s="15"/>
      <c r="O666" s="15"/>
      <c r="P666" s="15"/>
      <c r="Q666" s="15"/>
    </row>
    <row r="667" spans="2:17" x14ac:dyDescent="0.2">
      <c r="B667" t="s">
        <v>1524</v>
      </c>
      <c r="C667" s="72" t="s">
        <v>2870</v>
      </c>
      <c r="D667" s="51" t="s">
        <v>3189</v>
      </c>
      <c r="E667" s="74">
        <v>-6.8154347993446898E-2</v>
      </c>
      <c r="F667" s="74">
        <v>1.6413742119178499E-2</v>
      </c>
      <c r="G667" s="74">
        <v>3.3526994380497801E-5</v>
      </c>
      <c r="H667" s="74">
        <v>1.4737907946427099E-4</v>
      </c>
      <c r="I667" s="74">
        <v>2.6008072846636101E-4</v>
      </c>
      <c r="J667" s="74">
        <v>3.5370979071425099E-2</v>
      </c>
      <c r="K667" s="15"/>
      <c r="L667" s="15"/>
      <c r="M667" s="15"/>
      <c r="N667" s="15"/>
      <c r="O667" s="15"/>
      <c r="P667" s="15"/>
      <c r="Q667" s="15"/>
    </row>
    <row r="668" spans="2:17" x14ac:dyDescent="0.2">
      <c r="B668" t="s">
        <v>1524</v>
      </c>
      <c r="C668" s="72" t="s">
        <v>2870</v>
      </c>
      <c r="D668" t="s">
        <v>621</v>
      </c>
      <c r="E668" s="15">
        <v>-4.8317397853646402E-2</v>
      </c>
      <c r="F668" s="15">
        <v>1.6507921417474501E-2</v>
      </c>
      <c r="G668" s="15">
        <v>3.4397486375172602E-3</v>
      </c>
      <c r="H668" s="15">
        <v>7.9756809067707997E-3</v>
      </c>
      <c r="I668" s="15">
        <v>1.29604814735025E-2</v>
      </c>
      <c r="J668" s="15">
        <v>1</v>
      </c>
      <c r="K668" s="15"/>
      <c r="L668" s="15"/>
      <c r="M668" s="15"/>
      <c r="N668" s="15"/>
      <c r="O668" s="15"/>
      <c r="P668" s="15"/>
      <c r="Q668" s="15"/>
    </row>
    <row r="669" spans="2:17" x14ac:dyDescent="0.2">
      <c r="B669" t="s">
        <v>1524</v>
      </c>
      <c r="C669" s="72" t="s">
        <v>2870</v>
      </c>
      <c r="D669" t="s">
        <v>623</v>
      </c>
      <c r="E669" s="15">
        <v>-3.3078686737729499E-2</v>
      </c>
      <c r="F669" s="15">
        <v>1.7110686811543901E-2</v>
      </c>
      <c r="G669" s="15">
        <v>5.3270841907747002E-2</v>
      </c>
      <c r="H669" s="15">
        <v>8.0327279630871898E-2</v>
      </c>
      <c r="I669" s="15">
        <v>0.12639997564310901</v>
      </c>
      <c r="J669" s="15">
        <v>1</v>
      </c>
      <c r="K669" s="15"/>
      <c r="L669" s="15"/>
      <c r="M669" s="15"/>
      <c r="N669" s="15"/>
      <c r="O669" s="15"/>
      <c r="P669" s="15"/>
      <c r="Q669" s="15"/>
    </row>
    <row r="670" spans="2:17" x14ac:dyDescent="0.2">
      <c r="B670" t="s">
        <v>1524</v>
      </c>
      <c r="C670" s="72" t="s">
        <v>2870</v>
      </c>
      <c r="D670" t="s">
        <v>640</v>
      </c>
      <c r="E670" s="15">
        <v>-3.7192764892619398E-2</v>
      </c>
      <c r="F670" s="15">
        <v>1.70549999654134E-2</v>
      </c>
      <c r="G670" s="15">
        <v>2.9253163886693401E-2</v>
      </c>
      <c r="H670" s="15">
        <v>5.0593586722067999E-2</v>
      </c>
      <c r="I670" s="15">
        <v>7.8415907237489896E-2</v>
      </c>
      <c r="J670" s="15">
        <v>1</v>
      </c>
      <c r="K670" s="15"/>
      <c r="L670" s="15"/>
      <c r="M670" s="15"/>
      <c r="N670" s="15"/>
      <c r="O670" s="15"/>
      <c r="P670" s="15"/>
      <c r="Q670" s="15"/>
    </row>
    <row r="671" spans="2:17" x14ac:dyDescent="0.2">
      <c r="B671" t="s">
        <v>1524</v>
      </c>
      <c r="C671" s="72" t="s">
        <v>2870</v>
      </c>
      <c r="D671" t="s">
        <v>614</v>
      </c>
      <c r="E671" s="15">
        <v>-4.9312722726874397E-2</v>
      </c>
      <c r="F671" s="15">
        <v>1.7200990860145999E-2</v>
      </c>
      <c r="G671" s="15">
        <v>4.1649457634719798E-3</v>
      </c>
      <c r="H671" s="15">
        <v>9.4495006031461003E-3</v>
      </c>
      <c r="I671" s="15">
        <v>1.5151785449872199E-2</v>
      </c>
      <c r="J671" s="15">
        <v>1</v>
      </c>
      <c r="K671" s="15"/>
      <c r="L671" s="15"/>
      <c r="M671" s="15"/>
      <c r="N671" s="15"/>
      <c r="O671" s="15"/>
      <c r="P671" s="15"/>
      <c r="Q671" s="15"/>
    </row>
    <row r="672" spans="2:17" x14ac:dyDescent="0.2">
      <c r="B672" t="s">
        <v>1524</v>
      </c>
      <c r="C672" s="72" t="s">
        <v>2870</v>
      </c>
      <c r="D672" t="s">
        <v>620</v>
      </c>
      <c r="E672" s="15">
        <v>-2.9930117712085799E-2</v>
      </c>
      <c r="F672" s="15">
        <v>1.6999288372920099E-2</v>
      </c>
      <c r="G672" s="15">
        <v>7.83596781254189E-2</v>
      </c>
      <c r="H672" s="15">
        <v>0.11402684196181601</v>
      </c>
      <c r="I672" s="15">
        <v>0.17186998008797699</v>
      </c>
      <c r="J672" s="15">
        <v>1</v>
      </c>
      <c r="K672" s="15"/>
      <c r="L672" s="15"/>
      <c r="M672" s="15"/>
      <c r="N672" s="15"/>
      <c r="O672" s="15"/>
      <c r="P672" s="15"/>
      <c r="Q672" s="15"/>
    </row>
    <row r="673" spans="2:17" x14ac:dyDescent="0.2">
      <c r="B673" t="s">
        <v>1524</v>
      </c>
      <c r="C673" s="72" t="s">
        <v>2870</v>
      </c>
      <c r="D673" t="s">
        <v>235</v>
      </c>
      <c r="E673" s="15">
        <v>-3.9101244023991899E-2</v>
      </c>
      <c r="F673" s="15">
        <v>1.6967636575023901E-2</v>
      </c>
      <c r="G673" s="15">
        <v>2.12421025639579E-2</v>
      </c>
      <c r="H673" s="15">
        <v>3.8178904943433199E-2</v>
      </c>
      <c r="I673" s="15">
        <v>5.9286820648083598E-2</v>
      </c>
      <c r="J673" s="15">
        <v>1</v>
      </c>
      <c r="K673" s="15"/>
      <c r="L673" s="15"/>
      <c r="M673" s="15"/>
      <c r="N673" s="15"/>
      <c r="O673" s="15"/>
      <c r="P673" s="15"/>
      <c r="Q673" s="15"/>
    </row>
    <row r="674" spans="2:17" x14ac:dyDescent="0.2">
      <c r="B674" t="s">
        <v>1524</v>
      </c>
      <c r="C674" s="72" t="s">
        <v>2870</v>
      </c>
      <c r="D674" t="s">
        <v>237</v>
      </c>
      <c r="E674" s="15">
        <v>-3.9987003830815299E-2</v>
      </c>
      <c r="F674" s="15">
        <v>1.7003186646866598E-2</v>
      </c>
      <c r="G674" s="15">
        <v>1.87293182613932E-2</v>
      </c>
      <c r="H674" s="15">
        <v>3.43642274187302E-2</v>
      </c>
      <c r="I674" s="15">
        <v>5.3116749370349103E-2</v>
      </c>
      <c r="J674" s="15">
        <v>1</v>
      </c>
      <c r="K674" s="15"/>
      <c r="L674" s="15"/>
      <c r="M674" s="15"/>
      <c r="N674" s="15"/>
      <c r="O674" s="15"/>
      <c r="P674" s="15"/>
      <c r="Q674" s="15"/>
    </row>
    <row r="675" spans="2:17" x14ac:dyDescent="0.2">
      <c r="B675" t="s">
        <v>1524</v>
      </c>
      <c r="C675" s="72" t="s">
        <v>2870</v>
      </c>
      <c r="D675" t="s">
        <v>257</v>
      </c>
      <c r="E675" s="15">
        <v>-4.3480861638380303E-2</v>
      </c>
      <c r="F675" s="15">
        <v>1.6858428286005499E-2</v>
      </c>
      <c r="G675" s="15">
        <v>9.9368268211798005E-3</v>
      </c>
      <c r="H675" s="15">
        <v>1.92355088006325E-2</v>
      </c>
      <c r="I675" s="15">
        <v>3.0563709318789201E-2</v>
      </c>
      <c r="J675" s="15">
        <v>1</v>
      </c>
      <c r="K675" s="15"/>
      <c r="L675" s="15"/>
      <c r="M675" s="15"/>
      <c r="N675" s="15"/>
      <c r="O675" s="15"/>
      <c r="P675" s="15"/>
      <c r="Q675" s="15"/>
    </row>
    <row r="676" spans="2:17" x14ac:dyDescent="0.2">
      <c r="B676" t="s">
        <v>1524</v>
      </c>
      <c r="C676" s="72" t="s">
        <v>2870</v>
      </c>
      <c r="D676" t="s">
        <v>259</v>
      </c>
      <c r="E676" s="15">
        <v>-5.2881167130209003E-2</v>
      </c>
      <c r="F676" s="15">
        <v>1.70206207735316E-2</v>
      </c>
      <c r="G676" s="15">
        <v>1.9025810915251999E-3</v>
      </c>
      <c r="H676" s="15">
        <v>4.8956659794124101E-3</v>
      </c>
      <c r="I676" s="15">
        <v>8.1264091156238293E-3</v>
      </c>
      <c r="J676" s="15">
        <v>1</v>
      </c>
      <c r="K676" s="15"/>
      <c r="L676" s="15"/>
      <c r="M676" s="15"/>
      <c r="N676" s="15"/>
      <c r="O676" s="15"/>
      <c r="P676" s="15"/>
      <c r="Q676" s="15"/>
    </row>
    <row r="677" spans="2:17" x14ac:dyDescent="0.2">
      <c r="B677" t="s">
        <v>1524</v>
      </c>
      <c r="C677" s="72" t="s">
        <v>2870</v>
      </c>
      <c r="D677" t="s">
        <v>260</v>
      </c>
      <c r="E677" s="15">
        <v>-6.7251320949844706E-2</v>
      </c>
      <c r="F677" s="15">
        <v>1.7097981385892899E-2</v>
      </c>
      <c r="G677" s="15">
        <v>8.5065643966767605E-5</v>
      </c>
      <c r="H677" s="15">
        <v>3.3238612735162902E-4</v>
      </c>
      <c r="I677" s="15">
        <v>5.5397687891938201E-4</v>
      </c>
      <c r="J677" s="15">
        <v>8.9744254384939895E-2</v>
      </c>
      <c r="K677" s="15"/>
      <c r="L677" s="15"/>
      <c r="M677" s="15"/>
      <c r="N677" s="15"/>
      <c r="O677" s="15"/>
      <c r="P677" s="15"/>
      <c r="Q677" s="15"/>
    </row>
    <row r="678" spans="2:17" x14ac:dyDescent="0.2">
      <c r="B678" t="s">
        <v>1524</v>
      </c>
      <c r="C678" s="72" t="s">
        <v>2870</v>
      </c>
      <c r="D678" t="s">
        <v>261</v>
      </c>
      <c r="E678" s="15">
        <v>-5.5133984976676098E-2</v>
      </c>
      <c r="F678" s="15">
        <v>1.68840528685626E-2</v>
      </c>
      <c r="G678" s="15">
        <v>1.1015524699937E-3</v>
      </c>
      <c r="H678" s="15">
        <v>3.05825751537723E-3</v>
      </c>
      <c r="I678" s="15">
        <v>5.14220290196172E-3</v>
      </c>
      <c r="J678" s="15">
        <v>1</v>
      </c>
      <c r="K678" s="15"/>
      <c r="L678" s="15"/>
      <c r="M678" s="15"/>
      <c r="N678" s="15"/>
      <c r="O678" s="15"/>
      <c r="P678" s="15"/>
      <c r="Q678" s="15"/>
    </row>
    <row r="679" spans="2:17" x14ac:dyDescent="0.2">
      <c r="B679" t="s">
        <v>1524</v>
      </c>
      <c r="C679" s="72" t="s">
        <v>2870</v>
      </c>
      <c r="D679" t="s">
        <v>266</v>
      </c>
      <c r="E679" s="15">
        <v>-1.9990208956804801E-2</v>
      </c>
      <c r="F679" s="15">
        <v>1.69090110945634E-2</v>
      </c>
      <c r="G679" s="15">
        <v>0.237183782176173</v>
      </c>
      <c r="H679" s="15">
        <v>0.29612886413711498</v>
      </c>
      <c r="I679" s="15">
        <v>0.396559255460955</v>
      </c>
      <c r="J679" s="15">
        <v>1</v>
      </c>
      <c r="K679" s="15"/>
      <c r="L679" s="15"/>
      <c r="M679" s="15"/>
      <c r="N679" s="15"/>
      <c r="O679" s="15"/>
      <c r="P679" s="15"/>
      <c r="Q679" s="15"/>
    </row>
    <row r="680" spans="2:17" x14ac:dyDescent="0.2">
      <c r="B680" t="s">
        <v>1524</v>
      </c>
      <c r="C680" s="72" t="s">
        <v>2870</v>
      </c>
      <c r="D680" t="s">
        <v>269</v>
      </c>
      <c r="E680" s="15">
        <v>-6.3550915226264701E-2</v>
      </c>
      <c r="F680" s="15">
        <v>1.7072950598178101E-2</v>
      </c>
      <c r="G680" s="15">
        <v>1.99842211870369E-4</v>
      </c>
      <c r="H680" s="15">
        <v>7.2701218456289402E-4</v>
      </c>
      <c r="I680" s="15">
        <v>1.17839202486334E-3</v>
      </c>
      <c r="J680" s="15">
        <v>0.210833533523239</v>
      </c>
      <c r="K680" s="15"/>
      <c r="L680" s="15"/>
      <c r="M680" s="15"/>
      <c r="N680" s="15"/>
      <c r="O680" s="15"/>
      <c r="P680" s="15"/>
      <c r="Q680" s="15"/>
    </row>
    <row r="681" spans="2:17" x14ac:dyDescent="0.2">
      <c r="B681" t="s">
        <v>1524</v>
      </c>
      <c r="C681" s="72" t="s">
        <v>2870</v>
      </c>
      <c r="D681" t="s">
        <v>272</v>
      </c>
      <c r="E681" s="15">
        <v>-4.2577579439166201E-2</v>
      </c>
      <c r="F681" s="15">
        <v>1.7121519087916801E-2</v>
      </c>
      <c r="G681" s="15">
        <v>1.2926735000375601E-2</v>
      </c>
      <c r="H681" s="15">
        <v>2.43530454024934E-2</v>
      </c>
      <c r="I681" s="15">
        <v>3.8964872643989401E-2</v>
      </c>
      <c r="J681" s="15">
        <v>1</v>
      </c>
      <c r="K681" s="15"/>
      <c r="L681" s="15"/>
      <c r="M681" s="15"/>
      <c r="N681" s="15"/>
      <c r="O681" s="15"/>
      <c r="P681" s="15"/>
      <c r="Q681" s="15"/>
    </row>
    <row r="682" spans="2:17" x14ac:dyDescent="0.2">
      <c r="B682" t="s">
        <v>1524</v>
      </c>
      <c r="C682" s="72" t="s">
        <v>2870</v>
      </c>
      <c r="D682" t="s">
        <v>273</v>
      </c>
      <c r="E682" s="15">
        <v>-2.6098645250311098E-2</v>
      </c>
      <c r="F682" s="15">
        <v>1.6847461787814402E-2</v>
      </c>
      <c r="G682" s="15">
        <v>0.12142815998534801</v>
      </c>
      <c r="H682" s="15">
        <v>0.16745975004515301</v>
      </c>
      <c r="I682" s="15">
        <v>0.24171077129158899</v>
      </c>
      <c r="J682" s="15">
        <v>1</v>
      </c>
      <c r="K682" s="15"/>
      <c r="L682" s="15"/>
      <c r="M682" s="15"/>
      <c r="N682" s="15"/>
      <c r="O682" s="15"/>
      <c r="P682" s="15"/>
      <c r="Q682" s="15"/>
    </row>
    <row r="683" spans="2:17" x14ac:dyDescent="0.2">
      <c r="B683" t="s">
        <v>1524</v>
      </c>
      <c r="C683" s="72" t="s">
        <v>2870</v>
      </c>
      <c r="D683" t="s">
        <v>274</v>
      </c>
      <c r="E683" s="15">
        <v>-5.1622349974771699E-2</v>
      </c>
      <c r="F683" s="15">
        <v>1.69856556507492E-2</v>
      </c>
      <c r="G683" s="15">
        <v>2.3863779360194198E-3</v>
      </c>
      <c r="H683" s="15">
        <v>5.9238322882364403E-3</v>
      </c>
      <c r="I683" s="15">
        <v>9.6831873942326407E-3</v>
      </c>
      <c r="J683" s="15">
        <v>1</v>
      </c>
      <c r="K683" s="15"/>
      <c r="L683" s="15"/>
      <c r="M683" s="15"/>
      <c r="N683" s="15"/>
      <c r="O683" s="15"/>
      <c r="P683" s="15"/>
      <c r="Q683" s="15"/>
    </row>
    <row r="684" spans="2:17" x14ac:dyDescent="0.2">
      <c r="B684" t="s">
        <v>1524</v>
      </c>
      <c r="C684" s="72" t="s">
        <v>2870</v>
      </c>
      <c r="D684" t="s">
        <v>276</v>
      </c>
      <c r="E684" s="15">
        <v>-3.3442368308392999E-2</v>
      </c>
      <c r="F684" s="15">
        <v>1.68901504426936E-2</v>
      </c>
      <c r="G684" s="15">
        <v>4.7769444369311E-2</v>
      </c>
      <c r="H684" s="15">
        <v>7.5219050462124001E-2</v>
      </c>
      <c r="I684" s="15">
        <v>0.11558890782023599</v>
      </c>
      <c r="J684" s="15">
        <v>1</v>
      </c>
      <c r="K684" s="15"/>
      <c r="L684" s="15"/>
      <c r="M684" s="15"/>
      <c r="N684" s="15"/>
      <c r="O684" s="15"/>
      <c r="P684" s="15"/>
      <c r="Q684" s="15"/>
    </row>
    <row r="685" spans="2:17" x14ac:dyDescent="0.2">
      <c r="B685" t="s">
        <v>1524</v>
      </c>
      <c r="C685" s="72" t="s">
        <v>2870</v>
      </c>
      <c r="D685" t="s">
        <v>279</v>
      </c>
      <c r="E685" s="15">
        <v>-3.3138432535213001E-2</v>
      </c>
      <c r="F685" s="15">
        <v>1.6951371501893499E-2</v>
      </c>
      <c r="G685" s="15">
        <v>5.06560817293348E-2</v>
      </c>
      <c r="H685" s="15">
        <v>7.9173579591775206E-2</v>
      </c>
      <c r="I685" s="15">
        <v>0.12201407813801</v>
      </c>
      <c r="J685" s="15">
        <v>1</v>
      </c>
      <c r="K685" s="15"/>
      <c r="L685" s="15"/>
      <c r="M685" s="15"/>
      <c r="N685" s="15"/>
      <c r="O685" s="15"/>
      <c r="P685" s="15"/>
      <c r="Q685" s="15"/>
    </row>
    <row r="686" spans="2:17" x14ac:dyDescent="0.2">
      <c r="B686" t="s">
        <v>1524</v>
      </c>
      <c r="C686" s="72" t="s">
        <v>2870</v>
      </c>
      <c r="D686" s="51" t="s">
        <v>927</v>
      </c>
      <c r="E686" s="74">
        <v>-8.2351096424723297E-2</v>
      </c>
      <c r="F686" s="74">
        <v>1.7542754681396499E-2</v>
      </c>
      <c r="G686" s="74">
        <v>2.7603656641335401E-6</v>
      </c>
      <c r="H686" s="74">
        <v>2.1571746486376901E-5</v>
      </c>
      <c r="I686" s="74">
        <v>3.5952910810628101E-5</v>
      </c>
      <c r="J686" s="74">
        <v>2.91218577566088E-3</v>
      </c>
      <c r="K686" s="15"/>
      <c r="L686" s="15"/>
      <c r="M686" s="15"/>
      <c r="N686" s="15"/>
      <c r="O686" s="15"/>
      <c r="P686" s="15"/>
      <c r="Q686" s="15"/>
    </row>
    <row r="687" spans="2:17" x14ac:dyDescent="0.2">
      <c r="B687" t="s">
        <v>1524</v>
      </c>
      <c r="C687" s="72" t="s">
        <v>2870</v>
      </c>
      <c r="D687" t="s">
        <v>928</v>
      </c>
      <c r="E687" s="15">
        <v>-2.15601589163161E-3</v>
      </c>
      <c r="F687" s="15">
        <v>1.7103126824147399E-2</v>
      </c>
      <c r="G687" s="15">
        <v>0.89969051866137995</v>
      </c>
      <c r="H687" s="15">
        <v>0.903974759226434</v>
      </c>
      <c r="I687" s="15">
        <v>0.93615570578594598</v>
      </c>
      <c r="J687" s="15">
        <v>1</v>
      </c>
      <c r="K687" s="15"/>
      <c r="L687" s="15"/>
      <c r="M687" s="15"/>
      <c r="N687" s="15"/>
      <c r="O687" s="15"/>
      <c r="P687" s="15"/>
      <c r="Q687" s="15"/>
    </row>
    <row r="688" spans="2:17" x14ac:dyDescent="0.2">
      <c r="B688" t="s">
        <v>1524</v>
      </c>
      <c r="C688" s="72" t="s">
        <v>2870</v>
      </c>
      <c r="D688" t="s">
        <v>929</v>
      </c>
      <c r="E688" s="15">
        <v>-4.3931372048919497E-2</v>
      </c>
      <c r="F688" s="15">
        <v>1.74907704697615E-2</v>
      </c>
      <c r="G688" s="15">
        <v>1.2051945369887801E-2</v>
      </c>
      <c r="H688" s="15">
        <v>2.2909553811228198E-2</v>
      </c>
      <c r="I688" s="15">
        <v>3.64320984677124E-2</v>
      </c>
      <c r="J688" s="15">
        <v>1</v>
      </c>
      <c r="K688" s="15"/>
      <c r="L688" s="15"/>
      <c r="M688" s="15"/>
      <c r="N688" s="15"/>
      <c r="O688" s="15"/>
      <c r="P688" s="15"/>
      <c r="Q688" s="15"/>
    </row>
    <row r="689" spans="2:17" x14ac:dyDescent="0.2">
      <c r="B689" t="s">
        <v>1524</v>
      </c>
      <c r="C689" s="72" t="s">
        <v>2870</v>
      </c>
      <c r="D689" t="s">
        <v>930</v>
      </c>
      <c r="E689" s="15">
        <v>-5.4612852623062001E-2</v>
      </c>
      <c r="F689" s="15">
        <v>1.7829627576083001E-2</v>
      </c>
      <c r="G689" s="15">
        <v>2.20530303372954E-3</v>
      </c>
      <c r="H689" s="15">
        <v>5.5395111918682396E-3</v>
      </c>
      <c r="I689" s="15">
        <v>9.0178089169948104E-3</v>
      </c>
      <c r="J689" s="15">
        <v>1</v>
      </c>
      <c r="K689" s="15"/>
      <c r="L689" s="15"/>
      <c r="M689" s="15"/>
      <c r="N689" s="15"/>
      <c r="O689" s="15"/>
      <c r="P689" s="15"/>
      <c r="Q689" s="15"/>
    </row>
    <row r="690" spans="2:17" x14ac:dyDescent="0.2">
      <c r="B690" t="s">
        <v>1524</v>
      </c>
      <c r="C690" s="72" t="s">
        <v>2870</v>
      </c>
      <c r="D690" t="s">
        <v>931</v>
      </c>
      <c r="E690" s="15">
        <v>-3.6031044936651498E-2</v>
      </c>
      <c r="F690" s="15">
        <v>1.74715773899244E-2</v>
      </c>
      <c r="G690" s="15">
        <v>3.92422610220459E-2</v>
      </c>
      <c r="H690" s="15">
        <v>6.5715214886124404E-2</v>
      </c>
      <c r="I690" s="15">
        <v>9.9281979324360697E-2</v>
      </c>
      <c r="J690" s="15">
        <v>1</v>
      </c>
      <c r="K690" s="15"/>
      <c r="L690" s="15"/>
      <c r="M690" s="15"/>
      <c r="N690" s="15"/>
      <c r="O690" s="15"/>
      <c r="P690" s="15"/>
      <c r="Q690" s="15"/>
    </row>
    <row r="691" spans="2:17" x14ac:dyDescent="0.2">
      <c r="B691" t="s">
        <v>1524</v>
      </c>
      <c r="C691" s="72" t="s">
        <v>2870</v>
      </c>
      <c r="D691" t="s">
        <v>932</v>
      </c>
      <c r="E691" s="15">
        <v>-4.4844345107508399E-2</v>
      </c>
      <c r="F691" s="15">
        <v>1.7227672014518702E-2</v>
      </c>
      <c r="G691" s="15">
        <v>9.2707738260477107E-3</v>
      </c>
      <c r="H691" s="15">
        <v>1.8454087521661E-2</v>
      </c>
      <c r="I691" s="15">
        <v>2.9022748921306601E-2</v>
      </c>
      <c r="J691" s="15">
        <v>1</v>
      </c>
      <c r="K691" s="15"/>
      <c r="L691" s="15"/>
      <c r="M691" s="15"/>
      <c r="N691" s="15"/>
      <c r="O691" s="15"/>
      <c r="P691" s="15"/>
      <c r="Q691" s="15"/>
    </row>
    <row r="692" spans="2:17" x14ac:dyDescent="0.2">
      <c r="B692" t="s">
        <v>1524</v>
      </c>
      <c r="C692" s="72" t="s">
        <v>2870</v>
      </c>
      <c r="D692" t="s">
        <v>933</v>
      </c>
      <c r="E692" s="15">
        <v>-5.8870468311670802E-2</v>
      </c>
      <c r="F692" s="15">
        <v>1.7026298099317799E-2</v>
      </c>
      <c r="G692" s="15">
        <v>5.50283103921452E-4</v>
      </c>
      <c r="H692" s="15">
        <v>1.7074961018739201E-3</v>
      </c>
      <c r="I692" s="15">
        <v>2.8740033397877799E-3</v>
      </c>
      <c r="J692" s="15">
        <v>0.580548674637132</v>
      </c>
      <c r="K692" s="15"/>
      <c r="L692" s="15"/>
      <c r="M692" s="15"/>
      <c r="N692" s="15"/>
      <c r="O692" s="15"/>
      <c r="P692" s="15"/>
      <c r="Q692" s="15"/>
    </row>
    <row r="693" spans="2:17" x14ac:dyDescent="0.2">
      <c r="B693" t="s">
        <v>1524</v>
      </c>
      <c r="C693" s="72" t="s">
        <v>2870</v>
      </c>
      <c r="D693" t="s">
        <v>934</v>
      </c>
      <c r="E693" s="15">
        <v>-5.1295914948424101E-2</v>
      </c>
      <c r="F693" s="15">
        <v>1.6971460136326701E-2</v>
      </c>
      <c r="G693" s="15">
        <v>2.5215748419361202E-3</v>
      </c>
      <c r="H693" s="15">
        <v>6.1155435821669104E-3</v>
      </c>
      <c r="I693" s="15">
        <v>1.00767479478887E-2</v>
      </c>
      <c r="J693" s="15">
        <v>1</v>
      </c>
      <c r="K693" s="15"/>
      <c r="L693" s="15"/>
      <c r="M693" s="15"/>
      <c r="N693" s="15"/>
      <c r="O693" s="15"/>
      <c r="P693" s="15"/>
      <c r="Q693" s="15"/>
    </row>
    <row r="694" spans="2:17" x14ac:dyDescent="0.2">
      <c r="B694" t="s">
        <v>1524</v>
      </c>
      <c r="C694" s="72" t="s">
        <v>2870</v>
      </c>
      <c r="D694" s="51" t="s">
        <v>935</v>
      </c>
      <c r="E694" s="74">
        <v>-7.4114863324699604E-2</v>
      </c>
      <c r="F694" s="74">
        <v>1.70843729725128E-2</v>
      </c>
      <c r="G694" s="74">
        <v>1.4691988093801901E-5</v>
      </c>
      <c r="H694" s="74">
        <v>7.3944872208786595E-5</v>
      </c>
      <c r="I694" s="74">
        <v>1.2983976236784699E-4</v>
      </c>
      <c r="J694" s="74">
        <v>1.5500047438961001E-2</v>
      </c>
      <c r="K694" s="15"/>
      <c r="L694" s="15"/>
      <c r="M694" s="15"/>
      <c r="N694" s="15"/>
      <c r="O694" s="15"/>
      <c r="P694" s="15"/>
      <c r="Q694" s="15"/>
    </row>
    <row r="695" spans="2:17" x14ac:dyDescent="0.2">
      <c r="B695" t="s">
        <v>1524</v>
      </c>
      <c r="C695" s="72" t="s">
        <v>2870</v>
      </c>
      <c r="D695" t="s">
        <v>937</v>
      </c>
      <c r="E695" s="15">
        <v>-3.31780078020745E-2</v>
      </c>
      <c r="F695" s="15">
        <v>1.7185332160710599E-2</v>
      </c>
      <c r="G695" s="15">
        <v>5.3596060350277003E-2</v>
      </c>
      <c r="H695" s="15">
        <v>8.0327279630871898E-2</v>
      </c>
      <c r="I695" s="15">
        <v>0.12639997564310901</v>
      </c>
      <c r="J695" s="15">
        <v>1</v>
      </c>
      <c r="K695" s="15"/>
      <c r="L695" s="15"/>
      <c r="M695" s="15"/>
      <c r="N695" s="15"/>
      <c r="O695" s="15"/>
      <c r="P695" s="15"/>
      <c r="Q695" s="15"/>
    </row>
    <row r="696" spans="2:17" x14ac:dyDescent="0.2">
      <c r="B696" t="s">
        <v>1524</v>
      </c>
      <c r="C696" s="72" t="s">
        <v>2870</v>
      </c>
      <c r="D696" t="s">
        <v>938</v>
      </c>
      <c r="E696" s="15">
        <v>-1.1688926100018499E-2</v>
      </c>
      <c r="F696" s="15">
        <v>1.69907643478262E-2</v>
      </c>
      <c r="G696" s="15">
        <v>0.49151608024511501</v>
      </c>
      <c r="H696" s="15">
        <v>0.54872959223131901</v>
      </c>
      <c r="I696" s="15">
        <v>0.65639172741594498</v>
      </c>
      <c r="J696" s="15">
        <v>1</v>
      </c>
      <c r="K696" s="15"/>
      <c r="L696" s="15"/>
      <c r="M696" s="15"/>
      <c r="N696" s="15"/>
      <c r="O696" s="15"/>
      <c r="P696" s="15"/>
      <c r="Q696" s="15"/>
    </row>
    <row r="697" spans="2:17" x14ac:dyDescent="0.2">
      <c r="B697" t="s">
        <v>1524</v>
      </c>
      <c r="C697" s="72" t="s">
        <v>2870</v>
      </c>
      <c r="D697" t="s">
        <v>939</v>
      </c>
      <c r="E697" s="15">
        <v>-6.5097097440483696E-3</v>
      </c>
      <c r="F697" s="15">
        <v>1.72587267805514E-2</v>
      </c>
      <c r="G697" s="15">
        <v>0.70605561491411994</v>
      </c>
      <c r="H697" s="15">
        <v>0.73028301346509505</v>
      </c>
      <c r="I697" s="15">
        <v>0.83695356599370396</v>
      </c>
      <c r="J697" s="15">
        <v>1</v>
      </c>
      <c r="K697" s="15"/>
      <c r="L697" s="15"/>
      <c r="M697" s="15"/>
      <c r="N697" s="15"/>
      <c r="O697" s="15"/>
      <c r="P697" s="15"/>
      <c r="Q697" s="15"/>
    </row>
    <row r="698" spans="2:17" x14ac:dyDescent="0.2">
      <c r="B698" t="s">
        <v>1524</v>
      </c>
      <c r="C698" s="72" t="s">
        <v>2870</v>
      </c>
      <c r="D698" t="s">
        <v>940</v>
      </c>
      <c r="E698" s="15">
        <v>-6.9596084984757903E-2</v>
      </c>
      <c r="F698" s="15">
        <v>1.7106617920426701E-2</v>
      </c>
      <c r="G698" s="15">
        <v>4.8170026042772398E-5</v>
      </c>
      <c r="H698" s="15">
        <v>2.032775099005E-4</v>
      </c>
      <c r="I698" s="15">
        <v>3.4571005085119001E-4</v>
      </c>
      <c r="J698" s="15">
        <v>5.0819377475124897E-2</v>
      </c>
      <c r="K698" s="15"/>
      <c r="L698" s="15"/>
      <c r="M698" s="15"/>
      <c r="N698" s="15"/>
      <c r="O698" s="15"/>
      <c r="P698" s="15"/>
      <c r="Q698" s="15"/>
    </row>
    <row r="699" spans="2:17" x14ac:dyDescent="0.2">
      <c r="B699" t="s">
        <v>1524</v>
      </c>
      <c r="C699" s="72" t="s">
        <v>2870</v>
      </c>
      <c r="D699" t="s">
        <v>944</v>
      </c>
      <c r="E699" s="15">
        <v>-6.60352468337186E-2</v>
      </c>
      <c r="F699" s="15">
        <v>1.7012932578529899E-2</v>
      </c>
      <c r="G699" s="15">
        <v>1.05345362636369E-4</v>
      </c>
      <c r="H699" s="15">
        <v>3.9692627707631998E-4</v>
      </c>
      <c r="I699" s="15">
        <v>6.5376092694923403E-4</v>
      </c>
      <c r="J699" s="15">
        <v>0.11113935758137</v>
      </c>
      <c r="K699" s="15"/>
      <c r="L699" s="15"/>
      <c r="M699" s="15"/>
      <c r="N699" s="15"/>
      <c r="O699" s="15"/>
      <c r="P699" s="15"/>
      <c r="Q699" s="15"/>
    </row>
    <row r="700" spans="2:17" x14ac:dyDescent="0.2">
      <c r="B700" t="s">
        <v>1524</v>
      </c>
      <c r="C700" s="72" t="s">
        <v>2870</v>
      </c>
      <c r="D700" t="s">
        <v>945</v>
      </c>
      <c r="E700" s="15">
        <v>6.0211637490508703E-3</v>
      </c>
      <c r="F700" s="15">
        <v>1.7182855704714499E-2</v>
      </c>
      <c r="G700" s="15">
        <v>0.72604274267652202</v>
      </c>
      <c r="H700" s="15">
        <v>0.74366513934342804</v>
      </c>
      <c r="I700" s="15">
        <v>0.844608802312105</v>
      </c>
      <c r="J700" s="15">
        <v>1</v>
      </c>
      <c r="K700" s="15"/>
      <c r="L700" s="15"/>
      <c r="M700" s="15"/>
      <c r="N700" s="15"/>
      <c r="O700" s="15"/>
      <c r="P700" s="15"/>
      <c r="Q700" s="15"/>
    </row>
    <row r="701" spans="2:17" x14ac:dyDescent="0.2">
      <c r="B701" t="s">
        <v>1524</v>
      </c>
      <c r="C701" s="72" t="s">
        <v>2870</v>
      </c>
      <c r="D701" t="s">
        <v>946</v>
      </c>
      <c r="E701" s="15">
        <v>-5.3385955793351397E-2</v>
      </c>
      <c r="F701" s="15">
        <v>1.7143251225021399E-2</v>
      </c>
      <c r="G701" s="15">
        <v>1.8569223890272501E-3</v>
      </c>
      <c r="H701" s="15">
        <v>4.8371681985771497E-3</v>
      </c>
      <c r="I701" s="15">
        <v>7.9961351854030398E-3</v>
      </c>
      <c r="J701" s="15">
        <v>1</v>
      </c>
      <c r="K701" s="15"/>
      <c r="L701" s="15"/>
      <c r="M701" s="15"/>
      <c r="N701" s="15"/>
      <c r="O701" s="15"/>
      <c r="P701" s="15"/>
      <c r="Q701" s="15"/>
    </row>
    <row r="702" spans="2:17" x14ac:dyDescent="0.2">
      <c r="B702" t="s">
        <v>1524</v>
      </c>
      <c r="C702" s="72" t="s">
        <v>2870</v>
      </c>
      <c r="D702" t="s">
        <v>948</v>
      </c>
      <c r="E702" s="15">
        <v>-1.2080011249043499E-2</v>
      </c>
      <c r="F702" s="15">
        <v>1.7187566978181301E-2</v>
      </c>
      <c r="G702" s="15">
        <v>0.48219674620907399</v>
      </c>
      <c r="H702" s="15">
        <v>0.54118890133039699</v>
      </c>
      <c r="I702" s="15">
        <v>0.64804785637015705</v>
      </c>
      <c r="J702" s="15">
        <v>1</v>
      </c>
      <c r="K702" s="15"/>
      <c r="L702" s="15"/>
      <c r="M702" s="15"/>
      <c r="N702" s="15"/>
      <c r="O702" s="15"/>
      <c r="P702" s="15"/>
      <c r="Q702" s="15"/>
    </row>
    <row r="703" spans="2:17" x14ac:dyDescent="0.2">
      <c r="B703" t="s">
        <v>1524</v>
      </c>
      <c r="C703" s="72" t="s">
        <v>2870</v>
      </c>
      <c r="D703" t="s">
        <v>951</v>
      </c>
      <c r="E703" s="15">
        <v>-3.7943143703495302E-2</v>
      </c>
      <c r="F703" s="15">
        <v>1.67933762495594E-2</v>
      </c>
      <c r="G703" s="15">
        <v>2.3903859539777E-2</v>
      </c>
      <c r="H703" s="15">
        <v>4.2384154310024798E-2</v>
      </c>
      <c r="I703" s="15">
        <v>6.5502783933674702E-2</v>
      </c>
      <c r="J703" s="15">
        <v>1</v>
      </c>
      <c r="K703" s="15"/>
      <c r="L703" s="15"/>
      <c r="M703" s="15"/>
      <c r="N703" s="15"/>
      <c r="O703" s="15"/>
      <c r="P703" s="15"/>
      <c r="Q703" s="15"/>
    </row>
    <row r="704" spans="2:17" x14ac:dyDescent="0.2">
      <c r="B704" t="s">
        <v>1524</v>
      </c>
      <c r="C704" s="72" t="s">
        <v>2870</v>
      </c>
      <c r="D704" t="s">
        <v>953</v>
      </c>
      <c r="E704" s="15">
        <v>-3.4199286303534797E-2</v>
      </c>
      <c r="F704" s="15">
        <v>1.71706472568613E-2</v>
      </c>
      <c r="G704" s="15">
        <v>4.6459629247331997E-2</v>
      </c>
      <c r="H704" s="15">
        <v>7.37066298585492E-2</v>
      </c>
      <c r="I704" s="15">
        <v>0.113198403824331</v>
      </c>
      <c r="J704" s="15">
        <v>1</v>
      </c>
      <c r="K704" s="15"/>
      <c r="L704" s="15"/>
      <c r="M704" s="15"/>
      <c r="N704" s="15"/>
      <c r="O704" s="15"/>
      <c r="P704" s="15"/>
      <c r="Q704" s="15"/>
    </row>
    <row r="705" spans="2:17" x14ac:dyDescent="0.2">
      <c r="B705" t="s">
        <v>1524</v>
      </c>
      <c r="C705" s="72" t="s">
        <v>2870</v>
      </c>
      <c r="D705" t="s">
        <v>956</v>
      </c>
      <c r="E705" s="15">
        <v>-3.5183567516587598E-2</v>
      </c>
      <c r="F705" s="15">
        <v>1.71436284125208E-2</v>
      </c>
      <c r="G705" s="15">
        <v>4.0198590861512298E-2</v>
      </c>
      <c r="H705" s="15">
        <v>6.6786635210859105E-2</v>
      </c>
      <c r="I705" s="15">
        <v>0.101216022336266</v>
      </c>
      <c r="J705" s="15">
        <v>1</v>
      </c>
      <c r="K705" s="15"/>
      <c r="L705" s="15"/>
      <c r="M705" s="15"/>
      <c r="N705" s="15"/>
      <c r="O705" s="15"/>
      <c r="P705" s="15"/>
      <c r="Q705" s="15"/>
    </row>
    <row r="706" spans="2:17" x14ac:dyDescent="0.2">
      <c r="B706" t="s">
        <v>1524</v>
      </c>
      <c r="C706" s="72" t="s">
        <v>2870</v>
      </c>
      <c r="D706" t="s">
        <v>986</v>
      </c>
      <c r="E706" s="15">
        <v>9.2068433416356305E-3</v>
      </c>
      <c r="F706" s="15">
        <v>1.71379254512182E-2</v>
      </c>
      <c r="G706" s="15">
        <v>0.59114141870569603</v>
      </c>
      <c r="H706" s="15">
        <v>0.62580189595643398</v>
      </c>
      <c r="I706" s="15">
        <v>0.74803408000727201</v>
      </c>
      <c r="J706" s="15">
        <v>1</v>
      </c>
      <c r="K706" s="15"/>
      <c r="L706" s="15"/>
      <c r="M706" s="15"/>
      <c r="N706" s="15"/>
      <c r="O706" s="15"/>
      <c r="P706" s="15"/>
      <c r="Q706" s="15"/>
    </row>
    <row r="707" spans="2:17" x14ac:dyDescent="0.2">
      <c r="B707" t="s">
        <v>1524</v>
      </c>
      <c r="C707" s="72" t="s">
        <v>2870</v>
      </c>
      <c r="D707" t="s">
        <v>984</v>
      </c>
      <c r="E707" s="15">
        <v>-2.6749774557936999E-2</v>
      </c>
      <c r="F707" s="15">
        <v>1.6973979196603602E-2</v>
      </c>
      <c r="G707" s="15">
        <v>0.115112021059832</v>
      </c>
      <c r="H707" s="15">
        <v>0.15979366081332</v>
      </c>
      <c r="I707" s="15">
        <v>0.23176179812618899</v>
      </c>
      <c r="J707" s="15">
        <v>1</v>
      </c>
      <c r="K707" s="15"/>
      <c r="L707" s="15"/>
      <c r="M707" s="15"/>
      <c r="N707" s="15"/>
      <c r="O707" s="15"/>
      <c r="P707" s="15"/>
      <c r="Q707" s="15"/>
    </row>
    <row r="708" spans="2:17" x14ac:dyDescent="0.2">
      <c r="B708" t="s">
        <v>1524</v>
      </c>
      <c r="C708" s="72" t="s">
        <v>2870</v>
      </c>
      <c r="D708" t="s">
        <v>992</v>
      </c>
      <c r="E708" s="15">
        <v>1.07643081913878E-2</v>
      </c>
      <c r="F708" s="15">
        <v>1.7119217268846701E-2</v>
      </c>
      <c r="G708" s="15">
        <v>0.52952123325134104</v>
      </c>
      <c r="H708" s="15">
        <v>0.57004581742873905</v>
      </c>
      <c r="I708" s="15">
        <v>0.68798633137951304</v>
      </c>
      <c r="J708" s="15">
        <v>1</v>
      </c>
      <c r="K708" s="15"/>
      <c r="L708" s="15"/>
      <c r="M708" s="15"/>
      <c r="N708" s="15"/>
      <c r="O708" s="15"/>
      <c r="P708" s="15"/>
      <c r="Q708" s="15"/>
    </row>
    <row r="709" spans="2:17" x14ac:dyDescent="0.2">
      <c r="B709" t="s">
        <v>1524</v>
      </c>
      <c r="C709" s="72" t="s">
        <v>2870</v>
      </c>
      <c r="D709" t="s">
        <v>998</v>
      </c>
      <c r="E709" s="15">
        <v>8.1876073508136502E-3</v>
      </c>
      <c r="F709" s="15">
        <v>1.7012658360406E-2</v>
      </c>
      <c r="G709" s="15">
        <v>0.63035102755529204</v>
      </c>
      <c r="H709" s="15">
        <v>0.66171177519485902</v>
      </c>
      <c r="I709" s="15">
        <v>0.77598638748055204</v>
      </c>
      <c r="J709" s="15">
        <v>1</v>
      </c>
      <c r="K709" s="15"/>
      <c r="L709" s="15"/>
      <c r="M709" s="15"/>
      <c r="N709" s="15"/>
      <c r="O709" s="15"/>
      <c r="P709" s="15"/>
      <c r="Q709" s="15"/>
    </row>
    <row r="710" spans="2:17" x14ac:dyDescent="0.2">
      <c r="B710" t="s">
        <v>1524</v>
      </c>
      <c r="C710" s="72" t="s">
        <v>2870</v>
      </c>
      <c r="D710" t="s">
        <v>1000</v>
      </c>
      <c r="E710" s="15">
        <v>-2.1858840471242098E-2</v>
      </c>
      <c r="F710" s="15">
        <v>1.6994621503078601E-2</v>
      </c>
      <c r="G710" s="15">
        <v>0.198431140603163</v>
      </c>
      <c r="H710" s="15">
        <v>0.25375133737737798</v>
      </c>
      <c r="I710" s="15">
        <v>0.34602455096915202</v>
      </c>
      <c r="J710" s="15">
        <v>1</v>
      </c>
      <c r="K710" s="15"/>
      <c r="L710" s="15"/>
      <c r="M710" s="15"/>
      <c r="N710" s="15"/>
      <c r="O710" s="15"/>
      <c r="P710" s="15"/>
      <c r="Q710" s="15"/>
    </row>
    <row r="711" spans="2:17" x14ac:dyDescent="0.2">
      <c r="B711" t="s">
        <v>1524</v>
      </c>
      <c r="C711" s="72" t="s">
        <v>2870</v>
      </c>
      <c r="D711" t="s">
        <v>1001</v>
      </c>
      <c r="E711" s="15">
        <v>-1.8167541664598701E-2</v>
      </c>
      <c r="F711" s="15">
        <v>1.6986685220092099E-2</v>
      </c>
      <c r="G711" s="15">
        <v>0.28489524137938499</v>
      </c>
      <c r="H711" s="15">
        <v>0.34155054506278498</v>
      </c>
      <c r="I711" s="15">
        <v>0.446847000567276</v>
      </c>
      <c r="J711" s="15">
        <v>1</v>
      </c>
      <c r="K711" s="15"/>
      <c r="L711" s="15"/>
      <c r="M711" s="15"/>
      <c r="N711" s="15"/>
      <c r="O711" s="15"/>
      <c r="P711" s="15"/>
      <c r="Q711" s="15"/>
    </row>
    <row r="712" spans="2:17" x14ac:dyDescent="0.2">
      <c r="B712" t="s">
        <v>1524</v>
      </c>
      <c r="C712" s="72" t="s">
        <v>2870</v>
      </c>
      <c r="D712" t="s">
        <v>1002</v>
      </c>
      <c r="E712" s="15">
        <v>1.6932122094081099E-3</v>
      </c>
      <c r="F712" s="15">
        <v>1.7198125439648701E-2</v>
      </c>
      <c r="G712" s="15">
        <v>0.92157668756631395</v>
      </c>
      <c r="H712" s="15">
        <v>0.92157668756631395</v>
      </c>
      <c r="I712" s="15">
        <v>0.94486239590132304</v>
      </c>
      <c r="J712" s="15">
        <v>1</v>
      </c>
      <c r="K712" s="15"/>
      <c r="L712" s="15"/>
      <c r="M712" s="15"/>
      <c r="N712" s="15"/>
      <c r="O712" s="15"/>
      <c r="P712" s="15"/>
      <c r="Q712" s="15"/>
    </row>
    <row r="713" spans="2:17" x14ac:dyDescent="0.2">
      <c r="B713" t="s">
        <v>1524</v>
      </c>
      <c r="C713" s="72" t="s">
        <v>2870</v>
      </c>
      <c r="D713" t="s">
        <v>233</v>
      </c>
      <c r="E713" s="15">
        <v>-3.21154614466031E-2</v>
      </c>
      <c r="F713" s="15">
        <v>1.5871935439108201E-2</v>
      </c>
      <c r="G713" s="15">
        <v>4.3088210315337397E-2</v>
      </c>
      <c r="H713" s="15">
        <v>6.9401621194932803E-2</v>
      </c>
      <c r="I713" s="15">
        <v>0.106459161317754</v>
      </c>
      <c r="J713" s="15">
        <v>1</v>
      </c>
      <c r="K713" s="15"/>
      <c r="L713" s="15"/>
      <c r="M713" s="15"/>
      <c r="N713" s="15"/>
      <c r="O713" s="15"/>
      <c r="P713" s="15"/>
      <c r="Q713" s="15"/>
    </row>
    <row r="714" spans="2:17" x14ac:dyDescent="0.2">
      <c r="B714" t="s">
        <v>1524</v>
      </c>
      <c r="C714" s="72" t="s">
        <v>2870</v>
      </c>
      <c r="D714" t="s">
        <v>234</v>
      </c>
      <c r="E714" s="15">
        <v>-5.7521574379914203E-2</v>
      </c>
      <c r="F714" s="15">
        <v>1.6713879221736599E-2</v>
      </c>
      <c r="G714" s="15">
        <v>5.8354681802453895E-4</v>
      </c>
      <c r="H714" s="15">
        <v>1.78446925511852E-3</v>
      </c>
      <c r="I714" s="15">
        <v>3.0117143935664099E-3</v>
      </c>
      <c r="J714" s="15">
        <v>0.61564189301588901</v>
      </c>
      <c r="K714" s="15"/>
      <c r="L714" s="15"/>
      <c r="M714" s="15"/>
      <c r="N714" s="15"/>
      <c r="O714" s="15"/>
      <c r="P714" s="15"/>
      <c r="Q714" s="15"/>
    </row>
    <row r="715" spans="2:17" x14ac:dyDescent="0.2">
      <c r="B715" t="s">
        <v>1524</v>
      </c>
      <c r="C715" s="72" t="s">
        <v>2870</v>
      </c>
      <c r="D715" t="s">
        <v>1038</v>
      </c>
      <c r="E715" s="15">
        <v>-4.6927518722936101E-2</v>
      </c>
      <c r="F715" s="15">
        <v>1.6981691015858801E-2</v>
      </c>
      <c r="G715" s="15">
        <v>5.7428736228680799E-3</v>
      </c>
      <c r="H715" s="15">
        <v>1.21174633442517E-2</v>
      </c>
      <c r="I715" s="15">
        <v>1.9930038395150701E-2</v>
      </c>
      <c r="J715" s="15">
        <v>1</v>
      </c>
      <c r="K715" s="15"/>
      <c r="L715" s="15"/>
      <c r="M715" s="15"/>
      <c r="N715" s="15"/>
      <c r="O715" s="15"/>
      <c r="P715" s="15"/>
      <c r="Q715" s="15"/>
    </row>
    <row r="716" spans="2:17" x14ac:dyDescent="0.2">
      <c r="B716" t="s">
        <v>1524</v>
      </c>
      <c r="C716" s="72" t="s">
        <v>2870</v>
      </c>
      <c r="D716" t="s">
        <v>1040</v>
      </c>
      <c r="E716" s="15">
        <v>-1.8401978893703201E-2</v>
      </c>
      <c r="F716" s="15">
        <v>1.7106009303175702E-2</v>
      </c>
      <c r="G716" s="15">
        <v>0.28209094791022299</v>
      </c>
      <c r="H716" s="15">
        <v>0.34119800421677599</v>
      </c>
      <c r="I716" s="15">
        <v>0.445069943696277</v>
      </c>
      <c r="J716" s="15">
        <v>1</v>
      </c>
      <c r="K716" s="15"/>
      <c r="L716" s="15"/>
      <c r="M716" s="15"/>
      <c r="N716" s="15"/>
      <c r="O716" s="15"/>
      <c r="P716" s="15"/>
      <c r="Q716" s="15"/>
    </row>
    <row r="717" spans="2:17" x14ac:dyDescent="0.2">
      <c r="B717" t="s">
        <v>1524</v>
      </c>
      <c r="C717" s="72" t="s">
        <v>2870</v>
      </c>
      <c r="D717" t="s">
        <v>3190</v>
      </c>
      <c r="E717" s="15">
        <v>-1.26761071076864E-2</v>
      </c>
      <c r="F717" s="15">
        <v>1.7004954953887999E-2</v>
      </c>
      <c r="G717" s="15">
        <v>0.456048103419877</v>
      </c>
      <c r="H717" s="15">
        <v>0.52014135038699405</v>
      </c>
      <c r="I717" s="15">
        <v>0.62504949180901204</v>
      </c>
      <c r="J717" s="15">
        <v>1</v>
      </c>
      <c r="K717" s="15"/>
      <c r="L717" s="15"/>
      <c r="M717" s="15"/>
      <c r="N717" s="15"/>
      <c r="O717" s="15"/>
      <c r="P717" s="15"/>
      <c r="Q717" s="15"/>
    </row>
    <row r="718" spans="2:17" x14ac:dyDescent="0.2">
      <c r="B718" t="s">
        <v>1524</v>
      </c>
      <c r="C718" s="72" t="s">
        <v>2870</v>
      </c>
      <c r="D718" s="51" t="s">
        <v>3191</v>
      </c>
      <c r="E718" s="74">
        <v>-7.3490357264217904E-2</v>
      </c>
      <c r="F718" s="74">
        <v>1.6717256249874302E-2</v>
      </c>
      <c r="G718" s="74">
        <v>1.12730995008262E-5</v>
      </c>
      <c r="H718" s="74">
        <v>6.3330620902816499E-5</v>
      </c>
      <c r="I718" s="74">
        <v>1.0714522498533E-4</v>
      </c>
      <c r="J718" s="74">
        <v>1.1893119973371599E-2</v>
      </c>
      <c r="K718" s="15"/>
      <c r="L718" s="15"/>
      <c r="M718" s="15"/>
      <c r="N718" s="15"/>
      <c r="O718" s="15"/>
      <c r="P718" s="15"/>
      <c r="Q718" s="15"/>
    </row>
    <row r="719" spans="2:17" x14ac:dyDescent="0.2">
      <c r="B719" t="s">
        <v>1524</v>
      </c>
      <c r="C719" s="72" t="s">
        <v>2870</v>
      </c>
      <c r="D719" t="s">
        <v>3192</v>
      </c>
      <c r="E719" s="15">
        <v>-2.42722182846048E-2</v>
      </c>
      <c r="F719" s="15">
        <v>1.6896647444747202E-2</v>
      </c>
      <c r="G719" s="15">
        <v>0.15092616937492101</v>
      </c>
      <c r="H719" s="15">
        <v>0.201553302139926</v>
      </c>
      <c r="I719" s="15">
        <v>0.28637969188946399</v>
      </c>
      <c r="J719" s="15">
        <v>1</v>
      </c>
      <c r="K719" s="15"/>
      <c r="L719" s="15"/>
      <c r="M719" s="15"/>
      <c r="N719" s="15"/>
      <c r="O719" s="15"/>
      <c r="P719" s="15"/>
      <c r="Q719" s="15"/>
    </row>
    <row r="720" spans="2:17" x14ac:dyDescent="0.2">
      <c r="B720" t="s">
        <v>1524</v>
      </c>
      <c r="C720" s="72" t="s">
        <v>2870</v>
      </c>
      <c r="D720" t="s">
        <v>3193</v>
      </c>
      <c r="E720" s="15">
        <v>-2.21068911384978E-2</v>
      </c>
      <c r="F720" s="15">
        <v>1.6208290121147599E-2</v>
      </c>
      <c r="G720" s="15">
        <v>0.172659938186314</v>
      </c>
      <c r="H720" s="15">
        <v>0.227695293483202</v>
      </c>
      <c r="I720" s="15">
        <v>0.31569538091258498</v>
      </c>
      <c r="J720" s="15">
        <v>1</v>
      </c>
      <c r="K720" s="15"/>
      <c r="L720" s="15"/>
      <c r="M720" s="15"/>
      <c r="N720" s="15"/>
      <c r="O720" s="15"/>
      <c r="P720" s="15"/>
      <c r="Q720" s="15"/>
    </row>
    <row r="721" spans="2:17" x14ac:dyDescent="0.2">
      <c r="B721" t="s">
        <v>1524</v>
      </c>
      <c r="C721" s="72" t="s">
        <v>2870</v>
      </c>
      <c r="D721" t="s">
        <v>3194</v>
      </c>
      <c r="E721" s="15">
        <v>-6.8411003925341607E-2</v>
      </c>
      <c r="F721" s="15">
        <v>1.6987026861146701E-2</v>
      </c>
      <c r="G721" s="15">
        <v>5.73754793668711E-5</v>
      </c>
      <c r="H721" s="15">
        <v>2.37376983262937E-4</v>
      </c>
      <c r="I721" s="15">
        <v>3.9823112323716502E-4</v>
      </c>
      <c r="J721" s="15">
        <v>6.0531130732049E-2</v>
      </c>
      <c r="K721" s="15"/>
      <c r="L721" s="15"/>
      <c r="M721" s="15"/>
      <c r="N721" s="15"/>
      <c r="O721" s="15"/>
      <c r="P721" s="15"/>
      <c r="Q721" s="15"/>
    </row>
    <row r="722" spans="2:17" x14ac:dyDescent="0.2">
      <c r="B722" t="s">
        <v>1524</v>
      </c>
      <c r="C722" s="72" t="s">
        <v>2870</v>
      </c>
      <c r="D722" t="s">
        <v>3195</v>
      </c>
      <c r="E722" s="15">
        <v>-2.1901475608098E-3</v>
      </c>
      <c r="F722" s="15">
        <v>1.6986531005159899E-2</v>
      </c>
      <c r="G722" s="15">
        <v>0.89741546062224498</v>
      </c>
      <c r="H722" s="15">
        <v>0.903974759226434</v>
      </c>
      <c r="I722" s="15">
        <v>0.93615570578594598</v>
      </c>
      <c r="J722" s="15">
        <v>1</v>
      </c>
      <c r="K722" s="15"/>
      <c r="L722" s="15"/>
      <c r="M722" s="15"/>
      <c r="N722" s="15"/>
      <c r="O722" s="15"/>
      <c r="P722" s="15"/>
      <c r="Q722" s="15"/>
    </row>
    <row r="723" spans="2:17" x14ac:dyDescent="0.2">
      <c r="B723" t="s">
        <v>1524</v>
      </c>
      <c r="C723" s="72" t="s">
        <v>2870</v>
      </c>
      <c r="D723" t="s">
        <v>3196</v>
      </c>
      <c r="E723" s="15">
        <v>-6.0253260472929698E-2</v>
      </c>
      <c r="F723" s="15">
        <v>1.6711426484032201E-2</v>
      </c>
      <c r="G723" s="15">
        <v>3.1485827204128202E-4</v>
      </c>
      <c r="H723" s="15">
        <v>1.07153379678565E-3</v>
      </c>
      <c r="I723" s="15">
        <v>1.7858896613094199E-3</v>
      </c>
      <c r="J723" s="15">
        <v>0.33217547700355299</v>
      </c>
      <c r="K723" s="15"/>
      <c r="L723" s="15"/>
      <c r="M723" s="15"/>
      <c r="N723" s="15"/>
      <c r="O723" s="15"/>
      <c r="P723" s="15"/>
      <c r="Q723" s="15"/>
    </row>
    <row r="724" spans="2:17" x14ac:dyDescent="0.2">
      <c r="B724" t="s">
        <v>1524</v>
      </c>
      <c r="C724" s="72" t="s">
        <v>2870</v>
      </c>
      <c r="D724" t="s">
        <v>3197</v>
      </c>
      <c r="E724" s="15">
        <v>-3.31049318347892E-2</v>
      </c>
      <c r="F724" s="15">
        <v>1.7036541236335599E-2</v>
      </c>
      <c r="G724" s="15">
        <v>5.2056894850076703E-2</v>
      </c>
      <c r="H724" s="15">
        <v>8.0327279630871898E-2</v>
      </c>
      <c r="I724" s="15">
        <v>0.12491434128168701</v>
      </c>
      <c r="J724" s="15">
        <v>1</v>
      </c>
      <c r="K724" s="15"/>
      <c r="L724" s="15"/>
      <c r="M724" s="15"/>
      <c r="N724" s="15"/>
      <c r="O724" s="15"/>
      <c r="P724" s="15"/>
      <c r="Q724" s="15"/>
    </row>
    <row r="725" spans="2:17" x14ac:dyDescent="0.2">
      <c r="B725" t="s">
        <v>1524</v>
      </c>
      <c r="C725" s="72" t="s">
        <v>2870</v>
      </c>
      <c r="D725" t="s">
        <v>1141</v>
      </c>
      <c r="E725" s="15">
        <v>-5.4423587258886803E-2</v>
      </c>
      <c r="F725" s="15">
        <v>1.6647632954381299E-2</v>
      </c>
      <c r="G725" s="15">
        <v>1.08659585319977E-3</v>
      </c>
      <c r="H725" s="15">
        <v>3.05825751537723E-3</v>
      </c>
      <c r="I725" s="15">
        <v>5.1351936695552798E-3</v>
      </c>
      <c r="J725" s="15">
        <v>1</v>
      </c>
      <c r="K725" s="15"/>
      <c r="L725" s="15"/>
      <c r="M725" s="15"/>
      <c r="N725" s="15"/>
      <c r="O725" s="15"/>
      <c r="P725" s="15"/>
      <c r="Q725" s="15"/>
    </row>
    <row r="726" spans="2:17" x14ac:dyDescent="0.2">
      <c r="B726" t="s">
        <v>1524</v>
      </c>
      <c r="C726" s="72" t="s">
        <v>2870</v>
      </c>
      <c r="D726" t="s">
        <v>1142</v>
      </c>
      <c r="E726" s="15">
        <v>-4.1347112709289299E-2</v>
      </c>
      <c r="F726" s="15">
        <v>1.6741409431787899E-2</v>
      </c>
      <c r="G726" s="15">
        <v>1.35563597801446E-2</v>
      </c>
      <c r="H726" s="15">
        <v>2.5313202775314202E-2</v>
      </c>
      <c r="I726" s="15">
        <v>4.0630566954694601E-2</v>
      </c>
      <c r="J726" s="15">
        <v>1</v>
      </c>
      <c r="K726" s="15"/>
      <c r="L726" s="15"/>
      <c r="M726" s="15"/>
      <c r="N726" s="15"/>
      <c r="O726" s="15"/>
      <c r="P726" s="15"/>
      <c r="Q726" s="15"/>
    </row>
    <row r="727" spans="2:17" x14ac:dyDescent="0.2">
      <c r="B727" t="s">
        <v>1524</v>
      </c>
      <c r="C727" s="72" t="s">
        <v>2870</v>
      </c>
      <c r="D727" t="s">
        <v>3198</v>
      </c>
      <c r="E727" s="15">
        <v>-3.0933964072848898E-2</v>
      </c>
      <c r="F727" s="15">
        <v>1.6009852680042999E-2</v>
      </c>
      <c r="G727" s="15">
        <v>5.3399072147341298E-2</v>
      </c>
      <c r="H727" s="15">
        <v>8.0327279630871898E-2</v>
      </c>
      <c r="I727" s="15">
        <v>0.12639997564310901</v>
      </c>
      <c r="J727" s="15">
        <v>1</v>
      </c>
      <c r="K727" s="15"/>
      <c r="L727" s="15"/>
      <c r="M727" s="15"/>
      <c r="N727" s="15"/>
      <c r="O727" s="15"/>
      <c r="P727" s="15"/>
      <c r="Q727" s="15"/>
    </row>
    <row r="728" spans="2:17" x14ac:dyDescent="0.2">
      <c r="B728" t="s">
        <v>1524</v>
      </c>
      <c r="C728" s="72" t="s">
        <v>2870</v>
      </c>
      <c r="D728" t="s">
        <v>1134</v>
      </c>
      <c r="E728" s="15">
        <v>-1.92765985654745E-2</v>
      </c>
      <c r="F728" s="15">
        <v>1.6989918506890401E-2</v>
      </c>
      <c r="G728" s="15">
        <v>0.25660491421801501</v>
      </c>
      <c r="H728" s="15">
        <v>0.31296899942197198</v>
      </c>
      <c r="I728" s="15">
        <v>0.41440347755916601</v>
      </c>
      <c r="J728" s="15">
        <v>1</v>
      </c>
      <c r="K728" s="15"/>
      <c r="L728" s="15"/>
      <c r="M728" s="15"/>
      <c r="N728" s="15"/>
      <c r="O728" s="15"/>
      <c r="P728" s="15"/>
      <c r="Q728" s="15"/>
    </row>
    <row r="729" spans="2:17" x14ac:dyDescent="0.2">
      <c r="B729" t="s">
        <v>1524</v>
      </c>
      <c r="C729" s="72" t="s">
        <v>2870</v>
      </c>
      <c r="D729" t="s">
        <v>1136</v>
      </c>
      <c r="E729" s="15">
        <v>-5.2912586546309398E-2</v>
      </c>
      <c r="F729" s="15">
        <v>1.6661851311928901E-2</v>
      </c>
      <c r="G729" s="15">
        <v>1.50468717537494E-3</v>
      </c>
      <c r="H729" s="15">
        <v>4.0473671833234203E-3</v>
      </c>
      <c r="I729" s="15">
        <v>6.6420291632659501E-3</v>
      </c>
      <c r="J729" s="15">
        <v>1</v>
      </c>
      <c r="K729" s="15"/>
      <c r="L729" s="15"/>
      <c r="M729" s="15"/>
      <c r="N729" s="15"/>
      <c r="O729" s="15"/>
      <c r="P729" s="15"/>
      <c r="Q729" s="15"/>
    </row>
    <row r="730" spans="2:17" x14ac:dyDescent="0.2">
      <c r="B730" t="s">
        <v>1524</v>
      </c>
      <c r="C730" s="72" t="s">
        <v>2870</v>
      </c>
      <c r="D730" t="s">
        <v>1137</v>
      </c>
      <c r="E730" s="15">
        <v>-4.2380392923345903E-2</v>
      </c>
      <c r="F730" s="15">
        <v>1.67986783193185E-2</v>
      </c>
      <c r="G730" s="15">
        <v>1.1674466751906001E-2</v>
      </c>
      <c r="H730" s="15">
        <v>2.23937498604742E-2</v>
      </c>
      <c r="I730" s="15">
        <v>3.5494416205362603E-2</v>
      </c>
      <c r="J730" s="15">
        <v>1</v>
      </c>
      <c r="K730" s="15"/>
      <c r="L730" s="15"/>
      <c r="M730" s="15"/>
      <c r="N730" s="15"/>
      <c r="O730" s="15"/>
      <c r="P730" s="15"/>
      <c r="Q730" s="15"/>
    </row>
    <row r="731" spans="2:17" x14ac:dyDescent="0.2">
      <c r="B731" t="s">
        <v>1524</v>
      </c>
      <c r="C731" s="72" t="s">
        <v>2870</v>
      </c>
      <c r="D731" t="s">
        <v>1138</v>
      </c>
      <c r="E731" s="15">
        <v>-5.1013697254889703E-2</v>
      </c>
      <c r="F731" s="15">
        <v>1.6837056170680102E-2</v>
      </c>
      <c r="G731" s="15">
        <v>2.4601915415327401E-3</v>
      </c>
      <c r="H731" s="15">
        <v>6.0360513402721999E-3</v>
      </c>
      <c r="I731" s="15">
        <v>9.9064964744925398E-3</v>
      </c>
      <c r="J731" s="15">
        <v>1</v>
      </c>
      <c r="K731" s="15"/>
      <c r="L731" s="15"/>
      <c r="M731" s="15"/>
      <c r="N731" s="15"/>
      <c r="O731" s="15"/>
      <c r="P731" s="15"/>
      <c r="Q731" s="15"/>
    </row>
    <row r="732" spans="2:17" x14ac:dyDescent="0.2">
      <c r="B732" t="s">
        <v>1524</v>
      </c>
      <c r="C732" s="72" t="s">
        <v>2870</v>
      </c>
      <c r="D732" t="s">
        <v>1054</v>
      </c>
      <c r="E732" s="15">
        <v>3.9693923966291997E-2</v>
      </c>
      <c r="F732" s="15">
        <v>1.72377390762826E-2</v>
      </c>
      <c r="G732" s="15">
        <v>2.1351235939929401E-2</v>
      </c>
      <c r="H732" s="15">
        <v>3.8178904943433199E-2</v>
      </c>
      <c r="I732" s="15">
        <v>5.9434179199539798E-2</v>
      </c>
      <c r="J732" s="15">
        <v>1</v>
      </c>
      <c r="K732" s="15"/>
      <c r="L732" s="15"/>
      <c r="M732" s="15"/>
      <c r="N732" s="15"/>
      <c r="O732" s="15"/>
      <c r="P732" s="15"/>
      <c r="Q732" s="15"/>
    </row>
    <row r="733" spans="2:17" x14ac:dyDescent="0.2">
      <c r="B733" t="s">
        <v>1524</v>
      </c>
      <c r="C733" s="72" t="s">
        <v>2870</v>
      </c>
      <c r="D733" t="s">
        <v>312</v>
      </c>
      <c r="E733" s="15">
        <v>-5.1558736063040097E-3</v>
      </c>
      <c r="F733" s="15">
        <v>1.7208383529549402E-2</v>
      </c>
      <c r="G733" s="15">
        <v>0.76448536306791204</v>
      </c>
      <c r="H733" s="15">
        <v>0.77925802708854797</v>
      </c>
      <c r="I733" s="15">
        <v>0.87074477258046801</v>
      </c>
      <c r="J733" s="15">
        <v>1</v>
      </c>
      <c r="K733" s="15"/>
      <c r="L733" s="15"/>
      <c r="M733" s="15"/>
      <c r="N733" s="15"/>
      <c r="O733" s="15"/>
      <c r="P733" s="15"/>
      <c r="Q733" s="15"/>
    </row>
    <row r="734" spans="2:17" x14ac:dyDescent="0.2">
      <c r="B734" t="s">
        <v>1524</v>
      </c>
      <c r="C734" s="72" t="s">
        <v>2870</v>
      </c>
      <c r="D734" s="51" t="s">
        <v>1059</v>
      </c>
      <c r="E734" s="74">
        <v>-0.139345054872444</v>
      </c>
      <c r="F734" s="74">
        <v>1.7211826514123799E-2</v>
      </c>
      <c r="G734" s="74">
        <v>7.2841173738540298E-16</v>
      </c>
      <c r="H734" s="74">
        <v>7.68474382941601E-14</v>
      </c>
      <c r="I734" s="74">
        <v>1.5369487658832E-13</v>
      </c>
      <c r="J734" s="74">
        <v>7.6847438294160097E-13</v>
      </c>
      <c r="K734" s="15"/>
      <c r="L734" s="15"/>
      <c r="M734" s="15"/>
      <c r="N734" s="15"/>
      <c r="O734" s="15"/>
      <c r="P734" s="15"/>
      <c r="Q734" s="15"/>
    </row>
    <row r="735" spans="2:17" x14ac:dyDescent="0.2">
      <c r="B735" t="s">
        <v>1524</v>
      </c>
      <c r="C735" s="72" t="s">
        <v>2870</v>
      </c>
      <c r="D735" s="51" t="s">
        <v>1060</v>
      </c>
      <c r="E735" s="74">
        <v>-0.10120733840703799</v>
      </c>
      <c r="F735" s="74">
        <v>1.7180826022828499E-2</v>
      </c>
      <c r="G735" s="74">
        <v>4.1263281006327497E-9</v>
      </c>
      <c r="H735" s="74">
        <v>9.9877218439917505E-8</v>
      </c>
      <c r="I735" s="74">
        <v>1.95411949121578E-7</v>
      </c>
      <c r="J735" s="74">
        <v>4.3532761461675499E-6</v>
      </c>
      <c r="K735" s="15"/>
      <c r="L735" s="15"/>
      <c r="M735" s="15"/>
      <c r="N735" s="15"/>
      <c r="O735" s="15"/>
      <c r="P735" s="15"/>
      <c r="Q735" s="15"/>
    </row>
    <row r="736" spans="2:17" x14ac:dyDescent="0.2">
      <c r="B736" t="s">
        <v>1524</v>
      </c>
      <c r="C736" s="72" t="s">
        <v>2870</v>
      </c>
      <c r="D736" t="s">
        <v>1477</v>
      </c>
      <c r="E736" s="15">
        <v>2.8936216336792501E-2</v>
      </c>
      <c r="F736" s="15">
        <v>1.7277211195254001E-2</v>
      </c>
      <c r="G736" s="15">
        <v>9.4038142092417898E-2</v>
      </c>
      <c r="H736" s="15">
        <v>0.13316810725839001</v>
      </c>
      <c r="I736" s="15">
        <v>0.19684571410218399</v>
      </c>
      <c r="J736" s="15">
        <v>1</v>
      </c>
      <c r="K736" s="15"/>
      <c r="L736" s="15"/>
      <c r="M736" s="15"/>
      <c r="N736" s="15"/>
      <c r="O736" s="15"/>
      <c r="P736" s="15"/>
      <c r="Q736" s="15"/>
    </row>
    <row r="737" spans="2:17" x14ac:dyDescent="0.2">
      <c r="B737" t="s">
        <v>1524</v>
      </c>
      <c r="C737" s="72" t="s">
        <v>2870</v>
      </c>
      <c r="D737" s="51" t="s">
        <v>324</v>
      </c>
      <c r="E737" s="74">
        <v>-9.7868136712768797E-2</v>
      </c>
      <c r="F737" s="74">
        <v>1.7198456958636602E-2</v>
      </c>
      <c r="G737" s="74">
        <v>1.3465892429247599E-8</v>
      </c>
      <c r="H737" s="74">
        <v>2.8413033025712497E-7</v>
      </c>
      <c r="I737" s="74">
        <v>4.8987987975366305E-7</v>
      </c>
      <c r="J737" s="74">
        <v>1.42065165128562E-5</v>
      </c>
      <c r="K737" s="15"/>
      <c r="L737" s="15"/>
      <c r="M737" s="15"/>
      <c r="N737" s="15"/>
      <c r="O737" s="15"/>
      <c r="P737" s="15"/>
      <c r="Q737" s="15"/>
    </row>
    <row r="738" spans="2:17" x14ac:dyDescent="0.2">
      <c r="B738" t="s">
        <v>1524</v>
      </c>
      <c r="C738" s="72" t="s">
        <v>2870</v>
      </c>
      <c r="D738" s="51" t="s">
        <v>328</v>
      </c>
      <c r="E738" s="74">
        <v>-7.9425329900715297E-2</v>
      </c>
      <c r="F738" s="74">
        <v>1.7098852869466899E-2</v>
      </c>
      <c r="G738" s="74">
        <v>3.4994139174645801E-6</v>
      </c>
      <c r="H738" s="74">
        <v>2.4531788876886402E-5</v>
      </c>
      <c r="I738" s="74">
        <v>4.3433902152060401E-5</v>
      </c>
      <c r="J738" s="74">
        <v>3.6918816829251298E-3</v>
      </c>
      <c r="K738" s="15"/>
      <c r="L738" s="15"/>
      <c r="M738" s="15"/>
      <c r="N738" s="15"/>
      <c r="O738" s="15"/>
      <c r="P738" s="15"/>
      <c r="Q738" s="15"/>
    </row>
    <row r="739" spans="2:17" x14ac:dyDescent="0.2">
      <c r="B739" t="s">
        <v>1524</v>
      </c>
      <c r="C739" s="72" t="s">
        <v>2870</v>
      </c>
      <c r="D739" t="s">
        <v>1068</v>
      </c>
      <c r="E739" s="15">
        <v>-1.16639949595084E-2</v>
      </c>
      <c r="F739" s="15">
        <v>1.7217854969637202E-2</v>
      </c>
      <c r="G739" s="15">
        <v>0.49816333418544001</v>
      </c>
      <c r="H739" s="15">
        <v>0.55032703410014605</v>
      </c>
      <c r="I739" s="15">
        <v>0.66214443838024595</v>
      </c>
      <c r="J739" s="15">
        <v>1</v>
      </c>
      <c r="K739" s="15"/>
      <c r="L739" s="15"/>
      <c r="M739" s="15"/>
      <c r="N739" s="15"/>
      <c r="O739" s="15"/>
      <c r="P739" s="15"/>
      <c r="Q739" s="15"/>
    </row>
    <row r="740" spans="2:17" x14ac:dyDescent="0.2">
      <c r="B740" t="s">
        <v>1524</v>
      </c>
      <c r="C740" s="72" t="s">
        <v>2870</v>
      </c>
      <c r="D740" s="51" t="s">
        <v>1069</v>
      </c>
      <c r="E740" s="74">
        <v>7.9850421373042699E-2</v>
      </c>
      <c r="F740" s="74">
        <v>1.7146523402108899E-2</v>
      </c>
      <c r="G740" s="74">
        <v>3.3006118017435498E-6</v>
      </c>
      <c r="H740" s="74">
        <v>2.40147962126858E-5</v>
      </c>
      <c r="I740" s="74">
        <v>4.1953559648668001E-5</v>
      </c>
      <c r="J740" s="74">
        <v>3.4821454508394399E-3</v>
      </c>
      <c r="K740" s="15"/>
      <c r="L740" s="15"/>
      <c r="M740" s="15"/>
      <c r="N740" s="15"/>
      <c r="O740" s="15"/>
      <c r="P740" s="15"/>
      <c r="Q740" s="15"/>
    </row>
    <row r="741" spans="2:17" x14ac:dyDescent="0.2">
      <c r="B741" t="s">
        <v>1524</v>
      </c>
      <c r="C741" s="72" t="s">
        <v>2870</v>
      </c>
      <c r="D741" s="51" t="s">
        <v>1072</v>
      </c>
      <c r="E741" s="74">
        <v>9.4761608132695699E-2</v>
      </c>
      <c r="F741" s="74">
        <v>1.6987485520238599E-2</v>
      </c>
      <c r="G741" s="74">
        <v>2.5707825508401799E-8</v>
      </c>
      <c r="H741" s="74">
        <v>4.1725778325175198E-7</v>
      </c>
      <c r="I741" s="74">
        <v>8.4755487223012004E-7</v>
      </c>
      <c r="J741" s="74">
        <v>2.7121755911363899E-5</v>
      </c>
      <c r="K741" s="15"/>
      <c r="L741" s="15"/>
      <c r="M741" s="15"/>
      <c r="N741" s="15"/>
      <c r="O741" s="15"/>
      <c r="P741" s="15"/>
      <c r="Q741" s="15"/>
    </row>
    <row r="742" spans="2:17" x14ac:dyDescent="0.2">
      <c r="B742" t="s">
        <v>1524</v>
      </c>
      <c r="C742" s="72" t="s">
        <v>2870</v>
      </c>
      <c r="D742" t="s">
        <v>1074</v>
      </c>
      <c r="E742" s="15">
        <v>-4.7400294978625697E-2</v>
      </c>
      <c r="F742" s="15">
        <v>1.7098653281749102E-2</v>
      </c>
      <c r="G742" s="15">
        <v>5.5906487089763101E-3</v>
      </c>
      <c r="H742" s="15">
        <v>1.2083463538466699E-2</v>
      </c>
      <c r="I742" s="15">
        <v>1.9595130857043199E-2</v>
      </c>
      <c r="J742" s="15">
        <v>1</v>
      </c>
      <c r="K742" s="15"/>
      <c r="L742" s="15"/>
      <c r="M742" s="15"/>
      <c r="N742" s="15"/>
      <c r="O742" s="15"/>
      <c r="P742" s="15"/>
      <c r="Q742" s="15"/>
    </row>
    <row r="743" spans="2:17" x14ac:dyDescent="0.2">
      <c r="B743" t="s">
        <v>1524</v>
      </c>
      <c r="C743" s="72" t="s">
        <v>2870</v>
      </c>
      <c r="D743" s="51" t="s">
        <v>1075</v>
      </c>
      <c r="E743" s="74">
        <v>7.3309386207871599E-2</v>
      </c>
      <c r="F743" s="74">
        <v>1.68951591996079E-2</v>
      </c>
      <c r="G743" s="74">
        <v>1.46270507185154E-5</v>
      </c>
      <c r="H743" s="74">
        <v>7.3944872208786595E-5</v>
      </c>
      <c r="I743" s="74">
        <v>1.2983976236784699E-4</v>
      </c>
      <c r="J743" s="74">
        <v>1.5431538508033801E-2</v>
      </c>
      <c r="K743" s="15"/>
      <c r="L743" s="15"/>
      <c r="M743" s="15"/>
      <c r="N743" s="15"/>
      <c r="O743" s="15"/>
      <c r="P743" s="15"/>
      <c r="Q743" s="15"/>
    </row>
    <row r="744" spans="2:17" x14ac:dyDescent="0.2">
      <c r="B744" t="s">
        <v>1524</v>
      </c>
      <c r="C744" s="72" t="s">
        <v>2870</v>
      </c>
      <c r="D744" s="51" t="s">
        <v>1077</v>
      </c>
      <c r="E744" s="74">
        <v>-7.7896326735432606E-2</v>
      </c>
      <c r="F744" s="74">
        <v>1.7105856145704101E-2</v>
      </c>
      <c r="G744" s="74">
        <v>5.4051114255578902E-6</v>
      </c>
      <c r="H744" s="74">
        <v>3.5639953462272299E-5</v>
      </c>
      <c r="I744" s="74">
        <v>6.4071826449028899E-5</v>
      </c>
      <c r="J744" s="74">
        <v>5.70239255396357E-3</v>
      </c>
      <c r="K744" s="15"/>
      <c r="L744" s="15"/>
      <c r="M744" s="15"/>
      <c r="N744" s="15"/>
      <c r="O744" s="15"/>
      <c r="P744" s="15"/>
      <c r="Q744" s="15"/>
    </row>
    <row r="745" spans="2:17" x14ac:dyDescent="0.2">
      <c r="B745" t="s">
        <v>1524</v>
      </c>
      <c r="C745" s="72" t="s">
        <v>2870</v>
      </c>
      <c r="D745" s="51" t="s">
        <v>1078</v>
      </c>
      <c r="E745" s="74">
        <v>9.3556647377378899E-2</v>
      </c>
      <c r="F745" s="74">
        <v>1.7032993108982101E-2</v>
      </c>
      <c r="G745" s="74">
        <v>4.18114352222693E-8</v>
      </c>
      <c r="H745" s="74">
        <v>6.3015805942134397E-7</v>
      </c>
      <c r="I745" s="74">
        <v>1.1921909232295701E-6</v>
      </c>
      <c r="J745" s="74">
        <v>4.4111064159494102E-5</v>
      </c>
      <c r="K745" s="15"/>
      <c r="L745" s="15"/>
      <c r="M745" s="15"/>
      <c r="N745" s="15"/>
      <c r="O745" s="15"/>
      <c r="P745" s="15"/>
      <c r="Q745" s="15"/>
    </row>
    <row r="746" spans="2:17" x14ac:dyDescent="0.2">
      <c r="B746" t="s">
        <v>1524</v>
      </c>
      <c r="C746" s="72" t="s">
        <v>2870</v>
      </c>
      <c r="D746" t="s">
        <v>1079</v>
      </c>
      <c r="E746" s="15">
        <v>-3.1126142740293399E-2</v>
      </c>
      <c r="F746" s="15">
        <v>1.7149394978476399E-2</v>
      </c>
      <c r="G746" s="15">
        <v>6.9589466283636506E-2</v>
      </c>
      <c r="H746" s="15">
        <v>0.101967898512829</v>
      </c>
      <c r="I746" s="15">
        <v>0.15456186721944501</v>
      </c>
      <c r="J746" s="15">
        <v>1</v>
      </c>
      <c r="K746" s="15"/>
      <c r="L746" s="15"/>
      <c r="M746" s="15"/>
      <c r="N746" s="15"/>
      <c r="O746" s="15"/>
      <c r="P746" s="15"/>
      <c r="Q746" s="15"/>
    </row>
    <row r="747" spans="2:17" x14ac:dyDescent="0.2">
      <c r="B747" t="s">
        <v>1524</v>
      </c>
      <c r="C747" s="72" t="s">
        <v>2870</v>
      </c>
      <c r="D747" t="s">
        <v>3199</v>
      </c>
      <c r="E747" s="15">
        <v>-5.4503640212065801E-2</v>
      </c>
      <c r="F747" s="15">
        <v>1.7218672593583801E-2</v>
      </c>
      <c r="G747" s="15">
        <v>1.5589712739267701E-3</v>
      </c>
      <c r="H747" s="15">
        <v>4.1117867349818602E-3</v>
      </c>
      <c r="I747" s="15">
        <v>6.8245422987250701E-3</v>
      </c>
      <c r="J747" s="15">
        <v>1</v>
      </c>
      <c r="K747" s="15"/>
      <c r="L747" s="15"/>
      <c r="M747" s="15"/>
      <c r="N747" s="15"/>
      <c r="O747" s="15"/>
      <c r="P747" s="15"/>
      <c r="Q747" s="15"/>
    </row>
    <row r="748" spans="2:17" x14ac:dyDescent="0.2">
      <c r="B748" t="s">
        <v>1524</v>
      </c>
      <c r="C748" s="72" t="s">
        <v>2870</v>
      </c>
      <c r="D748" t="s">
        <v>3200</v>
      </c>
      <c r="E748" s="15">
        <v>6.7961323746483795E-2</v>
      </c>
      <c r="F748" s="15">
        <v>1.6998686943887301E-2</v>
      </c>
      <c r="G748" s="15">
        <v>6.4914182163737201E-5</v>
      </c>
      <c r="H748" s="15">
        <v>2.6340177762593399E-4</v>
      </c>
      <c r="I748" s="15">
        <v>4.4183523988866298E-4</v>
      </c>
      <c r="J748" s="15">
        <v>6.8484462182742803E-2</v>
      </c>
      <c r="K748" s="15"/>
      <c r="L748" s="15"/>
      <c r="M748" s="15"/>
      <c r="N748" s="15"/>
      <c r="O748" s="15"/>
      <c r="P748" s="15"/>
      <c r="Q748" s="15"/>
    </row>
    <row r="749" spans="2:17" x14ac:dyDescent="0.2">
      <c r="B749" t="s">
        <v>1524</v>
      </c>
      <c r="C749" s="72" t="s">
        <v>2870</v>
      </c>
      <c r="D749" t="s">
        <v>3201</v>
      </c>
      <c r="E749" s="15">
        <v>2.0076871160157401E-2</v>
      </c>
      <c r="F749" s="15">
        <v>1.7189753691942599E-2</v>
      </c>
      <c r="G749" s="15">
        <v>0.24288760990265501</v>
      </c>
      <c r="H749" s="15">
        <v>0.29796096331081501</v>
      </c>
      <c r="I749" s="15">
        <v>0.40204091297911398</v>
      </c>
      <c r="J749" s="15">
        <v>1</v>
      </c>
      <c r="K749" s="15"/>
      <c r="L749" s="15"/>
      <c r="M749" s="15"/>
      <c r="N749" s="15"/>
      <c r="O749" s="15"/>
      <c r="P749" s="15"/>
      <c r="Q749" s="15"/>
    </row>
    <row r="750" spans="2:17" x14ac:dyDescent="0.2">
      <c r="B750" t="s">
        <v>1524</v>
      </c>
      <c r="C750" s="72" t="s">
        <v>2870</v>
      </c>
      <c r="D750" t="s">
        <v>3202</v>
      </c>
      <c r="E750" s="15">
        <v>4.7001765749651502E-2</v>
      </c>
      <c r="F750" s="15">
        <v>1.7071289953127199E-2</v>
      </c>
      <c r="G750" s="15">
        <v>5.9240588280682401E-3</v>
      </c>
      <c r="H750" s="15">
        <v>1.2376004086360399E-2</v>
      </c>
      <c r="I750" s="15">
        <v>2.0096083805826399E-2</v>
      </c>
      <c r="J750" s="15">
        <v>1</v>
      </c>
      <c r="K750" s="15"/>
      <c r="L750" s="15"/>
      <c r="M750" s="15"/>
      <c r="N750" s="15"/>
      <c r="O750" s="15"/>
      <c r="P750" s="15"/>
      <c r="Q750" s="15"/>
    </row>
    <row r="751" spans="2:17" x14ac:dyDescent="0.2">
      <c r="B751" t="s">
        <v>1524</v>
      </c>
      <c r="C751" s="72" t="s">
        <v>2870</v>
      </c>
      <c r="D751" s="51" t="s">
        <v>3203</v>
      </c>
      <c r="E751" s="74">
        <v>9.9781949663291597E-2</v>
      </c>
      <c r="F751" s="74">
        <v>1.6952989046875099E-2</v>
      </c>
      <c r="G751" s="74">
        <v>4.2601657154467199E-9</v>
      </c>
      <c r="H751" s="74">
        <v>9.9877218439917505E-8</v>
      </c>
      <c r="I751" s="74">
        <v>1.95411949121578E-7</v>
      </c>
      <c r="J751" s="74">
        <v>4.4944748297962897E-6</v>
      </c>
      <c r="K751" s="15"/>
      <c r="L751" s="15"/>
      <c r="M751" s="15"/>
      <c r="N751" s="15"/>
      <c r="O751" s="15"/>
      <c r="P751" s="15"/>
      <c r="Q751" s="15"/>
    </row>
    <row r="752" spans="2:17" x14ac:dyDescent="0.2">
      <c r="B752" t="s">
        <v>1524</v>
      </c>
      <c r="C752" s="72" t="s">
        <v>2870</v>
      </c>
      <c r="D752" t="s">
        <v>3204</v>
      </c>
      <c r="E752" s="15">
        <v>1.8030774193832099E-2</v>
      </c>
      <c r="F752" s="15">
        <v>1.70520971365043E-2</v>
      </c>
      <c r="G752" s="15">
        <v>0.29039091383371002</v>
      </c>
      <c r="H752" s="15">
        <v>0.34422743156692598</v>
      </c>
      <c r="I752" s="15">
        <v>0.45319883741799499</v>
      </c>
      <c r="J752" s="15">
        <v>1</v>
      </c>
      <c r="K752" s="15"/>
      <c r="L752" s="15"/>
      <c r="M752" s="15"/>
      <c r="N752" s="15"/>
      <c r="O752" s="15"/>
      <c r="P752" s="15"/>
      <c r="Q752" s="15"/>
    </row>
    <row r="753" spans="2:17" x14ac:dyDescent="0.2">
      <c r="B753" t="s">
        <v>1524</v>
      </c>
      <c r="C753" s="72" t="s">
        <v>2870</v>
      </c>
      <c r="D753" t="s">
        <v>3205</v>
      </c>
      <c r="E753" s="15">
        <v>-5.2987499126942297E-2</v>
      </c>
      <c r="F753" s="15">
        <v>1.71676207585067E-2</v>
      </c>
      <c r="G753" s="15">
        <v>2.0375976025457398E-3</v>
      </c>
      <c r="H753" s="15">
        <v>5.1799167968331504E-3</v>
      </c>
      <c r="I753" s="15">
        <v>8.4967014651610995E-3</v>
      </c>
      <c r="J753" s="15">
        <v>1</v>
      </c>
      <c r="K753" s="15"/>
      <c r="L753" s="15"/>
      <c r="M753" s="15"/>
      <c r="N753" s="15"/>
      <c r="O753" s="15"/>
      <c r="P753" s="15"/>
      <c r="Q753" s="15"/>
    </row>
    <row r="754" spans="2:17" x14ac:dyDescent="0.2">
      <c r="B754" t="s">
        <v>1524</v>
      </c>
      <c r="C754" s="72" t="s">
        <v>2870</v>
      </c>
      <c r="D754" t="s">
        <v>3206</v>
      </c>
      <c r="E754" s="15">
        <v>3.9922620516874702E-2</v>
      </c>
      <c r="F754" s="15">
        <v>1.7158796390282401E-2</v>
      </c>
      <c r="G754" s="15">
        <v>2.0027375295667098E-2</v>
      </c>
      <c r="H754" s="15">
        <v>3.6429105063670399E-2</v>
      </c>
      <c r="I754" s="15">
        <v>5.6343682498476898E-2</v>
      </c>
      <c r="J754" s="15">
        <v>1</v>
      </c>
      <c r="K754" s="15"/>
      <c r="L754" s="15"/>
      <c r="M754" s="15"/>
      <c r="N754" s="15"/>
      <c r="O754" s="15"/>
      <c r="P754" s="15"/>
      <c r="Q754" s="15"/>
    </row>
    <row r="755" spans="2:17" x14ac:dyDescent="0.2">
      <c r="B755" t="s">
        <v>1524</v>
      </c>
      <c r="C755" s="72" t="s">
        <v>2870</v>
      </c>
      <c r="D755" t="s">
        <v>3207</v>
      </c>
      <c r="E755" s="15">
        <v>5.7854530097794399E-2</v>
      </c>
      <c r="F755" s="15">
        <v>1.7167665896066001E-2</v>
      </c>
      <c r="G755" s="15">
        <v>7.5799413921361796E-4</v>
      </c>
      <c r="H755" s="15">
        <v>2.25263047005737E-3</v>
      </c>
      <c r="I755" s="15">
        <v>3.7720934758036198E-3</v>
      </c>
      <c r="J755" s="15">
        <v>0.79968381687036705</v>
      </c>
      <c r="K755" s="15"/>
      <c r="L755" s="15"/>
      <c r="M755" s="15"/>
      <c r="N755" s="15"/>
      <c r="O755" s="15"/>
      <c r="P755" s="15"/>
      <c r="Q755" s="15"/>
    </row>
    <row r="756" spans="2:17" x14ac:dyDescent="0.2">
      <c r="B756" t="s">
        <v>1524</v>
      </c>
      <c r="C756" s="72" t="s">
        <v>2870</v>
      </c>
      <c r="D756" t="s">
        <v>3208</v>
      </c>
      <c r="E756" s="15">
        <v>-6.1934142975095703E-2</v>
      </c>
      <c r="F756" s="15">
        <v>1.7080570257681501E-2</v>
      </c>
      <c r="G756" s="15">
        <v>2.9103631082083299E-4</v>
      </c>
      <c r="H756" s="15">
        <v>1.02347769305326E-3</v>
      </c>
      <c r="I756" s="15">
        <v>1.6732746059178699E-3</v>
      </c>
      <c r="J756" s="15">
        <v>0.307043307915979</v>
      </c>
      <c r="K756" s="15"/>
      <c r="L756" s="15"/>
      <c r="M756" s="15"/>
      <c r="N756" s="15"/>
      <c r="O756" s="15"/>
      <c r="P756" s="15"/>
      <c r="Q756" s="15"/>
    </row>
    <row r="757" spans="2:17" x14ac:dyDescent="0.2">
      <c r="B757" t="s">
        <v>1524</v>
      </c>
      <c r="C757" s="72" t="s">
        <v>2870</v>
      </c>
      <c r="D757" t="s">
        <v>3209</v>
      </c>
      <c r="E757" s="15">
        <v>-1.5743785644809199E-2</v>
      </c>
      <c r="F757" s="15">
        <v>1.7189587067725901E-2</v>
      </c>
      <c r="G757" s="15">
        <v>0.35977214103836502</v>
      </c>
      <c r="H757" s="15">
        <v>0.41940288264693398</v>
      </c>
      <c r="I757" s="15">
        <v>0.52863455263993697</v>
      </c>
      <c r="J757" s="15">
        <v>1</v>
      </c>
      <c r="K757" s="15"/>
      <c r="L757" s="15"/>
      <c r="M757" s="15"/>
      <c r="N757" s="15"/>
      <c r="O757" s="15"/>
      <c r="P757" s="15"/>
      <c r="Q757" s="15"/>
    </row>
    <row r="758" spans="2:17" x14ac:dyDescent="0.2">
      <c r="B758" t="s">
        <v>1524</v>
      </c>
      <c r="C758" s="72" t="s">
        <v>2870</v>
      </c>
      <c r="D758" t="s">
        <v>3210</v>
      </c>
      <c r="E758" s="15">
        <v>-5.57139883470796E-2</v>
      </c>
      <c r="F758" s="15">
        <v>1.7165091647072101E-2</v>
      </c>
      <c r="G758" s="15">
        <v>1.1797507397268499E-3</v>
      </c>
      <c r="H758" s="15">
        <v>3.2328234556151499E-3</v>
      </c>
      <c r="I758" s="15">
        <v>5.4589343439115402E-3</v>
      </c>
      <c r="J758" s="15">
        <v>1</v>
      </c>
      <c r="K758" s="15"/>
      <c r="L758" s="15"/>
      <c r="M758" s="15"/>
      <c r="N758" s="15"/>
      <c r="O758" s="15"/>
      <c r="P758" s="15"/>
      <c r="Q758" s="15"/>
    </row>
    <row r="759" spans="2:17" x14ac:dyDescent="0.2">
      <c r="B759" t="s">
        <v>1524</v>
      </c>
      <c r="C759" s="72" t="s">
        <v>2870</v>
      </c>
      <c r="D759" s="51" t="s">
        <v>3211</v>
      </c>
      <c r="E759" s="74">
        <v>7.8883149019095697E-2</v>
      </c>
      <c r="F759" s="74">
        <v>1.70045026275303E-2</v>
      </c>
      <c r="G759" s="74">
        <v>3.6041964700638801E-6</v>
      </c>
      <c r="H759" s="74">
        <v>2.4531788876886402E-5</v>
      </c>
      <c r="I759" s="74">
        <v>4.4214270650202303E-5</v>
      </c>
      <c r="J759" s="74">
        <v>3.8024272759173902E-3</v>
      </c>
      <c r="K759" s="15"/>
      <c r="L759" s="15"/>
      <c r="M759" s="15"/>
      <c r="N759" s="15"/>
      <c r="O759" s="15"/>
      <c r="P759" s="15"/>
      <c r="Q759" s="15"/>
    </row>
    <row r="760" spans="2:17" x14ac:dyDescent="0.2">
      <c r="B760" t="s">
        <v>1524</v>
      </c>
      <c r="C760" s="72" t="s">
        <v>2870</v>
      </c>
      <c r="D760" s="51" t="s">
        <v>3212</v>
      </c>
      <c r="E760" s="74">
        <v>7.4293368928937703E-2</v>
      </c>
      <c r="F760" s="74">
        <v>1.6994959905261599E-2</v>
      </c>
      <c r="G760" s="74">
        <v>1.26218904600836E-5</v>
      </c>
      <c r="H760" s="74">
        <v>6.8287663771221505E-5</v>
      </c>
      <c r="I760" s="74">
        <v>1.16807845924458E-4</v>
      </c>
      <c r="J760" s="74">
        <v>1.33160944353882E-2</v>
      </c>
      <c r="K760" s="15"/>
      <c r="L760" s="15"/>
      <c r="M760" s="15"/>
      <c r="N760" s="15"/>
      <c r="O760" s="15"/>
      <c r="P760" s="15"/>
      <c r="Q760" s="15"/>
    </row>
    <row r="761" spans="2:17" x14ac:dyDescent="0.2">
      <c r="B761" t="s">
        <v>1524</v>
      </c>
      <c r="C761" s="72" t="s">
        <v>2870</v>
      </c>
      <c r="D761" s="51" t="s">
        <v>3213</v>
      </c>
      <c r="E761" s="74">
        <v>7.4638728815185504E-2</v>
      </c>
      <c r="F761" s="74">
        <v>1.6778741367797601E-2</v>
      </c>
      <c r="G761" s="74">
        <v>8.8662620882595807E-6</v>
      </c>
      <c r="H761" s="74">
        <v>5.3450894303507799E-5</v>
      </c>
      <c r="I761" s="74">
        <v>9.3035370768659799E-5</v>
      </c>
      <c r="J761" s="74">
        <v>9.35390650311386E-3</v>
      </c>
      <c r="K761" s="15"/>
      <c r="L761" s="15"/>
      <c r="M761" s="15"/>
      <c r="N761" s="15"/>
      <c r="O761" s="15"/>
      <c r="P761" s="15"/>
      <c r="Q761" s="15"/>
    </row>
    <row r="762" spans="2:17" x14ac:dyDescent="0.2">
      <c r="B762" t="s">
        <v>1524</v>
      </c>
      <c r="C762" s="72" t="s">
        <v>2870</v>
      </c>
      <c r="D762" s="51" t="s">
        <v>3214</v>
      </c>
      <c r="E762" s="74">
        <v>8.0091636168265506E-2</v>
      </c>
      <c r="F762" s="74">
        <v>1.6829923330489299E-2</v>
      </c>
      <c r="G762" s="74">
        <v>2.0097655447867201E-6</v>
      </c>
      <c r="H762" s="74">
        <v>1.6310020382692199E-5</v>
      </c>
      <c r="I762" s="74">
        <v>2.7536398048701099E-5</v>
      </c>
      <c r="J762" s="74">
        <v>2.12030264974999E-3</v>
      </c>
      <c r="K762" s="15"/>
      <c r="L762" s="15"/>
      <c r="M762" s="15"/>
      <c r="N762" s="15"/>
      <c r="O762" s="15"/>
      <c r="P762" s="15"/>
      <c r="Q762" s="15"/>
    </row>
    <row r="763" spans="2:17" x14ac:dyDescent="0.2">
      <c r="B763" t="s">
        <v>1524</v>
      </c>
      <c r="C763" s="72" t="s">
        <v>2870</v>
      </c>
      <c r="D763" t="s">
        <v>3215</v>
      </c>
      <c r="E763" s="15">
        <v>-2.26810897302115E-2</v>
      </c>
      <c r="F763" s="15">
        <v>1.70332663218828E-2</v>
      </c>
      <c r="G763" s="15">
        <v>0.18306599961702599</v>
      </c>
      <c r="H763" s="15">
        <v>0.236975005639218</v>
      </c>
      <c r="I763" s="15">
        <v>0.327383130264573</v>
      </c>
      <c r="J763" s="15">
        <v>1</v>
      </c>
      <c r="K763" s="15"/>
      <c r="L763" s="15"/>
      <c r="M763" s="15"/>
      <c r="N763" s="15"/>
      <c r="O763" s="15"/>
      <c r="P763" s="15"/>
      <c r="Q763" s="15"/>
    </row>
    <row r="764" spans="2:17" x14ac:dyDescent="0.2">
      <c r="B764" t="s">
        <v>1524</v>
      </c>
      <c r="C764" s="72" t="s">
        <v>2870</v>
      </c>
      <c r="D764" t="s">
        <v>3216</v>
      </c>
      <c r="E764" s="15">
        <v>5.4970723590314199E-2</v>
      </c>
      <c r="F764" s="15">
        <v>1.6819433410922999E-2</v>
      </c>
      <c r="G764" s="15">
        <v>1.09031600187714E-3</v>
      </c>
      <c r="H764" s="15">
        <v>3.05825751537723E-3</v>
      </c>
      <c r="I764" s="15">
        <v>5.1351936695552798E-3</v>
      </c>
      <c r="J764" s="15">
        <v>1</v>
      </c>
      <c r="K764" s="15"/>
      <c r="L764" s="15"/>
      <c r="M764" s="15"/>
      <c r="N764" s="15"/>
      <c r="O764" s="15"/>
      <c r="P764" s="15"/>
      <c r="Q764" s="15"/>
    </row>
    <row r="765" spans="2:17" x14ac:dyDescent="0.2">
      <c r="B765" t="s">
        <v>1524</v>
      </c>
      <c r="C765" s="72" t="s">
        <v>2870</v>
      </c>
      <c r="D765" t="s">
        <v>3217</v>
      </c>
      <c r="E765" s="15">
        <v>3.7351377293450803E-2</v>
      </c>
      <c r="F765" s="15">
        <v>1.7212620447921701E-2</v>
      </c>
      <c r="G765" s="15">
        <v>3.00595946792791E-2</v>
      </c>
      <c r="H765" s="15">
        <v>5.15656461571374E-2</v>
      </c>
      <c r="I765" s="15">
        <v>8.0083011077372396E-2</v>
      </c>
      <c r="J765" s="15">
        <v>1</v>
      </c>
      <c r="K765" s="15"/>
      <c r="L765" s="15"/>
      <c r="M765" s="15"/>
      <c r="N765" s="15"/>
      <c r="O765" s="15"/>
      <c r="P765" s="15"/>
      <c r="Q765" s="15"/>
    </row>
    <row r="766" spans="2:17" x14ac:dyDescent="0.2">
      <c r="B766" t="s">
        <v>1524</v>
      </c>
      <c r="C766" s="72" t="s">
        <v>2870</v>
      </c>
      <c r="D766" t="s">
        <v>3218</v>
      </c>
      <c r="E766" s="15">
        <v>-2.7960868409480699E-2</v>
      </c>
      <c r="F766" s="15">
        <v>1.7217372010592001E-2</v>
      </c>
      <c r="G766" s="15">
        <v>0.104446869574904</v>
      </c>
      <c r="H766" s="15">
        <v>0.14692192986869801</v>
      </c>
      <c r="I766" s="15">
        <v>0.21521767070610101</v>
      </c>
      <c r="J766" s="15">
        <v>1</v>
      </c>
      <c r="K766" s="15"/>
      <c r="L766" s="15"/>
      <c r="M766" s="15"/>
      <c r="N766" s="15"/>
      <c r="O766" s="15"/>
      <c r="P766" s="15"/>
      <c r="Q766" s="15"/>
    </row>
    <row r="767" spans="2:17" x14ac:dyDescent="0.2">
      <c r="B767" t="s">
        <v>1524</v>
      </c>
      <c r="C767" s="72" t="s">
        <v>2870</v>
      </c>
      <c r="D767" t="s">
        <v>3219</v>
      </c>
      <c r="E767" s="15">
        <v>5.7878962880797198E-2</v>
      </c>
      <c r="F767" s="15">
        <v>1.70279881165032E-2</v>
      </c>
      <c r="G767" s="15">
        <v>6.8214005066351204E-4</v>
      </c>
      <c r="H767" s="15">
        <v>2.0561650098571602E-3</v>
      </c>
      <c r="I767" s="15">
        <v>3.4510214019991699E-3</v>
      </c>
      <c r="J767" s="15">
        <v>0.71965775345000504</v>
      </c>
      <c r="K767" s="15"/>
      <c r="L767" s="15"/>
      <c r="M767" s="15"/>
      <c r="N767" s="15"/>
      <c r="O767" s="15"/>
      <c r="P767" s="15"/>
      <c r="Q767" s="15"/>
    </row>
    <row r="768" spans="2:17" x14ac:dyDescent="0.2">
      <c r="B768" t="s">
        <v>1524</v>
      </c>
      <c r="C768" s="72" t="s">
        <v>2870</v>
      </c>
      <c r="D768" t="s">
        <v>3220</v>
      </c>
      <c r="E768" s="15">
        <v>6.4392872085883096E-2</v>
      </c>
      <c r="F768" s="15">
        <v>1.7128596333877599E-2</v>
      </c>
      <c r="G768" s="15">
        <v>1.72530480425349E-4</v>
      </c>
      <c r="H768" s="15">
        <v>6.3866546262716895E-4</v>
      </c>
      <c r="I768" s="15">
        <v>1.04011232484996E-3</v>
      </c>
      <c r="J768" s="15">
        <v>0.18201965684874299</v>
      </c>
      <c r="K768" s="15"/>
      <c r="L768" s="15"/>
      <c r="M768" s="15"/>
      <c r="N768" s="15"/>
      <c r="O768" s="15"/>
      <c r="P768" s="15"/>
      <c r="Q768" s="15"/>
    </row>
    <row r="769" spans="2:17" x14ac:dyDescent="0.2">
      <c r="B769" t="s">
        <v>1524</v>
      </c>
      <c r="C769" s="72" t="s">
        <v>2870</v>
      </c>
      <c r="D769" s="51" t="s">
        <v>355</v>
      </c>
      <c r="E769" s="74">
        <v>-7.3099530342501606E-2</v>
      </c>
      <c r="F769" s="74">
        <v>1.7183756376820201E-2</v>
      </c>
      <c r="G769" s="74">
        <v>2.1428250131012201E-5</v>
      </c>
      <c r="H769" s="74">
        <v>1.0047468394763501E-4</v>
      </c>
      <c r="I769" s="74">
        <v>1.7661565537670199E-4</v>
      </c>
      <c r="J769" s="74">
        <v>2.26068038882179E-2</v>
      </c>
      <c r="K769" s="15"/>
      <c r="L769" s="15"/>
      <c r="M769" s="15"/>
      <c r="N769" s="15"/>
      <c r="O769" s="15"/>
      <c r="P769" s="15"/>
      <c r="Q769" s="15"/>
    </row>
    <row r="770" spans="2:17" x14ac:dyDescent="0.2">
      <c r="B770" t="s">
        <v>1524</v>
      </c>
      <c r="C770" s="72" t="s">
        <v>2870</v>
      </c>
      <c r="D770" t="s">
        <v>356</v>
      </c>
      <c r="E770" s="15">
        <v>-5.10282224299878E-2</v>
      </c>
      <c r="F770" s="15">
        <v>1.7056557462417798E-2</v>
      </c>
      <c r="G770" s="15">
        <v>2.7896990835761699E-3</v>
      </c>
      <c r="H770" s="15">
        <v>6.6889375753928599E-3</v>
      </c>
      <c r="I770" s="15">
        <v>1.0860267650084399E-2</v>
      </c>
      <c r="J770" s="15">
        <v>1</v>
      </c>
      <c r="K770" s="15"/>
      <c r="L770" s="15"/>
      <c r="M770" s="15"/>
      <c r="N770" s="15"/>
      <c r="O770" s="15"/>
      <c r="P770" s="15"/>
      <c r="Q770" s="15"/>
    </row>
    <row r="771" spans="2:17" x14ac:dyDescent="0.2">
      <c r="B771" t="s">
        <v>1524</v>
      </c>
      <c r="C771" s="72" t="s">
        <v>2870</v>
      </c>
      <c r="D771" t="s">
        <v>358</v>
      </c>
      <c r="E771" s="15">
        <v>-4.5426821632694597E-2</v>
      </c>
      <c r="F771" s="15">
        <v>1.7045119218566902E-2</v>
      </c>
      <c r="G771" s="15">
        <v>7.7246708353989899E-3</v>
      </c>
      <c r="H771" s="15">
        <v>1.5824325691933899E-2</v>
      </c>
      <c r="I771" s="15">
        <v>2.4998551323147E-2</v>
      </c>
      <c r="J771" s="15">
        <v>1</v>
      </c>
      <c r="K771" s="15"/>
      <c r="L771" s="15"/>
      <c r="M771" s="15"/>
      <c r="N771" s="15"/>
      <c r="O771" s="15"/>
      <c r="P771" s="15"/>
      <c r="Q771" s="15"/>
    </row>
    <row r="772" spans="2:17" x14ac:dyDescent="0.2">
      <c r="B772" t="s">
        <v>1524</v>
      </c>
      <c r="C772" s="72" t="s">
        <v>2870</v>
      </c>
      <c r="D772" s="51" t="s">
        <v>359</v>
      </c>
      <c r="E772" s="74">
        <v>-8.5603035382534096E-2</v>
      </c>
      <c r="F772" s="74">
        <v>1.69196740706423E-2</v>
      </c>
      <c r="G772" s="74">
        <v>4.3769807515643699E-7</v>
      </c>
      <c r="H772" s="74">
        <v>4.6177146929004098E-6</v>
      </c>
      <c r="I772" s="74">
        <v>8.2459190944650195E-6</v>
      </c>
      <c r="J772" s="74">
        <v>4.61771469290041E-4</v>
      </c>
      <c r="K772" s="15"/>
      <c r="L772" s="15"/>
      <c r="M772" s="15"/>
      <c r="N772" s="15"/>
      <c r="O772" s="15"/>
      <c r="P772" s="15"/>
      <c r="Q772" s="15"/>
    </row>
    <row r="773" spans="2:17" x14ac:dyDescent="0.2">
      <c r="B773" t="s">
        <v>1524</v>
      </c>
      <c r="C773" s="72" t="s">
        <v>2870</v>
      </c>
      <c r="D773" t="s">
        <v>360</v>
      </c>
      <c r="E773" s="15">
        <v>-5.7491602364609602E-2</v>
      </c>
      <c r="F773" s="15">
        <v>1.7084139319643501E-2</v>
      </c>
      <c r="G773" s="15">
        <v>7.7130975106629496E-4</v>
      </c>
      <c r="H773" s="15">
        <v>2.2603660760415001E-3</v>
      </c>
      <c r="I773" s="15">
        <v>3.8061797139735298E-3</v>
      </c>
      <c r="J773" s="15">
        <v>0.81373178737494101</v>
      </c>
      <c r="K773" s="15"/>
      <c r="L773" s="15"/>
      <c r="M773" s="15"/>
      <c r="N773" s="15"/>
      <c r="O773" s="15"/>
      <c r="P773" s="15"/>
      <c r="Q773" s="15"/>
    </row>
    <row r="774" spans="2:17" x14ac:dyDescent="0.2">
      <c r="B774" t="s">
        <v>1524</v>
      </c>
      <c r="C774" s="72" t="s">
        <v>2870</v>
      </c>
      <c r="D774" s="51" t="s">
        <v>361</v>
      </c>
      <c r="E774" s="74">
        <v>-0.10984219208229801</v>
      </c>
      <c r="F774" s="74">
        <v>1.6695371607031499E-2</v>
      </c>
      <c r="G774" s="74">
        <v>5.2788764966197197E-11</v>
      </c>
      <c r="H774" s="74">
        <v>2.39219751184576E-9</v>
      </c>
      <c r="I774" s="74">
        <v>5.4368125269221803E-9</v>
      </c>
      <c r="J774" s="74">
        <v>5.56921470393381E-8</v>
      </c>
      <c r="K774" s="15"/>
      <c r="L774" s="15"/>
      <c r="M774" s="15"/>
      <c r="N774" s="15"/>
      <c r="O774" s="15"/>
      <c r="P774" s="15"/>
      <c r="Q774" s="15"/>
    </row>
    <row r="775" spans="2:17" x14ac:dyDescent="0.2">
      <c r="B775" t="s">
        <v>1524</v>
      </c>
      <c r="C775" s="72" t="s">
        <v>2870</v>
      </c>
      <c r="D775" t="s">
        <v>366</v>
      </c>
      <c r="E775" s="15">
        <v>-6.1022031130515797E-2</v>
      </c>
      <c r="F775" s="15">
        <v>1.7338253354987201E-2</v>
      </c>
      <c r="G775" s="15">
        <v>4.3666452631003702E-4</v>
      </c>
      <c r="H775" s="15">
        <v>1.4269362900335E-3</v>
      </c>
      <c r="I775" s="15">
        <v>2.3746447178200499E-3</v>
      </c>
      <c r="J775" s="15">
        <v>0.46068107525708901</v>
      </c>
      <c r="K775" s="15"/>
      <c r="L775" s="15"/>
      <c r="M775" s="15"/>
      <c r="N775" s="15"/>
      <c r="O775" s="15"/>
      <c r="P775" s="15"/>
      <c r="Q775" s="15"/>
    </row>
    <row r="776" spans="2:17" x14ac:dyDescent="0.2">
      <c r="B776" t="s">
        <v>1524</v>
      </c>
      <c r="C776" s="72" t="s">
        <v>2870</v>
      </c>
      <c r="D776" s="51" t="s">
        <v>368</v>
      </c>
      <c r="E776" s="74">
        <v>-8.4424187777789497E-2</v>
      </c>
      <c r="F776" s="74">
        <v>1.71898901080541E-2</v>
      </c>
      <c r="G776" s="74">
        <v>9.3741552736656601E-7</v>
      </c>
      <c r="H776" s="74">
        <v>8.8398236046488595E-6</v>
      </c>
      <c r="I776" s="74">
        <v>1.5452709083933199E-5</v>
      </c>
      <c r="J776" s="74">
        <v>9.8897338137172693E-4</v>
      </c>
      <c r="K776" s="15"/>
      <c r="L776" s="15"/>
      <c r="M776" s="15"/>
      <c r="N776" s="15"/>
      <c r="O776" s="15"/>
      <c r="P776" s="15"/>
      <c r="Q776" s="15"/>
    </row>
    <row r="777" spans="2:17" x14ac:dyDescent="0.2">
      <c r="B777" t="s">
        <v>1524</v>
      </c>
      <c r="C777" s="72" t="s">
        <v>2870</v>
      </c>
      <c r="D777" s="51" t="s">
        <v>369</v>
      </c>
      <c r="E777" s="74">
        <v>-8.5405409594492901E-2</v>
      </c>
      <c r="F777" s="74">
        <v>1.7088080225217898E-2</v>
      </c>
      <c r="G777" s="74">
        <v>6.0164581565791702E-7</v>
      </c>
      <c r="H777" s="74">
        <v>6.0451079573247803E-6</v>
      </c>
      <c r="I777" s="74">
        <v>1.07582429749E-5</v>
      </c>
      <c r="J777" s="74">
        <v>6.3473633551910198E-4</v>
      </c>
      <c r="K777" s="15"/>
      <c r="L777" s="15"/>
      <c r="M777" s="15"/>
      <c r="N777" s="15"/>
      <c r="O777" s="15"/>
      <c r="P777" s="15"/>
      <c r="Q777" s="15"/>
    </row>
    <row r="778" spans="2:17" x14ac:dyDescent="0.2">
      <c r="B778" t="s">
        <v>1524</v>
      </c>
      <c r="C778" s="72" t="s">
        <v>2870</v>
      </c>
      <c r="D778" s="51" t="s">
        <v>370</v>
      </c>
      <c r="E778" s="74">
        <v>-8.8601443044659098E-2</v>
      </c>
      <c r="F778" s="74">
        <v>1.7114029585652699E-2</v>
      </c>
      <c r="G778" s="74">
        <v>2.35060466059256E-7</v>
      </c>
      <c r="H778" s="74">
        <v>2.9175151963825299E-6</v>
      </c>
      <c r="I778" s="74">
        <v>5.1664331602607297E-6</v>
      </c>
      <c r="J778" s="74">
        <v>2.4798879169251502E-4</v>
      </c>
      <c r="K778" s="15"/>
      <c r="L778" s="15"/>
      <c r="M778" s="15"/>
      <c r="N778" s="15"/>
      <c r="O778" s="15"/>
      <c r="P778" s="15"/>
      <c r="Q778" s="15"/>
    </row>
    <row r="779" spans="2:17" x14ac:dyDescent="0.2">
      <c r="B779" t="s">
        <v>1524</v>
      </c>
      <c r="C779" s="72" t="s">
        <v>2870</v>
      </c>
      <c r="D779" s="51" t="s">
        <v>371</v>
      </c>
      <c r="E779" s="74">
        <v>-8.9340980300686407E-2</v>
      </c>
      <c r="F779" s="74">
        <v>1.7031762032724999E-2</v>
      </c>
      <c r="G779" s="74">
        <v>1.6280553301238699E-7</v>
      </c>
      <c r="H779" s="74">
        <v>2.14699796660085E-6</v>
      </c>
      <c r="I779" s="74">
        <v>3.8168852739570702E-6</v>
      </c>
      <c r="J779" s="74">
        <v>1.71759837328068E-4</v>
      </c>
      <c r="K779" s="15"/>
      <c r="L779" s="15"/>
      <c r="M779" s="15"/>
      <c r="N779" s="15"/>
      <c r="O779" s="15"/>
      <c r="P779" s="15"/>
      <c r="Q779" s="15"/>
    </row>
    <row r="780" spans="2:17" x14ac:dyDescent="0.2">
      <c r="B780" t="s">
        <v>1524</v>
      </c>
      <c r="C780" s="72" t="s">
        <v>2870</v>
      </c>
      <c r="D780" t="s">
        <v>372</v>
      </c>
      <c r="E780" s="15">
        <v>-4.9484088826888102E-2</v>
      </c>
      <c r="F780" s="15">
        <v>1.7187627052057099E-2</v>
      </c>
      <c r="G780" s="15">
        <v>4.0073822601131397E-3</v>
      </c>
      <c r="H780" s="15">
        <v>9.1908440965638404E-3</v>
      </c>
      <c r="I780" s="15">
        <v>1.46342079075017E-2</v>
      </c>
      <c r="J780" s="15">
        <v>1</v>
      </c>
      <c r="K780" s="15"/>
      <c r="L780" s="15"/>
      <c r="M780" s="15"/>
      <c r="N780" s="15"/>
      <c r="O780" s="15"/>
      <c r="P780" s="15"/>
      <c r="Q780" s="15"/>
    </row>
    <row r="781" spans="2:17" x14ac:dyDescent="0.2">
      <c r="B781" t="s">
        <v>1524</v>
      </c>
      <c r="C781" s="72" t="s">
        <v>2870</v>
      </c>
      <c r="D781" t="s">
        <v>374</v>
      </c>
      <c r="E781" s="15">
        <v>-4.4471940145189202E-2</v>
      </c>
      <c r="F781" s="15">
        <v>1.72359246048421E-2</v>
      </c>
      <c r="G781" s="15">
        <v>9.9063114407591402E-3</v>
      </c>
      <c r="H781" s="15">
        <v>1.92355088006325E-2</v>
      </c>
      <c r="I781" s="15">
        <v>3.0563709318789201E-2</v>
      </c>
      <c r="J781" s="15">
        <v>1</v>
      </c>
      <c r="K781" s="15"/>
      <c r="L781" s="15"/>
      <c r="M781" s="15"/>
      <c r="N781" s="15"/>
      <c r="O781" s="15"/>
      <c r="P781" s="15"/>
      <c r="Q781" s="15"/>
    </row>
    <row r="782" spans="2:17" x14ac:dyDescent="0.2">
      <c r="B782" t="s">
        <v>1524</v>
      </c>
      <c r="C782" s="72" t="s">
        <v>2870</v>
      </c>
      <c r="D782" s="51" t="s">
        <v>375</v>
      </c>
      <c r="E782" s="74">
        <v>-7.3495626323586805E-2</v>
      </c>
      <c r="F782" s="74">
        <v>1.72141410822036E-2</v>
      </c>
      <c r="G782" s="74">
        <v>1.9994480111984401E-5</v>
      </c>
      <c r="H782" s="74">
        <v>9.5882620537016196E-5</v>
      </c>
      <c r="I782" s="74">
        <v>1.66095878095619E-4</v>
      </c>
      <c r="J782" s="74">
        <v>2.10941765181436E-2</v>
      </c>
      <c r="K782" s="15"/>
      <c r="L782" s="15"/>
      <c r="M782" s="15"/>
      <c r="N782" s="15"/>
      <c r="O782" s="15"/>
      <c r="P782" s="15"/>
      <c r="Q782" s="15"/>
    </row>
    <row r="783" spans="2:17" x14ac:dyDescent="0.2">
      <c r="B783" t="s">
        <v>1524</v>
      </c>
      <c r="C783" s="72" t="s">
        <v>2870</v>
      </c>
      <c r="D783" t="s">
        <v>376</v>
      </c>
      <c r="E783" s="15">
        <v>-5.0827896039651398E-2</v>
      </c>
      <c r="F783" s="15">
        <v>1.7198984413654798E-2</v>
      </c>
      <c r="G783" s="15">
        <v>3.1400014264044598E-3</v>
      </c>
      <c r="H783" s="15">
        <v>7.4442730446218101E-3</v>
      </c>
      <c r="I783" s="15">
        <v>1.2090151477579201E-2</v>
      </c>
      <c r="J783" s="15">
        <v>1</v>
      </c>
      <c r="K783" s="15"/>
      <c r="L783" s="15"/>
      <c r="M783" s="15"/>
      <c r="N783" s="15"/>
      <c r="O783" s="15"/>
      <c r="P783" s="15"/>
      <c r="Q783" s="15"/>
    </row>
    <row r="784" spans="2:17" x14ac:dyDescent="0.2">
      <c r="B784" t="s">
        <v>1524</v>
      </c>
      <c r="C784" s="72" t="s">
        <v>2870</v>
      </c>
      <c r="D784" s="51" t="s">
        <v>377</v>
      </c>
      <c r="E784" s="74">
        <v>-8.2796673480383498E-2</v>
      </c>
      <c r="F784" s="74">
        <v>1.7133862791020801E-2</v>
      </c>
      <c r="G784" s="74">
        <v>1.39360694944294E-6</v>
      </c>
      <c r="H784" s="74">
        <v>1.20992556968585E-5</v>
      </c>
      <c r="I784" s="74">
        <v>2.1047916441530299E-5</v>
      </c>
      <c r="J784" s="74">
        <v>1.4702553316623E-3</v>
      </c>
      <c r="K784" s="15"/>
      <c r="L784" s="15"/>
      <c r="M784" s="15"/>
      <c r="N784" s="15"/>
      <c r="O784" s="15"/>
      <c r="P784" s="15"/>
      <c r="Q784" s="15"/>
    </row>
    <row r="785" spans="2:17" x14ac:dyDescent="0.2">
      <c r="B785" t="s">
        <v>1524</v>
      </c>
      <c r="C785" s="72" t="s">
        <v>2870</v>
      </c>
      <c r="D785" s="51" t="s">
        <v>387</v>
      </c>
      <c r="E785" s="74">
        <v>-7.2922344173086004E-2</v>
      </c>
      <c r="F785" s="74">
        <v>1.7002591520574001E-2</v>
      </c>
      <c r="G785" s="74">
        <v>1.8330636983399101E-5</v>
      </c>
      <c r="H785" s="74">
        <v>8.9948009383656002E-5</v>
      </c>
      <c r="I785" s="74">
        <v>1.5471057613988801E-4</v>
      </c>
      <c r="J785" s="74">
        <v>1.9338822017486001E-2</v>
      </c>
      <c r="K785" s="15"/>
      <c r="L785" s="15"/>
      <c r="M785" s="15"/>
      <c r="N785" s="15"/>
      <c r="O785" s="15"/>
      <c r="P785" s="15"/>
      <c r="Q785" s="15"/>
    </row>
    <row r="786" spans="2:17" x14ac:dyDescent="0.2">
      <c r="B786" t="s">
        <v>1524</v>
      </c>
      <c r="C786" s="72" t="s">
        <v>2870</v>
      </c>
      <c r="D786" s="51" t="s">
        <v>388</v>
      </c>
      <c r="E786" s="74">
        <v>-7.2184312576989498E-2</v>
      </c>
      <c r="F786" s="74">
        <v>1.7057293753549699E-2</v>
      </c>
      <c r="G786" s="74">
        <v>2.3648202775941601E-5</v>
      </c>
      <c r="H786" s="74">
        <v>1.08473277950515E-4</v>
      </c>
      <c r="I786" s="74">
        <v>1.9340196843890199E-4</v>
      </c>
      <c r="J786" s="74">
        <v>2.4948853928618401E-2</v>
      </c>
      <c r="K786" s="15"/>
      <c r="L786" s="15"/>
      <c r="M786" s="15"/>
      <c r="N786" s="15"/>
      <c r="O786" s="15"/>
      <c r="P786" s="15"/>
      <c r="Q786" s="15"/>
    </row>
    <row r="787" spans="2:17" x14ac:dyDescent="0.2">
      <c r="B787" t="s">
        <v>1524</v>
      </c>
      <c r="C787" s="72" t="s">
        <v>2870</v>
      </c>
      <c r="D787" s="51" t="s">
        <v>389</v>
      </c>
      <c r="E787" s="74">
        <v>-7.6619626915487404E-2</v>
      </c>
      <c r="F787" s="74">
        <v>1.7053611614504301E-2</v>
      </c>
      <c r="G787" s="74">
        <v>7.2031661116764298E-6</v>
      </c>
      <c r="H787" s="74">
        <v>4.6056607562537201E-5</v>
      </c>
      <c r="I787" s="74">
        <v>8.0844045189559994E-5</v>
      </c>
      <c r="J787" s="74">
        <v>7.5993402478186402E-3</v>
      </c>
      <c r="K787" s="15"/>
      <c r="L787" s="15"/>
      <c r="M787" s="15"/>
      <c r="N787" s="15"/>
      <c r="O787" s="15"/>
      <c r="P787" s="15"/>
      <c r="Q787" s="15"/>
    </row>
    <row r="788" spans="2:17" x14ac:dyDescent="0.2">
      <c r="B788" t="s">
        <v>1524</v>
      </c>
      <c r="C788" s="72" t="s">
        <v>2870</v>
      </c>
      <c r="D788" s="51" t="s">
        <v>391</v>
      </c>
      <c r="E788" s="74">
        <v>-7.7176606161375796E-2</v>
      </c>
      <c r="F788" s="74">
        <v>1.7219580689386001E-2</v>
      </c>
      <c r="G788" s="74">
        <v>7.5820567695198097E-6</v>
      </c>
      <c r="H788" s="74">
        <v>4.7053352304961197E-5</v>
      </c>
      <c r="I788" s="74">
        <v>8.3323644706702102E-5</v>
      </c>
      <c r="J788" s="74">
        <v>7.9990698918434005E-3</v>
      </c>
      <c r="K788" s="15"/>
      <c r="L788" s="15"/>
      <c r="M788" s="15"/>
      <c r="N788" s="15"/>
      <c r="O788" s="15"/>
      <c r="P788" s="15"/>
      <c r="Q788" s="15"/>
    </row>
    <row r="789" spans="2:17" x14ac:dyDescent="0.2">
      <c r="B789" t="s">
        <v>1524</v>
      </c>
      <c r="C789" s="72" t="s">
        <v>2870</v>
      </c>
      <c r="D789" s="51" t="s">
        <v>414</v>
      </c>
      <c r="E789" s="74">
        <v>-7.3972620852549603E-2</v>
      </c>
      <c r="F789" s="74">
        <v>1.7053510752248102E-2</v>
      </c>
      <c r="G789" s="74">
        <v>1.47188845154931E-5</v>
      </c>
      <c r="H789" s="74">
        <v>7.3944872208786595E-5</v>
      </c>
      <c r="I789" s="74">
        <v>1.2983976236784699E-4</v>
      </c>
      <c r="J789" s="74">
        <v>1.5528423163845201E-2</v>
      </c>
      <c r="K789" s="15"/>
      <c r="L789" s="15"/>
      <c r="M789" s="15"/>
      <c r="N789" s="15"/>
      <c r="O789" s="15"/>
      <c r="P789" s="15"/>
      <c r="Q789" s="15"/>
    </row>
    <row r="790" spans="2:17" x14ac:dyDescent="0.2">
      <c r="B790" t="s">
        <v>1524</v>
      </c>
      <c r="C790" s="72" t="s">
        <v>2870</v>
      </c>
      <c r="D790" s="51" t="s">
        <v>423</v>
      </c>
      <c r="E790" s="74">
        <v>-7.3127903759243301E-2</v>
      </c>
      <c r="F790" s="74">
        <v>1.6643683683308201E-2</v>
      </c>
      <c r="G790" s="74">
        <v>1.14055146649622E-5</v>
      </c>
      <c r="H790" s="74">
        <v>6.3330620902816499E-5</v>
      </c>
      <c r="I790" s="74">
        <v>1.07435874745849E-4</v>
      </c>
      <c r="J790" s="74">
        <v>1.20328179715351E-2</v>
      </c>
      <c r="K790" s="15"/>
      <c r="L790" s="15"/>
      <c r="M790" s="15"/>
      <c r="N790" s="15"/>
      <c r="O790" s="15"/>
      <c r="P790" s="15"/>
      <c r="Q790" s="15"/>
    </row>
    <row r="791" spans="2:17" x14ac:dyDescent="0.2">
      <c r="B791" t="s">
        <v>1524</v>
      </c>
      <c r="C791" s="72" t="s">
        <v>2870</v>
      </c>
      <c r="D791" s="51" t="s">
        <v>427</v>
      </c>
      <c r="E791" s="74">
        <v>-7.5224592617881905E-2</v>
      </c>
      <c r="F791" s="74">
        <v>1.6994762841214602E-2</v>
      </c>
      <c r="G791" s="74">
        <v>9.8133721848641903E-6</v>
      </c>
      <c r="H791" s="74">
        <v>5.7517264750176201E-5</v>
      </c>
      <c r="I791" s="74">
        <v>9.8601025286016296E-5</v>
      </c>
      <c r="J791" s="74">
        <v>1.0353107655031699E-2</v>
      </c>
      <c r="K791" s="15"/>
      <c r="L791" s="15"/>
      <c r="M791" s="15"/>
      <c r="N791" s="15"/>
      <c r="O791" s="15"/>
      <c r="P791" s="15"/>
      <c r="Q791" s="15"/>
    </row>
    <row r="792" spans="2:17" x14ac:dyDescent="0.2">
      <c r="B792" t="s">
        <v>1524</v>
      </c>
      <c r="C792" s="72" t="s">
        <v>2870</v>
      </c>
      <c r="D792" t="s">
        <v>429</v>
      </c>
      <c r="E792" s="15">
        <v>-2.5406725632910201E-2</v>
      </c>
      <c r="F792" s="15">
        <v>1.7013705663432101E-2</v>
      </c>
      <c r="G792" s="15">
        <v>0.13543001078705799</v>
      </c>
      <c r="H792" s="15">
        <v>0.18435956307141399</v>
      </c>
      <c r="I792" s="15">
        <v>0.263128289834892</v>
      </c>
      <c r="J792" s="15">
        <v>1</v>
      </c>
      <c r="K792" s="15"/>
      <c r="L792" s="15"/>
      <c r="M792" s="15"/>
      <c r="N792" s="15"/>
      <c r="O792" s="15"/>
      <c r="P792" s="15"/>
      <c r="Q792" s="15"/>
    </row>
    <row r="793" spans="2:17" x14ac:dyDescent="0.2">
      <c r="B793" t="s">
        <v>1524</v>
      </c>
      <c r="C793" s="72" t="s">
        <v>2870</v>
      </c>
      <c r="D793" t="s">
        <v>434</v>
      </c>
      <c r="E793" s="15">
        <v>-6.1237199194689902E-2</v>
      </c>
      <c r="F793" s="15">
        <v>1.7186928571366802E-2</v>
      </c>
      <c r="G793" s="15">
        <v>3.7043045768771302E-4</v>
      </c>
      <c r="H793" s="15">
        <v>1.2406480408271E-3</v>
      </c>
      <c r="I793" s="15">
        <v>2.0568638571607199E-3</v>
      </c>
      <c r="J793" s="15">
        <v>0.390804132860538</v>
      </c>
      <c r="K793" s="15"/>
      <c r="L793" s="15"/>
      <c r="M793" s="15"/>
      <c r="N793" s="15"/>
      <c r="O793" s="15"/>
      <c r="P793" s="15"/>
      <c r="Q793" s="15"/>
    </row>
    <row r="794" spans="2:17" x14ac:dyDescent="0.2">
      <c r="B794" t="s">
        <v>1524</v>
      </c>
      <c r="C794" s="72" t="s">
        <v>2870</v>
      </c>
      <c r="D794" t="s">
        <v>438</v>
      </c>
      <c r="E794" s="15">
        <v>-6.1044765168435003E-2</v>
      </c>
      <c r="F794" s="15">
        <v>1.6860118810560501E-2</v>
      </c>
      <c r="G794" s="15">
        <v>2.9695267902365199E-4</v>
      </c>
      <c r="H794" s="15">
        <v>1.02716418481952E-3</v>
      </c>
      <c r="I794" s="15">
        <v>1.6934328452429901E-3</v>
      </c>
      <c r="J794" s="15">
        <v>0.31328507636995301</v>
      </c>
      <c r="K794" s="15"/>
      <c r="L794" s="15"/>
      <c r="M794" s="15"/>
      <c r="N794" s="15"/>
      <c r="O794" s="15"/>
      <c r="P794" s="15"/>
      <c r="Q794" s="15"/>
    </row>
    <row r="795" spans="2:17" x14ac:dyDescent="0.2">
      <c r="B795" t="s">
        <v>1524</v>
      </c>
      <c r="C795" s="72" t="s">
        <v>2870</v>
      </c>
      <c r="D795" s="51" t="s">
        <v>443</v>
      </c>
      <c r="E795" s="74">
        <v>-8.4108143968188304E-2</v>
      </c>
      <c r="F795" s="74">
        <v>1.7144793760163701E-2</v>
      </c>
      <c r="G795" s="74">
        <v>9.6358266780532599E-7</v>
      </c>
      <c r="H795" s="74">
        <v>8.8398236046488595E-6</v>
      </c>
      <c r="I795" s="74">
        <v>1.56396879159172E-5</v>
      </c>
      <c r="J795" s="74">
        <v>1.0165797145346199E-3</v>
      </c>
      <c r="K795" s="15"/>
      <c r="L795" s="15"/>
      <c r="M795" s="15"/>
      <c r="N795" s="15"/>
      <c r="O795" s="15"/>
      <c r="P795" s="15"/>
      <c r="Q795" s="15"/>
    </row>
    <row r="796" spans="2:17" x14ac:dyDescent="0.2">
      <c r="B796" t="s">
        <v>1524</v>
      </c>
      <c r="C796" s="72" t="s">
        <v>2870</v>
      </c>
      <c r="D796" t="s">
        <v>447</v>
      </c>
      <c r="E796" s="15">
        <v>-1.998380118313E-2</v>
      </c>
      <c r="F796" s="15">
        <v>1.7030109997829699E-2</v>
      </c>
      <c r="G796" s="15">
        <v>0.24068693638327801</v>
      </c>
      <c r="H796" s="15">
        <v>0.296987974133752</v>
      </c>
      <c r="I796" s="15">
        <v>0.40051217331917699</v>
      </c>
      <c r="J796" s="15">
        <v>1</v>
      </c>
      <c r="K796" s="15"/>
      <c r="L796" s="15"/>
      <c r="M796" s="15"/>
      <c r="N796" s="15"/>
      <c r="O796" s="15"/>
      <c r="P796" s="15"/>
      <c r="Q796" s="15"/>
    </row>
    <row r="797" spans="2:17" x14ac:dyDescent="0.2">
      <c r="B797" t="s">
        <v>1524</v>
      </c>
      <c r="C797" s="72" t="s">
        <v>2870</v>
      </c>
      <c r="D797" s="51" t="s">
        <v>339</v>
      </c>
      <c r="E797" s="74">
        <v>-0.106533551420623</v>
      </c>
      <c r="F797" s="74">
        <v>1.89080680540973E-2</v>
      </c>
      <c r="G797" s="74">
        <v>1.89030829040161E-8</v>
      </c>
      <c r="H797" s="74">
        <v>3.62595499340672E-7</v>
      </c>
      <c r="I797" s="74">
        <v>6.6475841545789902E-7</v>
      </c>
      <c r="J797" s="74">
        <v>1.9942752463737E-5</v>
      </c>
      <c r="K797" s="15"/>
      <c r="L797" s="15"/>
      <c r="M797" s="15"/>
      <c r="N797" s="15"/>
      <c r="O797" s="15"/>
      <c r="P797" s="15"/>
      <c r="Q797" s="15"/>
    </row>
    <row r="798" spans="2:17" x14ac:dyDescent="0.2">
      <c r="B798" t="s">
        <v>1524</v>
      </c>
      <c r="C798" s="72" t="s">
        <v>2870</v>
      </c>
      <c r="D798" s="51" t="s">
        <v>340</v>
      </c>
      <c r="E798" s="74">
        <v>-9.7141310476584197E-2</v>
      </c>
      <c r="F798" s="74">
        <v>1.90666508943334E-2</v>
      </c>
      <c r="G798" s="74">
        <v>3.6625230374967099E-7</v>
      </c>
      <c r="H798" s="74">
        <v>4.1583643144518698E-6</v>
      </c>
      <c r="I798" s="74">
        <v>7.7034060249915406E-6</v>
      </c>
      <c r="J798" s="74">
        <v>3.8639618045590299E-4</v>
      </c>
      <c r="K798" s="15"/>
      <c r="L798" s="15"/>
      <c r="M798" s="15"/>
      <c r="N798" s="15"/>
      <c r="O798" s="15"/>
      <c r="P798" s="15"/>
      <c r="Q798" s="15"/>
    </row>
    <row r="799" spans="2:17" x14ac:dyDescent="0.2">
      <c r="B799" t="s">
        <v>1524</v>
      </c>
      <c r="C799" s="72" t="s">
        <v>2870</v>
      </c>
      <c r="D799" s="51" t="s">
        <v>341</v>
      </c>
      <c r="E799" s="74">
        <v>-0.124157878596255</v>
      </c>
      <c r="F799" s="74">
        <v>1.8998678369980801E-2</v>
      </c>
      <c r="G799" s="74">
        <v>7.2148032175743703E-11</v>
      </c>
      <c r="H799" s="74">
        <v>2.5372057981803202E-9</v>
      </c>
      <c r="I799" s="74">
        <v>6.3430144954508001E-9</v>
      </c>
      <c r="J799" s="74">
        <v>7.6116173945409601E-8</v>
      </c>
      <c r="K799" s="15"/>
      <c r="L799" s="15"/>
      <c r="M799" s="15"/>
      <c r="N799" s="15"/>
      <c r="O799" s="15"/>
      <c r="P799" s="15"/>
      <c r="Q799" s="15"/>
    </row>
    <row r="800" spans="2:17" x14ac:dyDescent="0.2">
      <c r="B800" t="s">
        <v>1524</v>
      </c>
      <c r="C800" s="72" t="s">
        <v>2870</v>
      </c>
      <c r="D800" s="51" t="s">
        <v>343</v>
      </c>
      <c r="E800" s="74">
        <v>-0.12190756348229401</v>
      </c>
      <c r="F800" s="74">
        <v>1.8971382241304902E-2</v>
      </c>
      <c r="G800" s="74">
        <v>1.4754140191280799E-10</v>
      </c>
      <c r="H800" s="74">
        <v>4.4473194005146396E-9</v>
      </c>
      <c r="I800" s="74">
        <v>1.0377078601200799E-8</v>
      </c>
      <c r="J800" s="74">
        <v>1.5565617901801201E-7</v>
      </c>
      <c r="K800" s="15"/>
      <c r="L800" s="15"/>
      <c r="M800" s="15"/>
      <c r="N800" s="15"/>
      <c r="O800" s="15"/>
      <c r="P800" s="15"/>
      <c r="Q800" s="15"/>
    </row>
    <row r="801" spans="2:17" x14ac:dyDescent="0.2">
      <c r="B801" t="s">
        <v>1524</v>
      </c>
      <c r="C801" s="72" t="s">
        <v>2870</v>
      </c>
      <c r="D801" s="51" t="s">
        <v>344</v>
      </c>
      <c r="E801" s="74">
        <v>-9.5681105498899605E-2</v>
      </c>
      <c r="F801" s="74">
        <v>1.8796150754099201E-2</v>
      </c>
      <c r="G801" s="74">
        <v>3.7444986717812999E-7</v>
      </c>
      <c r="H801" s="74">
        <v>4.1583643144518698E-6</v>
      </c>
      <c r="I801" s="74">
        <v>7.7034060249915406E-6</v>
      </c>
      <c r="J801" s="74">
        <v>3.95044609872927E-4</v>
      </c>
      <c r="K801" s="15"/>
      <c r="L801" s="15"/>
      <c r="M801" s="15"/>
      <c r="N801" s="15"/>
      <c r="O801" s="15"/>
      <c r="P801" s="15"/>
      <c r="Q801" s="15"/>
    </row>
    <row r="802" spans="2:17" x14ac:dyDescent="0.2">
      <c r="B802" t="s">
        <v>1524</v>
      </c>
      <c r="C802" s="72" t="s">
        <v>2870</v>
      </c>
      <c r="D802" s="51" t="s">
        <v>348</v>
      </c>
      <c r="E802" s="74">
        <v>-0.10607833556002499</v>
      </c>
      <c r="F802" s="74">
        <v>1.89322144050122E-2</v>
      </c>
      <c r="G802" s="74">
        <v>2.2615724954989001E-8</v>
      </c>
      <c r="H802" s="74">
        <v>3.97659830458556E-7</v>
      </c>
      <c r="I802" s="74">
        <v>7.6966418798430196E-7</v>
      </c>
      <c r="J802" s="74">
        <v>2.3859589827513399E-5</v>
      </c>
      <c r="K802" s="15"/>
      <c r="L802" s="15"/>
      <c r="M802" s="15"/>
      <c r="N802" s="15"/>
      <c r="O802" s="15"/>
      <c r="P802" s="15"/>
      <c r="Q802" s="15"/>
    </row>
    <row r="803" spans="2:17" x14ac:dyDescent="0.2">
      <c r="B803" t="s">
        <v>1524</v>
      </c>
      <c r="C803" s="72" t="s">
        <v>2870</v>
      </c>
      <c r="D803" s="51" t="s">
        <v>349</v>
      </c>
      <c r="E803" s="74">
        <v>-0.101119222379182</v>
      </c>
      <c r="F803" s="74">
        <v>1.91182172160917E-2</v>
      </c>
      <c r="G803" s="74">
        <v>1.3000338851687301E-7</v>
      </c>
      <c r="H803" s="74">
        <v>1.8287143318040199E-6</v>
      </c>
      <c r="I803" s="74">
        <v>3.11712670193867E-6</v>
      </c>
      <c r="J803" s="74">
        <v>1.37153574885301E-4</v>
      </c>
      <c r="K803" s="15"/>
      <c r="L803" s="15"/>
      <c r="M803" s="15"/>
      <c r="N803" s="15"/>
      <c r="O803" s="15"/>
      <c r="P803" s="15"/>
      <c r="Q803" s="15"/>
    </row>
    <row r="804" spans="2:17" x14ac:dyDescent="0.2">
      <c r="B804" t="s">
        <v>1524</v>
      </c>
      <c r="C804" s="72" t="s">
        <v>2870</v>
      </c>
      <c r="D804" s="51" t="s">
        <v>350</v>
      </c>
      <c r="E804" s="74">
        <v>-0.12543832555623199</v>
      </c>
      <c r="F804" s="74">
        <v>1.9088057283774901E-2</v>
      </c>
      <c r="G804" s="74">
        <v>5.6687144830468299E-11</v>
      </c>
      <c r="H804" s="74">
        <v>2.39219751184576E-9</v>
      </c>
      <c r="I804" s="74">
        <v>5.4368125269221803E-9</v>
      </c>
      <c r="J804" s="74">
        <v>5.9804937796143997E-8</v>
      </c>
      <c r="K804" s="15"/>
      <c r="L804" s="15"/>
      <c r="M804" s="15"/>
      <c r="N804" s="15"/>
      <c r="O804" s="15"/>
      <c r="P804" s="15"/>
      <c r="Q804" s="15"/>
    </row>
    <row r="805" spans="2:17" x14ac:dyDescent="0.2">
      <c r="B805" t="s">
        <v>1524</v>
      </c>
      <c r="C805" s="72" t="s">
        <v>2870</v>
      </c>
      <c r="D805" s="51" t="s">
        <v>353</v>
      </c>
      <c r="E805" s="74">
        <v>-7.8404752032969496E-2</v>
      </c>
      <c r="F805" s="74">
        <v>1.9039259668926101E-2</v>
      </c>
      <c r="G805" s="74">
        <v>3.9029063358703899E-5</v>
      </c>
      <c r="H805" s="74">
        <v>1.6806392589156199E-4</v>
      </c>
      <c r="I805" s="74">
        <v>2.9411187031023301E-4</v>
      </c>
      <c r="J805" s="74">
        <v>4.1175661843432597E-2</v>
      </c>
      <c r="K805" s="15"/>
      <c r="L805" s="15"/>
      <c r="M805" s="15"/>
      <c r="N805" s="15"/>
      <c r="O805" s="15"/>
      <c r="P805" s="15"/>
      <c r="Q805" s="15"/>
    </row>
    <row r="806" spans="2:17" x14ac:dyDescent="0.2">
      <c r="B806" t="s">
        <v>1524</v>
      </c>
      <c r="C806" s="72" t="s">
        <v>2870</v>
      </c>
      <c r="D806" t="s">
        <v>1100</v>
      </c>
      <c r="E806" s="15">
        <v>-2.6734616711268401E-2</v>
      </c>
      <c r="F806" s="15">
        <v>1.56195147123134E-2</v>
      </c>
      <c r="G806" s="15">
        <v>8.7042252930499206E-2</v>
      </c>
      <c r="H806" s="15">
        <v>0.125793940879009</v>
      </c>
      <c r="I806" s="15">
        <v>0.18588983166331299</v>
      </c>
      <c r="J806" s="15">
        <v>1</v>
      </c>
      <c r="K806" s="15"/>
      <c r="L806" s="15"/>
      <c r="M806" s="15"/>
      <c r="N806" s="15"/>
      <c r="O806" s="15"/>
      <c r="P806" s="15"/>
      <c r="Q806" s="15"/>
    </row>
    <row r="807" spans="2:17" x14ac:dyDescent="0.2">
      <c r="B807" t="s">
        <v>1524</v>
      </c>
      <c r="C807" s="72" t="s">
        <v>2870</v>
      </c>
      <c r="D807" t="s">
        <v>1102</v>
      </c>
      <c r="E807" s="15">
        <v>-2.9704383643747199E-2</v>
      </c>
      <c r="F807" s="15">
        <v>1.5654833306824701E-2</v>
      </c>
      <c r="G807" s="15">
        <v>5.7837083139441102E-2</v>
      </c>
      <c r="H807" s="15">
        <v>8.5941017904380801E-2</v>
      </c>
      <c r="I807" s="15">
        <v>0.13410576420244</v>
      </c>
      <c r="J807" s="15">
        <v>1</v>
      </c>
      <c r="K807" s="15"/>
      <c r="L807" s="15"/>
      <c r="M807" s="15"/>
      <c r="N807" s="15"/>
      <c r="O807" s="15"/>
      <c r="P807" s="15"/>
      <c r="Q807" s="15"/>
    </row>
    <row r="808" spans="2:17" x14ac:dyDescent="0.2">
      <c r="B808" t="s">
        <v>1524</v>
      </c>
      <c r="C808" s="72" t="s">
        <v>2870</v>
      </c>
      <c r="D808" t="s">
        <v>1103</v>
      </c>
      <c r="E808" s="15">
        <v>-1.6196235938986898E-2</v>
      </c>
      <c r="F808" s="15">
        <v>1.6332986798552801E-2</v>
      </c>
      <c r="G808" s="15">
        <v>0.32143994090490802</v>
      </c>
      <c r="H808" s="15">
        <v>0.378904064418635</v>
      </c>
      <c r="I808" s="15">
        <v>0.48934940498510598</v>
      </c>
      <c r="J808" s="15">
        <v>1</v>
      </c>
      <c r="K808" s="15"/>
      <c r="L808" s="15"/>
      <c r="M808" s="15"/>
      <c r="N808" s="15"/>
      <c r="O808" s="15"/>
      <c r="P808" s="15"/>
      <c r="Q808" s="15"/>
    </row>
    <row r="809" spans="2:17" x14ac:dyDescent="0.2">
      <c r="B809" t="s">
        <v>1524</v>
      </c>
      <c r="C809" s="72" t="s">
        <v>2870</v>
      </c>
      <c r="D809" t="s">
        <v>1126</v>
      </c>
      <c r="E809" s="15">
        <v>-9.38243033868493E-2</v>
      </c>
      <c r="F809" s="15">
        <v>2.4062517806909999E-2</v>
      </c>
      <c r="G809" s="15">
        <v>9.9448311602328305E-5</v>
      </c>
      <c r="H809" s="15">
        <v>3.8151988632893199E-4</v>
      </c>
      <c r="I809" s="15">
        <v>6.2825130982309201E-4</v>
      </c>
      <c r="J809" s="15">
        <v>0.104917968740456</v>
      </c>
      <c r="K809" s="15"/>
      <c r="L809" s="15"/>
      <c r="M809" s="15"/>
      <c r="N809" s="15"/>
      <c r="O809" s="15"/>
      <c r="P809" s="15"/>
      <c r="Q809" s="15"/>
    </row>
    <row r="810" spans="2:17" x14ac:dyDescent="0.2">
      <c r="B810" t="s">
        <v>1524</v>
      </c>
      <c r="C810" s="72" t="s">
        <v>2870</v>
      </c>
      <c r="D810" t="s">
        <v>1128</v>
      </c>
      <c r="E810" s="15">
        <v>-5.2466296120751599E-2</v>
      </c>
      <c r="F810" s="15">
        <v>2.4697360270124001E-2</v>
      </c>
      <c r="G810" s="15">
        <v>3.3753091202211101E-2</v>
      </c>
      <c r="H810" s="15">
        <v>5.7434695513439799E-2</v>
      </c>
      <c r="I810" s="15">
        <v>8.8580873677444494E-2</v>
      </c>
      <c r="J810" s="15">
        <v>1</v>
      </c>
      <c r="K810" s="15"/>
      <c r="L810" s="15"/>
      <c r="M810" s="15"/>
      <c r="N810" s="15"/>
      <c r="O810" s="15"/>
      <c r="P810" s="15"/>
      <c r="Q810" s="15"/>
    </row>
    <row r="811" spans="2:17" x14ac:dyDescent="0.2">
      <c r="B811" t="s">
        <v>1524</v>
      </c>
      <c r="C811" s="72" t="s">
        <v>2870</v>
      </c>
      <c r="D811" t="s">
        <v>1129</v>
      </c>
      <c r="E811" s="15">
        <v>-8.6068766245979297E-2</v>
      </c>
      <c r="F811" s="15">
        <v>2.4751801595587999E-2</v>
      </c>
      <c r="G811" s="15">
        <v>5.1686632109888104E-4</v>
      </c>
      <c r="H811" s="15">
        <v>1.6277431903263301E-3</v>
      </c>
      <c r="I811" s="15">
        <v>2.7264698437965999E-3</v>
      </c>
      <c r="J811" s="15">
        <v>0.54529396875932001</v>
      </c>
      <c r="K811" s="15"/>
      <c r="L811" s="15"/>
      <c r="M811" s="15"/>
      <c r="N811" s="15"/>
      <c r="O811" s="15"/>
      <c r="P811" s="15"/>
      <c r="Q811" s="15"/>
    </row>
    <row r="812" spans="2:17" x14ac:dyDescent="0.2">
      <c r="B812" t="s">
        <v>1524</v>
      </c>
      <c r="C812" s="72" t="s">
        <v>2870</v>
      </c>
      <c r="D812" t="s">
        <v>596</v>
      </c>
      <c r="E812" s="15">
        <v>-4.5964570667639003E-2</v>
      </c>
      <c r="F812" s="15">
        <v>2.4296639798129599E-2</v>
      </c>
      <c r="G812" s="15">
        <v>5.8646643365400701E-2</v>
      </c>
      <c r="H812" s="15">
        <v>8.6534557693003902E-2</v>
      </c>
      <c r="I812" s="15">
        <v>0.13538776531837601</v>
      </c>
      <c r="J812" s="15">
        <v>1</v>
      </c>
      <c r="K812" s="15"/>
      <c r="L812" s="15"/>
      <c r="M812" s="15"/>
      <c r="N812" s="15"/>
      <c r="O812" s="15"/>
      <c r="P812" s="15"/>
      <c r="Q812" s="15"/>
    </row>
    <row r="813" spans="2:17" x14ac:dyDescent="0.2">
      <c r="B813" t="s">
        <v>1524</v>
      </c>
      <c r="C813" s="72" t="s">
        <v>2870</v>
      </c>
      <c r="D813" s="51" t="s">
        <v>597</v>
      </c>
      <c r="E813" s="74">
        <v>-0.117037407968533</v>
      </c>
      <c r="F813" s="74">
        <v>2.4212162887514599E-2</v>
      </c>
      <c r="G813" s="74">
        <v>1.4335611015235201E-6</v>
      </c>
      <c r="H813" s="74">
        <v>1.20992556968585E-5</v>
      </c>
      <c r="I813" s="74">
        <v>2.1047916441530299E-5</v>
      </c>
      <c r="J813" s="74">
        <v>1.51240696210731E-3</v>
      </c>
      <c r="K813" s="15"/>
      <c r="L813" s="15"/>
      <c r="M813" s="15"/>
      <c r="N813" s="15"/>
      <c r="O813" s="15"/>
      <c r="P813" s="15"/>
      <c r="Q813" s="15"/>
    </row>
    <row r="814" spans="2:17" x14ac:dyDescent="0.2">
      <c r="B814" t="s">
        <v>1524</v>
      </c>
      <c r="C814" s="72" t="s">
        <v>2870</v>
      </c>
      <c r="D814" t="s">
        <v>598</v>
      </c>
      <c r="E814" s="15">
        <v>-8.8467076645090306E-2</v>
      </c>
      <c r="F814" s="15">
        <v>2.4001631154130499E-2</v>
      </c>
      <c r="G814" s="15">
        <v>2.33471593846693E-4</v>
      </c>
      <c r="H814" s="15">
        <v>8.3495773392631002E-4</v>
      </c>
      <c r="I814" s="15">
        <v>1.36084271551526E-3</v>
      </c>
      <c r="J814" s="15">
        <v>0.24631253150826099</v>
      </c>
      <c r="K814" s="15"/>
      <c r="L814" s="15"/>
      <c r="M814" s="15"/>
      <c r="N814" s="15"/>
      <c r="O814" s="15"/>
      <c r="P814" s="15"/>
      <c r="Q814" s="15"/>
    </row>
    <row r="815" spans="2:17" x14ac:dyDescent="0.2">
      <c r="B815" t="s">
        <v>1524</v>
      </c>
      <c r="C815" s="72" t="s">
        <v>2870</v>
      </c>
      <c r="D815" t="s">
        <v>599</v>
      </c>
      <c r="E815" s="15">
        <v>-6.7354103037628801E-2</v>
      </c>
      <c r="F815" s="15">
        <v>2.40431641220646E-2</v>
      </c>
      <c r="G815" s="15">
        <v>5.1332098886368097E-3</v>
      </c>
      <c r="H815" s="15">
        <v>1.12925427768618E-2</v>
      </c>
      <c r="I815" s="15">
        <v>1.81893306472941E-2</v>
      </c>
      <c r="J815" s="15">
        <v>1</v>
      </c>
      <c r="K815" s="15"/>
      <c r="L815" s="15"/>
      <c r="M815" s="15"/>
      <c r="N815" s="15"/>
      <c r="O815" s="15"/>
      <c r="P815" s="15"/>
      <c r="Q815" s="15"/>
    </row>
    <row r="816" spans="2:17" x14ac:dyDescent="0.2">
      <c r="B816" t="s">
        <v>1524</v>
      </c>
      <c r="C816" s="72" t="s">
        <v>2870</v>
      </c>
      <c r="D816" t="s">
        <v>600</v>
      </c>
      <c r="E816" s="15">
        <v>-1.3613592945387699E-2</v>
      </c>
      <c r="F816" s="15">
        <v>2.4164944703661501E-2</v>
      </c>
      <c r="G816" s="15">
        <v>0.57324891456266203</v>
      </c>
      <c r="H816" s="15">
        <v>0.61088646955920101</v>
      </c>
      <c r="I816" s="15">
        <v>0.72952666449168702</v>
      </c>
      <c r="J816" s="15">
        <v>1</v>
      </c>
      <c r="K816" s="15"/>
      <c r="L816" s="15"/>
      <c r="M816" s="15"/>
      <c r="N816" s="15"/>
      <c r="O816" s="15"/>
      <c r="P816" s="15"/>
      <c r="Q816" s="15"/>
    </row>
    <row r="817" spans="2:17" x14ac:dyDescent="0.2">
      <c r="B817" t="s">
        <v>1524</v>
      </c>
      <c r="C817" s="72" t="s">
        <v>2870</v>
      </c>
      <c r="D817" t="s">
        <v>602</v>
      </c>
      <c r="E817" s="15">
        <v>-3.5546511177727301E-2</v>
      </c>
      <c r="F817" s="15">
        <v>2.3870658795082201E-2</v>
      </c>
      <c r="G817" s="15">
        <v>0.13659677353227501</v>
      </c>
      <c r="H817" s="15">
        <v>0.18475589240583301</v>
      </c>
      <c r="I817" s="15">
        <v>0.26442127720467801</v>
      </c>
      <c r="J817" s="15">
        <v>1</v>
      </c>
      <c r="K817" s="15"/>
      <c r="L817" s="15"/>
      <c r="M817" s="15"/>
      <c r="N817" s="15"/>
      <c r="O817" s="15"/>
      <c r="P817" s="15"/>
      <c r="Q817" s="15"/>
    </row>
    <row r="818" spans="2:17" x14ac:dyDescent="0.2">
      <c r="B818" t="s">
        <v>1524</v>
      </c>
      <c r="C818" s="72" t="s">
        <v>2870</v>
      </c>
      <c r="D818" t="s">
        <v>606</v>
      </c>
      <c r="E818" s="15">
        <v>-5.8841834926469702E-2</v>
      </c>
      <c r="F818" s="15">
        <v>2.40153362235037E-2</v>
      </c>
      <c r="G818" s="15">
        <v>1.4355768575665E-2</v>
      </c>
      <c r="H818" s="15">
        <v>2.6570764644432698E-2</v>
      </c>
      <c r="I818" s="15">
        <v>4.2187565034336003E-2</v>
      </c>
      <c r="J818" s="15">
        <v>1</v>
      </c>
      <c r="K818" s="15"/>
      <c r="L818" s="15"/>
      <c r="M818" s="15"/>
      <c r="N818" s="15"/>
      <c r="O818" s="15"/>
      <c r="P818" s="15"/>
      <c r="Q818" s="15"/>
    </row>
    <row r="819" spans="2:17" x14ac:dyDescent="0.2">
      <c r="B819" t="s">
        <v>1524</v>
      </c>
      <c r="C819" s="72" t="s">
        <v>2870</v>
      </c>
      <c r="D819" t="s">
        <v>1151</v>
      </c>
      <c r="E819" s="15">
        <v>-5.0747750572957004E-3</v>
      </c>
      <c r="F819" s="15">
        <v>1.7278648425347098E-2</v>
      </c>
      <c r="G819" s="15">
        <v>0.76899929723025795</v>
      </c>
      <c r="H819" s="15">
        <v>0.78009063324800199</v>
      </c>
      <c r="I819" s="15">
        <v>0.87120038690674095</v>
      </c>
      <c r="J819" s="15">
        <v>1</v>
      </c>
      <c r="K819" s="15"/>
      <c r="L819" s="15"/>
      <c r="M819" s="15"/>
      <c r="N819" s="15"/>
      <c r="O819" s="15"/>
      <c r="P819" s="15"/>
      <c r="Q819" s="15"/>
    </row>
    <row r="820" spans="2:17" x14ac:dyDescent="0.2">
      <c r="B820" t="s">
        <v>1524</v>
      </c>
      <c r="C820" s="72" t="s">
        <v>2870</v>
      </c>
      <c r="D820" t="s">
        <v>1144</v>
      </c>
      <c r="E820" s="15">
        <v>-2.36336005340484E-2</v>
      </c>
      <c r="F820" s="15">
        <v>1.7204507243976801E-2</v>
      </c>
      <c r="G820" s="15">
        <v>0.16960717218952601</v>
      </c>
      <c r="H820" s="15">
        <v>0.22507618447792399</v>
      </c>
      <c r="I820" s="15">
        <v>0.31337227085805602</v>
      </c>
      <c r="J820" s="15">
        <v>1</v>
      </c>
      <c r="K820" s="15"/>
      <c r="L820" s="15"/>
      <c r="M820" s="15"/>
      <c r="N820" s="15"/>
      <c r="O820" s="15"/>
      <c r="P820" s="15"/>
      <c r="Q820" s="15"/>
    </row>
    <row r="821" spans="2:17" x14ac:dyDescent="0.2">
      <c r="B821" t="s">
        <v>1524</v>
      </c>
      <c r="C821" s="72" t="s">
        <v>2870</v>
      </c>
      <c r="D821" t="s">
        <v>1167</v>
      </c>
      <c r="E821" s="15">
        <v>-3.5216604722650202E-2</v>
      </c>
      <c r="F821" s="15">
        <v>1.6914805892579401E-2</v>
      </c>
      <c r="G821" s="15">
        <v>3.7400753286214103E-2</v>
      </c>
      <c r="H821" s="15">
        <v>6.3132471547129407E-2</v>
      </c>
      <c r="I821" s="15">
        <v>9.5539454520474298E-2</v>
      </c>
      <c r="J821" s="15">
        <v>1</v>
      </c>
      <c r="K821" s="15"/>
      <c r="L821" s="15"/>
      <c r="M821" s="15"/>
      <c r="N821" s="15"/>
      <c r="O821" s="15"/>
      <c r="P821" s="15"/>
      <c r="Q821" s="15"/>
    </row>
    <row r="822" spans="2:17" x14ac:dyDescent="0.2">
      <c r="B822" t="s">
        <v>1524</v>
      </c>
      <c r="C822" s="72" t="s">
        <v>2870</v>
      </c>
      <c r="D822" t="s">
        <v>1168</v>
      </c>
      <c r="E822" s="15">
        <v>-2.88292482667666E-2</v>
      </c>
      <c r="F822" s="15">
        <v>1.6929134563206001E-2</v>
      </c>
      <c r="G822" s="15">
        <v>8.8650642495946799E-2</v>
      </c>
      <c r="H822" s="15">
        <v>0.12724684058942001</v>
      </c>
      <c r="I822" s="15">
        <v>0.18818194735055099</v>
      </c>
      <c r="J822" s="15">
        <v>1</v>
      </c>
      <c r="K822" s="15"/>
      <c r="L822" s="15"/>
      <c r="M822" s="15"/>
      <c r="N822" s="15"/>
      <c r="O822" s="15"/>
      <c r="P822" s="15"/>
      <c r="Q822" s="15"/>
    </row>
    <row r="823" spans="2:17" x14ac:dyDescent="0.2">
      <c r="B823" t="s">
        <v>1524</v>
      </c>
      <c r="C823" s="72" t="s">
        <v>2870</v>
      </c>
      <c r="D823" t="s">
        <v>1169</v>
      </c>
      <c r="E823" s="15">
        <v>-4.3610992819964098E-2</v>
      </c>
      <c r="F823" s="15">
        <v>1.6874291694074801E-2</v>
      </c>
      <c r="G823" s="15">
        <v>9.7858174566646007E-3</v>
      </c>
      <c r="H823" s="15">
        <v>1.92355088006325E-2</v>
      </c>
      <c r="I823" s="15">
        <v>3.0454387660121401E-2</v>
      </c>
      <c r="J823" s="15">
        <v>1</v>
      </c>
      <c r="K823" s="15"/>
      <c r="L823" s="15"/>
      <c r="M823" s="15"/>
      <c r="N823" s="15"/>
      <c r="O823" s="15"/>
      <c r="P823" s="15"/>
      <c r="Q823" s="15"/>
    </row>
    <row r="824" spans="2:17" x14ac:dyDescent="0.2">
      <c r="B824" t="s">
        <v>1524</v>
      </c>
      <c r="C824" s="72" t="s">
        <v>2870</v>
      </c>
      <c r="D824" t="s">
        <v>1173</v>
      </c>
      <c r="E824" s="15">
        <v>-4.8062340065879103E-2</v>
      </c>
      <c r="F824" s="15">
        <v>1.7167347119229601E-2</v>
      </c>
      <c r="G824" s="15">
        <v>5.1378393676717003E-3</v>
      </c>
      <c r="H824" s="15">
        <v>1.12925427768618E-2</v>
      </c>
      <c r="I824" s="15">
        <v>1.81893306472941E-2</v>
      </c>
      <c r="J824" s="15">
        <v>1</v>
      </c>
      <c r="K824" s="15"/>
      <c r="L824" s="15"/>
      <c r="M824" s="15"/>
      <c r="N824" s="15"/>
      <c r="O824" s="15"/>
      <c r="P824" s="15"/>
      <c r="Q824" s="15"/>
    </row>
    <row r="825" spans="2:17" x14ac:dyDescent="0.2">
      <c r="B825" t="s">
        <v>1524</v>
      </c>
      <c r="C825" s="72" t="s">
        <v>2870</v>
      </c>
      <c r="D825" t="s">
        <v>1162</v>
      </c>
      <c r="E825" s="15">
        <v>-4.6261812458532399E-2</v>
      </c>
      <c r="F825" s="15">
        <v>1.67151740035811E-2</v>
      </c>
      <c r="G825" s="15">
        <v>5.6694780551706601E-3</v>
      </c>
      <c r="H825" s="15">
        <v>1.2083463538466699E-2</v>
      </c>
      <c r="I825" s="15">
        <v>1.9740311721257502E-2</v>
      </c>
      <c r="J825" s="15">
        <v>1</v>
      </c>
      <c r="K825" s="15"/>
      <c r="L825" s="15"/>
      <c r="M825" s="15"/>
      <c r="N825" s="15"/>
      <c r="O825" s="15"/>
      <c r="P825" s="15"/>
      <c r="Q825" s="15"/>
    </row>
    <row r="826" spans="2:17" x14ac:dyDescent="0.2">
      <c r="B826" t="s">
        <v>1524</v>
      </c>
      <c r="C826" s="72" t="s">
        <v>2870</v>
      </c>
      <c r="D826" t="s">
        <v>1161</v>
      </c>
      <c r="E826" s="15">
        <v>5.0086529584647099E-2</v>
      </c>
      <c r="F826" s="15">
        <v>1.7099406128358401E-2</v>
      </c>
      <c r="G826" s="15">
        <v>3.41696436530021E-3</v>
      </c>
      <c r="H826" s="15">
        <v>7.9756809067707997E-3</v>
      </c>
      <c r="I826" s="15">
        <v>1.29318099671809E-2</v>
      </c>
      <c r="J826" s="15">
        <v>1</v>
      </c>
      <c r="K826" s="15"/>
      <c r="L826" s="15"/>
      <c r="M826" s="15"/>
      <c r="N826" s="15"/>
      <c r="O826" s="15"/>
      <c r="P826" s="15"/>
      <c r="Q826" s="15"/>
    </row>
    <row r="827" spans="2:17" x14ac:dyDescent="0.2">
      <c r="B827" t="s">
        <v>1524</v>
      </c>
      <c r="C827" s="72" t="s">
        <v>2870</v>
      </c>
      <c r="D827" t="s">
        <v>1325</v>
      </c>
      <c r="E827" s="15">
        <v>5.5650072565386101E-2</v>
      </c>
      <c r="F827" s="15">
        <v>8.4869434915850098E-2</v>
      </c>
      <c r="G827" s="15">
        <v>0.51200819021953003</v>
      </c>
      <c r="H827" s="15">
        <v>0.55976024941098901</v>
      </c>
      <c r="I827" s="15">
        <v>0.67352698339352202</v>
      </c>
      <c r="J827" s="15">
        <v>1</v>
      </c>
      <c r="K827" s="15"/>
      <c r="L827" s="15"/>
      <c r="M827" s="15"/>
      <c r="N827" s="15"/>
      <c r="O827" s="15"/>
      <c r="P827" s="15"/>
      <c r="Q827" s="15"/>
    </row>
    <row r="828" spans="2:17" x14ac:dyDescent="0.2">
      <c r="B828" t="s">
        <v>1524</v>
      </c>
      <c r="C828" s="72" t="s">
        <v>2870</v>
      </c>
      <c r="D828" t="s">
        <v>727</v>
      </c>
      <c r="E828" s="15">
        <v>-2.8858221728825899E-2</v>
      </c>
      <c r="F828" s="15">
        <v>5.4017578115246101E-2</v>
      </c>
      <c r="G828" s="15">
        <v>0.59317715256533998</v>
      </c>
      <c r="H828" s="15">
        <v>0.62580189595643398</v>
      </c>
      <c r="I828" s="15">
        <v>0.74856686119190596</v>
      </c>
      <c r="J828" s="15">
        <v>1</v>
      </c>
      <c r="K828" s="15"/>
      <c r="L828" s="15"/>
      <c r="M828" s="15"/>
      <c r="N828" s="15"/>
      <c r="O828" s="15"/>
      <c r="P828" s="15"/>
      <c r="Q828" s="15"/>
    </row>
    <row r="829" spans="2:17" x14ac:dyDescent="0.2">
      <c r="B829" t="s">
        <v>1524</v>
      </c>
      <c r="C829" s="72" t="s">
        <v>2870</v>
      </c>
      <c r="D829" t="s">
        <v>734</v>
      </c>
      <c r="E829" s="15">
        <v>-5.5272687403281402E-2</v>
      </c>
      <c r="F829" s="15">
        <v>6.1172655492750701E-2</v>
      </c>
      <c r="G829" s="15">
        <v>0.36623289754761601</v>
      </c>
      <c r="H829" s="15">
        <v>0.42458868891509299</v>
      </c>
      <c r="I829" s="15">
        <v>0.53435603831456802</v>
      </c>
      <c r="J829" s="15">
        <v>1</v>
      </c>
      <c r="K829" s="15"/>
      <c r="L829" s="15"/>
      <c r="M829" s="15"/>
      <c r="N829" s="15"/>
      <c r="O829" s="15"/>
      <c r="P829" s="15"/>
      <c r="Q829" s="15"/>
    </row>
    <row r="830" spans="2:17" x14ac:dyDescent="0.2">
      <c r="B830" t="s">
        <v>1524</v>
      </c>
      <c r="C830" s="72" t="s">
        <v>2870</v>
      </c>
      <c r="D830" t="s">
        <v>736</v>
      </c>
      <c r="E830" s="15">
        <v>-0.15733282372379201</v>
      </c>
      <c r="F830" s="15">
        <v>7.6955745926045302E-2</v>
      </c>
      <c r="G830" s="15">
        <v>4.0908279790183202E-2</v>
      </c>
      <c r="H830" s="15">
        <v>6.7434742466630102E-2</v>
      </c>
      <c r="I830" s="15">
        <v>0.102270699475458</v>
      </c>
      <c r="J830" s="15">
        <v>1</v>
      </c>
      <c r="K830" s="15"/>
      <c r="L830" s="15"/>
      <c r="M830" s="15"/>
      <c r="N830" s="15"/>
      <c r="O830" s="15"/>
      <c r="P830" s="15"/>
      <c r="Q830" s="15"/>
    </row>
    <row r="831" spans="2:17" x14ac:dyDescent="0.2">
      <c r="B831" t="s">
        <v>1524</v>
      </c>
      <c r="C831" s="72" t="s">
        <v>2870</v>
      </c>
      <c r="D831" t="s">
        <v>748</v>
      </c>
      <c r="E831" s="15">
        <v>-7.2822347558300901E-2</v>
      </c>
      <c r="F831" s="15">
        <v>7.7453540925536704E-2</v>
      </c>
      <c r="G831" s="15">
        <v>0.34711148323023899</v>
      </c>
      <c r="H831" s="15">
        <v>0.40689179423100302</v>
      </c>
      <c r="I831" s="15">
        <v>0.51321504763664605</v>
      </c>
      <c r="J831" s="15">
        <v>1</v>
      </c>
      <c r="K831" s="15"/>
      <c r="L831" s="15"/>
      <c r="M831" s="15"/>
      <c r="N831" s="15"/>
      <c r="O831" s="15"/>
      <c r="P831" s="15"/>
      <c r="Q831" s="15"/>
    </row>
    <row r="832" spans="2:17" x14ac:dyDescent="0.2">
      <c r="B832" t="s">
        <v>1524</v>
      </c>
      <c r="C832" s="72" t="s">
        <v>2870</v>
      </c>
      <c r="D832" t="s">
        <v>754</v>
      </c>
      <c r="E832" s="15">
        <v>-0.145739156854891</v>
      </c>
      <c r="F832" s="15">
        <v>5.1084021962155002E-2</v>
      </c>
      <c r="G832" s="15">
        <v>4.3318114189349697E-3</v>
      </c>
      <c r="H832" s="15">
        <v>9.7235341425029598E-3</v>
      </c>
      <c r="I832" s="15">
        <v>1.5650893996494501E-2</v>
      </c>
      <c r="J832" s="15">
        <v>1</v>
      </c>
      <c r="K832" s="15"/>
      <c r="L832" s="15"/>
      <c r="M832" s="15"/>
      <c r="N832" s="15"/>
      <c r="O832" s="15"/>
      <c r="P832" s="15"/>
      <c r="Q832" s="15"/>
    </row>
    <row r="833" spans="2:17" x14ac:dyDescent="0.2">
      <c r="B833" t="s">
        <v>1524</v>
      </c>
      <c r="C833" s="72" t="s">
        <v>2870</v>
      </c>
      <c r="D833" t="s">
        <v>755</v>
      </c>
      <c r="E833" s="15">
        <v>-0.119645007037339</v>
      </c>
      <c r="F833" s="15">
        <v>6.16677228449483E-2</v>
      </c>
      <c r="G833" s="15">
        <v>5.23607250460634E-2</v>
      </c>
      <c r="H833" s="15">
        <v>8.0327279630871898E-2</v>
      </c>
      <c r="I833" s="15">
        <v>0.124978653673296</v>
      </c>
      <c r="J833" s="15">
        <v>1</v>
      </c>
      <c r="K833" s="15"/>
      <c r="L833" s="15"/>
      <c r="M833" s="15"/>
      <c r="N833" s="15"/>
      <c r="O833" s="15"/>
      <c r="P833" s="15"/>
      <c r="Q833" s="15"/>
    </row>
    <row r="834" spans="2:17" x14ac:dyDescent="0.2">
      <c r="B834" t="s">
        <v>1524</v>
      </c>
      <c r="C834" s="72" t="s">
        <v>2870</v>
      </c>
      <c r="D834" t="s">
        <v>1422</v>
      </c>
      <c r="E834" s="15">
        <v>-2.4608456981764601E-2</v>
      </c>
      <c r="F834" s="15">
        <v>5.6863026085008497E-2</v>
      </c>
      <c r="G834" s="15">
        <v>0.66518384811231801</v>
      </c>
      <c r="H834" s="15">
        <v>0.69482075223613404</v>
      </c>
      <c r="I834" s="15">
        <v>0.80668816706754598</v>
      </c>
      <c r="J834" s="15">
        <v>1</v>
      </c>
      <c r="K834" s="15"/>
      <c r="L834" s="15"/>
      <c r="M834" s="15"/>
      <c r="N834" s="15"/>
      <c r="O834" s="15"/>
      <c r="P834" s="15"/>
      <c r="Q834" s="15"/>
    </row>
    <row r="835" spans="2:17" x14ac:dyDescent="0.2">
      <c r="B835" t="s">
        <v>1524</v>
      </c>
      <c r="C835" s="72" t="s">
        <v>2870</v>
      </c>
      <c r="D835" t="s">
        <v>1433</v>
      </c>
      <c r="E835" s="15">
        <v>-0.21938102055638301</v>
      </c>
      <c r="F835" s="15">
        <v>6.7194784262852997E-2</v>
      </c>
      <c r="G835" s="15">
        <v>1.09521316171608E-3</v>
      </c>
      <c r="H835" s="15">
        <v>3.05825751537723E-3</v>
      </c>
      <c r="I835" s="15">
        <v>5.1353328249353998E-3</v>
      </c>
      <c r="J835" s="15">
        <v>1</v>
      </c>
      <c r="K835" s="15"/>
      <c r="L835" s="15"/>
      <c r="M835" s="15"/>
      <c r="N835" s="15"/>
      <c r="O835" s="15"/>
      <c r="P835" s="15"/>
      <c r="Q835" s="15"/>
    </row>
    <row r="836" spans="2:17" x14ac:dyDescent="0.2">
      <c r="B836" t="s">
        <v>1524</v>
      </c>
      <c r="C836" s="72" t="s">
        <v>2870</v>
      </c>
      <c r="D836" s="51" t="s">
        <v>1455</v>
      </c>
      <c r="E836" s="74">
        <v>-0.368313844801539</v>
      </c>
      <c r="F836" s="74">
        <v>7.8787357455631604E-2</v>
      </c>
      <c r="G836" s="74">
        <v>2.9426376979823302E-6</v>
      </c>
      <c r="H836" s="74">
        <v>2.2174876938366898E-5</v>
      </c>
      <c r="I836" s="74">
        <v>3.7859545992333699E-5</v>
      </c>
      <c r="J836" s="74">
        <v>3.10448277137136E-3</v>
      </c>
      <c r="K836" s="15"/>
      <c r="L836" s="15"/>
      <c r="M836" s="15"/>
      <c r="N836" s="15"/>
      <c r="O836" s="15"/>
      <c r="P836" s="15"/>
      <c r="Q836" s="15"/>
    </row>
    <row r="837" spans="2:17" x14ac:dyDescent="0.2">
      <c r="B837" t="s">
        <v>1524</v>
      </c>
      <c r="C837" s="72" t="s">
        <v>2870</v>
      </c>
      <c r="D837" t="s">
        <v>1461</v>
      </c>
      <c r="E837" s="15">
        <v>-0.19576860180956801</v>
      </c>
      <c r="F837" s="15">
        <v>7.4371718113341298E-2</v>
      </c>
      <c r="G837" s="15">
        <v>8.4809180188960501E-3</v>
      </c>
      <c r="H837" s="15">
        <v>1.70426066855911E-2</v>
      </c>
      <c r="I837" s="15">
        <v>2.6949905150407599E-2</v>
      </c>
      <c r="J837" s="15">
        <v>1</v>
      </c>
      <c r="K837" s="15"/>
      <c r="L837" s="15"/>
      <c r="M837" s="15"/>
      <c r="N837" s="15"/>
      <c r="O837" s="15"/>
      <c r="P837" s="15"/>
      <c r="Q837" s="15"/>
    </row>
    <row r="838" spans="2:17" x14ac:dyDescent="0.2">
      <c r="B838" t="s">
        <v>1524</v>
      </c>
      <c r="C838" s="72" t="s">
        <v>2870</v>
      </c>
      <c r="D838" t="s">
        <v>1462</v>
      </c>
      <c r="E838" s="15">
        <v>-0.38876860981176398</v>
      </c>
      <c r="F838" s="15">
        <v>9.8630655184215196E-2</v>
      </c>
      <c r="G838" s="15">
        <v>8.0919280932072705E-5</v>
      </c>
      <c r="H838" s="15">
        <v>3.2215034484277998E-4</v>
      </c>
      <c r="I838" s="15">
        <v>5.3691724140463297E-4</v>
      </c>
      <c r="J838" s="15">
        <v>8.5369841383336698E-2</v>
      </c>
      <c r="K838" s="15"/>
      <c r="L838" s="15"/>
      <c r="M838" s="15"/>
      <c r="N838" s="15"/>
      <c r="O838" s="15"/>
      <c r="P838" s="15"/>
      <c r="Q838" s="15"/>
    </row>
    <row r="839" spans="2:17" x14ac:dyDescent="0.2">
      <c r="B839" t="s">
        <v>1524</v>
      </c>
      <c r="C839" s="72" t="s">
        <v>2870</v>
      </c>
      <c r="D839" t="s">
        <v>1472</v>
      </c>
      <c r="E839" s="15">
        <v>-0.246767735451563</v>
      </c>
      <c r="F839" s="15">
        <v>7.7802377396348696E-2</v>
      </c>
      <c r="G839" s="15">
        <v>1.5153649643722699E-3</v>
      </c>
      <c r="H839" s="15">
        <v>4.0473671833234203E-3</v>
      </c>
      <c r="I839" s="15">
        <v>6.6612918225531304E-3</v>
      </c>
      <c r="J839" s="15">
        <v>1</v>
      </c>
      <c r="K839" s="15"/>
      <c r="L839" s="15"/>
      <c r="M839" s="15"/>
      <c r="N839" s="15"/>
      <c r="O839" s="15"/>
      <c r="P839" s="15"/>
      <c r="Q839" s="15"/>
    </row>
    <row r="840" spans="2:17" x14ac:dyDescent="0.2">
      <c r="B840" t="s">
        <v>1524</v>
      </c>
      <c r="C840" s="72" t="s">
        <v>2870</v>
      </c>
      <c r="D840" t="s">
        <v>1476</v>
      </c>
      <c r="E840" s="15">
        <v>-6.6683516973667006E-2</v>
      </c>
      <c r="F840" s="15">
        <v>5.17123310657885E-2</v>
      </c>
      <c r="G840" s="15">
        <v>0.19722118511046299</v>
      </c>
      <c r="H840" s="15">
        <v>0.25374189059943703</v>
      </c>
      <c r="I840" s="15">
        <v>0.344484023661487</v>
      </c>
      <c r="J840" s="15">
        <v>1</v>
      </c>
      <c r="K840" s="15"/>
      <c r="L840" s="15"/>
      <c r="M840" s="15"/>
      <c r="N840" s="15"/>
      <c r="O840" s="15"/>
      <c r="P840" s="15"/>
      <c r="Q840" s="15"/>
    </row>
    <row r="841" spans="2:17" x14ac:dyDescent="0.2">
      <c r="B841" t="s">
        <v>1524</v>
      </c>
      <c r="C841" s="72" t="s">
        <v>2870</v>
      </c>
      <c r="D841" t="s">
        <v>3221</v>
      </c>
      <c r="E841" s="15">
        <v>-7.9414038470727005E-2</v>
      </c>
      <c r="F841" s="15">
        <v>5.8859912429200599E-2</v>
      </c>
      <c r="G841" s="15">
        <v>0.17727140025265101</v>
      </c>
      <c r="H841" s="15">
        <v>0.23089052748956401</v>
      </c>
      <c r="I841" s="15">
        <v>0.32024199874408699</v>
      </c>
      <c r="J841" s="15">
        <v>1</v>
      </c>
      <c r="K841" s="15"/>
      <c r="L841" s="15"/>
      <c r="M841" s="15"/>
      <c r="N841" s="15"/>
      <c r="O841" s="15"/>
      <c r="P841" s="15"/>
      <c r="Q841" s="15"/>
    </row>
    <row r="842" spans="2:17" x14ac:dyDescent="0.2">
      <c r="B842" t="s">
        <v>1524</v>
      </c>
      <c r="C842" s="72" t="s">
        <v>2870</v>
      </c>
      <c r="D842" t="s">
        <v>3222</v>
      </c>
      <c r="E842" s="15">
        <v>-0.26134264693680798</v>
      </c>
      <c r="F842" s="15">
        <v>7.4434325651915503E-2</v>
      </c>
      <c r="G842" s="15">
        <v>4.46340261337494E-4</v>
      </c>
      <c r="H842" s="15">
        <v>1.4269362900335E-3</v>
      </c>
      <c r="I842" s="15">
        <v>2.3782271500558398E-3</v>
      </c>
      <c r="J842" s="15">
        <v>0.47088897571105598</v>
      </c>
      <c r="K842" s="15"/>
      <c r="L842" s="15"/>
      <c r="M842" s="15"/>
      <c r="N842" s="15"/>
      <c r="O842" s="15"/>
      <c r="P842" s="15"/>
      <c r="Q842" s="15"/>
    </row>
    <row r="843" spans="2:17" x14ac:dyDescent="0.2">
      <c r="B843" t="s">
        <v>1524</v>
      </c>
      <c r="C843" s="72" t="s">
        <v>2870</v>
      </c>
      <c r="D843" t="s">
        <v>3223</v>
      </c>
      <c r="E843" s="15">
        <v>9.5156787266810997E-2</v>
      </c>
      <c r="F843" s="15">
        <v>4.6987722634289401E-2</v>
      </c>
      <c r="G843" s="15">
        <v>4.2852836224212203E-2</v>
      </c>
      <c r="H843" s="15">
        <v>6.9401621194932803E-2</v>
      </c>
      <c r="I843" s="15">
        <v>0.106126155437896</v>
      </c>
      <c r="J843" s="15">
        <v>1</v>
      </c>
      <c r="K843" s="15"/>
      <c r="L843" s="15"/>
      <c r="M843" s="15"/>
      <c r="N843" s="15"/>
      <c r="O843" s="15"/>
      <c r="P843" s="15"/>
      <c r="Q843" s="15"/>
    </row>
    <row r="844" spans="2:17" x14ac:dyDescent="0.2">
      <c r="B844" t="s">
        <v>1524</v>
      </c>
      <c r="C844" s="72" t="s">
        <v>2870</v>
      </c>
      <c r="D844" t="s">
        <v>784</v>
      </c>
      <c r="E844" s="15">
        <v>-1.6042751496512801E-2</v>
      </c>
      <c r="F844" s="15">
        <v>1.50877332564442E-2</v>
      </c>
      <c r="G844" s="15">
        <v>0.287709665072865</v>
      </c>
      <c r="H844" s="15">
        <v>0.34297592842019498</v>
      </c>
      <c r="I844" s="15">
        <v>0.44967955059536702</v>
      </c>
      <c r="J844" s="15">
        <v>1</v>
      </c>
      <c r="K844" s="15"/>
      <c r="L844" s="15"/>
      <c r="M844" s="15"/>
      <c r="N844" s="15"/>
      <c r="O844" s="15"/>
      <c r="P844" s="15"/>
      <c r="Q844" s="15"/>
    </row>
    <row r="845" spans="2:17" ht="16" customHeight="1" x14ac:dyDescent="0.2">
      <c r="B845" t="s">
        <v>1524</v>
      </c>
      <c r="C845" s="72" t="s">
        <v>2870</v>
      </c>
      <c r="D845" t="s">
        <v>788</v>
      </c>
      <c r="E845" s="15">
        <v>-5.6596831293284303E-3</v>
      </c>
      <c r="F845" s="15">
        <v>1.54616332488592E-2</v>
      </c>
      <c r="G845" s="15">
        <v>0.71434984260712497</v>
      </c>
      <c r="H845" s="15">
        <v>0.735257642878553</v>
      </c>
      <c r="I845" s="15">
        <v>0.84186126713040998</v>
      </c>
      <c r="J845" s="15">
        <v>1</v>
      </c>
      <c r="K845" s="15"/>
      <c r="L845" s="15"/>
      <c r="M845" s="15"/>
      <c r="N845" s="15"/>
      <c r="O845" s="15"/>
      <c r="P845" s="15"/>
      <c r="Q845" s="15"/>
    </row>
    <row r="846" spans="2:17" x14ac:dyDescent="0.2">
      <c r="B846" t="s">
        <v>1524</v>
      </c>
      <c r="C846" s="72" t="s">
        <v>2870</v>
      </c>
      <c r="D846" t="s">
        <v>794</v>
      </c>
      <c r="E846" s="15">
        <v>-3.8433132095228403E-2</v>
      </c>
      <c r="F846" s="15">
        <v>1.4319258705099E-2</v>
      </c>
      <c r="G846" s="15">
        <v>7.3022051322942701E-3</v>
      </c>
      <c r="H846" s="15">
        <v>1.51055419893538E-2</v>
      </c>
      <c r="I846" s="15">
        <v>2.3924926753324399E-2</v>
      </c>
      <c r="J846" s="15">
        <v>1</v>
      </c>
      <c r="K846" s="15"/>
      <c r="L846" s="15"/>
      <c r="M846" s="15"/>
      <c r="N846" s="15"/>
      <c r="O846" s="15"/>
      <c r="P846" s="15"/>
      <c r="Q846" s="15"/>
    </row>
    <row r="847" spans="2:17" x14ac:dyDescent="0.2">
      <c r="B847" t="s">
        <v>1524</v>
      </c>
      <c r="C847" s="72" t="s">
        <v>2870</v>
      </c>
      <c r="D847" t="s">
        <v>814</v>
      </c>
      <c r="E847" s="15">
        <v>6.1846081211650002E-3</v>
      </c>
      <c r="F847" s="15">
        <v>1.5485440222123E-2</v>
      </c>
      <c r="G847" s="15">
        <v>0.68963287141393803</v>
      </c>
      <c r="H847" s="15">
        <v>0.71681052151892</v>
      </c>
      <c r="I847" s="15">
        <v>0.82396679427146502</v>
      </c>
      <c r="J847" s="15">
        <v>1</v>
      </c>
      <c r="K847" s="15"/>
      <c r="L847" s="15"/>
      <c r="M847" s="15"/>
      <c r="N847" s="15"/>
      <c r="O847" s="15"/>
      <c r="P847" s="15"/>
      <c r="Q847" s="15"/>
    </row>
    <row r="848" spans="2:17" x14ac:dyDescent="0.2">
      <c r="B848" t="s">
        <v>1524</v>
      </c>
      <c r="C848" s="72" t="s">
        <v>2870</v>
      </c>
      <c r="D848" t="s">
        <v>94</v>
      </c>
      <c r="E848" s="15">
        <v>-1.05807204302083E-2</v>
      </c>
      <c r="F848" s="15">
        <v>1.3750239098578001E-2</v>
      </c>
      <c r="G848" s="15">
        <v>0.44164756874600702</v>
      </c>
      <c r="H848" s="15">
        <v>0.50645454894243203</v>
      </c>
      <c r="I848" s="15">
        <v>0.60906952291116001</v>
      </c>
      <c r="J848" s="15">
        <v>1</v>
      </c>
      <c r="K848" s="15"/>
      <c r="L848" s="15"/>
      <c r="M848" s="15"/>
      <c r="N848" s="15"/>
      <c r="O848" s="15"/>
      <c r="P848" s="15"/>
      <c r="Q848" s="15"/>
    </row>
    <row r="849" spans="2:17" x14ac:dyDescent="0.2">
      <c r="B849" t="s">
        <v>1696</v>
      </c>
      <c r="C849" s="76" t="s">
        <v>3013</v>
      </c>
      <c r="D849" t="s">
        <v>784</v>
      </c>
      <c r="E849" s="15">
        <v>2.46446205328202E-2</v>
      </c>
      <c r="F849" s="15">
        <v>1.55480952101899E-2</v>
      </c>
      <c r="G849" s="15">
        <v>0.113028378847667</v>
      </c>
      <c r="H849" s="15">
        <v>0.98336317444700605</v>
      </c>
      <c r="I849" s="15">
        <v>0.229759036000556</v>
      </c>
      <c r="J849" s="15">
        <v>1</v>
      </c>
      <c r="K849" s="15"/>
      <c r="L849" s="15"/>
      <c r="M849" s="15"/>
      <c r="N849" s="15"/>
      <c r="O849" s="15"/>
      <c r="P849" s="15"/>
      <c r="Q849" s="15"/>
    </row>
    <row r="850" spans="2:17" x14ac:dyDescent="0.2">
      <c r="B850" t="s">
        <v>1696</v>
      </c>
      <c r="C850" s="76" t="s">
        <v>3013</v>
      </c>
      <c r="D850" t="s">
        <v>788</v>
      </c>
      <c r="E850" s="15">
        <v>3.3965351536400699E-3</v>
      </c>
      <c r="F850" s="15">
        <v>1.58934740004535E-2</v>
      </c>
      <c r="G850" s="15">
        <v>0.83078694048219803</v>
      </c>
      <c r="H850" s="15">
        <v>0.989150448529031</v>
      </c>
      <c r="I850" s="15">
        <v>0.90849269294141299</v>
      </c>
      <c r="J850" s="15">
        <v>1</v>
      </c>
      <c r="K850" s="15"/>
      <c r="L850" s="15"/>
      <c r="M850" s="15"/>
      <c r="N850" s="15"/>
      <c r="O850" s="15"/>
      <c r="P850" s="15"/>
      <c r="Q850" s="15"/>
    </row>
    <row r="851" spans="2:17" x14ac:dyDescent="0.2">
      <c r="B851" t="s">
        <v>1696</v>
      </c>
      <c r="C851" s="76" t="s">
        <v>3013</v>
      </c>
      <c r="D851" t="s">
        <v>794</v>
      </c>
      <c r="E851" s="15">
        <v>2.0513437694526502E-3</v>
      </c>
      <c r="F851" s="15">
        <v>1.48191814638357E-2</v>
      </c>
      <c r="G851" s="15">
        <v>0.88991092125770499</v>
      </c>
      <c r="H851" s="15">
        <v>0.989150448529031</v>
      </c>
      <c r="I851" s="15">
        <v>0.93599847599181596</v>
      </c>
      <c r="J851" s="15">
        <v>1</v>
      </c>
      <c r="K851" s="15"/>
      <c r="L851" s="15"/>
      <c r="M851" s="15"/>
      <c r="N851" s="15"/>
      <c r="O851" s="15"/>
      <c r="P851" s="15"/>
      <c r="Q851" s="15"/>
    </row>
    <row r="852" spans="2:17" x14ac:dyDescent="0.2">
      <c r="B852" t="s">
        <v>1696</v>
      </c>
      <c r="C852" s="76" t="s">
        <v>3013</v>
      </c>
      <c r="D852" t="s">
        <v>814</v>
      </c>
      <c r="E852" s="15">
        <v>-3.1195352639253201E-3</v>
      </c>
      <c r="F852" s="15">
        <v>1.59665312690574E-2</v>
      </c>
      <c r="G852" s="15">
        <v>0.84510535057970004</v>
      </c>
      <c r="H852" s="15">
        <v>0.989150448529031</v>
      </c>
      <c r="I852" s="15">
        <v>0.91579966117869605</v>
      </c>
      <c r="J852" s="15">
        <v>1</v>
      </c>
      <c r="K852" s="15"/>
      <c r="L852" s="15"/>
      <c r="M852" s="15"/>
      <c r="N852" s="15"/>
      <c r="O852" s="15"/>
      <c r="P852" s="15"/>
      <c r="Q852" s="15"/>
    </row>
    <row r="853" spans="2:17" x14ac:dyDescent="0.2">
      <c r="B853" t="s">
        <v>1696</v>
      </c>
      <c r="C853" s="76" t="s">
        <v>3013</v>
      </c>
      <c r="D853" t="s">
        <v>94</v>
      </c>
      <c r="E853" s="15">
        <v>-2.3432421332699301E-2</v>
      </c>
      <c r="F853" s="15">
        <v>1.37061612921005E-2</v>
      </c>
      <c r="G853" s="15">
        <v>8.7428344213241693E-2</v>
      </c>
      <c r="H853" s="15">
        <v>0.98336317444700605</v>
      </c>
      <c r="I853" s="15">
        <v>0.18633717807064601</v>
      </c>
      <c r="J853" s="15">
        <v>1</v>
      </c>
      <c r="K853" s="15"/>
      <c r="L853" s="15"/>
      <c r="M853" s="15"/>
      <c r="N853" s="15"/>
      <c r="O853" s="15"/>
      <c r="P853" s="15"/>
      <c r="Q853" s="15"/>
    </row>
    <row r="854" spans="2:17" x14ac:dyDescent="0.2">
      <c r="B854" t="s">
        <v>1696</v>
      </c>
      <c r="C854" s="76" t="s">
        <v>3013</v>
      </c>
      <c r="D854" t="s">
        <v>117</v>
      </c>
      <c r="E854" s="15">
        <v>-1.1139068889966399E-2</v>
      </c>
      <c r="F854" s="15">
        <v>1.5431421677610699E-2</v>
      </c>
      <c r="G854" s="15">
        <v>0.47042895995748202</v>
      </c>
      <c r="H854" s="15">
        <v>0.989150448529031</v>
      </c>
      <c r="I854" s="15">
        <v>0.641217768417498</v>
      </c>
      <c r="J854" s="15">
        <v>1</v>
      </c>
      <c r="K854" s="15"/>
      <c r="L854" s="15"/>
      <c r="M854" s="15"/>
      <c r="N854" s="15"/>
      <c r="O854" s="15"/>
      <c r="P854" s="15"/>
      <c r="Q854" s="15"/>
    </row>
    <row r="855" spans="2:17" x14ac:dyDescent="0.2">
      <c r="B855" t="s">
        <v>1696</v>
      </c>
      <c r="C855" s="76" t="s">
        <v>3013</v>
      </c>
      <c r="D855" t="s">
        <v>861</v>
      </c>
      <c r="E855" s="15">
        <v>-7.4894424508526502E-3</v>
      </c>
      <c r="F855" s="15">
        <v>1.5271899953074999E-2</v>
      </c>
      <c r="G855" s="15">
        <v>0.62387069717677701</v>
      </c>
      <c r="H855" s="15">
        <v>0.989150448529031</v>
      </c>
      <c r="I855" s="15">
        <v>0.77105888417089596</v>
      </c>
      <c r="J855" s="15">
        <v>1</v>
      </c>
      <c r="K855" s="15"/>
      <c r="L855" s="15"/>
      <c r="M855" s="15"/>
      <c r="N855" s="15"/>
      <c r="O855" s="15"/>
      <c r="P855" s="15"/>
      <c r="Q855" s="15"/>
    </row>
    <row r="856" spans="2:17" x14ac:dyDescent="0.2">
      <c r="B856" t="s">
        <v>1696</v>
      </c>
      <c r="C856" s="76" t="s">
        <v>3013</v>
      </c>
      <c r="D856" t="s">
        <v>862</v>
      </c>
      <c r="E856" s="15">
        <v>6.6798742510746304E-3</v>
      </c>
      <c r="F856" s="15">
        <v>1.55908619689504E-2</v>
      </c>
      <c r="G856" s="15">
        <v>0.66834619347845403</v>
      </c>
      <c r="H856" s="15">
        <v>0.989150448529031</v>
      </c>
      <c r="I856" s="15">
        <v>0.80925347149501503</v>
      </c>
      <c r="J856" s="15">
        <v>1</v>
      </c>
      <c r="K856" s="15"/>
      <c r="L856" s="15"/>
      <c r="M856" s="15"/>
      <c r="N856" s="15"/>
      <c r="O856" s="15"/>
      <c r="P856" s="15"/>
      <c r="Q856" s="15"/>
    </row>
    <row r="857" spans="2:17" x14ac:dyDescent="0.2">
      <c r="B857" t="s">
        <v>1696</v>
      </c>
      <c r="C857" s="76" t="s">
        <v>3013</v>
      </c>
      <c r="D857" t="s">
        <v>857</v>
      </c>
      <c r="E857" s="15">
        <v>-1.46348705664097E-2</v>
      </c>
      <c r="F857" s="15">
        <v>1.53995058411393E-2</v>
      </c>
      <c r="G857" s="15">
        <v>0.341988303162513</v>
      </c>
      <c r="H857" s="15">
        <v>0.989150448529031</v>
      </c>
      <c r="I857" s="15">
        <v>0.50824911584955401</v>
      </c>
      <c r="J857" s="15">
        <v>1</v>
      </c>
      <c r="K857" s="15"/>
      <c r="L857" s="15"/>
      <c r="M857" s="15"/>
      <c r="N857" s="15"/>
      <c r="O857" s="15"/>
      <c r="P857" s="15"/>
      <c r="Q857" s="15"/>
    </row>
    <row r="858" spans="2:17" x14ac:dyDescent="0.2">
      <c r="B858" t="s">
        <v>1696</v>
      </c>
      <c r="C858" s="76" t="s">
        <v>3013</v>
      </c>
      <c r="D858" t="s">
        <v>865</v>
      </c>
      <c r="E858" s="15">
        <v>-1.5117826610439899E-2</v>
      </c>
      <c r="F858" s="15">
        <v>1.5140038627128399E-2</v>
      </c>
      <c r="G858" s="15">
        <v>0.31807364948772898</v>
      </c>
      <c r="H858" s="15">
        <v>0.989150448529031</v>
      </c>
      <c r="I858" s="15">
        <v>0.48562619422511499</v>
      </c>
      <c r="J858" s="15">
        <v>1</v>
      </c>
      <c r="K858" s="15"/>
      <c r="L858" s="15"/>
      <c r="M858" s="15"/>
      <c r="N858" s="15"/>
      <c r="O858" s="15"/>
      <c r="P858" s="15"/>
      <c r="Q858" s="15"/>
    </row>
    <row r="859" spans="2:17" x14ac:dyDescent="0.2">
      <c r="B859" t="s">
        <v>1696</v>
      </c>
      <c r="C859" s="76" t="s">
        <v>3013</v>
      </c>
      <c r="D859" t="s">
        <v>209</v>
      </c>
      <c r="E859" s="15">
        <v>1.1162016827751E-2</v>
      </c>
      <c r="F859" s="15">
        <v>1.49635608988962E-2</v>
      </c>
      <c r="G859" s="15">
        <v>0.45573711825281099</v>
      </c>
      <c r="H859" s="15">
        <v>0.989150448529031</v>
      </c>
      <c r="I859" s="15">
        <v>0.62504949180901204</v>
      </c>
      <c r="J859" s="15">
        <v>1</v>
      </c>
      <c r="K859" s="15"/>
      <c r="L859" s="15"/>
      <c r="M859" s="15"/>
      <c r="N859" s="15"/>
      <c r="O859" s="15"/>
      <c r="P859" s="15"/>
      <c r="Q859" s="15"/>
    </row>
    <row r="860" spans="2:17" x14ac:dyDescent="0.2">
      <c r="B860" t="s">
        <v>1696</v>
      </c>
      <c r="C860" s="76" t="s">
        <v>3013</v>
      </c>
      <c r="D860" t="s">
        <v>208</v>
      </c>
      <c r="E860" s="15">
        <v>4.1497962417288002E-2</v>
      </c>
      <c r="F860" s="15">
        <v>1.5032644159001501E-2</v>
      </c>
      <c r="G860" s="15">
        <v>5.7931333421678303E-3</v>
      </c>
      <c r="H860" s="15">
        <v>0.50460429121969397</v>
      </c>
      <c r="I860" s="15">
        <v>1.9973057764663599E-2</v>
      </c>
      <c r="J860" s="15">
        <v>1</v>
      </c>
      <c r="K860" s="15"/>
      <c r="L860" s="15"/>
      <c r="M860" s="15"/>
      <c r="N860" s="15"/>
      <c r="O860" s="15"/>
      <c r="P860" s="15"/>
      <c r="Q860" s="15"/>
    </row>
    <row r="861" spans="2:17" x14ac:dyDescent="0.2">
      <c r="B861" t="s">
        <v>1696</v>
      </c>
      <c r="C861" s="76" t="s">
        <v>3013</v>
      </c>
      <c r="D861" t="s">
        <v>196</v>
      </c>
      <c r="E861" s="15">
        <v>-1.9122845851878799E-3</v>
      </c>
      <c r="F861" s="15">
        <v>1.51824928692648E-2</v>
      </c>
      <c r="G861" s="15">
        <v>0.89977429921037799</v>
      </c>
      <c r="H861" s="15">
        <v>0.989150448529031</v>
      </c>
      <c r="I861" s="15">
        <v>0.93615570578594598</v>
      </c>
      <c r="J861" s="15">
        <v>1</v>
      </c>
      <c r="K861" s="15"/>
      <c r="L861" s="15"/>
      <c r="M861" s="15"/>
      <c r="N861" s="15"/>
      <c r="O861" s="15"/>
      <c r="P861" s="15"/>
      <c r="Q861" s="15"/>
    </row>
    <row r="862" spans="2:17" x14ac:dyDescent="0.2">
      <c r="B862" t="s">
        <v>1696</v>
      </c>
      <c r="C862" s="76" t="s">
        <v>3013</v>
      </c>
      <c r="D862" t="s">
        <v>201</v>
      </c>
      <c r="E862" s="15">
        <v>1.44881481690519E-2</v>
      </c>
      <c r="F862" s="15">
        <v>1.5246987300738901E-2</v>
      </c>
      <c r="G862" s="15">
        <v>0.34204442867600299</v>
      </c>
      <c r="H862" s="15">
        <v>0.989150448529031</v>
      </c>
      <c r="I862" s="15">
        <v>0.50824911584955401</v>
      </c>
      <c r="J862" s="15">
        <v>1</v>
      </c>
      <c r="K862" s="15"/>
      <c r="L862" s="15"/>
      <c r="M862" s="15"/>
      <c r="N862" s="15"/>
      <c r="O862" s="15"/>
      <c r="P862" s="15"/>
      <c r="Q862" s="15"/>
    </row>
    <row r="863" spans="2:17" x14ac:dyDescent="0.2">
      <c r="B863" t="s">
        <v>1696</v>
      </c>
      <c r="C863" s="76" t="s">
        <v>3013</v>
      </c>
      <c r="D863" t="s">
        <v>866</v>
      </c>
      <c r="E863" s="15">
        <v>1.35357958163933E-2</v>
      </c>
      <c r="F863" s="15">
        <v>1.5272826509115401E-2</v>
      </c>
      <c r="G863" s="15">
        <v>0.37552084603911101</v>
      </c>
      <c r="H863" s="15">
        <v>0.989150448529031</v>
      </c>
      <c r="I863" s="15">
        <v>0.54413325015724001</v>
      </c>
      <c r="J863" s="15">
        <v>1</v>
      </c>
      <c r="K863" s="15"/>
      <c r="L863" s="15"/>
      <c r="M863" s="15"/>
      <c r="N863" s="15"/>
      <c r="O863" s="15"/>
      <c r="P863" s="15"/>
      <c r="Q863" s="15"/>
    </row>
    <row r="864" spans="2:17" x14ac:dyDescent="0.2">
      <c r="B864" t="s">
        <v>1696</v>
      </c>
      <c r="C864" s="76" t="s">
        <v>3013</v>
      </c>
      <c r="D864" t="s">
        <v>869</v>
      </c>
      <c r="E864" s="15">
        <v>1.18366458254719E-3</v>
      </c>
      <c r="F864" s="15">
        <v>1.5234724145052799E-2</v>
      </c>
      <c r="G864" s="15">
        <v>0.938073950335375</v>
      </c>
      <c r="H864" s="15">
        <v>0.989150448529031</v>
      </c>
      <c r="I864" s="15">
        <v>0.95636048679958197</v>
      </c>
      <c r="J864" s="15">
        <v>1</v>
      </c>
      <c r="K864" s="15"/>
      <c r="L864" s="15"/>
      <c r="M864" s="15"/>
      <c r="N864" s="15"/>
      <c r="O864" s="15"/>
      <c r="P864" s="15"/>
      <c r="Q864" s="15"/>
    </row>
    <row r="865" spans="2:17" x14ac:dyDescent="0.2">
      <c r="B865" t="s">
        <v>1696</v>
      </c>
      <c r="C865" s="76" t="s">
        <v>3013</v>
      </c>
      <c r="D865" t="s">
        <v>169</v>
      </c>
      <c r="E865" s="15">
        <v>-1.23660163642573E-2</v>
      </c>
      <c r="F865" s="15">
        <v>1.5045032421924899E-2</v>
      </c>
      <c r="G865" s="15">
        <v>0.41115724970392398</v>
      </c>
      <c r="H865" s="15">
        <v>0.989150448529031</v>
      </c>
      <c r="I865" s="15">
        <v>0.57818472842041801</v>
      </c>
      <c r="J865" s="15">
        <v>1</v>
      </c>
      <c r="K865" s="15"/>
      <c r="L865" s="15"/>
      <c r="M865" s="15"/>
      <c r="N865" s="15"/>
      <c r="O865" s="15"/>
      <c r="P865" s="15"/>
      <c r="Q865" s="15"/>
    </row>
    <row r="866" spans="2:17" x14ac:dyDescent="0.2">
      <c r="B866" t="s">
        <v>1696</v>
      </c>
      <c r="C866" s="76" t="s">
        <v>3013</v>
      </c>
      <c r="D866" t="s">
        <v>172</v>
      </c>
      <c r="E866" s="15">
        <v>-1.49797570257863E-2</v>
      </c>
      <c r="F866" s="15">
        <v>1.5024231046996E-2</v>
      </c>
      <c r="G866" s="15">
        <v>0.318797080284136</v>
      </c>
      <c r="H866" s="15">
        <v>0.989150448529031</v>
      </c>
      <c r="I866" s="15">
        <v>0.48602734060659403</v>
      </c>
      <c r="J866" s="15">
        <v>1</v>
      </c>
      <c r="K866" s="15"/>
      <c r="L866" s="15"/>
      <c r="M866" s="15"/>
      <c r="N866" s="15"/>
      <c r="O866" s="15"/>
      <c r="P866" s="15"/>
      <c r="Q866" s="15"/>
    </row>
    <row r="867" spans="2:17" x14ac:dyDescent="0.2">
      <c r="B867" t="s">
        <v>1696</v>
      </c>
      <c r="C867" s="76" t="s">
        <v>3013</v>
      </c>
      <c r="D867" t="s">
        <v>174</v>
      </c>
      <c r="E867" s="15">
        <v>-6.9249958947427295E-4</v>
      </c>
      <c r="F867" s="15">
        <v>1.5247615493616E-2</v>
      </c>
      <c r="G867" s="15">
        <v>0.963776964545628</v>
      </c>
      <c r="H867" s="15">
        <v>0.99198507082501197</v>
      </c>
      <c r="I867" s="15">
        <v>0.97393170267781404</v>
      </c>
      <c r="J867" s="15">
        <v>1</v>
      </c>
      <c r="K867" s="15"/>
      <c r="L867" s="15"/>
      <c r="M867" s="15"/>
      <c r="N867" s="15"/>
      <c r="O867" s="15"/>
      <c r="P867" s="15"/>
      <c r="Q867" s="15"/>
    </row>
    <row r="868" spans="2:17" x14ac:dyDescent="0.2">
      <c r="B868" t="s">
        <v>1696</v>
      </c>
      <c r="C868" s="76" t="s">
        <v>3013</v>
      </c>
      <c r="D868" t="s">
        <v>175</v>
      </c>
      <c r="E868" s="15">
        <v>-4.0822752304453001E-2</v>
      </c>
      <c r="F868" s="15">
        <v>1.51766017182095E-2</v>
      </c>
      <c r="G868" s="15">
        <v>7.1744685955406704E-3</v>
      </c>
      <c r="H868" s="15">
        <v>0.50460429121969397</v>
      </c>
      <c r="I868" s="15">
        <v>2.36533261509232E-2</v>
      </c>
      <c r="J868" s="15">
        <v>1</v>
      </c>
      <c r="K868" s="15"/>
      <c r="L868" s="15"/>
      <c r="M868" s="15"/>
      <c r="N868" s="15"/>
      <c r="O868" s="15"/>
      <c r="P868" s="15"/>
      <c r="Q868" s="15"/>
    </row>
    <row r="869" spans="2:17" x14ac:dyDescent="0.2">
      <c r="B869" t="s">
        <v>1696</v>
      </c>
      <c r="C869" s="76" t="s">
        <v>3013</v>
      </c>
      <c r="D869" t="s">
        <v>176</v>
      </c>
      <c r="E869" s="15">
        <v>-6.0584021931763699E-3</v>
      </c>
      <c r="F869" s="15">
        <v>1.51333081463894E-2</v>
      </c>
      <c r="G869" s="15">
        <v>0.68892827034085302</v>
      </c>
      <c r="H869" s="15">
        <v>0.989150448529031</v>
      </c>
      <c r="I869" s="15">
        <v>0.82396679427146502</v>
      </c>
      <c r="J869" s="15">
        <v>1</v>
      </c>
      <c r="K869" s="15"/>
      <c r="L869" s="15"/>
      <c r="M869" s="15"/>
      <c r="N869" s="15"/>
      <c r="O869" s="15"/>
      <c r="P869" s="15"/>
      <c r="Q869" s="15"/>
    </row>
    <row r="870" spans="2:17" x14ac:dyDescent="0.2">
      <c r="B870" t="s">
        <v>1696</v>
      </c>
      <c r="C870" s="76" t="s">
        <v>3013</v>
      </c>
      <c r="D870" t="s">
        <v>177</v>
      </c>
      <c r="E870" s="15">
        <v>-1.47074394960377E-2</v>
      </c>
      <c r="F870" s="15">
        <v>1.50107170672384E-2</v>
      </c>
      <c r="G870" s="15">
        <v>0.32723828035716801</v>
      </c>
      <c r="H870" s="15">
        <v>0.989150448529031</v>
      </c>
      <c r="I870" s="15">
        <v>0.49460800254557602</v>
      </c>
      <c r="J870" s="15">
        <v>1</v>
      </c>
      <c r="K870" s="15"/>
      <c r="L870" s="15"/>
      <c r="M870" s="15"/>
      <c r="N870" s="15"/>
      <c r="O870" s="15"/>
      <c r="P870" s="15"/>
      <c r="Q870" s="15"/>
    </row>
    <row r="871" spans="2:17" x14ac:dyDescent="0.2">
      <c r="B871" t="s">
        <v>1696</v>
      </c>
      <c r="C871" s="76" t="s">
        <v>3013</v>
      </c>
      <c r="D871" t="s">
        <v>178</v>
      </c>
      <c r="E871" s="15">
        <v>2.9020505924152199E-3</v>
      </c>
      <c r="F871" s="15">
        <v>1.50620194140397E-2</v>
      </c>
      <c r="G871" s="15">
        <v>0.84722319365915399</v>
      </c>
      <c r="H871" s="15">
        <v>0.989150448529031</v>
      </c>
      <c r="I871" s="15">
        <v>0.91579966117869605</v>
      </c>
      <c r="J871" s="15">
        <v>1</v>
      </c>
      <c r="K871" s="15"/>
      <c r="L871" s="15"/>
      <c r="M871" s="15"/>
      <c r="N871" s="15"/>
      <c r="O871" s="15"/>
      <c r="P871" s="15"/>
      <c r="Q871" s="15"/>
    </row>
    <row r="872" spans="2:17" x14ac:dyDescent="0.2">
      <c r="B872" t="s">
        <v>1696</v>
      </c>
      <c r="C872" s="76" t="s">
        <v>3013</v>
      </c>
      <c r="D872" t="s">
        <v>179</v>
      </c>
      <c r="E872" s="15">
        <v>5.1478526838163998E-3</v>
      </c>
      <c r="F872" s="15">
        <v>1.5139362052136901E-2</v>
      </c>
      <c r="G872" s="15">
        <v>0.73384865069163496</v>
      </c>
      <c r="H872" s="15">
        <v>0.989150448529031</v>
      </c>
      <c r="I872" s="15">
        <v>0.85171653078072096</v>
      </c>
      <c r="J872" s="15">
        <v>1</v>
      </c>
      <c r="K872" s="15"/>
      <c r="L872" s="15"/>
      <c r="M872" s="15"/>
      <c r="N872" s="15"/>
      <c r="O872" s="15"/>
      <c r="P872" s="15"/>
      <c r="Q872" s="15"/>
    </row>
    <row r="873" spans="2:17" x14ac:dyDescent="0.2">
      <c r="B873" t="s">
        <v>1696</v>
      </c>
      <c r="C873" s="76" t="s">
        <v>3013</v>
      </c>
      <c r="D873" t="s">
        <v>193</v>
      </c>
      <c r="E873" s="15">
        <v>-2.4483101974995002E-2</v>
      </c>
      <c r="F873" s="15">
        <v>1.51420176758707E-2</v>
      </c>
      <c r="G873" s="15">
        <v>0.105967974842476</v>
      </c>
      <c r="H873" s="15">
        <v>0.98336317444700605</v>
      </c>
      <c r="I873" s="15">
        <v>0.21792634202497499</v>
      </c>
      <c r="J873" s="15">
        <v>1</v>
      </c>
      <c r="K873" s="15"/>
      <c r="L873" s="15"/>
      <c r="M873" s="15"/>
      <c r="N873" s="15"/>
      <c r="O873" s="15"/>
      <c r="P873" s="15"/>
      <c r="Q873" s="15"/>
    </row>
    <row r="874" spans="2:17" x14ac:dyDescent="0.2">
      <c r="B874" t="s">
        <v>1696</v>
      </c>
      <c r="C874" s="76" t="s">
        <v>3013</v>
      </c>
      <c r="D874" t="s">
        <v>194</v>
      </c>
      <c r="E874" s="15">
        <v>-2.0654444187833E-2</v>
      </c>
      <c r="F874" s="15">
        <v>1.51201867192802E-2</v>
      </c>
      <c r="G874" s="15">
        <v>0.17199956593122001</v>
      </c>
      <c r="H874" s="15">
        <v>0.989150448529031</v>
      </c>
      <c r="I874" s="15">
        <v>0.31556014741965199</v>
      </c>
      <c r="J874" s="15">
        <v>1</v>
      </c>
      <c r="K874" s="15"/>
      <c r="L874" s="15"/>
      <c r="M874" s="15"/>
      <c r="N874" s="15"/>
      <c r="O874" s="15"/>
      <c r="P874" s="15"/>
      <c r="Q874" s="15"/>
    </row>
    <row r="875" spans="2:17" x14ac:dyDescent="0.2">
      <c r="B875" t="s">
        <v>1696</v>
      </c>
      <c r="C875" s="76" t="s">
        <v>3013</v>
      </c>
      <c r="D875" t="s">
        <v>195</v>
      </c>
      <c r="E875" s="15">
        <v>5.6102498110766402E-3</v>
      </c>
      <c r="F875" s="15">
        <v>1.5084919209776299E-2</v>
      </c>
      <c r="G875" s="15">
        <v>0.70997602877400601</v>
      </c>
      <c r="H875" s="15">
        <v>0.989150448529031</v>
      </c>
      <c r="I875" s="15">
        <v>0.84001779556969602</v>
      </c>
      <c r="J875" s="15">
        <v>1</v>
      </c>
      <c r="K875" s="15"/>
      <c r="L875" s="15"/>
      <c r="M875" s="15"/>
      <c r="N875" s="15"/>
      <c r="O875" s="15"/>
      <c r="P875" s="15"/>
      <c r="Q875" s="15"/>
    </row>
    <row r="876" spans="2:17" x14ac:dyDescent="0.2">
      <c r="B876" t="s">
        <v>1696</v>
      </c>
      <c r="C876" s="76" t="s">
        <v>3013</v>
      </c>
      <c r="D876" t="s">
        <v>890</v>
      </c>
      <c r="E876" s="15">
        <v>-2.11208536550314E-3</v>
      </c>
      <c r="F876" s="15">
        <v>1.4666862923653899E-2</v>
      </c>
      <c r="G876" s="15">
        <v>0.88550386106985801</v>
      </c>
      <c r="H876" s="15">
        <v>0.989150448529031</v>
      </c>
      <c r="I876" s="15">
        <v>0.93364184227418501</v>
      </c>
      <c r="J876" s="15">
        <v>1</v>
      </c>
      <c r="K876" s="15"/>
      <c r="L876" s="15"/>
      <c r="M876" s="15"/>
      <c r="N876" s="15"/>
      <c r="O876" s="15"/>
      <c r="P876" s="15"/>
      <c r="Q876" s="15"/>
    </row>
    <row r="877" spans="2:17" x14ac:dyDescent="0.2">
      <c r="B877" t="s">
        <v>1696</v>
      </c>
      <c r="C877" s="76" t="s">
        <v>3013</v>
      </c>
      <c r="D877" t="s">
        <v>891</v>
      </c>
      <c r="E877" s="15">
        <v>-7.4851096924716401E-3</v>
      </c>
      <c r="F877" s="15">
        <v>1.49183508634174E-2</v>
      </c>
      <c r="G877" s="15">
        <v>0.61587532180930404</v>
      </c>
      <c r="H877" s="15">
        <v>0.989150448529031</v>
      </c>
      <c r="I877" s="15">
        <v>0.76478767742077503</v>
      </c>
      <c r="J877" s="15">
        <v>1</v>
      </c>
      <c r="K877" s="15"/>
      <c r="L877" s="15"/>
      <c r="M877" s="15"/>
      <c r="N877" s="15"/>
      <c r="O877" s="15"/>
      <c r="P877" s="15"/>
      <c r="Q877" s="15"/>
    </row>
    <row r="878" spans="2:17" x14ac:dyDescent="0.2">
      <c r="B878" t="s">
        <v>1696</v>
      </c>
      <c r="C878" s="76" t="s">
        <v>3013</v>
      </c>
      <c r="D878" t="s">
        <v>3189</v>
      </c>
      <c r="E878" s="15">
        <v>-1.8490548820059498E-2</v>
      </c>
      <c r="F878" s="15">
        <v>1.45956011811781E-2</v>
      </c>
      <c r="G878" s="15">
        <v>0.20526972896481699</v>
      </c>
      <c r="H878" s="15">
        <v>0.989150448529031</v>
      </c>
      <c r="I878" s="15">
        <v>0.355015678783413</v>
      </c>
      <c r="J878" s="15">
        <v>1</v>
      </c>
      <c r="K878" s="15"/>
      <c r="L878" s="15"/>
      <c r="M878" s="15"/>
      <c r="N878" s="15"/>
      <c r="O878" s="15"/>
      <c r="P878" s="15"/>
      <c r="Q878" s="15"/>
    </row>
    <row r="879" spans="2:17" x14ac:dyDescent="0.2">
      <c r="B879" t="s">
        <v>1696</v>
      </c>
      <c r="C879" s="76" t="s">
        <v>3013</v>
      </c>
      <c r="D879" t="s">
        <v>621</v>
      </c>
      <c r="E879" s="15">
        <v>-1.6479603944532299E-2</v>
      </c>
      <c r="F879" s="15">
        <v>1.4437163266229999E-2</v>
      </c>
      <c r="G879" s="15">
        <v>0.253733851336501</v>
      </c>
      <c r="H879" s="15">
        <v>0.989150448529031</v>
      </c>
      <c r="I879" s="15">
        <v>0.41225445032762997</v>
      </c>
      <c r="J879" s="15">
        <v>1</v>
      </c>
      <c r="K879" s="15"/>
      <c r="L879" s="15"/>
      <c r="M879" s="15"/>
      <c r="N879" s="15"/>
      <c r="O879" s="15"/>
      <c r="P879" s="15"/>
      <c r="Q879" s="15"/>
    </row>
    <row r="880" spans="2:17" x14ac:dyDescent="0.2">
      <c r="B880" t="s">
        <v>1696</v>
      </c>
      <c r="C880" s="76" t="s">
        <v>3013</v>
      </c>
      <c r="D880" t="s">
        <v>623</v>
      </c>
      <c r="E880" s="15">
        <v>-2.5016684336038899E-2</v>
      </c>
      <c r="F880" s="15">
        <v>1.5176203585557E-2</v>
      </c>
      <c r="G880" s="15">
        <v>9.9334238830608795E-2</v>
      </c>
      <c r="H880" s="15">
        <v>0.98336317444700605</v>
      </c>
      <c r="I880" s="15">
        <v>0.20710992483457</v>
      </c>
      <c r="J880" s="15">
        <v>1</v>
      </c>
      <c r="K880" s="15"/>
      <c r="L880" s="15"/>
      <c r="M880" s="15"/>
      <c r="N880" s="15"/>
      <c r="O880" s="15"/>
      <c r="P880" s="15"/>
      <c r="Q880" s="15"/>
    </row>
    <row r="881" spans="2:17" x14ac:dyDescent="0.2">
      <c r="B881" t="s">
        <v>1696</v>
      </c>
      <c r="C881" s="76" t="s">
        <v>3013</v>
      </c>
      <c r="D881" t="s">
        <v>640</v>
      </c>
      <c r="E881" s="15">
        <v>-2.7840409558594102E-2</v>
      </c>
      <c r="F881" s="15">
        <v>1.51853894466702E-2</v>
      </c>
      <c r="G881" s="15">
        <v>6.6811709655611506E-2</v>
      </c>
      <c r="H881" s="15">
        <v>0.98336317444700605</v>
      </c>
      <c r="I881" s="15">
        <v>0.14965255559802601</v>
      </c>
      <c r="J881" s="15">
        <v>1</v>
      </c>
      <c r="K881" s="15"/>
      <c r="L881" s="15"/>
      <c r="M881" s="15"/>
      <c r="N881" s="15"/>
      <c r="O881" s="15"/>
      <c r="P881" s="15"/>
      <c r="Q881" s="15"/>
    </row>
    <row r="882" spans="2:17" x14ac:dyDescent="0.2">
      <c r="B882" t="s">
        <v>1696</v>
      </c>
      <c r="C882" s="76" t="s">
        <v>3013</v>
      </c>
      <c r="D882" t="s">
        <v>614</v>
      </c>
      <c r="E882" s="15">
        <v>-2.7716301592677201E-2</v>
      </c>
      <c r="F882" s="15">
        <v>1.5306818313050301E-2</v>
      </c>
      <c r="G882" s="15">
        <v>7.0249104225108702E-2</v>
      </c>
      <c r="H882" s="15">
        <v>0.98336317444700605</v>
      </c>
      <c r="I882" s="15">
        <v>0.15537275672429701</v>
      </c>
      <c r="J882" s="15">
        <v>1</v>
      </c>
      <c r="K882" s="15"/>
      <c r="L882" s="15"/>
      <c r="M882" s="15"/>
      <c r="N882" s="15"/>
      <c r="O882" s="15"/>
      <c r="P882" s="15"/>
      <c r="Q882" s="15"/>
    </row>
    <row r="883" spans="2:17" x14ac:dyDescent="0.2">
      <c r="B883" t="s">
        <v>1696</v>
      </c>
      <c r="C883" s="76" t="s">
        <v>3013</v>
      </c>
      <c r="D883" t="s">
        <v>620</v>
      </c>
      <c r="E883" s="15">
        <v>-4.0629322728492401E-2</v>
      </c>
      <c r="F883" s="15">
        <v>1.49492122273056E-2</v>
      </c>
      <c r="G883" s="15">
        <v>6.5955527029942203E-3</v>
      </c>
      <c r="H883" s="15">
        <v>0.50460429121969397</v>
      </c>
      <c r="I883" s="15">
        <v>2.2019962347021801E-2</v>
      </c>
      <c r="J883" s="15">
        <v>1</v>
      </c>
      <c r="K883" s="15"/>
      <c r="L883" s="15"/>
      <c r="M883" s="15"/>
      <c r="N883" s="15"/>
      <c r="O883" s="15"/>
      <c r="P883" s="15"/>
      <c r="Q883" s="15"/>
    </row>
    <row r="884" spans="2:17" x14ac:dyDescent="0.2">
      <c r="B884" t="s">
        <v>1696</v>
      </c>
      <c r="C884" s="76" t="s">
        <v>3013</v>
      </c>
      <c r="D884" t="s">
        <v>235</v>
      </c>
      <c r="E884" s="15">
        <v>1.3336999911687301E-2</v>
      </c>
      <c r="F884" s="15">
        <v>1.5088673069908199E-2</v>
      </c>
      <c r="G884" s="15">
        <v>0.37679155693821098</v>
      </c>
      <c r="H884" s="15">
        <v>0.989150448529031</v>
      </c>
      <c r="I884" s="15">
        <v>0.54454122269837402</v>
      </c>
      <c r="J884" s="15">
        <v>1</v>
      </c>
      <c r="K884" s="15"/>
      <c r="L884" s="15"/>
      <c r="M884" s="15"/>
      <c r="N884" s="15"/>
      <c r="O884" s="15"/>
      <c r="P884" s="15"/>
      <c r="Q884" s="15"/>
    </row>
    <row r="885" spans="2:17" x14ac:dyDescent="0.2">
      <c r="B885" t="s">
        <v>1696</v>
      </c>
      <c r="C885" s="76" t="s">
        <v>3013</v>
      </c>
      <c r="D885" t="s">
        <v>237</v>
      </c>
      <c r="E885" s="15">
        <v>-2.9196767546991699E-3</v>
      </c>
      <c r="F885" s="15">
        <v>1.51286652446311E-2</v>
      </c>
      <c r="G885" s="15">
        <v>0.84697550135544897</v>
      </c>
      <c r="H885" s="15">
        <v>0.989150448529031</v>
      </c>
      <c r="I885" s="15">
        <v>0.91579966117869605</v>
      </c>
      <c r="J885" s="15">
        <v>1</v>
      </c>
      <c r="K885" s="15"/>
      <c r="L885" s="15"/>
      <c r="M885" s="15"/>
      <c r="N885" s="15"/>
      <c r="O885" s="15"/>
      <c r="P885" s="15"/>
      <c r="Q885" s="15"/>
    </row>
    <row r="886" spans="2:17" x14ac:dyDescent="0.2">
      <c r="B886" t="s">
        <v>1696</v>
      </c>
      <c r="C886" s="76" t="s">
        <v>3013</v>
      </c>
      <c r="D886" t="s">
        <v>257</v>
      </c>
      <c r="E886" s="15">
        <v>1.8312761414698E-3</v>
      </c>
      <c r="F886" s="15">
        <v>1.50610129686753E-2</v>
      </c>
      <c r="G886" s="15">
        <v>0.90322886286380499</v>
      </c>
      <c r="H886" s="15">
        <v>0.989150448529031</v>
      </c>
      <c r="I886" s="15">
        <v>0.936977827257929</v>
      </c>
      <c r="J886" s="15">
        <v>1</v>
      </c>
      <c r="K886" s="15"/>
      <c r="L886" s="15"/>
      <c r="M886" s="15"/>
      <c r="N886" s="15"/>
      <c r="O886" s="15"/>
      <c r="P886" s="15"/>
      <c r="Q886" s="15"/>
    </row>
    <row r="887" spans="2:17" x14ac:dyDescent="0.2">
      <c r="B887" t="s">
        <v>1696</v>
      </c>
      <c r="C887" s="76" t="s">
        <v>3013</v>
      </c>
      <c r="D887" t="s">
        <v>259</v>
      </c>
      <c r="E887" s="15">
        <v>-3.08851247127747E-3</v>
      </c>
      <c r="F887" s="15">
        <v>1.5173944512495201E-2</v>
      </c>
      <c r="G887" s="15">
        <v>0.83872159415009895</v>
      </c>
      <c r="H887" s="15">
        <v>0.989150448529031</v>
      </c>
      <c r="I887" s="15">
        <v>0.91315921757312102</v>
      </c>
      <c r="J887" s="15">
        <v>1</v>
      </c>
      <c r="K887" s="15"/>
      <c r="L887" s="15"/>
      <c r="M887" s="15"/>
      <c r="N887" s="15"/>
      <c r="O887" s="15"/>
      <c r="P887" s="15"/>
      <c r="Q887" s="15"/>
    </row>
    <row r="888" spans="2:17" x14ac:dyDescent="0.2">
      <c r="B888" t="s">
        <v>1696</v>
      </c>
      <c r="C888" s="76" t="s">
        <v>3013</v>
      </c>
      <c r="D888" t="s">
        <v>260</v>
      </c>
      <c r="E888" s="15">
        <v>-1.5634780215162899E-3</v>
      </c>
      <c r="F888" s="15">
        <v>1.52229634469078E-2</v>
      </c>
      <c r="G888" s="15">
        <v>0.91820138763295001</v>
      </c>
      <c r="H888" s="15">
        <v>0.989150448529031</v>
      </c>
      <c r="I888" s="15">
        <v>0.94486239590132304</v>
      </c>
      <c r="J888" s="15">
        <v>1</v>
      </c>
      <c r="K888" s="15"/>
      <c r="L888" s="15"/>
      <c r="M888" s="15"/>
      <c r="N888" s="15"/>
      <c r="O888" s="15"/>
      <c r="P888" s="15"/>
      <c r="Q888" s="15"/>
    </row>
    <row r="889" spans="2:17" x14ac:dyDescent="0.2">
      <c r="B889" t="s">
        <v>1696</v>
      </c>
      <c r="C889" s="76" t="s">
        <v>3013</v>
      </c>
      <c r="D889" t="s">
        <v>261</v>
      </c>
      <c r="E889" s="15">
        <v>4.23715491906971E-3</v>
      </c>
      <c r="F889" s="15">
        <v>1.50863655080346E-2</v>
      </c>
      <c r="G889" s="15">
        <v>0.77883097180443495</v>
      </c>
      <c r="H889" s="15">
        <v>0.989150448529031</v>
      </c>
      <c r="I889" s="15">
        <v>0.874124908673234</v>
      </c>
      <c r="J889" s="15">
        <v>1</v>
      </c>
      <c r="K889" s="15"/>
      <c r="L889" s="15"/>
      <c r="M889" s="15"/>
      <c r="N889" s="15"/>
      <c r="O889" s="15"/>
      <c r="P889" s="15"/>
      <c r="Q889" s="15"/>
    </row>
    <row r="890" spans="2:17" x14ac:dyDescent="0.2">
      <c r="B890" t="s">
        <v>1696</v>
      </c>
      <c r="C890" s="76" t="s">
        <v>3013</v>
      </c>
      <c r="D890" t="s">
        <v>266</v>
      </c>
      <c r="E890" s="15">
        <v>-1.0784306590211801E-3</v>
      </c>
      <c r="F890" s="15">
        <v>1.5112607798440401E-2</v>
      </c>
      <c r="G890" s="15">
        <v>0.94311475114452203</v>
      </c>
      <c r="H890" s="15">
        <v>0.989150448529031</v>
      </c>
      <c r="I890" s="15">
        <v>0.96041125719833098</v>
      </c>
      <c r="J890" s="15">
        <v>1</v>
      </c>
      <c r="K890" s="15"/>
      <c r="L890" s="15"/>
      <c r="M890" s="15"/>
      <c r="N890" s="15"/>
      <c r="O890" s="15"/>
      <c r="P890" s="15"/>
      <c r="Q890" s="15"/>
    </row>
    <row r="891" spans="2:17" x14ac:dyDescent="0.2">
      <c r="B891" t="s">
        <v>1696</v>
      </c>
      <c r="C891" s="76" t="s">
        <v>3013</v>
      </c>
      <c r="D891" t="s">
        <v>269</v>
      </c>
      <c r="E891" s="15">
        <v>-1.03737294044181E-2</v>
      </c>
      <c r="F891" s="15">
        <v>1.5204280380609799E-2</v>
      </c>
      <c r="G891" s="15">
        <v>0.49508989066308901</v>
      </c>
      <c r="H891" s="15">
        <v>0.989150448529031</v>
      </c>
      <c r="I891" s="15">
        <v>0.66032848881107298</v>
      </c>
      <c r="J891" s="15">
        <v>1</v>
      </c>
      <c r="K891" s="15"/>
      <c r="L891" s="15"/>
      <c r="M891" s="15"/>
      <c r="N891" s="15"/>
      <c r="O891" s="15"/>
      <c r="P891" s="15"/>
      <c r="Q891" s="15"/>
    </row>
    <row r="892" spans="2:17" x14ac:dyDescent="0.2">
      <c r="B892" t="s">
        <v>1696</v>
      </c>
      <c r="C892" s="76" t="s">
        <v>3013</v>
      </c>
      <c r="D892" t="s">
        <v>272</v>
      </c>
      <c r="E892" s="15">
        <v>-5.1071625176837502E-3</v>
      </c>
      <c r="F892" s="15">
        <v>1.524466554898E-2</v>
      </c>
      <c r="G892" s="15">
        <v>0.73763050140744901</v>
      </c>
      <c r="H892" s="15">
        <v>0.989150448529031</v>
      </c>
      <c r="I892" s="15">
        <v>0.85227358635316997</v>
      </c>
      <c r="J892" s="15">
        <v>1</v>
      </c>
      <c r="K892" s="15"/>
      <c r="L892" s="15"/>
      <c r="M892" s="15"/>
      <c r="N892" s="15"/>
      <c r="O892" s="15"/>
      <c r="P892" s="15"/>
      <c r="Q892" s="15"/>
    </row>
    <row r="893" spans="2:17" x14ac:dyDescent="0.2">
      <c r="B893" t="s">
        <v>1696</v>
      </c>
      <c r="C893" s="76" t="s">
        <v>3013</v>
      </c>
      <c r="D893" t="s">
        <v>273</v>
      </c>
      <c r="E893" s="15">
        <v>-3.2375903043331501E-3</v>
      </c>
      <c r="F893" s="15">
        <v>1.5059794085377E-2</v>
      </c>
      <c r="G893" s="15">
        <v>0.82979093116592895</v>
      </c>
      <c r="H893" s="15">
        <v>0.989150448529031</v>
      </c>
      <c r="I893" s="15">
        <v>0.90849269294141299</v>
      </c>
      <c r="J893" s="15">
        <v>1</v>
      </c>
      <c r="K893" s="15"/>
      <c r="L893" s="15"/>
      <c r="M893" s="15"/>
      <c r="N893" s="15"/>
      <c r="O893" s="15"/>
      <c r="P893" s="15"/>
      <c r="Q893" s="15"/>
    </row>
    <row r="894" spans="2:17" x14ac:dyDescent="0.2">
      <c r="B894" t="s">
        <v>1696</v>
      </c>
      <c r="C894" s="76" t="s">
        <v>3013</v>
      </c>
      <c r="D894" t="s">
        <v>274</v>
      </c>
      <c r="E894" s="15">
        <v>9.2565783546006298E-3</v>
      </c>
      <c r="F894" s="15">
        <v>1.5164692964914499E-2</v>
      </c>
      <c r="G894" s="15">
        <v>0.54162548349191098</v>
      </c>
      <c r="H894" s="15">
        <v>0.989150448529031</v>
      </c>
      <c r="I894" s="15">
        <v>0.69790498458792005</v>
      </c>
      <c r="J894" s="15">
        <v>1</v>
      </c>
      <c r="K894" s="15"/>
      <c r="L894" s="15"/>
      <c r="M894" s="15"/>
      <c r="N894" s="15"/>
      <c r="O894" s="15"/>
      <c r="P894" s="15"/>
      <c r="Q894" s="15"/>
    </row>
    <row r="895" spans="2:17" x14ac:dyDescent="0.2">
      <c r="B895" t="s">
        <v>1696</v>
      </c>
      <c r="C895" s="76" t="s">
        <v>3013</v>
      </c>
      <c r="D895" t="s">
        <v>276</v>
      </c>
      <c r="E895" s="15">
        <v>5.1059994042262496E-3</v>
      </c>
      <c r="F895" s="15">
        <v>1.50981257917521E-2</v>
      </c>
      <c r="G895" s="15">
        <v>0.73523805349037197</v>
      </c>
      <c r="H895" s="15">
        <v>0.989150448529031</v>
      </c>
      <c r="I895" s="15">
        <v>0.85185631195220901</v>
      </c>
      <c r="J895" s="15">
        <v>1</v>
      </c>
      <c r="K895" s="15"/>
      <c r="L895" s="15"/>
      <c r="M895" s="15"/>
      <c r="N895" s="15"/>
      <c r="O895" s="15"/>
      <c r="P895" s="15"/>
      <c r="Q895" s="15"/>
    </row>
    <row r="896" spans="2:17" x14ac:dyDescent="0.2">
      <c r="B896" t="s">
        <v>1696</v>
      </c>
      <c r="C896" s="76" t="s">
        <v>3013</v>
      </c>
      <c r="D896" t="s">
        <v>279</v>
      </c>
      <c r="E896" s="15">
        <v>-1.02297993954929E-2</v>
      </c>
      <c r="F896" s="15">
        <v>1.51190330955844E-2</v>
      </c>
      <c r="G896" s="15">
        <v>0.498682939862787</v>
      </c>
      <c r="H896" s="15">
        <v>0.989150448529031</v>
      </c>
      <c r="I896" s="15">
        <v>0.66214443838024595</v>
      </c>
      <c r="J896" s="15">
        <v>1</v>
      </c>
      <c r="K896" s="15"/>
      <c r="L896" s="15"/>
      <c r="M896" s="15"/>
      <c r="N896" s="15"/>
      <c r="O896" s="15"/>
      <c r="P896" s="15"/>
      <c r="Q896" s="15"/>
    </row>
    <row r="897" spans="2:17" x14ac:dyDescent="0.2">
      <c r="B897" t="s">
        <v>1696</v>
      </c>
      <c r="C897" s="76" t="s">
        <v>3013</v>
      </c>
      <c r="D897" t="s">
        <v>927</v>
      </c>
      <c r="E897" s="15">
        <v>-1.2681713098479701E-2</v>
      </c>
      <c r="F897" s="15">
        <v>1.57123814975452E-2</v>
      </c>
      <c r="G897" s="15">
        <v>0.41964411734179302</v>
      </c>
      <c r="H897" s="15">
        <v>0.989150448529031</v>
      </c>
      <c r="I897" s="15">
        <v>0.58561447592009497</v>
      </c>
      <c r="J897" s="15">
        <v>1</v>
      </c>
      <c r="K897" s="15"/>
      <c r="L897" s="15"/>
      <c r="M897" s="15"/>
      <c r="N897" s="15"/>
      <c r="O897" s="15"/>
      <c r="P897" s="15"/>
      <c r="Q897" s="15"/>
    </row>
    <row r="898" spans="2:17" x14ac:dyDescent="0.2">
      <c r="B898" t="s">
        <v>1696</v>
      </c>
      <c r="C898" s="76" t="s">
        <v>3013</v>
      </c>
      <c r="D898" t="s">
        <v>928</v>
      </c>
      <c r="E898" s="15">
        <v>3.2609273659996302E-2</v>
      </c>
      <c r="F898" s="15">
        <v>1.52655932217662E-2</v>
      </c>
      <c r="G898" s="15">
        <v>3.2723475182148298E-2</v>
      </c>
      <c r="H898" s="15">
        <v>0.83283591498921095</v>
      </c>
      <c r="I898" s="15">
        <v>8.6092933459268106E-2</v>
      </c>
      <c r="J898" s="15">
        <v>1</v>
      </c>
      <c r="K898" s="15"/>
      <c r="L898" s="15"/>
      <c r="M898" s="15"/>
      <c r="N898" s="15"/>
      <c r="O898" s="15"/>
      <c r="P898" s="15"/>
      <c r="Q898" s="15"/>
    </row>
    <row r="899" spans="2:17" x14ac:dyDescent="0.2">
      <c r="B899" t="s">
        <v>1696</v>
      </c>
      <c r="C899" s="76" t="s">
        <v>3013</v>
      </c>
      <c r="D899" t="s">
        <v>929</v>
      </c>
      <c r="E899" s="15">
        <v>8.3753391081926398E-4</v>
      </c>
      <c r="F899" s="15">
        <v>1.56480413578617E-2</v>
      </c>
      <c r="G899" s="15">
        <v>0.95731744335028901</v>
      </c>
      <c r="H899" s="15">
        <v>0.99016657130838703</v>
      </c>
      <c r="I899" s="15">
        <v>0.96926094312337296</v>
      </c>
      <c r="J899" s="15">
        <v>1</v>
      </c>
      <c r="K899" s="15"/>
      <c r="L899" s="15"/>
      <c r="M899" s="15"/>
      <c r="N899" s="15"/>
      <c r="O899" s="15"/>
      <c r="P899" s="15"/>
      <c r="Q899" s="15"/>
    </row>
    <row r="900" spans="2:17" x14ac:dyDescent="0.2">
      <c r="B900" t="s">
        <v>1696</v>
      </c>
      <c r="C900" s="76" t="s">
        <v>3013</v>
      </c>
      <c r="D900" t="s">
        <v>930</v>
      </c>
      <c r="E900" s="15">
        <v>8.3077660227979903E-3</v>
      </c>
      <c r="F900" s="15">
        <v>1.59956274759093E-2</v>
      </c>
      <c r="G900" s="15">
        <v>0.60352506170724396</v>
      </c>
      <c r="H900" s="15">
        <v>0.989150448529031</v>
      </c>
      <c r="I900" s="15">
        <v>0.75709743174927802</v>
      </c>
      <c r="J900" s="15">
        <v>1</v>
      </c>
      <c r="K900" s="15"/>
      <c r="L900" s="15"/>
      <c r="M900" s="15"/>
      <c r="N900" s="15"/>
      <c r="O900" s="15"/>
      <c r="P900" s="15"/>
      <c r="Q900" s="15"/>
    </row>
    <row r="901" spans="2:17" x14ac:dyDescent="0.2">
      <c r="B901" t="s">
        <v>1696</v>
      </c>
      <c r="C901" s="76" t="s">
        <v>3013</v>
      </c>
      <c r="D901" t="s">
        <v>931</v>
      </c>
      <c r="E901" s="15">
        <v>-2.5637190567945799E-2</v>
      </c>
      <c r="F901" s="15">
        <v>1.55985753681299E-2</v>
      </c>
      <c r="G901" s="15">
        <v>0.10033829882336499</v>
      </c>
      <c r="H901" s="15">
        <v>0.98336317444700605</v>
      </c>
      <c r="I901" s="15">
        <v>0.208790740155129</v>
      </c>
      <c r="J901" s="15">
        <v>1</v>
      </c>
      <c r="K901" s="15"/>
      <c r="L901" s="15"/>
      <c r="M901" s="15"/>
      <c r="N901" s="15"/>
      <c r="O901" s="15"/>
      <c r="P901" s="15"/>
      <c r="Q901" s="15"/>
    </row>
    <row r="902" spans="2:17" x14ac:dyDescent="0.2">
      <c r="B902" t="s">
        <v>1696</v>
      </c>
      <c r="C902" s="76" t="s">
        <v>3013</v>
      </c>
      <c r="D902" t="s">
        <v>932</v>
      </c>
      <c r="E902" s="15">
        <v>-6.5049918567879504E-3</v>
      </c>
      <c r="F902" s="15">
        <v>1.5405119256417601E-2</v>
      </c>
      <c r="G902" s="15">
        <v>0.672853830768816</v>
      </c>
      <c r="H902" s="15">
        <v>0.989150448529031</v>
      </c>
      <c r="I902" s="15">
        <v>0.81219770190057305</v>
      </c>
      <c r="J902" s="15">
        <v>1</v>
      </c>
      <c r="K902" s="15"/>
      <c r="L902" s="15"/>
      <c r="M902" s="15"/>
      <c r="N902" s="15"/>
      <c r="O902" s="15"/>
      <c r="P902" s="15"/>
      <c r="Q902" s="15"/>
    </row>
    <row r="903" spans="2:17" x14ac:dyDescent="0.2">
      <c r="B903" t="s">
        <v>1696</v>
      </c>
      <c r="C903" s="76" t="s">
        <v>3013</v>
      </c>
      <c r="D903" t="s">
        <v>933</v>
      </c>
      <c r="E903" s="15">
        <v>-5.6179760179943796E-3</v>
      </c>
      <c r="F903" s="15">
        <v>1.5241773830008999E-2</v>
      </c>
      <c r="G903" s="15">
        <v>0.71245047183674504</v>
      </c>
      <c r="H903" s="15">
        <v>0.989150448529031</v>
      </c>
      <c r="I903" s="15">
        <v>0.84169680603333197</v>
      </c>
      <c r="J903" s="15">
        <v>1</v>
      </c>
      <c r="K903" s="15"/>
      <c r="L903" s="15"/>
      <c r="M903" s="15"/>
      <c r="N903" s="15"/>
      <c r="O903" s="15"/>
      <c r="P903" s="15"/>
      <c r="Q903" s="15"/>
    </row>
    <row r="904" spans="2:17" x14ac:dyDescent="0.2">
      <c r="B904" t="s">
        <v>1696</v>
      </c>
      <c r="C904" s="76" t="s">
        <v>3013</v>
      </c>
      <c r="D904" t="s">
        <v>934</v>
      </c>
      <c r="E904" s="15">
        <v>-3.2499614680485001E-3</v>
      </c>
      <c r="F904" s="15">
        <v>1.51726880630865E-2</v>
      </c>
      <c r="G904" s="15">
        <v>0.83040216494588803</v>
      </c>
      <c r="H904" s="15">
        <v>0.989150448529031</v>
      </c>
      <c r="I904" s="15">
        <v>0.90849269294141299</v>
      </c>
      <c r="J904" s="15">
        <v>1</v>
      </c>
      <c r="K904" s="15"/>
      <c r="L904" s="15"/>
      <c r="M904" s="15"/>
      <c r="N904" s="15"/>
      <c r="O904" s="15"/>
      <c r="P904" s="15"/>
      <c r="Q904" s="15"/>
    </row>
    <row r="905" spans="2:17" x14ac:dyDescent="0.2">
      <c r="B905" t="s">
        <v>1696</v>
      </c>
      <c r="C905" s="76" t="s">
        <v>3013</v>
      </c>
      <c r="D905" t="s">
        <v>935</v>
      </c>
      <c r="E905" s="15">
        <v>3.16289504358053E-3</v>
      </c>
      <c r="F905" s="15">
        <v>1.52773638648872E-2</v>
      </c>
      <c r="G905" s="15">
        <v>0.83599459421024602</v>
      </c>
      <c r="H905" s="15">
        <v>0.989150448529031</v>
      </c>
      <c r="I905" s="15">
        <v>0.91271551375326998</v>
      </c>
      <c r="J905" s="15">
        <v>1</v>
      </c>
      <c r="K905" s="15"/>
      <c r="L905" s="15"/>
      <c r="M905" s="15"/>
      <c r="N905" s="15"/>
      <c r="O905" s="15"/>
      <c r="P905" s="15"/>
      <c r="Q905" s="15"/>
    </row>
    <row r="906" spans="2:17" x14ac:dyDescent="0.2">
      <c r="B906" t="s">
        <v>1696</v>
      </c>
      <c r="C906" s="76" t="s">
        <v>3013</v>
      </c>
      <c r="D906" t="s">
        <v>937</v>
      </c>
      <c r="E906" s="15">
        <v>1.6652939794583901E-2</v>
      </c>
      <c r="F906" s="15">
        <v>1.53342631666296E-2</v>
      </c>
      <c r="G906" s="15">
        <v>0.27753812102685899</v>
      </c>
      <c r="H906" s="15">
        <v>0.989150448529031</v>
      </c>
      <c r="I906" s="15">
        <v>0.43975010682723698</v>
      </c>
      <c r="J906" s="15">
        <v>1</v>
      </c>
      <c r="K906" s="15"/>
      <c r="L906" s="15"/>
      <c r="M906" s="15"/>
      <c r="N906" s="15"/>
      <c r="O906" s="15"/>
      <c r="P906" s="15"/>
      <c r="Q906" s="15"/>
    </row>
    <row r="907" spans="2:17" x14ac:dyDescent="0.2">
      <c r="B907" t="s">
        <v>1696</v>
      </c>
      <c r="C907" s="76" t="s">
        <v>3013</v>
      </c>
      <c r="D907" t="s">
        <v>938</v>
      </c>
      <c r="E907" s="15">
        <v>1.1644218438634E-2</v>
      </c>
      <c r="F907" s="15">
        <v>1.51702611387841E-2</v>
      </c>
      <c r="G907" s="15">
        <v>0.44278390656998301</v>
      </c>
      <c r="H907" s="15">
        <v>0.989150448529031</v>
      </c>
      <c r="I907" s="15">
        <v>0.60983945356570801</v>
      </c>
      <c r="J907" s="15">
        <v>1</v>
      </c>
      <c r="K907" s="15"/>
      <c r="L907" s="15"/>
      <c r="M907" s="15"/>
      <c r="N907" s="15"/>
      <c r="O907" s="15"/>
      <c r="P907" s="15"/>
      <c r="Q907" s="15"/>
    </row>
    <row r="908" spans="2:17" x14ac:dyDescent="0.2">
      <c r="B908" t="s">
        <v>1696</v>
      </c>
      <c r="C908" s="76" t="s">
        <v>3013</v>
      </c>
      <c r="D908" t="s">
        <v>939</v>
      </c>
      <c r="E908" s="15">
        <v>2.93198647474603E-2</v>
      </c>
      <c r="F908" s="15">
        <v>1.5402370552989699E-2</v>
      </c>
      <c r="G908" s="15">
        <v>5.7027264862968198E-2</v>
      </c>
      <c r="H908" s="15">
        <v>0.98336317444700605</v>
      </c>
      <c r="I908" s="15">
        <v>0.13281184200978299</v>
      </c>
      <c r="J908" s="15">
        <v>1</v>
      </c>
      <c r="K908" s="15"/>
      <c r="L908" s="15"/>
      <c r="M908" s="15"/>
      <c r="N908" s="15"/>
      <c r="O908" s="15"/>
      <c r="P908" s="15"/>
      <c r="Q908" s="15"/>
    </row>
    <row r="909" spans="2:17" x14ac:dyDescent="0.2">
      <c r="B909" t="s">
        <v>1696</v>
      </c>
      <c r="C909" s="76" t="s">
        <v>3013</v>
      </c>
      <c r="D909" t="s">
        <v>940</v>
      </c>
      <c r="E909" s="15">
        <v>1.97753413927458E-2</v>
      </c>
      <c r="F909" s="15">
        <v>1.53021534479812E-2</v>
      </c>
      <c r="G909" s="15">
        <v>0.196310391046564</v>
      </c>
      <c r="H909" s="15">
        <v>0.989150448529031</v>
      </c>
      <c r="I909" s="15">
        <v>0.34346179528047299</v>
      </c>
      <c r="J909" s="15">
        <v>1</v>
      </c>
      <c r="K909" s="15"/>
      <c r="L909" s="15"/>
      <c r="M909" s="15"/>
      <c r="N909" s="15"/>
      <c r="O909" s="15"/>
      <c r="P909" s="15"/>
      <c r="Q909" s="15"/>
    </row>
    <row r="910" spans="2:17" x14ac:dyDescent="0.2">
      <c r="B910" t="s">
        <v>1696</v>
      </c>
      <c r="C910" s="76" t="s">
        <v>3013</v>
      </c>
      <c r="D910" t="s">
        <v>944</v>
      </c>
      <c r="E910" s="15">
        <v>-1.37244639276585E-2</v>
      </c>
      <c r="F910" s="15">
        <v>1.5218980529594899E-2</v>
      </c>
      <c r="G910" s="15">
        <v>0.36721149552422899</v>
      </c>
      <c r="H910" s="15">
        <v>0.989150448529031</v>
      </c>
      <c r="I910" s="15">
        <v>0.53435603831456802</v>
      </c>
      <c r="J910" s="15">
        <v>1</v>
      </c>
      <c r="K910" s="15"/>
      <c r="L910" s="15"/>
      <c r="M910" s="15"/>
      <c r="N910" s="15"/>
      <c r="O910" s="15"/>
      <c r="P910" s="15"/>
      <c r="Q910" s="15"/>
    </row>
    <row r="911" spans="2:17" x14ac:dyDescent="0.2">
      <c r="B911" t="s">
        <v>1696</v>
      </c>
      <c r="C911" s="76" t="s">
        <v>3013</v>
      </c>
      <c r="D911" t="s">
        <v>945</v>
      </c>
      <c r="E911" s="15">
        <v>3.9783851030385699E-3</v>
      </c>
      <c r="F911" s="15">
        <v>1.535215611139E-2</v>
      </c>
      <c r="G911" s="15">
        <v>0.79553770402231405</v>
      </c>
      <c r="H911" s="15">
        <v>0.989150448529031</v>
      </c>
      <c r="I911" s="15">
        <v>0.88720113926378597</v>
      </c>
      <c r="J911" s="15">
        <v>1</v>
      </c>
      <c r="K911" s="15"/>
      <c r="L911" s="15"/>
      <c r="M911" s="15"/>
      <c r="N911" s="15"/>
      <c r="O911" s="15"/>
      <c r="P911" s="15"/>
      <c r="Q911" s="15"/>
    </row>
    <row r="912" spans="2:17" x14ac:dyDescent="0.2">
      <c r="B912" t="s">
        <v>1696</v>
      </c>
      <c r="C912" s="76" t="s">
        <v>3013</v>
      </c>
      <c r="D912" t="s">
        <v>946</v>
      </c>
      <c r="E912" s="15">
        <v>-2.09949625906765E-2</v>
      </c>
      <c r="F912" s="15">
        <v>1.53124427146071E-2</v>
      </c>
      <c r="G912" s="15">
        <v>0.17041053102148199</v>
      </c>
      <c r="H912" s="15">
        <v>0.989150448529031</v>
      </c>
      <c r="I912" s="15">
        <v>0.31342578948921401</v>
      </c>
      <c r="J912" s="15">
        <v>1</v>
      </c>
      <c r="K912" s="15"/>
      <c r="L912" s="15"/>
      <c r="M912" s="15"/>
      <c r="N912" s="15"/>
      <c r="O912" s="15"/>
      <c r="P912" s="15"/>
      <c r="Q912" s="15"/>
    </row>
    <row r="913" spans="2:17" x14ac:dyDescent="0.2">
      <c r="B913" t="s">
        <v>1696</v>
      </c>
      <c r="C913" s="76" t="s">
        <v>3013</v>
      </c>
      <c r="D913" t="s">
        <v>948</v>
      </c>
      <c r="E913" s="15">
        <v>3.3880033133115599E-2</v>
      </c>
      <c r="F913" s="15">
        <v>1.53306835031403E-2</v>
      </c>
      <c r="G913" s="15">
        <v>2.7158824795305601E-2</v>
      </c>
      <c r="H913" s="15">
        <v>0.81864457597278195</v>
      </c>
      <c r="I913" s="15">
        <v>7.31428925585101E-2</v>
      </c>
      <c r="J913" s="15">
        <v>1</v>
      </c>
      <c r="K913" s="15"/>
      <c r="L913" s="15"/>
      <c r="M913" s="15"/>
      <c r="N913" s="15"/>
      <c r="O913" s="15"/>
      <c r="P913" s="15"/>
      <c r="Q913" s="15"/>
    </row>
    <row r="914" spans="2:17" x14ac:dyDescent="0.2">
      <c r="B914" t="s">
        <v>1696</v>
      </c>
      <c r="C914" s="76" t="s">
        <v>3013</v>
      </c>
      <c r="D914" t="s">
        <v>951</v>
      </c>
      <c r="E914" s="15">
        <v>3.2145709773415002E-3</v>
      </c>
      <c r="F914" s="15">
        <v>1.4794799413973599E-2</v>
      </c>
      <c r="G914" s="15">
        <v>0.82800180478296803</v>
      </c>
      <c r="H914" s="15">
        <v>0.989150448529031</v>
      </c>
      <c r="I914" s="15">
        <v>0.90849269294141299</v>
      </c>
      <c r="J914" s="15">
        <v>1</v>
      </c>
      <c r="K914" s="15"/>
      <c r="L914" s="15"/>
      <c r="M914" s="15"/>
      <c r="N914" s="15"/>
      <c r="O914" s="15"/>
      <c r="P914" s="15"/>
      <c r="Q914" s="15"/>
    </row>
    <row r="915" spans="2:17" x14ac:dyDescent="0.2">
      <c r="B915" t="s">
        <v>1696</v>
      </c>
      <c r="C915" s="76" t="s">
        <v>3013</v>
      </c>
      <c r="D915" t="s">
        <v>953</v>
      </c>
      <c r="E915" s="15">
        <v>4.4943900968149103E-3</v>
      </c>
      <c r="F915" s="15">
        <v>1.51957312199094E-2</v>
      </c>
      <c r="G915" s="15">
        <v>0.76742129299123796</v>
      </c>
      <c r="H915" s="15">
        <v>0.989150448529031</v>
      </c>
      <c r="I915" s="15">
        <v>0.87074477258046801</v>
      </c>
      <c r="J915" s="15">
        <v>1</v>
      </c>
      <c r="K915" s="15"/>
      <c r="L915" s="15"/>
      <c r="M915" s="15"/>
      <c r="N915" s="15"/>
      <c r="O915" s="15"/>
      <c r="P915" s="15"/>
      <c r="Q915" s="15"/>
    </row>
    <row r="916" spans="2:17" x14ac:dyDescent="0.2">
      <c r="B916" t="s">
        <v>1696</v>
      </c>
      <c r="C916" s="76" t="s">
        <v>3013</v>
      </c>
      <c r="D916" t="s">
        <v>956</v>
      </c>
      <c r="E916" s="15">
        <v>-1.6561770348248899E-3</v>
      </c>
      <c r="F916" s="15">
        <v>1.51747038819276E-2</v>
      </c>
      <c r="G916" s="15">
        <v>0.91309556199403696</v>
      </c>
      <c r="H916" s="15">
        <v>0.989150448529031</v>
      </c>
      <c r="I916" s="15">
        <v>0.94257907818366804</v>
      </c>
      <c r="J916" s="15">
        <v>1</v>
      </c>
      <c r="K916" s="15"/>
      <c r="L916" s="15"/>
      <c r="M916" s="15"/>
      <c r="N916" s="15"/>
      <c r="O916" s="15"/>
      <c r="P916" s="15"/>
      <c r="Q916" s="15"/>
    </row>
    <row r="917" spans="2:17" x14ac:dyDescent="0.2">
      <c r="B917" t="s">
        <v>1696</v>
      </c>
      <c r="C917" s="76" t="s">
        <v>3013</v>
      </c>
      <c r="D917" t="s">
        <v>986</v>
      </c>
      <c r="E917" s="15">
        <v>-8.7808413739875295E-3</v>
      </c>
      <c r="F917" s="15">
        <v>1.5203890594267E-2</v>
      </c>
      <c r="G917" s="15">
        <v>0.56360297142641103</v>
      </c>
      <c r="H917" s="15">
        <v>0.989150448529031</v>
      </c>
      <c r="I917" s="15">
        <v>0.71985609546593698</v>
      </c>
      <c r="J917" s="15">
        <v>1</v>
      </c>
      <c r="K917" s="15"/>
      <c r="L917" s="15"/>
      <c r="M917" s="15"/>
      <c r="N917" s="15"/>
      <c r="O917" s="15"/>
      <c r="P917" s="15"/>
      <c r="Q917" s="15"/>
    </row>
    <row r="918" spans="2:17" x14ac:dyDescent="0.2">
      <c r="B918" t="s">
        <v>1696</v>
      </c>
      <c r="C918" s="76" t="s">
        <v>3013</v>
      </c>
      <c r="D918" t="s">
        <v>984</v>
      </c>
      <c r="E918" s="15">
        <v>2.9385567297131E-3</v>
      </c>
      <c r="F918" s="15">
        <v>1.51064638823125E-2</v>
      </c>
      <c r="G918" s="15">
        <v>0.84577477328164397</v>
      </c>
      <c r="H918" s="15">
        <v>0.989150448529031</v>
      </c>
      <c r="I918" s="15">
        <v>0.91579966117869605</v>
      </c>
      <c r="J918" s="15">
        <v>1</v>
      </c>
      <c r="K918" s="15"/>
      <c r="L918" s="15"/>
      <c r="M918" s="15"/>
      <c r="N918" s="15"/>
      <c r="O918" s="15"/>
      <c r="P918" s="15"/>
      <c r="Q918" s="15"/>
    </row>
    <row r="919" spans="2:17" x14ac:dyDescent="0.2">
      <c r="B919" t="s">
        <v>1696</v>
      </c>
      <c r="C919" s="76" t="s">
        <v>3013</v>
      </c>
      <c r="D919" t="s">
        <v>992</v>
      </c>
      <c r="E919" s="15">
        <v>-1.64342634911064E-2</v>
      </c>
      <c r="F919" s="15">
        <v>1.5211962957869101E-2</v>
      </c>
      <c r="G919" s="15">
        <v>0.28004137725226103</v>
      </c>
      <c r="H919" s="15">
        <v>0.989150448529031</v>
      </c>
      <c r="I919" s="15">
        <v>0.44294400749795398</v>
      </c>
      <c r="J919" s="15">
        <v>1</v>
      </c>
      <c r="K919" s="15"/>
      <c r="L919" s="15"/>
      <c r="M919" s="15"/>
      <c r="N919" s="15"/>
      <c r="O919" s="15"/>
      <c r="P919" s="15"/>
      <c r="Q919" s="15"/>
    </row>
    <row r="920" spans="2:17" x14ac:dyDescent="0.2">
      <c r="B920" t="s">
        <v>1696</v>
      </c>
      <c r="C920" s="76" t="s">
        <v>3013</v>
      </c>
      <c r="D920" t="s">
        <v>998</v>
      </c>
      <c r="E920" s="15">
        <v>-2.6897347282692102E-3</v>
      </c>
      <c r="F920" s="15">
        <v>1.5149809284058799E-2</v>
      </c>
      <c r="G920" s="15">
        <v>0.85909005017043105</v>
      </c>
      <c r="H920" s="15">
        <v>0.989150448529031</v>
      </c>
      <c r="I920" s="15">
        <v>0.92295365329533696</v>
      </c>
      <c r="J920" s="15">
        <v>1</v>
      </c>
      <c r="K920" s="15"/>
      <c r="L920" s="15"/>
      <c r="M920" s="15"/>
      <c r="N920" s="15"/>
      <c r="O920" s="15"/>
      <c r="P920" s="15"/>
      <c r="Q920" s="15"/>
    </row>
    <row r="921" spans="2:17" x14ac:dyDescent="0.2">
      <c r="B921" t="s">
        <v>1696</v>
      </c>
      <c r="C921" s="76" t="s">
        <v>3013</v>
      </c>
      <c r="D921" t="s">
        <v>1000</v>
      </c>
      <c r="E921" s="15">
        <v>9.1505614850362193E-3</v>
      </c>
      <c r="F921" s="15">
        <v>1.51228534680141E-2</v>
      </c>
      <c r="G921" s="15">
        <v>0.54515414732009304</v>
      </c>
      <c r="H921" s="15">
        <v>0.989150448529031</v>
      </c>
      <c r="I921" s="15">
        <v>0.70138734807646097</v>
      </c>
      <c r="J921" s="15">
        <v>1</v>
      </c>
      <c r="K921" s="15"/>
      <c r="L921" s="15"/>
      <c r="M921" s="15"/>
      <c r="N921" s="15"/>
      <c r="O921" s="15"/>
      <c r="P921" s="15"/>
      <c r="Q921" s="15"/>
    </row>
    <row r="922" spans="2:17" x14ac:dyDescent="0.2">
      <c r="B922" t="s">
        <v>1696</v>
      </c>
      <c r="C922" s="76" t="s">
        <v>3013</v>
      </c>
      <c r="D922" t="s">
        <v>1001</v>
      </c>
      <c r="E922" s="15">
        <v>2.4150824152163099E-3</v>
      </c>
      <c r="F922" s="15">
        <v>1.5179276778518099E-2</v>
      </c>
      <c r="G922" s="15">
        <v>0.87359408390447202</v>
      </c>
      <c r="H922" s="15">
        <v>0.989150448529031</v>
      </c>
      <c r="I922" s="15">
        <v>0.93028616627232297</v>
      </c>
      <c r="J922" s="15">
        <v>1</v>
      </c>
      <c r="K922" s="15"/>
      <c r="L922" s="15"/>
      <c r="M922" s="15"/>
      <c r="N922" s="15"/>
      <c r="O922" s="15"/>
      <c r="P922" s="15"/>
      <c r="Q922" s="15"/>
    </row>
    <row r="923" spans="2:17" x14ac:dyDescent="0.2">
      <c r="B923" t="s">
        <v>1696</v>
      </c>
      <c r="C923" s="76" t="s">
        <v>3013</v>
      </c>
      <c r="D923" t="s">
        <v>1002</v>
      </c>
      <c r="E923" s="15">
        <v>-3.0079375401387402E-3</v>
      </c>
      <c r="F923" s="15">
        <v>1.52744216391339E-2</v>
      </c>
      <c r="G923" s="15">
        <v>0.84389364606209305</v>
      </c>
      <c r="H923" s="15">
        <v>0.989150448529031</v>
      </c>
      <c r="I923" s="15">
        <v>0.91579966117869605</v>
      </c>
      <c r="J923" s="15">
        <v>1</v>
      </c>
      <c r="K923" s="15"/>
      <c r="L923" s="15"/>
      <c r="M923" s="15"/>
      <c r="N923" s="15"/>
      <c r="O923" s="15"/>
      <c r="P923" s="15"/>
      <c r="Q923" s="15"/>
    </row>
    <row r="924" spans="2:17" x14ac:dyDescent="0.2">
      <c r="B924" t="s">
        <v>1696</v>
      </c>
      <c r="C924" s="76" t="s">
        <v>3013</v>
      </c>
      <c r="D924" t="s">
        <v>233</v>
      </c>
      <c r="E924" s="15">
        <v>-3.32146103284661E-2</v>
      </c>
      <c r="F924" s="15">
        <v>1.40230076237831E-2</v>
      </c>
      <c r="G924" s="15">
        <v>1.7896601072076499E-2</v>
      </c>
      <c r="H924" s="15">
        <v>0.764961164106987</v>
      </c>
      <c r="I924" s="15">
        <v>5.1306831877828002E-2</v>
      </c>
      <c r="J924" s="15">
        <v>1</v>
      </c>
      <c r="K924" s="15"/>
      <c r="L924" s="15"/>
      <c r="M924" s="15"/>
      <c r="N924" s="15"/>
      <c r="O924" s="15"/>
      <c r="P924" s="15"/>
      <c r="Q924" s="15"/>
    </row>
    <row r="925" spans="2:17" x14ac:dyDescent="0.2">
      <c r="B925" t="s">
        <v>1696</v>
      </c>
      <c r="C925" s="76" t="s">
        <v>3013</v>
      </c>
      <c r="D925" t="s">
        <v>234</v>
      </c>
      <c r="E925" s="15">
        <v>5.2590763047619202E-3</v>
      </c>
      <c r="F925" s="15">
        <v>1.47778165758434E-2</v>
      </c>
      <c r="G925" s="15">
        <v>0.72194905364043704</v>
      </c>
      <c r="H925" s="15">
        <v>0.989150448529031</v>
      </c>
      <c r="I925" s="15">
        <v>0.84257638116225497</v>
      </c>
      <c r="J925" s="15">
        <v>1</v>
      </c>
      <c r="K925" s="15"/>
      <c r="L925" s="15"/>
      <c r="M925" s="15"/>
      <c r="N925" s="15"/>
      <c r="O925" s="15"/>
      <c r="P925" s="15"/>
      <c r="Q925" s="15"/>
    </row>
    <row r="926" spans="2:17" x14ac:dyDescent="0.2">
      <c r="B926" t="s">
        <v>1696</v>
      </c>
      <c r="C926" s="76" t="s">
        <v>3013</v>
      </c>
      <c r="D926" t="s">
        <v>1038</v>
      </c>
      <c r="E926" s="15">
        <v>-1.69734121059688E-2</v>
      </c>
      <c r="F926" s="15">
        <v>1.5051175469644599E-2</v>
      </c>
      <c r="G926" s="15">
        <v>0.25949858729023101</v>
      </c>
      <c r="H926" s="15">
        <v>0.989150448529031</v>
      </c>
      <c r="I926" s="15">
        <v>0.416065364120356</v>
      </c>
      <c r="J926" s="15">
        <v>1</v>
      </c>
      <c r="K926" s="15"/>
      <c r="L926" s="15"/>
      <c r="M926" s="15"/>
      <c r="N926" s="15"/>
      <c r="O926" s="15"/>
      <c r="P926" s="15"/>
      <c r="Q926" s="15"/>
    </row>
    <row r="927" spans="2:17" x14ac:dyDescent="0.2">
      <c r="B927" t="s">
        <v>1696</v>
      </c>
      <c r="C927" s="76" t="s">
        <v>3013</v>
      </c>
      <c r="D927" t="s">
        <v>1040</v>
      </c>
      <c r="E927" s="15">
        <v>2.1765052815237501E-3</v>
      </c>
      <c r="F927" s="15">
        <v>1.5160873271202399E-2</v>
      </c>
      <c r="G927" s="15">
        <v>0.88585353944687995</v>
      </c>
      <c r="H927" s="15">
        <v>0.989150448529031</v>
      </c>
      <c r="I927" s="15">
        <v>0.93364184227418501</v>
      </c>
      <c r="J927" s="15">
        <v>1</v>
      </c>
      <c r="K927" s="15"/>
      <c r="L927" s="15"/>
      <c r="M927" s="15"/>
      <c r="N927" s="15"/>
      <c r="O927" s="15"/>
      <c r="P927" s="15"/>
      <c r="Q927" s="15"/>
    </row>
    <row r="928" spans="2:17" x14ac:dyDescent="0.2">
      <c r="B928" t="s">
        <v>1696</v>
      </c>
      <c r="C928" s="76" t="s">
        <v>3013</v>
      </c>
      <c r="D928" t="s">
        <v>3190</v>
      </c>
      <c r="E928" s="15">
        <v>-4.6879220101978397E-3</v>
      </c>
      <c r="F928" s="15">
        <v>1.51511964137214E-2</v>
      </c>
      <c r="G928" s="15">
        <v>0.75702435878491103</v>
      </c>
      <c r="H928" s="15">
        <v>0.989150448529031</v>
      </c>
      <c r="I928" s="15">
        <v>0.86622635414108595</v>
      </c>
      <c r="J928" s="15">
        <v>1</v>
      </c>
      <c r="K928" s="15"/>
      <c r="L928" s="15"/>
      <c r="M928" s="15"/>
      <c r="N928" s="15"/>
      <c r="O928" s="15"/>
      <c r="P928" s="15"/>
      <c r="Q928" s="15"/>
    </row>
    <row r="929" spans="2:17" x14ac:dyDescent="0.2">
      <c r="B929" t="s">
        <v>1696</v>
      </c>
      <c r="C929" s="76" t="s">
        <v>3013</v>
      </c>
      <c r="D929" t="s">
        <v>3191</v>
      </c>
      <c r="E929" s="15">
        <v>-1.9308507777573199E-2</v>
      </c>
      <c r="F929" s="15">
        <v>1.4805824595663901E-2</v>
      </c>
      <c r="G929" s="15">
        <v>0.19225803540458</v>
      </c>
      <c r="H929" s="15">
        <v>0.989150448529031</v>
      </c>
      <c r="I929" s="15">
        <v>0.33761930029934401</v>
      </c>
      <c r="J929" s="15">
        <v>1</v>
      </c>
      <c r="K929" s="15"/>
      <c r="L929" s="15"/>
      <c r="M929" s="15"/>
      <c r="N929" s="15"/>
      <c r="O929" s="15"/>
      <c r="P929" s="15"/>
      <c r="Q929" s="15"/>
    </row>
    <row r="930" spans="2:17" x14ac:dyDescent="0.2">
      <c r="B930" t="s">
        <v>1696</v>
      </c>
      <c r="C930" s="76" t="s">
        <v>3013</v>
      </c>
      <c r="D930" t="s">
        <v>3192</v>
      </c>
      <c r="E930" s="15">
        <v>2.3046490477421698E-3</v>
      </c>
      <c r="F930" s="15">
        <v>1.4997099427268099E-2</v>
      </c>
      <c r="G930" s="15">
        <v>0.87787423352688898</v>
      </c>
      <c r="H930" s="15">
        <v>0.989150448529031</v>
      </c>
      <c r="I930" s="15">
        <v>0.93173303847351296</v>
      </c>
      <c r="J930" s="15">
        <v>1</v>
      </c>
      <c r="K930" s="15"/>
      <c r="L930" s="15"/>
      <c r="M930" s="15"/>
      <c r="N930" s="15"/>
      <c r="O930" s="15"/>
      <c r="P930" s="15"/>
      <c r="Q930" s="15"/>
    </row>
    <row r="931" spans="2:17" x14ac:dyDescent="0.2">
      <c r="B931" t="s">
        <v>1696</v>
      </c>
      <c r="C931" s="76" t="s">
        <v>3013</v>
      </c>
      <c r="D931" t="s">
        <v>3193</v>
      </c>
      <c r="E931" s="15">
        <v>-1.23747014883961E-2</v>
      </c>
      <c r="F931" s="15">
        <v>1.43913098635229E-2</v>
      </c>
      <c r="G931" s="15">
        <v>0.38990338528978002</v>
      </c>
      <c r="H931" s="15">
        <v>0.989150448529031</v>
      </c>
      <c r="I931" s="15">
        <v>0.56041971591378403</v>
      </c>
      <c r="J931" s="15">
        <v>1</v>
      </c>
      <c r="K931" s="15"/>
      <c r="L931" s="15"/>
      <c r="M931" s="15"/>
      <c r="N931" s="15"/>
      <c r="O931" s="15"/>
      <c r="P931" s="15"/>
      <c r="Q931" s="15"/>
    </row>
    <row r="932" spans="2:17" x14ac:dyDescent="0.2">
      <c r="B932" t="s">
        <v>1696</v>
      </c>
      <c r="C932" s="76" t="s">
        <v>3013</v>
      </c>
      <c r="D932" t="s">
        <v>3194</v>
      </c>
      <c r="E932" s="15">
        <v>-3.5653472048156699E-2</v>
      </c>
      <c r="F932" s="15">
        <v>1.5082779741353801E-2</v>
      </c>
      <c r="G932" s="15">
        <v>1.8127041803483099E-2</v>
      </c>
      <c r="H932" s="15">
        <v>0.764961164106987</v>
      </c>
      <c r="I932" s="15">
        <v>5.1826637134619699E-2</v>
      </c>
      <c r="J932" s="15">
        <v>1</v>
      </c>
      <c r="K932" s="15"/>
      <c r="L932" s="15"/>
      <c r="M932" s="15"/>
      <c r="N932" s="15"/>
      <c r="O932" s="15"/>
      <c r="P932" s="15"/>
      <c r="Q932" s="15"/>
    </row>
    <row r="933" spans="2:17" x14ac:dyDescent="0.2">
      <c r="B933" t="s">
        <v>1696</v>
      </c>
      <c r="C933" s="76" t="s">
        <v>3013</v>
      </c>
      <c r="D933" t="s">
        <v>3195</v>
      </c>
      <c r="E933" s="15">
        <v>1.09463460595187E-4</v>
      </c>
      <c r="F933" s="15">
        <v>1.5123696302849999E-2</v>
      </c>
      <c r="G933" s="15">
        <v>0.99422537534880195</v>
      </c>
      <c r="H933" s="15">
        <v>0.99654860750577701</v>
      </c>
      <c r="I933" s="15">
        <v>0.99706061881462604</v>
      </c>
      <c r="J933" s="15">
        <v>1</v>
      </c>
      <c r="K933" s="15"/>
      <c r="L933" s="15"/>
      <c r="M933" s="15"/>
      <c r="N933" s="15"/>
      <c r="O933" s="15"/>
      <c r="P933" s="15"/>
      <c r="Q933" s="15"/>
    </row>
    <row r="934" spans="2:17" x14ac:dyDescent="0.2">
      <c r="B934" t="s">
        <v>1696</v>
      </c>
      <c r="C934" s="76" t="s">
        <v>3013</v>
      </c>
      <c r="D934" t="s">
        <v>3196</v>
      </c>
      <c r="E934" s="15">
        <v>2.88131407376827E-3</v>
      </c>
      <c r="F934" s="15">
        <v>1.47950698366859E-2</v>
      </c>
      <c r="G934" s="15">
        <v>0.84559844735089196</v>
      </c>
      <c r="H934" s="15">
        <v>0.989150448529031</v>
      </c>
      <c r="I934" s="15">
        <v>0.91579966117869605</v>
      </c>
      <c r="J934" s="15">
        <v>1</v>
      </c>
      <c r="K934" s="15"/>
      <c r="L934" s="15"/>
      <c r="M934" s="15"/>
      <c r="N934" s="15"/>
      <c r="O934" s="15"/>
      <c r="P934" s="15"/>
      <c r="Q934" s="15"/>
    </row>
    <row r="935" spans="2:17" x14ac:dyDescent="0.2">
      <c r="B935" t="s">
        <v>1696</v>
      </c>
      <c r="C935" s="76" t="s">
        <v>3013</v>
      </c>
      <c r="D935" t="s">
        <v>3197</v>
      </c>
      <c r="E935" s="15">
        <v>2.3638196281469399E-3</v>
      </c>
      <c r="F935" s="15">
        <v>1.5075689411030701E-2</v>
      </c>
      <c r="G935" s="15">
        <v>0.87541174044039105</v>
      </c>
      <c r="H935" s="15">
        <v>0.989150448529031</v>
      </c>
      <c r="I935" s="15">
        <v>0.930690032396019</v>
      </c>
      <c r="J935" s="15">
        <v>1</v>
      </c>
      <c r="K935" s="15"/>
      <c r="L935" s="15"/>
      <c r="M935" s="15"/>
      <c r="N935" s="15"/>
      <c r="O935" s="15"/>
      <c r="P935" s="15"/>
      <c r="Q935" s="15"/>
    </row>
    <row r="936" spans="2:17" x14ac:dyDescent="0.2">
      <c r="B936" t="s">
        <v>1696</v>
      </c>
      <c r="C936" s="76" t="s">
        <v>3013</v>
      </c>
      <c r="D936" t="s">
        <v>1141</v>
      </c>
      <c r="E936" s="15">
        <v>-1.3317791179941601E-2</v>
      </c>
      <c r="F936" s="15">
        <v>1.47077480265693E-2</v>
      </c>
      <c r="G936" s="15">
        <v>0.365249700932958</v>
      </c>
      <c r="H936" s="15">
        <v>0.989150448529031</v>
      </c>
      <c r="I936" s="15">
        <v>0.53435603831456802</v>
      </c>
      <c r="J936" s="15">
        <v>1</v>
      </c>
      <c r="K936" s="15"/>
      <c r="L936" s="15"/>
      <c r="M936" s="15"/>
      <c r="N936" s="15"/>
      <c r="O936" s="15"/>
      <c r="P936" s="15"/>
      <c r="Q936" s="15"/>
    </row>
    <row r="937" spans="2:17" x14ac:dyDescent="0.2">
      <c r="B937" t="s">
        <v>1696</v>
      </c>
      <c r="C937" s="76" t="s">
        <v>3013</v>
      </c>
      <c r="D937" t="s">
        <v>1142</v>
      </c>
      <c r="E937" s="15">
        <v>-1.15981187454121E-3</v>
      </c>
      <c r="F937" s="15">
        <v>1.47800056284747E-2</v>
      </c>
      <c r="G937" s="15">
        <v>0.93745620605681801</v>
      </c>
      <c r="H937" s="15">
        <v>0.989150448529031</v>
      </c>
      <c r="I937" s="15">
        <v>0.95636048679958197</v>
      </c>
      <c r="J937" s="15">
        <v>1</v>
      </c>
      <c r="K937" s="15"/>
      <c r="L937" s="15"/>
      <c r="M937" s="15"/>
      <c r="N937" s="15"/>
      <c r="O937" s="15"/>
      <c r="P937" s="15"/>
      <c r="Q937" s="15"/>
    </row>
    <row r="938" spans="2:17" x14ac:dyDescent="0.2">
      <c r="B938" t="s">
        <v>1696</v>
      </c>
      <c r="C938" s="76" t="s">
        <v>3013</v>
      </c>
      <c r="D938" t="s">
        <v>3198</v>
      </c>
      <c r="E938" s="15">
        <v>-2.4616734791660998E-2</v>
      </c>
      <c r="F938" s="15">
        <v>1.3767590638669801E-2</v>
      </c>
      <c r="G938" s="15">
        <v>7.38486233409726E-2</v>
      </c>
      <c r="H938" s="15">
        <v>0.98336317444700605</v>
      </c>
      <c r="I938" s="15">
        <v>0.16299225444503401</v>
      </c>
      <c r="J938" s="15">
        <v>1</v>
      </c>
      <c r="K938" s="15"/>
      <c r="L938" s="15"/>
      <c r="M938" s="15"/>
      <c r="N938" s="15"/>
      <c r="O938" s="15"/>
      <c r="P938" s="15"/>
      <c r="Q938" s="15"/>
    </row>
    <row r="939" spans="2:17" x14ac:dyDescent="0.2">
      <c r="B939" t="s">
        <v>1696</v>
      </c>
      <c r="C939" s="76" t="s">
        <v>3013</v>
      </c>
      <c r="D939" t="s">
        <v>1134</v>
      </c>
      <c r="E939" s="15">
        <v>-4.3686892922767699E-3</v>
      </c>
      <c r="F939" s="15">
        <v>1.49525989576483E-2</v>
      </c>
      <c r="G939" s="15">
        <v>0.77017020802147296</v>
      </c>
      <c r="H939" s="15">
        <v>0.989150448529031</v>
      </c>
      <c r="I939" s="15">
        <v>0.87120038690674095</v>
      </c>
      <c r="J939" s="15">
        <v>1</v>
      </c>
      <c r="K939" s="15"/>
      <c r="L939" s="15"/>
      <c r="M939" s="15"/>
      <c r="N939" s="15"/>
      <c r="O939" s="15"/>
      <c r="P939" s="15"/>
      <c r="Q939" s="15"/>
    </row>
    <row r="940" spans="2:17" x14ac:dyDescent="0.2">
      <c r="B940" t="s">
        <v>1696</v>
      </c>
      <c r="C940" s="76" t="s">
        <v>3013</v>
      </c>
      <c r="D940" t="s">
        <v>1136</v>
      </c>
      <c r="E940" s="15">
        <v>-2.5921217283028201E-2</v>
      </c>
      <c r="F940" s="15">
        <v>1.47320264865739E-2</v>
      </c>
      <c r="G940" s="15">
        <v>7.8555212005509203E-2</v>
      </c>
      <c r="H940" s="15">
        <v>0.98336317444700605</v>
      </c>
      <c r="I940" s="15">
        <v>0.171941387273469</v>
      </c>
      <c r="J940" s="15">
        <v>1</v>
      </c>
      <c r="K940" s="15"/>
      <c r="L940" s="15"/>
      <c r="M940" s="15"/>
      <c r="N940" s="15"/>
      <c r="O940" s="15"/>
      <c r="P940" s="15"/>
      <c r="Q940" s="15"/>
    </row>
    <row r="941" spans="2:17" x14ac:dyDescent="0.2">
      <c r="B941" t="s">
        <v>1696</v>
      </c>
      <c r="C941" s="76" t="s">
        <v>3013</v>
      </c>
      <c r="D941" t="s">
        <v>1137</v>
      </c>
      <c r="E941" s="15">
        <v>-1.7695207313275299E-2</v>
      </c>
      <c r="F941" s="15">
        <v>1.4880802592524301E-2</v>
      </c>
      <c r="G941" s="15">
        <v>0.23444863094357399</v>
      </c>
      <c r="H941" s="15">
        <v>0.989150448529031</v>
      </c>
      <c r="I941" s="15">
        <v>0.39448693085402098</v>
      </c>
      <c r="J941" s="15">
        <v>1</v>
      </c>
      <c r="K941" s="15"/>
      <c r="L941" s="15"/>
      <c r="M941" s="15"/>
      <c r="N941" s="15"/>
      <c r="O941" s="15"/>
      <c r="P941" s="15"/>
      <c r="Q941" s="15"/>
    </row>
    <row r="942" spans="2:17" x14ac:dyDescent="0.2">
      <c r="B942" t="s">
        <v>1696</v>
      </c>
      <c r="C942" s="76" t="s">
        <v>3013</v>
      </c>
      <c r="D942" t="s">
        <v>1138</v>
      </c>
      <c r="E942" s="15">
        <v>6.0392215585454399E-3</v>
      </c>
      <c r="F942" s="15">
        <v>1.4822323539962601E-2</v>
      </c>
      <c r="G942" s="15">
        <v>0.68370297049345496</v>
      </c>
      <c r="H942" s="15">
        <v>0.989150448529031</v>
      </c>
      <c r="I942" s="15">
        <v>0.81966662939840296</v>
      </c>
      <c r="J942" s="15">
        <v>1</v>
      </c>
      <c r="K942" s="15"/>
      <c r="L942" s="15"/>
      <c r="M942" s="15"/>
      <c r="N942" s="15"/>
      <c r="O942" s="15"/>
      <c r="P942" s="15"/>
      <c r="Q942" s="15"/>
    </row>
    <row r="943" spans="2:17" x14ac:dyDescent="0.2">
      <c r="B943" t="s">
        <v>1696</v>
      </c>
      <c r="C943" s="76" t="s">
        <v>3013</v>
      </c>
      <c r="D943" t="s">
        <v>1054</v>
      </c>
      <c r="E943" s="15">
        <v>5.7683446540656097E-3</v>
      </c>
      <c r="F943" s="15">
        <v>1.4279887640077E-2</v>
      </c>
      <c r="G943" s="15">
        <v>0.68628068453524205</v>
      </c>
      <c r="H943" s="15">
        <v>0.989150448529031</v>
      </c>
      <c r="I943" s="15">
        <v>0.82182306717897802</v>
      </c>
      <c r="J943" s="15">
        <v>1</v>
      </c>
      <c r="K943" s="15"/>
      <c r="L943" s="15"/>
      <c r="M943" s="15"/>
      <c r="N943" s="15"/>
      <c r="O943" s="15"/>
      <c r="P943" s="15"/>
      <c r="Q943" s="15"/>
    </row>
    <row r="944" spans="2:17" x14ac:dyDescent="0.2">
      <c r="B944" t="s">
        <v>1696</v>
      </c>
      <c r="C944" s="76" t="s">
        <v>3013</v>
      </c>
      <c r="D944" t="s">
        <v>312</v>
      </c>
      <c r="E944" s="15">
        <v>6.4942428498930406E-5</v>
      </c>
      <c r="F944" s="15">
        <v>1.5012339976225199E-2</v>
      </c>
      <c r="G944" s="15">
        <v>0.99654860750577701</v>
      </c>
      <c r="H944" s="15">
        <v>0.99654860750577701</v>
      </c>
      <c r="I944" s="15">
        <v>0.99844138738707999</v>
      </c>
      <c r="J944" s="15">
        <v>1</v>
      </c>
      <c r="K944" s="15"/>
      <c r="L944" s="15"/>
      <c r="M944" s="15"/>
      <c r="N944" s="15"/>
      <c r="O944" s="15"/>
      <c r="P944" s="15"/>
      <c r="Q944" s="15"/>
    </row>
    <row r="945" spans="2:17" x14ac:dyDescent="0.2">
      <c r="B945" t="s">
        <v>1696</v>
      </c>
      <c r="C945" s="76" t="s">
        <v>3013</v>
      </c>
      <c r="D945" t="s">
        <v>1059</v>
      </c>
      <c r="E945" s="15">
        <v>-2.0009657302047699E-2</v>
      </c>
      <c r="F945" s="15">
        <v>1.53459086015883E-2</v>
      </c>
      <c r="G945" s="15">
        <v>0.19233099476768301</v>
      </c>
      <c r="H945" s="15">
        <v>0.989150448529031</v>
      </c>
      <c r="I945" s="15">
        <v>0.33761930029934401</v>
      </c>
      <c r="J945" s="15">
        <v>1</v>
      </c>
      <c r="K945" s="15"/>
      <c r="L945" s="15"/>
      <c r="M945" s="15"/>
      <c r="N945" s="15"/>
      <c r="O945" s="15"/>
      <c r="P945" s="15"/>
      <c r="Q945" s="15"/>
    </row>
    <row r="946" spans="2:17" x14ac:dyDescent="0.2">
      <c r="B946" t="s">
        <v>1696</v>
      </c>
      <c r="C946" s="76" t="s">
        <v>3013</v>
      </c>
      <c r="D946" t="s">
        <v>1060</v>
      </c>
      <c r="E946" s="15">
        <v>-1.8546012253403E-3</v>
      </c>
      <c r="F946" s="15">
        <v>1.51961469068253E-2</v>
      </c>
      <c r="G946" s="15">
        <v>0.90286947148588503</v>
      </c>
      <c r="H946" s="15">
        <v>0.989150448529031</v>
      </c>
      <c r="I946" s="15">
        <v>0.936977827257929</v>
      </c>
      <c r="J946" s="15">
        <v>1</v>
      </c>
      <c r="K946" s="15"/>
      <c r="L946" s="15"/>
      <c r="M946" s="15"/>
      <c r="N946" s="15"/>
      <c r="O946" s="15"/>
      <c r="P946" s="15"/>
      <c r="Q946" s="15"/>
    </row>
    <row r="947" spans="2:17" x14ac:dyDescent="0.2">
      <c r="B947" t="s">
        <v>1696</v>
      </c>
      <c r="C947" s="76" t="s">
        <v>3013</v>
      </c>
      <c r="D947" t="s">
        <v>1477</v>
      </c>
      <c r="E947" s="15">
        <v>-1.1967403337222699E-2</v>
      </c>
      <c r="F947" s="15">
        <v>1.5352658910591101E-2</v>
      </c>
      <c r="G947" s="15">
        <v>0.43572431548179102</v>
      </c>
      <c r="H947" s="15">
        <v>0.989150448529031</v>
      </c>
      <c r="I947" s="15">
        <v>0.60326660476809602</v>
      </c>
      <c r="J947" s="15">
        <v>1</v>
      </c>
      <c r="K947" s="15"/>
      <c r="L947" s="15"/>
      <c r="M947" s="15"/>
      <c r="N947" s="15"/>
      <c r="O947" s="15"/>
      <c r="P947" s="15"/>
      <c r="Q947" s="15"/>
    </row>
    <row r="948" spans="2:17" x14ac:dyDescent="0.2">
      <c r="B948" t="s">
        <v>1696</v>
      </c>
      <c r="C948" s="76" t="s">
        <v>3013</v>
      </c>
      <c r="D948" t="s">
        <v>324</v>
      </c>
      <c r="E948" s="15">
        <v>-2.3765798423446501E-2</v>
      </c>
      <c r="F948" s="15">
        <v>1.5272017994447599E-2</v>
      </c>
      <c r="G948" s="15">
        <v>0.119736309986056</v>
      </c>
      <c r="H948" s="15">
        <v>0.98336317444700605</v>
      </c>
      <c r="I948" s="15">
        <v>0.23879358607805001</v>
      </c>
      <c r="J948" s="15">
        <v>1</v>
      </c>
      <c r="K948" s="15"/>
      <c r="L948" s="15"/>
      <c r="M948" s="15"/>
      <c r="N948" s="15"/>
      <c r="O948" s="15"/>
      <c r="P948" s="15"/>
      <c r="Q948" s="15"/>
    </row>
    <row r="949" spans="2:17" x14ac:dyDescent="0.2">
      <c r="B949" t="s">
        <v>1696</v>
      </c>
      <c r="C949" s="76" t="s">
        <v>3013</v>
      </c>
      <c r="D949" t="s">
        <v>328</v>
      </c>
      <c r="E949" s="15">
        <v>-8.2791835847779108E-3</v>
      </c>
      <c r="F949" s="15">
        <v>1.526331763204E-2</v>
      </c>
      <c r="G949" s="15">
        <v>0.58755338864728202</v>
      </c>
      <c r="H949" s="15">
        <v>0.989150448529031</v>
      </c>
      <c r="I949" s="15">
        <v>0.74593119738012403</v>
      </c>
      <c r="J949" s="15">
        <v>1</v>
      </c>
      <c r="K949" s="15"/>
      <c r="L949" s="15"/>
      <c r="M949" s="15"/>
      <c r="N949" s="15"/>
      <c r="O949" s="15"/>
      <c r="P949" s="15"/>
      <c r="Q949" s="15"/>
    </row>
    <row r="950" spans="2:17" x14ac:dyDescent="0.2">
      <c r="B950" t="s">
        <v>1696</v>
      </c>
      <c r="C950" s="76" t="s">
        <v>3013</v>
      </c>
      <c r="D950" t="s">
        <v>1068</v>
      </c>
      <c r="E950" s="15">
        <v>-1.25844209296878E-2</v>
      </c>
      <c r="F950" s="15">
        <v>1.52381340493951E-2</v>
      </c>
      <c r="G950" s="15">
        <v>0.40893086508318599</v>
      </c>
      <c r="H950" s="15">
        <v>0.989150448529031</v>
      </c>
      <c r="I950" s="15">
        <v>0.57753957518441901</v>
      </c>
      <c r="J950" s="15">
        <v>1</v>
      </c>
      <c r="K950" s="15"/>
      <c r="L950" s="15"/>
      <c r="M950" s="15"/>
      <c r="N950" s="15"/>
      <c r="O950" s="15"/>
      <c r="P950" s="15"/>
      <c r="Q950" s="15"/>
    </row>
    <row r="951" spans="2:17" x14ac:dyDescent="0.2">
      <c r="B951" t="s">
        <v>1696</v>
      </c>
      <c r="C951" s="76" t="s">
        <v>3013</v>
      </c>
      <c r="D951" t="s">
        <v>1069</v>
      </c>
      <c r="E951" s="15">
        <v>2.5291005895509999E-4</v>
      </c>
      <c r="F951" s="15">
        <v>1.52427887520214E-2</v>
      </c>
      <c r="G951" s="15">
        <v>0.98676272363425199</v>
      </c>
      <c r="H951" s="15">
        <v>0.99620542912357501</v>
      </c>
      <c r="I951" s="15">
        <v>0.99051824303914004</v>
      </c>
      <c r="J951" s="15">
        <v>1</v>
      </c>
      <c r="K951" s="15"/>
      <c r="L951" s="15"/>
      <c r="M951" s="15"/>
      <c r="N951" s="15"/>
      <c r="O951" s="15"/>
      <c r="P951" s="15"/>
      <c r="Q951" s="15"/>
    </row>
    <row r="952" spans="2:17" x14ac:dyDescent="0.2">
      <c r="B952" t="s">
        <v>1696</v>
      </c>
      <c r="C952" s="76" t="s">
        <v>3013</v>
      </c>
      <c r="D952" t="s">
        <v>1072</v>
      </c>
      <c r="E952" s="15">
        <v>1.6827910835029501E-3</v>
      </c>
      <c r="F952" s="15">
        <v>1.5139457343867801E-2</v>
      </c>
      <c r="G952" s="15">
        <v>0.91150008396544102</v>
      </c>
      <c r="H952" s="15">
        <v>0.989150448529031</v>
      </c>
      <c r="I952" s="15">
        <v>0.94185366168809104</v>
      </c>
      <c r="J952" s="15">
        <v>1</v>
      </c>
      <c r="K952" s="15"/>
      <c r="L952" s="15"/>
      <c r="M952" s="15"/>
      <c r="N952" s="15"/>
      <c r="O952" s="15"/>
      <c r="P952" s="15"/>
      <c r="Q952" s="15"/>
    </row>
    <row r="953" spans="2:17" x14ac:dyDescent="0.2">
      <c r="B953" t="s">
        <v>1696</v>
      </c>
      <c r="C953" s="76" t="s">
        <v>3013</v>
      </c>
      <c r="D953" t="s">
        <v>1074</v>
      </c>
      <c r="E953" s="15">
        <v>-1.7662963724382402E-2</v>
      </c>
      <c r="F953" s="15">
        <v>1.51093791863312E-2</v>
      </c>
      <c r="G953" s="15">
        <v>0.24246027246957499</v>
      </c>
      <c r="H953" s="15">
        <v>0.989150448529031</v>
      </c>
      <c r="I953" s="15">
        <v>0.40204091297911398</v>
      </c>
      <c r="J953" s="15">
        <v>1</v>
      </c>
      <c r="K953" s="15"/>
      <c r="L953" s="15"/>
      <c r="M953" s="15"/>
      <c r="N953" s="15"/>
      <c r="O953" s="15"/>
      <c r="P953" s="15"/>
      <c r="Q953" s="15"/>
    </row>
    <row r="954" spans="2:17" x14ac:dyDescent="0.2">
      <c r="B954" t="s">
        <v>1696</v>
      </c>
      <c r="C954" s="76" t="s">
        <v>3013</v>
      </c>
      <c r="D954" t="s">
        <v>1075</v>
      </c>
      <c r="E954" s="15">
        <v>1.31409039318198E-3</v>
      </c>
      <c r="F954" s="15">
        <v>1.50896419322732E-2</v>
      </c>
      <c r="G954" s="15">
        <v>0.93060727948722699</v>
      </c>
      <c r="H954" s="15">
        <v>0.989150448529031</v>
      </c>
      <c r="I954" s="15">
        <v>0.95134755800293103</v>
      </c>
      <c r="J954" s="15">
        <v>1</v>
      </c>
      <c r="K954" s="15"/>
      <c r="L954" s="15"/>
      <c r="M954" s="15"/>
      <c r="N954" s="15"/>
      <c r="O954" s="15"/>
      <c r="P954" s="15"/>
      <c r="Q954" s="15"/>
    </row>
    <row r="955" spans="2:17" x14ac:dyDescent="0.2">
      <c r="B955" t="s">
        <v>1696</v>
      </c>
      <c r="C955" s="76" t="s">
        <v>3013</v>
      </c>
      <c r="D955" t="s">
        <v>1077</v>
      </c>
      <c r="E955" s="15">
        <v>-2.0498417432781801E-2</v>
      </c>
      <c r="F955" s="15">
        <v>1.5181647894875E-2</v>
      </c>
      <c r="G955" s="15">
        <v>0.17701359496722899</v>
      </c>
      <c r="H955" s="15">
        <v>0.989150448529031</v>
      </c>
      <c r="I955" s="15">
        <v>0.32024199874408699</v>
      </c>
      <c r="J955" s="15">
        <v>1</v>
      </c>
      <c r="K955" s="15"/>
      <c r="L955" s="15"/>
      <c r="M955" s="15"/>
      <c r="N955" s="15"/>
      <c r="O955" s="15"/>
      <c r="P955" s="15"/>
      <c r="Q955" s="15"/>
    </row>
    <row r="956" spans="2:17" x14ac:dyDescent="0.2">
      <c r="B956" t="s">
        <v>1696</v>
      </c>
      <c r="C956" s="76" t="s">
        <v>3013</v>
      </c>
      <c r="D956" t="s">
        <v>1078</v>
      </c>
      <c r="E956" s="15">
        <v>3.3509953165777001E-3</v>
      </c>
      <c r="F956" s="15">
        <v>1.5217130572985699E-2</v>
      </c>
      <c r="G956" s="15">
        <v>0.82571583170296003</v>
      </c>
      <c r="H956" s="15">
        <v>0.989150448529031</v>
      </c>
      <c r="I956" s="15">
        <v>0.90837351662838695</v>
      </c>
      <c r="J956" s="15">
        <v>1</v>
      </c>
      <c r="K956" s="15"/>
      <c r="L956" s="15"/>
      <c r="M956" s="15"/>
      <c r="N956" s="15"/>
      <c r="O956" s="15"/>
      <c r="P956" s="15"/>
      <c r="Q956" s="15"/>
    </row>
    <row r="957" spans="2:17" x14ac:dyDescent="0.2">
      <c r="B957" t="s">
        <v>1696</v>
      </c>
      <c r="C957" s="76" t="s">
        <v>3013</v>
      </c>
      <c r="D957" t="s">
        <v>1079</v>
      </c>
      <c r="E957" s="15">
        <v>-1.4649329957393001E-2</v>
      </c>
      <c r="F957" s="15">
        <v>1.5225770669068101E-2</v>
      </c>
      <c r="G957" s="15">
        <v>0.33602866943399101</v>
      </c>
      <c r="H957" s="15">
        <v>0.989150448529031</v>
      </c>
      <c r="I957" s="15">
        <v>0.502851413124625</v>
      </c>
      <c r="J957" s="15">
        <v>1</v>
      </c>
      <c r="K957" s="15"/>
      <c r="L957" s="15"/>
      <c r="M957" s="15"/>
      <c r="N957" s="15"/>
      <c r="O957" s="15"/>
      <c r="P957" s="15"/>
      <c r="Q957" s="15"/>
    </row>
    <row r="958" spans="2:17" x14ac:dyDescent="0.2">
      <c r="B958" t="s">
        <v>1696</v>
      </c>
      <c r="C958" s="76" t="s">
        <v>3013</v>
      </c>
      <c r="D958" t="s">
        <v>3199</v>
      </c>
      <c r="E958" s="15">
        <v>-4.9215458526194501E-3</v>
      </c>
      <c r="F958" s="15">
        <v>1.52974592313326E-2</v>
      </c>
      <c r="G958" s="15">
        <v>0.74767681316177703</v>
      </c>
      <c r="H958" s="15">
        <v>0.989150448529031</v>
      </c>
      <c r="I958" s="15">
        <v>0.85832321859159399</v>
      </c>
      <c r="J958" s="15">
        <v>1</v>
      </c>
      <c r="K958" s="15"/>
      <c r="L958" s="15"/>
      <c r="M958" s="15"/>
      <c r="N958" s="15"/>
      <c r="O958" s="15"/>
      <c r="P958" s="15"/>
      <c r="Q958" s="15"/>
    </row>
    <row r="959" spans="2:17" x14ac:dyDescent="0.2">
      <c r="B959" t="s">
        <v>1696</v>
      </c>
      <c r="C959" s="76" t="s">
        <v>3013</v>
      </c>
      <c r="D959" t="s">
        <v>3200</v>
      </c>
      <c r="E959" s="15">
        <v>9.8051018607750902E-3</v>
      </c>
      <c r="F959" s="15">
        <v>1.51647902576981E-2</v>
      </c>
      <c r="G959" s="15">
        <v>0.51794254857324695</v>
      </c>
      <c r="H959" s="15">
        <v>0.989150448529031</v>
      </c>
      <c r="I959" s="15">
        <v>0.67940158117664995</v>
      </c>
      <c r="J959" s="15">
        <v>1</v>
      </c>
      <c r="K959" s="15"/>
      <c r="L959" s="15"/>
      <c r="M959" s="15"/>
      <c r="N959" s="15"/>
      <c r="O959" s="15"/>
      <c r="P959" s="15"/>
      <c r="Q959" s="15"/>
    </row>
    <row r="960" spans="2:17" x14ac:dyDescent="0.2">
      <c r="B960" t="s">
        <v>1696</v>
      </c>
      <c r="C960" s="76" t="s">
        <v>3013</v>
      </c>
      <c r="D960" t="s">
        <v>3201</v>
      </c>
      <c r="E960" s="15">
        <v>-3.5333728591777102E-3</v>
      </c>
      <c r="F960" s="15">
        <v>1.5327425264505401E-2</v>
      </c>
      <c r="G960" s="15">
        <v>0.81769322163492697</v>
      </c>
      <c r="H960" s="15">
        <v>0.989150448529031</v>
      </c>
      <c r="I960" s="15">
        <v>0.90423587765008895</v>
      </c>
      <c r="J960" s="15">
        <v>1</v>
      </c>
      <c r="K960" s="15"/>
      <c r="L960" s="15"/>
      <c r="M960" s="15"/>
      <c r="N960" s="15"/>
      <c r="O960" s="15"/>
      <c r="P960" s="15"/>
      <c r="Q960" s="15"/>
    </row>
    <row r="961" spans="2:17" x14ac:dyDescent="0.2">
      <c r="B961" t="s">
        <v>1696</v>
      </c>
      <c r="C961" s="76" t="s">
        <v>3013</v>
      </c>
      <c r="D961" t="s">
        <v>3202</v>
      </c>
      <c r="E961" s="15">
        <v>-1.76788971775706E-2</v>
      </c>
      <c r="F961" s="15">
        <v>1.5186912765937E-2</v>
      </c>
      <c r="G961" s="15">
        <v>0.244448066890293</v>
      </c>
      <c r="H961" s="15">
        <v>0.989150448529031</v>
      </c>
      <c r="I961" s="15">
        <v>0.40358796646206502</v>
      </c>
      <c r="J961" s="15">
        <v>1</v>
      </c>
      <c r="K961" s="15"/>
      <c r="L961" s="15"/>
      <c r="M961" s="15"/>
      <c r="N961" s="15"/>
      <c r="O961" s="15"/>
      <c r="P961" s="15"/>
      <c r="Q961" s="15"/>
    </row>
    <row r="962" spans="2:17" x14ac:dyDescent="0.2">
      <c r="B962" t="s">
        <v>1696</v>
      </c>
      <c r="C962" s="76" t="s">
        <v>3013</v>
      </c>
      <c r="D962" t="s">
        <v>3203</v>
      </c>
      <c r="E962" s="15">
        <v>3.4754193248598603E-2</v>
      </c>
      <c r="F962" s="15">
        <v>1.51566599612736E-2</v>
      </c>
      <c r="G962" s="15">
        <v>2.1893997486388501E-2</v>
      </c>
      <c r="H962" s="15">
        <v>0.76993891160466099</v>
      </c>
      <c r="I962" s="15">
        <v>6.0727116776731697E-2</v>
      </c>
      <c r="J962" s="15">
        <v>1</v>
      </c>
      <c r="K962" s="15"/>
      <c r="L962" s="15"/>
      <c r="M962" s="15"/>
      <c r="N962" s="15"/>
      <c r="O962" s="15"/>
      <c r="P962" s="15"/>
      <c r="Q962" s="15"/>
    </row>
    <row r="963" spans="2:17" x14ac:dyDescent="0.2">
      <c r="B963" t="s">
        <v>1696</v>
      </c>
      <c r="C963" s="76" t="s">
        <v>3013</v>
      </c>
      <c r="D963" t="s">
        <v>3204</v>
      </c>
      <c r="E963" s="15">
        <v>-3.2073864374054302E-2</v>
      </c>
      <c r="F963" s="15">
        <v>1.5251702641708101E-2</v>
      </c>
      <c r="G963" s="15">
        <v>3.5523806800487702E-2</v>
      </c>
      <c r="H963" s="15">
        <v>0.83283591498921095</v>
      </c>
      <c r="I963" s="15">
        <v>9.1350828806116599E-2</v>
      </c>
      <c r="J963" s="15">
        <v>1</v>
      </c>
      <c r="K963" s="15"/>
      <c r="L963" s="15"/>
      <c r="M963" s="15"/>
      <c r="N963" s="15"/>
      <c r="O963" s="15"/>
      <c r="P963" s="15"/>
      <c r="Q963" s="15"/>
    </row>
    <row r="964" spans="2:17" x14ac:dyDescent="0.2">
      <c r="B964" t="s">
        <v>1696</v>
      </c>
      <c r="C964" s="76" t="s">
        <v>3013</v>
      </c>
      <c r="D964" t="s">
        <v>3205</v>
      </c>
      <c r="E964" s="15">
        <v>-4.3054724631703496E-3</v>
      </c>
      <c r="F964" s="15">
        <v>1.52644981032287E-2</v>
      </c>
      <c r="G964" s="15">
        <v>0.77791158878442801</v>
      </c>
      <c r="H964" s="15">
        <v>0.989150448529031</v>
      </c>
      <c r="I964" s="15">
        <v>0.874124908673234</v>
      </c>
      <c r="J964" s="15">
        <v>1</v>
      </c>
      <c r="K964" s="15"/>
      <c r="L964" s="15"/>
      <c r="M964" s="15"/>
      <c r="N964" s="15"/>
      <c r="O964" s="15"/>
      <c r="P964" s="15"/>
      <c r="Q964" s="15"/>
    </row>
    <row r="965" spans="2:17" x14ac:dyDescent="0.2">
      <c r="B965" t="s">
        <v>1696</v>
      </c>
      <c r="C965" s="76" t="s">
        <v>3013</v>
      </c>
      <c r="D965" t="s">
        <v>3206</v>
      </c>
      <c r="E965" s="15">
        <v>-1.53318928339569E-2</v>
      </c>
      <c r="F965" s="15">
        <v>1.5245508400275099E-2</v>
      </c>
      <c r="G965" s="15">
        <v>0.31462817281804401</v>
      </c>
      <c r="H965" s="15">
        <v>0.989150448529031</v>
      </c>
      <c r="I965" s="15">
        <v>0.48246035221371503</v>
      </c>
      <c r="J965" s="15">
        <v>1</v>
      </c>
      <c r="K965" s="15"/>
      <c r="L965" s="15"/>
      <c r="M965" s="15"/>
      <c r="N965" s="15"/>
      <c r="O965" s="15"/>
      <c r="P965" s="15"/>
      <c r="Q965" s="15"/>
    </row>
    <row r="966" spans="2:17" x14ac:dyDescent="0.2">
      <c r="B966" t="s">
        <v>1696</v>
      </c>
      <c r="C966" s="76" t="s">
        <v>3013</v>
      </c>
      <c r="D966" t="s">
        <v>3207</v>
      </c>
      <c r="E966" s="15">
        <v>-5.8185998102559702E-4</v>
      </c>
      <c r="F966" s="15">
        <v>1.5248845483317701E-2</v>
      </c>
      <c r="G966" s="15">
        <v>0.96956361724283602</v>
      </c>
      <c r="H966" s="15">
        <v>0.99309671474872996</v>
      </c>
      <c r="I966" s="15">
        <v>0.97603971010609902</v>
      </c>
      <c r="J966" s="15">
        <v>1</v>
      </c>
      <c r="K966" s="15"/>
      <c r="L966" s="15"/>
      <c r="M966" s="15"/>
      <c r="N966" s="15"/>
      <c r="O966" s="15"/>
      <c r="P966" s="15"/>
      <c r="Q966" s="15"/>
    </row>
    <row r="967" spans="2:17" x14ac:dyDescent="0.2">
      <c r="B967" t="s">
        <v>1696</v>
      </c>
      <c r="C967" s="76" t="s">
        <v>3013</v>
      </c>
      <c r="D967" t="s">
        <v>3208</v>
      </c>
      <c r="E967" s="15">
        <v>4.2100645803638999E-4</v>
      </c>
      <c r="F967" s="15">
        <v>1.52142970136831E-2</v>
      </c>
      <c r="G967" s="15">
        <v>0.97792513370380896</v>
      </c>
      <c r="H967" s="15">
        <v>0.99620542912357501</v>
      </c>
      <c r="I967" s="15">
        <v>0.98351860443996098</v>
      </c>
      <c r="J967" s="15">
        <v>1</v>
      </c>
      <c r="K967" s="15"/>
      <c r="L967" s="15"/>
      <c r="M967" s="15"/>
      <c r="N967" s="15"/>
      <c r="O967" s="15"/>
      <c r="P967" s="15"/>
      <c r="Q967" s="15"/>
    </row>
    <row r="968" spans="2:17" x14ac:dyDescent="0.2">
      <c r="B968" t="s">
        <v>1696</v>
      </c>
      <c r="C968" s="76" t="s">
        <v>3013</v>
      </c>
      <c r="D968" t="s">
        <v>3209</v>
      </c>
      <c r="E968" s="15">
        <v>-1.2058683489488299E-2</v>
      </c>
      <c r="F968" s="15">
        <v>1.5230053596742701E-2</v>
      </c>
      <c r="G968" s="15">
        <v>0.42853530754313002</v>
      </c>
      <c r="H968" s="15">
        <v>0.989150448529031</v>
      </c>
      <c r="I968" s="15">
        <v>0.59508254059049903</v>
      </c>
      <c r="J968" s="15">
        <v>1</v>
      </c>
      <c r="K968" s="15"/>
      <c r="L968" s="15"/>
      <c r="M968" s="15"/>
      <c r="N968" s="15"/>
      <c r="O968" s="15"/>
      <c r="P968" s="15"/>
      <c r="Q968" s="15"/>
    </row>
    <row r="969" spans="2:17" x14ac:dyDescent="0.2">
      <c r="B969" t="s">
        <v>1696</v>
      </c>
      <c r="C969" s="76" t="s">
        <v>3013</v>
      </c>
      <c r="D969" t="s">
        <v>3210</v>
      </c>
      <c r="E969" s="15">
        <v>-1.75984874488E-2</v>
      </c>
      <c r="F969" s="15">
        <v>1.5239479323644599E-2</v>
      </c>
      <c r="G969" s="15">
        <v>0.24823276458648999</v>
      </c>
      <c r="H969" s="15">
        <v>0.989150448529031</v>
      </c>
      <c r="I969" s="15">
        <v>0.407921443362535</v>
      </c>
      <c r="J969" s="15">
        <v>1</v>
      </c>
      <c r="K969" s="15"/>
      <c r="L969" s="15"/>
      <c r="M969" s="15"/>
      <c r="N969" s="15"/>
      <c r="O969" s="15"/>
      <c r="P969" s="15"/>
      <c r="Q969" s="15"/>
    </row>
    <row r="970" spans="2:17" x14ac:dyDescent="0.2">
      <c r="B970" t="s">
        <v>1696</v>
      </c>
      <c r="C970" s="76" t="s">
        <v>3013</v>
      </c>
      <c r="D970" t="s">
        <v>3211</v>
      </c>
      <c r="E970" s="15">
        <v>7.7868294717706801E-3</v>
      </c>
      <c r="F970" s="15">
        <v>1.5205944872812301E-2</v>
      </c>
      <c r="G970" s="15">
        <v>0.60861219537683997</v>
      </c>
      <c r="H970" s="15">
        <v>0.989150448529031</v>
      </c>
      <c r="I970" s="15">
        <v>0.75986493032256297</v>
      </c>
      <c r="J970" s="15">
        <v>1</v>
      </c>
      <c r="K970" s="15"/>
      <c r="L970" s="15"/>
      <c r="M970" s="15"/>
      <c r="N970" s="15"/>
      <c r="O970" s="15"/>
      <c r="P970" s="15"/>
      <c r="Q970" s="15"/>
    </row>
    <row r="971" spans="2:17" x14ac:dyDescent="0.2">
      <c r="B971" t="s">
        <v>1696</v>
      </c>
      <c r="C971" s="76" t="s">
        <v>3013</v>
      </c>
      <c r="D971" t="s">
        <v>3212</v>
      </c>
      <c r="E971" s="15">
        <v>2.0118557210376899E-2</v>
      </c>
      <c r="F971" s="15">
        <v>1.51544206965534E-2</v>
      </c>
      <c r="G971" s="15">
        <v>0.184385838361836</v>
      </c>
      <c r="H971" s="15">
        <v>0.989150448529031</v>
      </c>
      <c r="I971" s="15">
        <v>0.32859300586442097</v>
      </c>
      <c r="J971" s="15">
        <v>1</v>
      </c>
      <c r="K971" s="15"/>
      <c r="L971" s="15"/>
      <c r="M971" s="15"/>
      <c r="N971" s="15"/>
      <c r="O971" s="15"/>
      <c r="P971" s="15"/>
      <c r="Q971" s="15"/>
    </row>
    <row r="972" spans="2:17" x14ac:dyDescent="0.2">
      <c r="B972" t="s">
        <v>1696</v>
      </c>
      <c r="C972" s="76" t="s">
        <v>3013</v>
      </c>
      <c r="D972" t="s">
        <v>3213</v>
      </c>
      <c r="E972" s="15">
        <v>1.68177521754594E-3</v>
      </c>
      <c r="F972" s="15">
        <v>1.5009679186844699E-2</v>
      </c>
      <c r="G972" s="15">
        <v>0.91079187214638402</v>
      </c>
      <c r="H972" s="15">
        <v>0.989150448529031</v>
      </c>
      <c r="I972" s="15">
        <v>0.94185366168809104</v>
      </c>
      <c r="J972" s="15">
        <v>1</v>
      </c>
      <c r="K972" s="15"/>
      <c r="L972" s="15"/>
      <c r="M972" s="15"/>
      <c r="N972" s="15"/>
      <c r="O972" s="15"/>
      <c r="P972" s="15"/>
      <c r="Q972" s="15"/>
    </row>
    <row r="973" spans="2:17" x14ac:dyDescent="0.2">
      <c r="B973" t="s">
        <v>1696</v>
      </c>
      <c r="C973" s="76" t="s">
        <v>3013</v>
      </c>
      <c r="D973" t="s">
        <v>3214</v>
      </c>
      <c r="E973" s="15">
        <v>3.45318585431307E-3</v>
      </c>
      <c r="F973" s="15">
        <v>1.5056753852397501E-2</v>
      </c>
      <c r="G973" s="15">
        <v>0.81861144011239195</v>
      </c>
      <c r="H973" s="15">
        <v>0.989150448529031</v>
      </c>
      <c r="I973" s="15">
        <v>0.90423587765008895</v>
      </c>
      <c r="J973" s="15">
        <v>1</v>
      </c>
      <c r="K973" s="15"/>
      <c r="L973" s="15"/>
      <c r="M973" s="15"/>
      <c r="N973" s="15"/>
      <c r="O973" s="15"/>
      <c r="P973" s="15"/>
      <c r="Q973" s="15"/>
    </row>
    <row r="974" spans="2:17" x14ac:dyDescent="0.2">
      <c r="B974" t="s">
        <v>1696</v>
      </c>
      <c r="C974" s="76" t="s">
        <v>3013</v>
      </c>
      <c r="D974" t="s">
        <v>3215</v>
      </c>
      <c r="E974" s="15">
        <v>-1.7897790091548901E-2</v>
      </c>
      <c r="F974" s="15">
        <v>1.51284470583057E-2</v>
      </c>
      <c r="G974" s="15">
        <v>0.236847252576873</v>
      </c>
      <c r="H974" s="15">
        <v>0.989150448529031</v>
      </c>
      <c r="I974" s="15">
        <v>0.396559255460955</v>
      </c>
      <c r="J974" s="15">
        <v>1</v>
      </c>
      <c r="K974" s="15"/>
      <c r="L974" s="15"/>
      <c r="M974" s="15"/>
      <c r="N974" s="15"/>
      <c r="O974" s="15"/>
      <c r="P974" s="15"/>
      <c r="Q974" s="15"/>
    </row>
    <row r="975" spans="2:17" x14ac:dyDescent="0.2">
      <c r="B975" t="s">
        <v>1696</v>
      </c>
      <c r="C975" s="76" t="s">
        <v>3013</v>
      </c>
      <c r="D975" t="s">
        <v>3216</v>
      </c>
      <c r="E975" s="15">
        <v>1.92367729716269E-3</v>
      </c>
      <c r="F975" s="15">
        <v>1.5034360182459201E-2</v>
      </c>
      <c r="G975" s="15">
        <v>0.89819256284096805</v>
      </c>
      <c r="H975" s="15">
        <v>0.989150448529031</v>
      </c>
      <c r="I975" s="15">
        <v>0.93615570578594598</v>
      </c>
      <c r="J975" s="15">
        <v>1</v>
      </c>
      <c r="K975" s="15"/>
      <c r="L975" s="15"/>
      <c r="M975" s="15"/>
      <c r="N975" s="15"/>
      <c r="O975" s="15"/>
      <c r="P975" s="15"/>
      <c r="Q975" s="15"/>
    </row>
    <row r="976" spans="2:17" x14ac:dyDescent="0.2">
      <c r="B976" t="s">
        <v>1696</v>
      </c>
      <c r="C976" s="76" t="s">
        <v>3013</v>
      </c>
      <c r="D976" t="s">
        <v>3217</v>
      </c>
      <c r="E976" s="15">
        <v>-5.0904109430556302E-3</v>
      </c>
      <c r="F976" s="15">
        <v>1.5339727369327301E-2</v>
      </c>
      <c r="G976" s="15">
        <v>0.74002140877756994</v>
      </c>
      <c r="H976" s="15">
        <v>0.989150448529031</v>
      </c>
      <c r="I976" s="15">
        <v>0.85231723390866398</v>
      </c>
      <c r="J976" s="15">
        <v>1</v>
      </c>
      <c r="K976" s="15"/>
      <c r="L976" s="15"/>
      <c r="M976" s="15"/>
      <c r="N976" s="15"/>
      <c r="O976" s="15"/>
      <c r="P976" s="15"/>
      <c r="Q976" s="15"/>
    </row>
    <row r="977" spans="2:17" x14ac:dyDescent="0.2">
      <c r="B977" t="s">
        <v>1696</v>
      </c>
      <c r="C977" s="76" t="s">
        <v>3013</v>
      </c>
      <c r="D977" t="s">
        <v>3218</v>
      </c>
      <c r="E977" s="15">
        <v>-5.5367069686503897E-3</v>
      </c>
      <c r="F977" s="15">
        <v>1.52952883427495E-2</v>
      </c>
      <c r="G977" s="15">
        <v>0.71737751578221698</v>
      </c>
      <c r="H977" s="15">
        <v>0.989150448529031</v>
      </c>
      <c r="I977" s="15">
        <v>0.84186126713040998</v>
      </c>
      <c r="J977" s="15">
        <v>1</v>
      </c>
      <c r="K977" s="15"/>
      <c r="L977" s="15"/>
      <c r="M977" s="15"/>
      <c r="N977" s="15"/>
      <c r="O977" s="15"/>
      <c r="P977" s="15"/>
      <c r="Q977" s="15"/>
    </row>
    <row r="978" spans="2:17" x14ac:dyDescent="0.2">
      <c r="B978" t="s">
        <v>1696</v>
      </c>
      <c r="C978" s="76" t="s">
        <v>3013</v>
      </c>
      <c r="D978" t="s">
        <v>3219</v>
      </c>
      <c r="E978" s="15">
        <v>-1.38827156439984E-2</v>
      </c>
      <c r="F978" s="15">
        <v>1.51972684041681E-2</v>
      </c>
      <c r="G978" s="15">
        <v>0.36102703394816099</v>
      </c>
      <c r="H978" s="15">
        <v>0.989150448529031</v>
      </c>
      <c r="I978" s="15">
        <v>0.52974064091141804</v>
      </c>
      <c r="J978" s="15">
        <v>1</v>
      </c>
      <c r="K978" s="15"/>
      <c r="L978" s="15"/>
      <c r="M978" s="15"/>
      <c r="N978" s="15"/>
      <c r="O978" s="15"/>
      <c r="P978" s="15"/>
      <c r="Q978" s="15"/>
    </row>
    <row r="979" spans="2:17" x14ac:dyDescent="0.2">
      <c r="B979" t="s">
        <v>1696</v>
      </c>
      <c r="C979" s="76" t="s">
        <v>3013</v>
      </c>
      <c r="D979" t="s">
        <v>3220</v>
      </c>
      <c r="E979" s="15">
        <v>-1.54914326286634E-2</v>
      </c>
      <c r="F979" s="15">
        <v>1.52944410815432E-2</v>
      </c>
      <c r="G979" s="15">
        <v>0.31117094214781899</v>
      </c>
      <c r="H979" s="15">
        <v>0.989150448529031</v>
      </c>
      <c r="I979" s="15">
        <v>0.477853484666593</v>
      </c>
      <c r="J979" s="15">
        <v>1</v>
      </c>
      <c r="K979" s="15"/>
      <c r="L979" s="15"/>
      <c r="M979" s="15"/>
      <c r="N979" s="15"/>
      <c r="O979" s="15"/>
      <c r="P979" s="15"/>
      <c r="Q979" s="15"/>
    </row>
    <row r="980" spans="2:17" x14ac:dyDescent="0.2">
      <c r="B980" t="s">
        <v>1696</v>
      </c>
      <c r="C980" s="76" t="s">
        <v>3013</v>
      </c>
      <c r="D980" t="s">
        <v>355</v>
      </c>
      <c r="E980" s="15">
        <v>6.3536887664263301E-3</v>
      </c>
      <c r="F980" s="15">
        <v>1.5319792915045399E-2</v>
      </c>
      <c r="G980" s="15">
        <v>0.67835346466876401</v>
      </c>
      <c r="H980" s="15">
        <v>0.989150448529031</v>
      </c>
      <c r="I980" s="15">
        <v>0.81603523970985903</v>
      </c>
      <c r="J980" s="15">
        <v>1</v>
      </c>
      <c r="K980" s="15"/>
      <c r="L980" s="15"/>
      <c r="M980" s="15"/>
      <c r="N980" s="15"/>
      <c r="O980" s="15"/>
      <c r="P980" s="15"/>
      <c r="Q980" s="15"/>
    </row>
    <row r="981" spans="2:17" x14ac:dyDescent="0.2">
      <c r="B981" t="s">
        <v>1696</v>
      </c>
      <c r="C981" s="76" t="s">
        <v>3013</v>
      </c>
      <c r="D981" t="s">
        <v>356</v>
      </c>
      <c r="E981" s="15">
        <v>-1.26247788335786E-2</v>
      </c>
      <c r="F981" s="15">
        <v>1.52248313596364E-2</v>
      </c>
      <c r="G981" s="15">
        <v>0.40702176677013902</v>
      </c>
      <c r="H981" s="15">
        <v>0.989150448529031</v>
      </c>
      <c r="I981" s="15">
        <v>0.57561389268431196</v>
      </c>
      <c r="J981" s="15">
        <v>1</v>
      </c>
      <c r="K981" s="15"/>
      <c r="L981" s="15"/>
      <c r="M981" s="15"/>
      <c r="N981" s="15"/>
      <c r="O981" s="15"/>
      <c r="P981" s="15"/>
      <c r="Q981" s="15"/>
    </row>
    <row r="982" spans="2:17" x14ac:dyDescent="0.2">
      <c r="B982" t="s">
        <v>1696</v>
      </c>
      <c r="C982" s="76" t="s">
        <v>3013</v>
      </c>
      <c r="D982" t="s">
        <v>358</v>
      </c>
      <c r="E982" s="15">
        <v>-2.8674121485475799E-2</v>
      </c>
      <c r="F982" s="15">
        <v>1.5181537774894701E-2</v>
      </c>
      <c r="G982" s="15">
        <v>5.89882631837787E-2</v>
      </c>
      <c r="H982" s="15">
        <v>0.98336317444700605</v>
      </c>
      <c r="I982" s="15">
        <v>0.13587907785783099</v>
      </c>
      <c r="J982" s="15">
        <v>1</v>
      </c>
      <c r="K982" s="15"/>
      <c r="L982" s="15"/>
      <c r="M982" s="15"/>
      <c r="N982" s="15"/>
      <c r="O982" s="15"/>
      <c r="P982" s="15"/>
      <c r="Q982" s="15"/>
    </row>
    <row r="983" spans="2:17" x14ac:dyDescent="0.2">
      <c r="B983" t="s">
        <v>1696</v>
      </c>
      <c r="C983" s="76" t="s">
        <v>3013</v>
      </c>
      <c r="D983" t="s">
        <v>359</v>
      </c>
      <c r="E983" s="15">
        <v>-2.31120105987744E-2</v>
      </c>
      <c r="F983" s="15">
        <v>1.50958161626827E-2</v>
      </c>
      <c r="G983" s="15">
        <v>0.12583320241738899</v>
      </c>
      <c r="H983" s="15">
        <v>0.98336317444700605</v>
      </c>
      <c r="I983" s="15">
        <v>0.24906947195186799</v>
      </c>
      <c r="J983" s="15">
        <v>1</v>
      </c>
      <c r="K983" s="15"/>
      <c r="L983" s="15"/>
      <c r="M983" s="15"/>
      <c r="N983" s="15"/>
      <c r="O983" s="15"/>
      <c r="P983" s="15"/>
      <c r="Q983" s="15"/>
    </row>
    <row r="984" spans="2:17" x14ac:dyDescent="0.2">
      <c r="B984" t="s">
        <v>1696</v>
      </c>
      <c r="C984" s="76" t="s">
        <v>3013</v>
      </c>
      <c r="D984" t="s">
        <v>360</v>
      </c>
      <c r="E984" s="15">
        <v>2.7017114474317998E-3</v>
      </c>
      <c r="F984" s="15">
        <v>1.5217317597276601E-2</v>
      </c>
      <c r="G984" s="15">
        <v>0.85909050951281596</v>
      </c>
      <c r="H984" s="15">
        <v>0.989150448529031</v>
      </c>
      <c r="I984" s="15">
        <v>0.92295365329533696</v>
      </c>
      <c r="J984" s="15">
        <v>1</v>
      </c>
      <c r="K984" s="15"/>
      <c r="L984" s="15"/>
      <c r="M984" s="15"/>
      <c r="N984" s="15"/>
      <c r="O984" s="15"/>
      <c r="P984" s="15"/>
      <c r="Q984" s="15"/>
    </row>
    <row r="985" spans="2:17" x14ac:dyDescent="0.2">
      <c r="B985" t="s">
        <v>1696</v>
      </c>
      <c r="C985" s="76" t="s">
        <v>3013</v>
      </c>
      <c r="D985" t="s">
        <v>361</v>
      </c>
      <c r="E985" s="15">
        <v>-1.49451612951251E-2</v>
      </c>
      <c r="F985" s="15">
        <v>1.4908411453244201E-2</v>
      </c>
      <c r="G985" s="15">
        <v>0.31617193720859699</v>
      </c>
      <c r="H985" s="15">
        <v>0.989150448529031</v>
      </c>
      <c r="I985" s="15">
        <v>0.48342230978995698</v>
      </c>
      <c r="J985" s="15">
        <v>1</v>
      </c>
      <c r="K985" s="15"/>
      <c r="L985" s="15"/>
      <c r="M985" s="15"/>
      <c r="N985" s="15"/>
      <c r="O985" s="15"/>
      <c r="P985" s="15"/>
      <c r="Q985" s="15"/>
    </row>
    <row r="986" spans="2:17" x14ac:dyDescent="0.2">
      <c r="B986" t="s">
        <v>1696</v>
      </c>
      <c r="C986" s="76" t="s">
        <v>3013</v>
      </c>
      <c r="D986" t="s">
        <v>366</v>
      </c>
      <c r="E986" s="15">
        <v>4.4224286806372297E-3</v>
      </c>
      <c r="F986" s="15">
        <v>1.54780038286158E-2</v>
      </c>
      <c r="G986" s="15">
        <v>0.77510281265265302</v>
      </c>
      <c r="H986" s="15">
        <v>0.989150448529031</v>
      </c>
      <c r="I986" s="15">
        <v>0.874124908673234</v>
      </c>
      <c r="J986" s="15">
        <v>1</v>
      </c>
      <c r="K986" s="15"/>
      <c r="L986" s="15"/>
      <c r="M986" s="15"/>
      <c r="N986" s="15"/>
      <c r="O986" s="15"/>
      <c r="P986" s="15"/>
      <c r="Q986" s="15"/>
    </row>
    <row r="987" spans="2:17" x14ac:dyDescent="0.2">
      <c r="B987" t="s">
        <v>1696</v>
      </c>
      <c r="C987" s="76" t="s">
        <v>3013</v>
      </c>
      <c r="D987" t="s">
        <v>368</v>
      </c>
      <c r="E987" s="15">
        <v>5.4686687409002599E-3</v>
      </c>
      <c r="F987" s="15">
        <v>1.53685300303237E-2</v>
      </c>
      <c r="G987" s="15">
        <v>0.72198014082528805</v>
      </c>
      <c r="H987" s="15">
        <v>0.989150448529031</v>
      </c>
      <c r="I987" s="15">
        <v>0.84257638116225497</v>
      </c>
      <c r="J987" s="15">
        <v>1</v>
      </c>
      <c r="K987" s="15"/>
      <c r="L987" s="15"/>
      <c r="M987" s="15"/>
      <c r="N987" s="15"/>
      <c r="O987" s="15"/>
      <c r="P987" s="15"/>
      <c r="Q987" s="15"/>
    </row>
    <row r="988" spans="2:17" x14ac:dyDescent="0.2">
      <c r="B988" t="s">
        <v>1696</v>
      </c>
      <c r="C988" s="76" t="s">
        <v>3013</v>
      </c>
      <c r="D988" t="s">
        <v>369</v>
      </c>
      <c r="E988" s="15">
        <v>5.3906964216648501E-3</v>
      </c>
      <c r="F988" s="15">
        <v>1.52364088040624E-2</v>
      </c>
      <c r="G988" s="15">
        <v>0.72350224949795205</v>
      </c>
      <c r="H988" s="15">
        <v>0.989150448529031</v>
      </c>
      <c r="I988" s="15">
        <v>0.84341974941473896</v>
      </c>
      <c r="J988" s="15">
        <v>1</v>
      </c>
      <c r="K988" s="15"/>
      <c r="L988" s="15"/>
      <c r="M988" s="15"/>
      <c r="N988" s="15"/>
      <c r="O988" s="15"/>
      <c r="P988" s="15"/>
      <c r="Q988" s="15"/>
    </row>
    <row r="989" spans="2:17" x14ac:dyDescent="0.2">
      <c r="B989" t="s">
        <v>1696</v>
      </c>
      <c r="C989" s="76" t="s">
        <v>3013</v>
      </c>
      <c r="D989" t="s">
        <v>370</v>
      </c>
      <c r="E989" s="15">
        <v>-2.6282301018973699E-2</v>
      </c>
      <c r="F989" s="15">
        <v>1.5250122594742401E-2</v>
      </c>
      <c r="G989" s="15">
        <v>8.4879686695155596E-2</v>
      </c>
      <c r="H989" s="15">
        <v>0.98336317444700605</v>
      </c>
      <c r="I989" s="15">
        <v>0.182515219968022</v>
      </c>
      <c r="J989" s="15">
        <v>1</v>
      </c>
      <c r="K989" s="15"/>
      <c r="L989" s="15"/>
      <c r="M989" s="15"/>
      <c r="N989" s="15"/>
      <c r="O989" s="15"/>
      <c r="P989" s="15"/>
      <c r="Q989" s="15"/>
    </row>
    <row r="990" spans="2:17" x14ac:dyDescent="0.2">
      <c r="B990" t="s">
        <v>1696</v>
      </c>
      <c r="C990" s="76" t="s">
        <v>3013</v>
      </c>
      <c r="D990" t="s">
        <v>371</v>
      </c>
      <c r="E990" s="15">
        <v>4.4010417792354501E-3</v>
      </c>
      <c r="F990" s="15">
        <v>1.5082556265413201E-2</v>
      </c>
      <c r="G990" s="15">
        <v>0.77045493932131703</v>
      </c>
      <c r="H990" s="15">
        <v>0.989150448529031</v>
      </c>
      <c r="I990" s="15">
        <v>0.87120038690674095</v>
      </c>
      <c r="J990" s="15">
        <v>1</v>
      </c>
      <c r="K990" s="15"/>
      <c r="L990" s="15"/>
      <c r="M990" s="15"/>
      <c r="N990" s="15"/>
      <c r="O990" s="15"/>
      <c r="P990" s="15"/>
      <c r="Q990" s="15"/>
    </row>
    <row r="991" spans="2:17" x14ac:dyDescent="0.2">
      <c r="B991" t="s">
        <v>1696</v>
      </c>
      <c r="C991" s="76" t="s">
        <v>3013</v>
      </c>
      <c r="D991" t="s">
        <v>372</v>
      </c>
      <c r="E991" s="15">
        <v>1.53886235365517E-3</v>
      </c>
      <c r="F991" s="15">
        <v>1.52791612649784E-2</v>
      </c>
      <c r="G991" s="15">
        <v>0.91977989720766795</v>
      </c>
      <c r="H991" s="15">
        <v>0.989150448529031</v>
      </c>
      <c r="I991" s="15">
        <v>0.94486239590132304</v>
      </c>
      <c r="J991" s="15">
        <v>1</v>
      </c>
      <c r="K991" s="15"/>
      <c r="L991" s="15"/>
      <c r="M991" s="15"/>
      <c r="N991" s="15"/>
      <c r="O991" s="15"/>
      <c r="P991" s="15"/>
      <c r="Q991" s="15"/>
    </row>
    <row r="992" spans="2:17" x14ac:dyDescent="0.2">
      <c r="B992" t="s">
        <v>1696</v>
      </c>
      <c r="C992" s="76" t="s">
        <v>3013</v>
      </c>
      <c r="D992" t="s">
        <v>374</v>
      </c>
      <c r="E992" s="15">
        <v>1.14631339202008E-2</v>
      </c>
      <c r="F992" s="15">
        <v>1.53829095972681E-2</v>
      </c>
      <c r="G992" s="15">
        <v>0.456197259424587</v>
      </c>
      <c r="H992" s="15">
        <v>0.989150448529031</v>
      </c>
      <c r="I992" s="15">
        <v>0.62504949180901204</v>
      </c>
      <c r="J992" s="15">
        <v>1</v>
      </c>
      <c r="K992" s="15"/>
      <c r="L992" s="15"/>
      <c r="M992" s="15"/>
      <c r="N992" s="15"/>
      <c r="O992" s="15"/>
      <c r="P992" s="15"/>
      <c r="Q992" s="15"/>
    </row>
    <row r="993" spans="2:17" x14ac:dyDescent="0.2">
      <c r="B993" t="s">
        <v>1696</v>
      </c>
      <c r="C993" s="76" t="s">
        <v>3013</v>
      </c>
      <c r="D993" t="s">
        <v>375</v>
      </c>
      <c r="E993" s="15">
        <v>5.47032587354005E-3</v>
      </c>
      <c r="F993" s="15">
        <v>1.53399075897194E-2</v>
      </c>
      <c r="G993" s="15">
        <v>0.72140186578599397</v>
      </c>
      <c r="H993" s="15">
        <v>0.989150448529031</v>
      </c>
      <c r="I993" s="15">
        <v>0.84257638116225497</v>
      </c>
      <c r="J993" s="15">
        <v>1</v>
      </c>
      <c r="K993" s="15"/>
      <c r="L993" s="15"/>
      <c r="M993" s="15"/>
      <c r="N993" s="15"/>
      <c r="O993" s="15"/>
      <c r="P993" s="15"/>
      <c r="Q993" s="15"/>
    </row>
    <row r="994" spans="2:17" x14ac:dyDescent="0.2">
      <c r="B994" t="s">
        <v>1696</v>
      </c>
      <c r="C994" s="76" t="s">
        <v>3013</v>
      </c>
      <c r="D994" t="s">
        <v>376</v>
      </c>
      <c r="E994" s="15">
        <v>2.0491106847593298E-3</v>
      </c>
      <c r="F994" s="15">
        <v>1.5339277660368401E-2</v>
      </c>
      <c r="G994" s="15">
        <v>0.89373586392598503</v>
      </c>
      <c r="H994" s="15">
        <v>0.989150448529031</v>
      </c>
      <c r="I994" s="15">
        <v>0.93615570578594598</v>
      </c>
      <c r="J994" s="15">
        <v>1</v>
      </c>
      <c r="K994" s="15"/>
      <c r="L994" s="15"/>
      <c r="M994" s="15"/>
      <c r="N994" s="15"/>
      <c r="O994" s="15"/>
      <c r="P994" s="15"/>
      <c r="Q994" s="15"/>
    </row>
    <row r="995" spans="2:17" x14ac:dyDescent="0.2">
      <c r="B995" t="s">
        <v>1696</v>
      </c>
      <c r="C995" s="76" t="s">
        <v>3013</v>
      </c>
      <c r="D995" t="s">
        <v>377</v>
      </c>
      <c r="E995" s="15">
        <v>1.73660301700281E-2</v>
      </c>
      <c r="F995" s="15">
        <v>1.52173911015727E-2</v>
      </c>
      <c r="G995" s="15">
        <v>0.25384646866008298</v>
      </c>
      <c r="H995" s="15">
        <v>0.989150448529031</v>
      </c>
      <c r="I995" s="15">
        <v>0.41225445032762997</v>
      </c>
      <c r="J995" s="15">
        <v>1</v>
      </c>
      <c r="K995" s="15"/>
      <c r="L995" s="15"/>
      <c r="M995" s="15"/>
      <c r="N995" s="15"/>
      <c r="O995" s="15"/>
      <c r="P995" s="15"/>
      <c r="Q995" s="15"/>
    </row>
    <row r="996" spans="2:17" x14ac:dyDescent="0.2">
      <c r="B996" t="s">
        <v>1696</v>
      </c>
      <c r="C996" s="76" t="s">
        <v>3013</v>
      </c>
      <c r="D996" t="s">
        <v>387</v>
      </c>
      <c r="E996" s="15">
        <v>-1.72961478145729E-2</v>
      </c>
      <c r="F996" s="15">
        <v>1.51608970630309E-2</v>
      </c>
      <c r="G996" s="15">
        <v>0.25399563290327898</v>
      </c>
      <c r="H996" s="15">
        <v>0.989150448529031</v>
      </c>
      <c r="I996" s="15">
        <v>0.41225445032762997</v>
      </c>
      <c r="J996" s="15">
        <v>1</v>
      </c>
      <c r="K996" s="15"/>
      <c r="L996" s="15"/>
      <c r="M996" s="15"/>
      <c r="N996" s="15"/>
      <c r="O996" s="15"/>
      <c r="P996" s="15"/>
      <c r="Q996" s="15"/>
    </row>
    <row r="997" spans="2:17" x14ac:dyDescent="0.2">
      <c r="B997" t="s">
        <v>1696</v>
      </c>
      <c r="C997" s="76" t="s">
        <v>3013</v>
      </c>
      <c r="D997" t="s">
        <v>388</v>
      </c>
      <c r="E997" s="15">
        <v>-9.3075111547418505E-3</v>
      </c>
      <c r="F997" s="15">
        <v>1.5254198053013699E-2</v>
      </c>
      <c r="G997" s="15">
        <v>0.54178595486019598</v>
      </c>
      <c r="H997" s="15">
        <v>0.989150448529031</v>
      </c>
      <c r="I997" s="15">
        <v>0.69790498458792005</v>
      </c>
      <c r="J997" s="15">
        <v>1</v>
      </c>
      <c r="K997" s="15"/>
      <c r="L997" s="15"/>
      <c r="M997" s="15"/>
      <c r="N997" s="15"/>
      <c r="O997" s="15"/>
      <c r="P997" s="15"/>
      <c r="Q997" s="15"/>
    </row>
    <row r="998" spans="2:17" x14ac:dyDescent="0.2">
      <c r="B998" t="s">
        <v>1696</v>
      </c>
      <c r="C998" s="76" t="s">
        <v>3013</v>
      </c>
      <c r="D998" t="s">
        <v>389</v>
      </c>
      <c r="E998" s="15">
        <v>1.34458127992676E-2</v>
      </c>
      <c r="F998" s="15">
        <v>1.51863639683265E-2</v>
      </c>
      <c r="G998" s="15">
        <v>0.37599349702808299</v>
      </c>
      <c r="H998" s="15">
        <v>0.989150448529031</v>
      </c>
      <c r="I998" s="15">
        <v>0.54413325015724001</v>
      </c>
      <c r="J998" s="15">
        <v>1</v>
      </c>
      <c r="K998" s="15"/>
      <c r="L998" s="15"/>
      <c r="M998" s="15"/>
      <c r="N998" s="15"/>
      <c r="O998" s="15"/>
      <c r="P998" s="15"/>
      <c r="Q998" s="15"/>
    </row>
    <row r="999" spans="2:17" x14ac:dyDescent="0.2">
      <c r="B999" t="s">
        <v>1696</v>
      </c>
      <c r="C999" s="76" t="s">
        <v>3013</v>
      </c>
      <c r="D999" t="s">
        <v>391</v>
      </c>
      <c r="E999" s="15">
        <v>1.3080031540224E-2</v>
      </c>
      <c r="F999" s="15">
        <v>1.53385085826463E-2</v>
      </c>
      <c r="G999" s="15">
        <v>0.39383773974436997</v>
      </c>
      <c r="H999" s="15">
        <v>0.989150448529031</v>
      </c>
      <c r="I999" s="15">
        <v>0.56300652497332104</v>
      </c>
      <c r="J999" s="15">
        <v>1</v>
      </c>
      <c r="K999" s="15"/>
      <c r="L999" s="15"/>
      <c r="M999" s="15"/>
      <c r="N999" s="15"/>
      <c r="O999" s="15"/>
      <c r="P999" s="15"/>
      <c r="Q999" s="15"/>
    </row>
    <row r="1000" spans="2:17" x14ac:dyDescent="0.2">
      <c r="B1000" t="s">
        <v>1696</v>
      </c>
      <c r="C1000" s="76" t="s">
        <v>3013</v>
      </c>
      <c r="D1000" t="s">
        <v>414</v>
      </c>
      <c r="E1000" s="15">
        <v>-7.0136328833497498E-3</v>
      </c>
      <c r="F1000" s="15">
        <v>1.5186407095684199E-2</v>
      </c>
      <c r="G1000" s="15">
        <v>0.64422052100605598</v>
      </c>
      <c r="H1000" s="15">
        <v>0.989150448529031</v>
      </c>
      <c r="I1000" s="15">
        <v>0.78754652336198105</v>
      </c>
      <c r="J1000" s="15">
        <v>1</v>
      </c>
      <c r="K1000" s="15"/>
      <c r="L1000" s="15"/>
      <c r="M1000" s="15"/>
      <c r="N1000" s="15"/>
      <c r="O1000" s="15"/>
      <c r="P1000" s="15"/>
      <c r="Q1000" s="15"/>
    </row>
    <row r="1001" spans="2:17" x14ac:dyDescent="0.2">
      <c r="B1001" t="s">
        <v>1696</v>
      </c>
      <c r="C1001" s="76" t="s">
        <v>3013</v>
      </c>
      <c r="D1001" t="s">
        <v>423</v>
      </c>
      <c r="E1001" s="15">
        <v>-1.9434145167883301E-2</v>
      </c>
      <c r="F1001" s="15">
        <v>1.48579721747159E-2</v>
      </c>
      <c r="G1001" s="15">
        <v>0.190941291381822</v>
      </c>
      <c r="H1001" s="15">
        <v>0.989150448529031</v>
      </c>
      <c r="I1001" s="15">
        <v>0.33686130837428402</v>
      </c>
      <c r="J1001" s="15">
        <v>1</v>
      </c>
      <c r="K1001" s="15"/>
      <c r="L1001" s="15"/>
      <c r="M1001" s="15"/>
      <c r="N1001" s="15"/>
      <c r="O1001" s="15"/>
      <c r="P1001" s="15"/>
      <c r="Q1001" s="15"/>
    </row>
    <row r="1002" spans="2:17" x14ac:dyDescent="0.2">
      <c r="B1002" t="s">
        <v>1696</v>
      </c>
      <c r="C1002" s="76" t="s">
        <v>3013</v>
      </c>
      <c r="D1002" t="s">
        <v>427</v>
      </c>
      <c r="E1002" s="15">
        <v>-6.7390853546807402E-3</v>
      </c>
      <c r="F1002" s="15">
        <v>1.51533260054918E-2</v>
      </c>
      <c r="G1002" s="15">
        <v>0.65653826404237803</v>
      </c>
      <c r="H1002" s="15">
        <v>0.989150448529031</v>
      </c>
      <c r="I1002" s="15">
        <v>0.79982432859666097</v>
      </c>
      <c r="J1002" s="15">
        <v>1</v>
      </c>
      <c r="K1002" s="15"/>
      <c r="L1002" s="15"/>
      <c r="M1002" s="15"/>
      <c r="N1002" s="15"/>
      <c r="O1002" s="15"/>
      <c r="P1002" s="15"/>
      <c r="Q1002" s="15"/>
    </row>
    <row r="1003" spans="2:17" x14ac:dyDescent="0.2">
      <c r="B1003" t="s">
        <v>1696</v>
      </c>
      <c r="C1003" s="76" t="s">
        <v>3013</v>
      </c>
      <c r="D1003" t="s">
        <v>429</v>
      </c>
      <c r="E1003" s="15">
        <v>-9.7454029642215605E-3</v>
      </c>
      <c r="F1003" s="15">
        <v>1.51963080496989E-2</v>
      </c>
      <c r="G1003" s="15">
        <v>0.52136003094016903</v>
      </c>
      <c r="H1003" s="15">
        <v>0.989150448529031</v>
      </c>
      <c r="I1003" s="15">
        <v>0.68073617901222505</v>
      </c>
      <c r="J1003" s="15">
        <v>1</v>
      </c>
      <c r="K1003" s="15"/>
      <c r="L1003" s="15"/>
      <c r="M1003" s="15"/>
      <c r="N1003" s="15"/>
      <c r="O1003" s="15"/>
      <c r="P1003" s="15"/>
      <c r="Q1003" s="15"/>
    </row>
    <row r="1004" spans="2:17" x14ac:dyDescent="0.2">
      <c r="B1004" t="s">
        <v>1696</v>
      </c>
      <c r="C1004" s="76" t="s">
        <v>3013</v>
      </c>
      <c r="D1004" t="s">
        <v>434</v>
      </c>
      <c r="E1004" s="15">
        <v>-4.9999271140024502E-3</v>
      </c>
      <c r="F1004" s="15">
        <v>1.53055283649933E-2</v>
      </c>
      <c r="G1004" s="15">
        <v>0.74392874289504496</v>
      </c>
      <c r="H1004" s="15">
        <v>0.989150448529031</v>
      </c>
      <c r="I1004" s="15">
        <v>0.85495078840334704</v>
      </c>
      <c r="J1004" s="15">
        <v>1</v>
      </c>
      <c r="K1004" s="15"/>
      <c r="L1004" s="15"/>
      <c r="M1004" s="15"/>
      <c r="N1004" s="15"/>
      <c r="O1004" s="15"/>
      <c r="P1004" s="15"/>
      <c r="Q1004" s="15"/>
    </row>
    <row r="1005" spans="2:17" x14ac:dyDescent="0.2">
      <c r="B1005" t="s">
        <v>1696</v>
      </c>
      <c r="C1005" s="76" t="s">
        <v>3013</v>
      </c>
      <c r="D1005" t="s">
        <v>438</v>
      </c>
      <c r="E1005" s="15">
        <v>4.5739877022155703E-3</v>
      </c>
      <c r="F1005" s="15">
        <v>1.4834875909051101E-2</v>
      </c>
      <c r="G1005" s="15">
        <v>0.75784748726394902</v>
      </c>
      <c r="H1005" s="15">
        <v>0.989150448529031</v>
      </c>
      <c r="I1005" s="15">
        <v>0.866228709711231</v>
      </c>
      <c r="J1005" s="15">
        <v>1</v>
      </c>
      <c r="K1005" s="15"/>
      <c r="L1005" s="15"/>
      <c r="M1005" s="15"/>
      <c r="N1005" s="15"/>
      <c r="O1005" s="15"/>
      <c r="P1005" s="15"/>
      <c r="Q1005" s="15"/>
    </row>
    <row r="1006" spans="2:17" x14ac:dyDescent="0.2">
      <c r="B1006" t="s">
        <v>1696</v>
      </c>
      <c r="C1006" s="76" t="s">
        <v>3013</v>
      </c>
      <c r="D1006" t="s">
        <v>443</v>
      </c>
      <c r="E1006" s="15">
        <v>-3.0909709292459299E-3</v>
      </c>
      <c r="F1006" s="15">
        <v>1.52976955578129E-2</v>
      </c>
      <c r="G1006" s="15">
        <v>0.83988287773546799</v>
      </c>
      <c r="H1006" s="15">
        <v>0.989150448529031</v>
      </c>
      <c r="I1006" s="15">
        <v>0.91348086186692601</v>
      </c>
      <c r="J1006" s="15">
        <v>1</v>
      </c>
      <c r="K1006" s="15"/>
      <c r="L1006" s="15"/>
      <c r="M1006" s="15"/>
      <c r="N1006" s="15"/>
      <c r="O1006" s="15"/>
      <c r="P1006" s="15"/>
      <c r="Q1006" s="15"/>
    </row>
    <row r="1007" spans="2:17" x14ac:dyDescent="0.2">
      <c r="B1007" t="s">
        <v>1696</v>
      </c>
      <c r="C1007" s="76" t="s">
        <v>3013</v>
      </c>
      <c r="D1007" t="s">
        <v>447</v>
      </c>
      <c r="E1007" s="15">
        <v>1.06541543985883E-2</v>
      </c>
      <c r="F1007" s="15">
        <v>1.5230613600370899E-2</v>
      </c>
      <c r="G1007" s="15">
        <v>0.48426280371826003</v>
      </c>
      <c r="H1007" s="15">
        <v>0.989150448529031</v>
      </c>
      <c r="I1007" s="15">
        <v>0.649996511352117</v>
      </c>
      <c r="J1007" s="15">
        <v>1</v>
      </c>
      <c r="K1007" s="15"/>
      <c r="L1007" s="15"/>
      <c r="M1007" s="15"/>
      <c r="N1007" s="15"/>
      <c r="O1007" s="15"/>
      <c r="P1007" s="15"/>
      <c r="Q1007" s="15"/>
    </row>
    <row r="1008" spans="2:17" x14ac:dyDescent="0.2">
      <c r="B1008" t="s">
        <v>1696</v>
      </c>
      <c r="C1008" s="76" t="s">
        <v>3013</v>
      </c>
      <c r="D1008" t="s">
        <v>339</v>
      </c>
      <c r="E1008" s="15">
        <v>4.4850233641635798E-3</v>
      </c>
      <c r="F1008" s="15">
        <v>1.6658855974261502E-2</v>
      </c>
      <c r="G1008" s="15">
        <v>0.78776915124495395</v>
      </c>
      <c r="H1008" s="15">
        <v>0.989150448529031</v>
      </c>
      <c r="I1008" s="15">
        <v>0.88226799847497495</v>
      </c>
      <c r="J1008" s="15">
        <v>1</v>
      </c>
      <c r="K1008" s="15"/>
      <c r="L1008" s="15"/>
      <c r="M1008" s="15"/>
      <c r="N1008" s="15"/>
      <c r="O1008" s="15"/>
      <c r="P1008" s="15"/>
      <c r="Q1008" s="15"/>
    </row>
    <row r="1009" spans="2:17" x14ac:dyDescent="0.2">
      <c r="B1009" t="s">
        <v>1696</v>
      </c>
      <c r="C1009" s="76" t="s">
        <v>3013</v>
      </c>
      <c r="D1009" t="s">
        <v>340</v>
      </c>
      <c r="E1009" s="15">
        <v>2.06463735847917E-2</v>
      </c>
      <c r="F1009" s="15">
        <v>1.66809581604959E-2</v>
      </c>
      <c r="G1009" s="15">
        <v>0.21589548603088399</v>
      </c>
      <c r="H1009" s="15">
        <v>0.989150448529031</v>
      </c>
      <c r="I1009" s="15">
        <v>0.36975606779640102</v>
      </c>
      <c r="J1009" s="15">
        <v>1</v>
      </c>
      <c r="K1009" s="15"/>
      <c r="L1009" s="15"/>
      <c r="M1009" s="15"/>
      <c r="N1009" s="15"/>
      <c r="O1009" s="15"/>
      <c r="P1009" s="15"/>
      <c r="Q1009" s="15"/>
    </row>
    <row r="1010" spans="2:17" x14ac:dyDescent="0.2">
      <c r="B1010" t="s">
        <v>1696</v>
      </c>
      <c r="C1010" s="76" t="s">
        <v>3013</v>
      </c>
      <c r="D1010" t="s">
        <v>341</v>
      </c>
      <c r="E1010" s="15">
        <v>-6.0104904885447596E-3</v>
      </c>
      <c r="F1010" s="15">
        <v>1.66693577435757E-2</v>
      </c>
      <c r="G1010" s="15">
        <v>0.71843992032601001</v>
      </c>
      <c r="H1010" s="15">
        <v>0.989150448529031</v>
      </c>
      <c r="I1010" s="15">
        <v>0.84217123993771104</v>
      </c>
      <c r="J1010" s="15">
        <v>1</v>
      </c>
      <c r="K1010" s="15"/>
      <c r="L1010" s="15"/>
      <c r="M1010" s="15"/>
      <c r="N1010" s="15"/>
      <c r="O1010" s="15"/>
      <c r="P1010" s="15"/>
      <c r="Q1010" s="15"/>
    </row>
    <row r="1011" spans="2:17" x14ac:dyDescent="0.2">
      <c r="B1011" t="s">
        <v>1696</v>
      </c>
      <c r="C1011" s="76" t="s">
        <v>3013</v>
      </c>
      <c r="D1011" t="s">
        <v>343</v>
      </c>
      <c r="E1011" s="15">
        <v>2.4465526853558401E-3</v>
      </c>
      <c r="F1011" s="15">
        <v>1.6610110531258701E-2</v>
      </c>
      <c r="G1011" s="15">
        <v>0.88290853790233204</v>
      </c>
      <c r="H1011" s="15">
        <v>0.989150448529031</v>
      </c>
      <c r="I1011" s="15">
        <v>0.93333517784264597</v>
      </c>
      <c r="J1011" s="15">
        <v>1</v>
      </c>
      <c r="K1011" s="15"/>
      <c r="L1011" s="15"/>
      <c r="M1011" s="15"/>
      <c r="N1011" s="15"/>
      <c r="O1011" s="15"/>
      <c r="P1011" s="15"/>
      <c r="Q1011" s="15"/>
    </row>
    <row r="1012" spans="2:17" x14ac:dyDescent="0.2">
      <c r="B1012" t="s">
        <v>1696</v>
      </c>
      <c r="C1012" s="76" t="s">
        <v>3013</v>
      </c>
      <c r="D1012" t="s">
        <v>344</v>
      </c>
      <c r="E1012" s="15">
        <v>-2.7606672987894299E-3</v>
      </c>
      <c r="F1012" s="15">
        <v>1.6296461807683599E-2</v>
      </c>
      <c r="G1012" s="15">
        <v>0.86548890121458399</v>
      </c>
      <c r="H1012" s="15">
        <v>0.989150448529031</v>
      </c>
      <c r="I1012" s="15">
        <v>0.92769700210442196</v>
      </c>
      <c r="J1012" s="15">
        <v>1</v>
      </c>
      <c r="K1012" s="15"/>
      <c r="L1012" s="15"/>
      <c r="M1012" s="15"/>
      <c r="N1012" s="15"/>
      <c r="O1012" s="15"/>
      <c r="P1012" s="15"/>
      <c r="Q1012" s="15"/>
    </row>
    <row r="1013" spans="2:17" x14ac:dyDescent="0.2">
      <c r="B1013" t="s">
        <v>1696</v>
      </c>
      <c r="C1013" s="76" t="s">
        <v>3013</v>
      </c>
      <c r="D1013" t="s">
        <v>348</v>
      </c>
      <c r="E1013" s="15">
        <v>-2.3256547202769699E-3</v>
      </c>
      <c r="F1013" s="15">
        <v>1.6681562738239401E-2</v>
      </c>
      <c r="G1013" s="15">
        <v>0.88912985037702097</v>
      </c>
      <c r="H1013" s="15">
        <v>0.989150448529031</v>
      </c>
      <c r="I1013" s="15">
        <v>0.93599847599181596</v>
      </c>
      <c r="J1013" s="15">
        <v>1</v>
      </c>
      <c r="K1013" s="15"/>
      <c r="L1013" s="15"/>
      <c r="M1013" s="15"/>
      <c r="N1013" s="15"/>
      <c r="O1013" s="15"/>
      <c r="P1013" s="15"/>
      <c r="Q1013" s="15"/>
    </row>
    <row r="1014" spans="2:17" x14ac:dyDescent="0.2">
      <c r="B1014" t="s">
        <v>1696</v>
      </c>
      <c r="C1014" s="76" t="s">
        <v>3013</v>
      </c>
      <c r="D1014" t="s">
        <v>349</v>
      </c>
      <c r="E1014" s="15">
        <v>-3.7562761617653402E-4</v>
      </c>
      <c r="F1014" s="15">
        <v>1.6809174046983899E-2</v>
      </c>
      <c r="G1014" s="15">
        <v>0.98217265615178095</v>
      </c>
      <c r="H1014" s="15">
        <v>0.99620542912357501</v>
      </c>
      <c r="I1014" s="15">
        <v>0.98684966880012304</v>
      </c>
      <c r="J1014" s="15">
        <v>1</v>
      </c>
      <c r="K1014" s="15"/>
      <c r="L1014" s="15"/>
      <c r="M1014" s="15"/>
      <c r="N1014" s="15"/>
      <c r="O1014" s="15"/>
      <c r="P1014" s="15"/>
      <c r="Q1014" s="15"/>
    </row>
    <row r="1015" spans="2:17" x14ac:dyDescent="0.2">
      <c r="B1015" t="s">
        <v>1696</v>
      </c>
      <c r="C1015" s="76" t="s">
        <v>3013</v>
      </c>
      <c r="D1015" t="s">
        <v>350</v>
      </c>
      <c r="E1015" s="15">
        <v>1.5164738879441199E-2</v>
      </c>
      <c r="F1015" s="15">
        <v>1.67685928789995E-2</v>
      </c>
      <c r="G1015" s="15">
        <v>0.36586486604284002</v>
      </c>
      <c r="H1015" s="15">
        <v>0.989150448529031</v>
      </c>
      <c r="I1015" s="15">
        <v>0.53435603831456802</v>
      </c>
      <c r="J1015" s="15">
        <v>1</v>
      </c>
      <c r="K1015" s="15"/>
      <c r="L1015" s="15"/>
      <c r="M1015" s="15"/>
      <c r="N1015" s="15"/>
      <c r="O1015" s="15"/>
      <c r="P1015" s="15"/>
      <c r="Q1015" s="15"/>
    </row>
    <row r="1016" spans="2:17" x14ac:dyDescent="0.2">
      <c r="B1016" t="s">
        <v>1696</v>
      </c>
      <c r="C1016" s="76" t="s">
        <v>3013</v>
      </c>
      <c r="D1016" t="s">
        <v>353</v>
      </c>
      <c r="E1016" s="15">
        <v>-1.1071010010901201E-3</v>
      </c>
      <c r="F1016" s="15">
        <v>1.66405783100303E-2</v>
      </c>
      <c r="G1016" s="15">
        <v>0.94695919716997201</v>
      </c>
      <c r="H1016" s="15">
        <v>0.989150448529031</v>
      </c>
      <c r="I1016" s="15">
        <v>0.96154182195796001</v>
      </c>
      <c r="J1016" s="15">
        <v>1</v>
      </c>
      <c r="K1016" s="15"/>
      <c r="L1016" s="15"/>
      <c r="M1016" s="15"/>
      <c r="N1016" s="15"/>
      <c r="O1016" s="15"/>
      <c r="P1016" s="15"/>
      <c r="Q1016" s="15"/>
    </row>
    <row r="1017" spans="2:17" x14ac:dyDescent="0.2">
      <c r="B1017" t="s">
        <v>1696</v>
      </c>
      <c r="C1017" s="76" t="s">
        <v>3013</v>
      </c>
      <c r="D1017" t="s">
        <v>1100</v>
      </c>
      <c r="E1017" s="15">
        <v>-7.0025696459752604E-3</v>
      </c>
      <c r="F1017" s="15">
        <v>1.31768134955244E-2</v>
      </c>
      <c r="G1017" s="15">
        <v>0.59515574755887901</v>
      </c>
      <c r="H1017" s="15">
        <v>0.989150448529031</v>
      </c>
      <c r="I1017" s="15">
        <v>0.74927125736827804</v>
      </c>
      <c r="J1017" s="15">
        <v>1</v>
      </c>
      <c r="K1017" s="15"/>
      <c r="L1017" s="15"/>
      <c r="M1017" s="15"/>
      <c r="N1017" s="15"/>
      <c r="O1017" s="15"/>
      <c r="P1017" s="15"/>
      <c r="Q1017" s="15"/>
    </row>
    <row r="1018" spans="2:17" x14ac:dyDescent="0.2">
      <c r="B1018" t="s">
        <v>1696</v>
      </c>
      <c r="C1018" s="76" t="s">
        <v>3013</v>
      </c>
      <c r="D1018" t="s">
        <v>1102</v>
      </c>
      <c r="E1018" s="15">
        <v>-1.05524153476011E-2</v>
      </c>
      <c r="F1018" s="15">
        <v>1.32044475504063E-2</v>
      </c>
      <c r="G1018" s="15">
        <v>0.424257402618543</v>
      </c>
      <c r="H1018" s="15">
        <v>0.989150448529031</v>
      </c>
      <c r="I1018" s="15">
        <v>0.59127022425701803</v>
      </c>
      <c r="J1018" s="15">
        <v>1</v>
      </c>
      <c r="K1018" s="15"/>
      <c r="L1018" s="15"/>
      <c r="M1018" s="15"/>
      <c r="N1018" s="15"/>
      <c r="O1018" s="15"/>
      <c r="P1018" s="15"/>
      <c r="Q1018" s="15"/>
    </row>
    <row r="1019" spans="2:17" x14ac:dyDescent="0.2">
      <c r="B1019" t="s">
        <v>1696</v>
      </c>
      <c r="C1019" s="76" t="s">
        <v>3013</v>
      </c>
      <c r="D1019" t="s">
        <v>1103</v>
      </c>
      <c r="E1019" s="15">
        <v>-1.05524808570399E-2</v>
      </c>
      <c r="F1019" s="15">
        <v>1.38343622148779E-2</v>
      </c>
      <c r="G1019" s="15">
        <v>0.44565433547019101</v>
      </c>
      <c r="H1019" s="15">
        <v>0.989150448529031</v>
      </c>
      <c r="I1019" s="15">
        <v>0.61299259963631203</v>
      </c>
      <c r="J1019" s="15">
        <v>1</v>
      </c>
      <c r="K1019" s="15"/>
      <c r="L1019" s="15"/>
      <c r="M1019" s="15"/>
      <c r="N1019" s="15"/>
      <c r="O1019" s="15"/>
      <c r="P1019" s="15"/>
      <c r="Q1019" s="15"/>
    </row>
    <row r="1020" spans="2:17" x14ac:dyDescent="0.2">
      <c r="B1020" t="s">
        <v>1696</v>
      </c>
      <c r="C1020" s="76" t="s">
        <v>3013</v>
      </c>
      <c r="D1020" t="s">
        <v>1126</v>
      </c>
      <c r="E1020" s="15">
        <v>-3.3570671872547503E-2</v>
      </c>
      <c r="F1020" s="15">
        <v>2.1330120872838799E-2</v>
      </c>
      <c r="G1020" s="15">
        <v>0.11566572028284799</v>
      </c>
      <c r="H1020" s="15">
        <v>0.98336317444700605</v>
      </c>
      <c r="I1020" s="15">
        <v>0.232433018854104</v>
      </c>
      <c r="J1020" s="15">
        <v>1</v>
      </c>
      <c r="K1020" s="15"/>
      <c r="L1020" s="15"/>
      <c r="M1020" s="15"/>
      <c r="N1020" s="15"/>
      <c r="O1020" s="15"/>
      <c r="P1020" s="15"/>
      <c r="Q1020" s="15"/>
    </row>
    <row r="1021" spans="2:17" x14ac:dyDescent="0.2">
      <c r="B1021" t="s">
        <v>1696</v>
      </c>
      <c r="C1021" s="76" t="s">
        <v>3013</v>
      </c>
      <c r="D1021" t="s">
        <v>1128</v>
      </c>
      <c r="E1021" s="15">
        <v>1.29282877137075E-3</v>
      </c>
      <c r="F1021" s="15">
        <v>2.19954082578936E-2</v>
      </c>
      <c r="G1021" s="15">
        <v>0.95313489389411299</v>
      </c>
      <c r="H1021" s="15">
        <v>0.99016657130838703</v>
      </c>
      <c r="I1021" s="15">
        <v>0.96688203178681598</v>
      </c>
      <c r="J1021" s="15">
        <v>1</v>
      </c>
      <c r="K1021" s="15"/>
      <c r="L1021" s="15"/>
      <c r="M1021" s="15"/>
      <c r="N1021" s="15"/>
      <c r="O1021" s="15"/>
      <c r="P1021" s="15"/>
      <c r="Q1021" s="15"/>
    </row>
    <row r="1022" spans="2:17" x14ac:dyDescent="0.2">
      <c r="B1022" t="s">
        <v>1696</v>
      </c>
      <c r="C1022" s="76" t="s">
        <v>3013</v>
      </c>
      <c r="D1022" t="s">
        <v>1129</v>
      </c>
      <c r="E1022" s="15">
        <v>-1.8360779099851999E-2</v>
      </c>
      <c r="F1022" s="15">
        <v>2.2136018877339399E-2</v>
      </c>
      <c r="G1022" s="15">
        <v>0.40694059016527601</v>
      </c>
      <c r="H1022" s="15">
        <v>0.989150448529031</v>
      </c>
      <c r="I1022" s="15">
        <v>0.57561389268431196</v>
      </c>
      <c r="J1022" s="15">
        <v>1</v>
      </c>
      <c r="K1022" s="15"/>
      <c r="L1022" s="15"/>
      <c r="M1022" s="15"/>
      <c r="N1022" s="15"/>
      <c r="O1022" s="15"/>
      <c r="P1022" s="15"/>
      <c r="Q1022" s="15"/>
    </row>
    <row r="1023" spans="2:17" x14ac:dyDescent="0.2">
      <c r="B1023" t="s">
        <v>1696</v>
      </c>
      <c r="C1023" s="76" t="s">
        <v>3013</v>
      </c>
      <c r="D1023" t="s">
        <v>596</v>
      </c>
      <c r="E1023" s="15">
        <v>-2.1237335598613499E-2</v>
      </c>
      <c r="F1023" s="15">
        <v>2.1586707580037699E-2</v>
      </c>
      <c r="G1023" s="15">
        <v>0.32531084515471398</v>
      </c>
      <c r="H1023" s="15">
        <v>0.989150448529031</v>
      </c>
      <c r="I1023" s="15">
        <v>0.49348200572975498</v>
      </c>
      <c r="J1023" s="15">
        <v>1</v>
      </c>
      <c r="K1023" s="15"/>
      <c r="L1023" s="15"/>
      <c r="M1023" s="15"/>
      <c r="N1023" s="15"/>
      <c r="O1023" s="15"/>
      <c r="P1023" s="15"/>
      <c r="Q1023" s="15"/>
    </row>
    <row r="1024" spans="2:17" x14ac:dyDescent="0.2">
      <c r="B1024" t="s">
        <v>1696</v>
      </c>
      <c r="C1024" s="76" t="s">
        <v>3013</v>
      </c>
      <c r="D1024" t="s">
        <v>597</v>
      </c>
      <c r="E1024" s="15">
        <v>-2.5197684071036099E-2</v>
      </c>
      <c r="F1024" s="15">
        <v>2.1582476113358499E-2</v>
      </c>
      <c r="G1024" s="15">
        <v>0.24312995495798501</v>
      </c>
      <c r="H1024" s="15">
        <v>0.989150448529031</v>
      </c>
      <c r="I1024" s="15">
        <v>0.40204091297911398</v>
      </c>
      <c r="J1024" s="15">
        <v>1</v>
      </c>
      <c r="K1024" s="15"/>
      <c r="L1024" s="15"/>
      <c r="M1024" s="15"/>
      <c r="N1024" s="15"/>
      <c r="O1024" s="15"/>
      <c r="P1024" s="15"/>
      <c r="Q1024" s="15"/>
    </row>
    <row r="1025" spans="2:17" x14ac:dyDescent="0.2">
      <c r="B1025" t="s">
        <v>1696</v>
      </c>
      <c r="C1025" s="76" t="s">
        <v>3013</v>
      </c>
      <c r="D1025" t="s">
        <v>598</v>
      </c>
      <c r="E1025" s="15">
        <v>-3.0085356988297E-2</v>
      </c>
      <c r="F1025" s="15">
        <v>2.1383649827225199E-2</v>
      </c>
      <c r="G1025" s="15">
        <v>0.15958509719337099</v>
      </c>
      <c r="H1025" s="15">
        <v>0.989150448529031</v>
      </c>
      <c r="I1025" s="15">
        <v>0.300646924176797</v>
      </c>
      <c r="J1025" s="15">
        <v>1</v>
      </c>
      <c r="K1025" s="15"/>
      <c r="L1025" s="15"/>
      <c r="M1025" s="15"/>
      <c r="N1025" s="15"/>
      <c r="O1025" s="15"/>
      <c r="P1025" s="15"/>
      <c r="Q1025" s="15"/>
    </row>
    <row r="1026" spans="2:17" x14ac:dyDescent="0.2">
      <c r="B1026" t="s">
        <v>1696</v>
      </c>
      <c r="C1026" s="76" t="s">
        <v>3013</v>
      </c>
      <c r="D1026" t="s">
        <v>599</v>
      </c>
      <c r="E1026" s="15">
        <v>-3.6185573037205598E-2</v>
      </c>
      <c r="F1026" s="15">
        <v>2.14148135350644E-2</v>
      </c>
      <c r="G1026" s="15">
        <v>9.1214392286976406E-2</v>
      </c>
      <c r="H1026" s="15">
        <v>0.98336317444700605</v>
      </c>
      <c r="I1026" s="15">
        <v>0.19169558538398401</v>
      </c>
      <c r="J1026" s="15">
        <v>1</v>
      </c>
      <c r="K1026" s="15"/>
      <c r="L1026" s="15"/>
      <c r="M1026" s="15"/>
      <c r="N1026" s="15"/>
      <c r="O1026" s="15"/>
      <c r="P1026" s="15"/>
      <c r="Q1026" s="15"/>
    </row>
    <row r="1027" spans="2:17" x14ac:dyDescent="0.2">
      <c r="B1027" t="s">
        <v>1696</v>
      </c>
      <c r="C1027" s="76" t="s">
        <v>3013</v>
      </c>
      <c r="D1027" t="s">
        <v>600</v>
      </c>
      <c r="E1027" s="15">
        <v>-1.0785181809797499E-2</v>
      </c>
      <c r="F1027" s="15">
        <v>2.1556835611025602E-2</v>
      </c>
      <c r="G1027" s="15">
        <v>0.61690456254509896</v>
      </c>
      <c r="H1027" s="15">
        <v>0.989150448529031</v>
      </c>
      <c r="I1027" s="15">
        <v>0.76478767742077503</v>
      </c>
      <c r="J1027" s="15">
        <v>1</v>
      </c>
      <c r="K1027" s="15"/>
      <c r="L1027" s="15"/>
      <c r="M1027" s="15"/>
      <c r="N1027" s="15"/>
      <c r="O1027" s="15"/>
      <c r="P1027" s="15"/>
      <c r="Q1027" s="15"/>
    </row>
    <row r="1028" spans="2:17" x14ac:dyDescent="0.2">
      <c r="B1028" t="s">
        <v>1696</v>
      </c>
      <c r="C1028" s="76" t="s">
        <v>3013</v>
      </c>
      <c r="D1028" t="s">
        <v>602</v>
      </c>
      <c r="E1028" s="15">
        <v>-2.9901627523886701E-2</v>
      </c>
      <c r="F1028" s="15">
        <v>2.1189956577737298E-2</v>
      </c>
      <c r="G1028" s="15">
        <v>0.158344945461246</v>
      </c>
      <c r="H1028" s="15">
        <v>0.989150448529031</v>
      </c>
      <c r="I1028" s="15">
        <v>0.29937978039715901</v>
      </c>
      <c r="J1028" s="15">
        <v>1</v>
      </c>
      <c r="K1028" s="15"/>
      <c r="L1028" s="15"/>
      <c r="M1028" s="15"/>
      <c r="N1028" s="15"/>
      <c r="O1028" s="15"/>
      <c r="P1028" s="15"/>
      <c r="Q1028" s="15"/>
    </row>
    <row r="1029" spans="2:17" x14ac:dyDescent="0.2">
      <c r="B1029" t="s">
        <v>1696</v>
      </c>
      <c r="C1029" s="76" t="s">
        <v>3013</v>
      </c>
      <c r="D1029" t="s">
        <v>606</v>
      </c>
      <c r="E1029" s="15">
        <v>-3.2950666172624002E-2</v>
      </c>
      <c r="F1029" s="15">
        <v>2.13324858008433E-2</v>
      </c>
      <c r="G1029" s="15">
        <v>0.12257638004702</v>
      </c>
      <c r="H1029" s="15">
        <v>0.98336317444700605</v>
      </c>
      <c r="I1029" s="15">
        <v>0.24353687561130999</v>
      </c>
      <c r="J1029" s="15">
        <v>1</v>
      </c>
      <c r="K1029" s="15"/>
      <c r="L1029" s="15"/>
      <c r="M1029" s="15"/>
      <c r="N1029" s="15"/>
      <c r="O1029" s="15"/>
      <c r="P1029" s="15"/>
      <c r="Q1029" s="15"/>
    </row>
    <row r="1030" spans="2:17" x14ac:dyDescent="0.2">
      <c r="B1030" t="s">
        <v>1696</v>
      </c>
      <c r="C1030" s="76" t="s">
        <v>3013</v>
      </c>
      <c r="D1030" t="s">
        <v>1151</v>
      </c>
      <c r="E1030" s="15">
        <v>-5.04783617175791E-3</v>
      </c>
      <c r="F1030" s="15">
        <v>1.53499338271358E-2</v>
      </c>
      <c r="G1030" s="15">
        <v>0.74228360953045702</v>
      </c>
      <c r="H1030" s="15">
        <v>0.989150448529031</v>
      </c>
      <c r="I1030" s="15">
        <v>0.85399041227331696</v>
      </c>
      <c r="J1030" s="15">
        <v>1</v>
      </c>
      <c r="K1030" s="15"/>
      <c r="L1030" s="15"/>
      <c r="M1030" s="15"/>
      <c r="N1030" s="15"/>
      <c r="O1030" s="15"/>
      <c r="P1030" s="15"/>
      <c r="Q1030" s="15"/>
    </row>
    <row r="1031" spans="2:17" x14ac:dyDescent="0.2">
      <c r="B1031" t="s">
        <v>1696</v>
      </c>
      <c r="C1031" s="76" t="s">
        <v>3013</v>
      </c>
      <c r="D1031" t="s">
        <v>1144</v>
      </c>
      <c r="E1031" s="15">
        <v>-2.2050028830756099E-2</v>
      </c>
      <c r="F1031" s="15">
        <v>1.5219128018487699E-2</v>
      </c>
      <c r="G1031" s="15">
        <v>0.14745068249759599</v>
      </c>
      <c r="H1031" s="15">
        <v>0.989150448529031</v>
      </c>
      <c r="I1031" s="15">
        <v>0.282153998202963</v>
      </c>
      <c r="J1031" s="15">
        <v>1</v>
      </c>
      <c r="K1031" s="15"/>
      <c r="L1031" s="15"/>
      <c r="M1031" s="15"/>
      <c r="N1031" s="15"/>
      <c r="O1031" s="15"/>
      <c r="P1031" s="15"/>
      <c r="Q1031" s="15"/>
    </row>
    <row r="1032" spans="2:17" x14ac:dyDescent="0.2">
      <c r="B1032" t="s">
        <v>1696</v>
      </c>
      <c r="C1032" s="76" t="s">
        <v>3013</v>
      </c>
      <c r="D1032" t="s">
        <v>1167</v>
      </c>
      <c r="E1032" s="15">
        <v>-7.7769591841620701E-3</v>
      </c>
      <c r="F1032" s="15">
        <v>1.50501297845366E-2</v>
      </c>
      <c r="G1032" s="15">
        <v>0.60536504935496005</v>
      </c>
      <c r="H1032" s="15">
        <v>0.989150448529031</v>
      </c>
      <c r="I1032" s="15">
        <v>0.75760394670164</v>
      </c>
      <c r="J1032" s="15">
        <v>1</v>
      </c>
      <c r="K1032" s="15"/>
      <c r="L1032" s="15"/>
      <c r="M1032" s="15"/>
      <c r="N1032" s="15"/>
      <c r="O1032" s="15"/>
      <c r="P1032" s="15"/>
      <c r="Q1032" s="15"/>
    </row>
    <row r="1033" spans="2:17" x14ac:dyDescent="0.2">
      <c r="B1033" t="s">
        <v>1696</v>
      </c>
      <c r="C1033" s="76" t="s">
        <v>3013</v>
      </c>
      <c r="D1033" t="s">
        <v>1168</v>
      </c>
      <c r="E1033" s="15">
        <v>-2.2692342381161901E-3</v>
      </c>
      <c r="F1033" s="15">
        <v>1.50519087957011E-2</v>
      </c>
      <c r="G1033" s="15">
        <v>0.88017128302015801</v>
      </c>
      <c r="H1033" s="15">
        <v>0.989150448529031</v>
      </c>
      <c r="I1033" s="15">
        <v>0.93173751146088102</v>
      </c>
      <c r="J1033" s="15">
        <v>1</v>
      </c>
      <c r="K1033" s="15"/>
      <c r="L1033" s="15"/>
      <c r="M1033" s="15"/>
      <c r="N1033" s="15"/>
      <c r="O1033" s="15"/>
      <c r="P1033" s="15"/>
      <c r="Q1033" s="15"/>
    </row>
    <row r="1034" spans="2:17" x14ac:dyDescent="0.2">
      <c r="B1034" t="s">
        <v>1696</v>
      </c>
      <c r="C1034" s="76" t="s">
        <v>3013</v>
      </c>
      <c r="D1034" t="s">
        <v>1169</v>
      </c>
      <c r="E1034" s="15">
        <v>-4.2463901441124902E-3</v>
      </c>
      <c r="F1034" s="15">
        <v>1.50240286973931E-2</v>
      </c>
      <c r="G1034" s="15">
        <v>0.77746597235756798</v>
      </c>
      <c r="H1034" s="15">
        <v>0.989150448529031</v>
      </c>
      <c r="I1034" s="15">
        <v>0.874124908673234</v>
      </c>
      <c r="J1034" s="15">
        <v>1</v>
      </c>
      <c r="K1034" s="15"/>
      <c r="L1034" s="15"/>
      <c r="M1034" s="15"/>
      <c r="N1034" s="15"/>
      <c r="O1034" s="15"/>
      <c r="P1034" s="15"/>
      <c r="Q1034" s="15"/>
    </row>
    <row r="1035" spans="2:17" x14ac:dyDescent="0.2">
      <c r="B1035" t="s">
        <v>1696</v>
      </c>
      <c r="C1035" s="76" t="s">
        <v>3013</v>
      </c>
      <c r="D1035" t="s">
        <v>1173</v>
      </c>
      <c r="E1035" s="15">
        <v>-1.3826474082110801E-2</v>
      </c>
      <c r="F1035" s="15">
        <v>1.51892436565161E-2</v>
      </c>
      <c r="G1035" s="15">
        <v>0.36272168137426403</v>
      </c>
      <c r="H1035" s="15">
        <v>0.989150448529031</v>
      </c>
      <c r="I1035" s="15">
        <v>0.53148801923590105</v>
      </c>
      <c r="J1035" s="15">
        <v>1</v>
      </c>
      <c r="K1035" s="15"/>
      <c r="L1035" s="15"/>
      <c r="M1035" s="15"/>
      <c r="N1035" s="15"/>
      <c r="O1035" s="15"/>
      <c r="P1035" s="15"/>
      <c r="Q1035" s="15"/>
    </row>
    <row r="1036" spans="2:17" x14ac:dyDescent="0.2">
      <c r="B1036" t="s">
        <v>1696</v>
      </c>
      <c r="C1036" s="76" t="s">
        <v>3013</v>
      </c>
      <c r="D1036" t="s">
        <v>1162</v>
      </c>
      <c r="E1036" s="15">
        <v>5.0633230680665296E-3</v>
      </c>
      <c r="F1036" s="15">
        <v>1.48400364924683E-2</v>
      </c>
      <c r="G1036" s="15">
        <v>0.73297354603882803</v>
      </c>
      <c r="H1036" s="15">
        <v>0.989150448529031</v>
      </c>
      <c r="I1036" s="15">
        <v>0.85163776549665504</v>
      </c>
      <c r="J1036" s="15">
        <v>1</v>
      </c>
      <c r="K1036" s="15"/>
      <c r="L1036" s="15"/>
      <c r="M1036" s="15"/>
      <c r="N1036" s="15"/>
      <c r="O1036" s="15"/>
      <c r="P1036" s="15"/>
      <c r="Q1036" s="15"/>
    </row>
    <row r="1037" spans="2:17" x14ac:dyDescent="0.2">
      <c r="B1037" t="s">
        <v>1696</v>
      </c>
      <c r="C1037" s="76" t="s">
        <v>3013</v>
      </c>
      <c r="D1037" t="s">
        <v>1161</v>
      </c>
      <c r="E1037" s="15">
        <v>-1.03117124115325E-2</v>
      </c>
      <c r="F1037" s="15">
        <v>1.52499566445236E-2</v>
      </c>
      <c r="G1037" s="15">
        <v>0.49896192276047002</v>
      </c>
      <c r="H1037" s="15">
        <v>0.989150448529031</v>
      </c>
      <c r="I1037" s="15">
        <v>0.66214443838024595</v>
      </c>
      <c r="J1037" s="15">
        <v>1</v>
      </c>
      <c r="K1037" s="15"/>
      <c r="L1037" s="15"/>
      <c r="M1037" s="15"/>
      <c r="N1037" s="15"/>
      <c r="O1037" s="15"/>
      <c r="P1037" s="15"/>
      <c r="Q1037" s="15"/>
    </row>
    <row r="1038" spans="2:17" x14ac:dyDescent="0.2">
      <c r="B1038" t="s">
        <v>1696</v>
      </c>
      <c r="C1038" s="76" t="s">
        <v>3013</v>
      </c>
      <c r="D1038" t="s">
        <v>1325</v>
      </c>
      <c r="E1038" s="15">
        <v>1.7374916605589801E-2</v>
      </c>
      <c r="F1038" s="15">
        <v>7.4655916013683404E-2</v>
      </c>
      <c r="G1038" s="15">
        <v>0.815968520836172</v>
      </c>
      <c r="H1038" s="15">
        <v>0.989150448529031</v>
      </c>
      <c r="I1038" s="15">
        <v>0.90423587765008895</v>
      </c>
      <c r="J1038" s="15">
        <v>1</v>
      </c>
      <c r="K1038" s="15"/>
      <c r="L1038" s="15"/>
      <c r="M1038" s="15"/>
      <c r="N1038" s="15"/>
      <c r="O1038" s="15"/>
      <c r="P1038" s="15"/>
      <c r="Q1038" s="15"/>
    </row>
    <row r="1039" spans="2:17" x14ac:dyDescent="0.2">
      <c r="B1039" t="s">
        <v>1696</v>
      </c>
      <c r="C1039" s="76" t="s">
        <v>3013</v>
      </c>
      <c r="D1039" t="s">
        <v>727</v>
      </c>
      <c r="E1039" s="15">
        <v>1.1505606346769099E-2</v>
      </c>
      <c r="F1039" s="15">
        <v>4.8180923888129203E-2</v>
      </c>
      <c r="G1039" s="15">
        <v>0.81126064251096996</v>
      </c>
      <c r="H1039" s="15">
        <v>0.989150448529031</v>
      </c>
      <c r="I1039" s="15">
        <v>0.90187563524665304</v>
      </c>
      <c r="J1039" s="15">
        <v>1</v>
      </c>
      <c r="K1039" s="15"/>
      <c r="L1039" s="15"/>
      <c r="M1039" s="15"/>
      <c r="N1039" s="15"/>
      <c r="O1039" s="15"/>
      <c r="P1039" s="15"/>
      <c r="Q1039" s="15"/>
    </row>
    <row r="1040" spans="2:17" x14ac:dyDescent="0.2">
      <c r="B1040" t="s">
        <v>1696</v>
      </c>
      <c r="C1040" s="76" t="s">
        <v>3013</v>
      </c>
      <c r="D1040" t="s">
        <v>734</v>
      </c>
      <c r="E1040" s="15">
        <v>-5.8837191134473603E-2</v>
      </c>
      <c r="F1040" s="15">
        <v>5.5037250889804497E-2</v>
      </c>
      <c r="G1040" s="15">
        <v>0.28505026671258499</v>
      </c>
      <c r="H1040" s="15">
        <v>0.989150448529031</v>
      </c>
      <c r="I1040" s="15">
        <v>0.446847000567276</v>
      </c>
      <c r="J1040" s="15">
        <v>1</v>
      </c>
      <c r="K1040" s="15"/>
      <c r="L1040" s="15"/>
      <c r="M1040" s="15"/>
      <c r="N1040" s="15"/>
      <c r="O1040" s="15"/>
      <c r="P1040" s="15"/>
      <c r="Q1040" s="15"/>
    </row>
    <row r="1041" spans="2:17" x14ac:dyDescent="0.2">
      <c r="B1041" t="s">
        <v>1696</v>
      </c>
      <c r="C1041" s="76" t="s">
        <v>3013</v>
      </c>
      <c r="D1041" t="s">
        <v>736</v>
      </c>
      <c r="E1041" s="15">
        <v>5.5274489486047997E-2</v>
      </c>
      <c r="F1041" s="15">
        <v>6.7060173522200894E-2</v>
      </c>
      <c r="G1041" s="15">
        <v>0.409796323896917</v>
      </c>
      <c r="H1041" s="15">
        <v>0.989150448529031</v>
      </c>
      <c r="I1041" s="15">
        <v>0.57798813063000898</v>
      </c>
      <c r="J1041" s="15">
        <v>1</v>
      </c>
      <c r="K1041" s="15"/>
      <c r="L1041" s="15"/>
      <c r="M1041" s="15"/>
      <c r="N1041" s="15"/>
      <c r="O1041" s="15"/>
      <c r="P1041" s="15"/>
      <c r="Q1041" s="15"/>
    </row>
    <row r="1042" spans="2:17" x14ac:dyDescent="0.2">
      <c r="B1042" t="s">
        <v>1696</v>
      </c>
      <c r="C1042" s="76" t="s">
        <v>3013</v>
      </c>
      <c r="D1042" t="s">
        <v>748</v>
      </c>
      <c r="E1042" s="15">
        <v>4.3623266135152203E-2</v>
      </c>
      <c r="F1042" s="15">
        <v>6.7548713682167902E-2</v>
      </c>
      <c r="G1042" s="15">
        <v>0.51840594582673305</v>
      </c>
      <c r="H1042" s="15">
        <v>0.989150448529031</v>
      </c>
      <c r="I1042" s="15">
        <v>0.67940158117664995</v>
      </c>
      <c r="J1042" s="15">
        <v>1</v>
      </c>
      <c r="K1042" s="15"/>
      <c r="L1042" s="15"/>
      <c r="M1042" s="15"/>
      <c r="N1042" s="15"/>
      <c r="O1042" s="15"/>
      <c r="P1042" s="15"/>
      <c r="Q1042" s="15"/>
    </row>
    <row r="1043" spans="2:17" x14ac:dyDescent="0.2">
      <c r="B1043" t="s">
        <v>1696</v>
      </c>
      <c r="C1043" s="76" t="s">
        <v>3013</v>
      </c>
      <c r="D1043" t="s">
        <v>754</v>
      </c>
      <c r="E1043" s="15">
        <v>3.5865472708357597E-2</v>
      </c>
      <c r="F1043" s="15">
        <v>4.5316511699479797E-2</v>
      </c>
      <c r="G1043" s="15">
        <v>0.42868505293723203</v>
      </c>
      <c r="H1043" s="15">
        <v>0.989150448529031</v>
      </c>
      <c r="I1043" s="15">
        <v>0.59508254059049903</v>
      </c>
      <c r="J1043" s="15">
        <v>1</v>
      </c>
      <c r="K1043" s="15"/>
      <c r="L1043" s="15"/>
      <c r="M1043" s="15"/>
      <c r="N1043" s="15"/>
      <c r="O1043" s="15"/>
      <c r="P1043" s="15"/>
      <c r="Q1043" s="15"/>
    </row>
    <row r="1044" spans="2:17" x14ac:dyDescent="0.2">
      <c r="B1044" t="s">
        <v>1696</v>
      </c>
      <c r="C1044" s="76" t="s">
        <v>3013</v>
      </c>
      <c r="D1044" t="s">
        <v>755</v>
      </c>
      <c r="E1044" s="15">
        <v>5.2783281534955102E-2</v>
      </c>
      <c r="F1044" s="15">
        <v>5.4736276292310003E-2</v>
      </c>
      <c r="G1044" s="15">
        <v>0.334885557243572</v>
      </c>
      <c r="H1044" s="15">
        <v>0.989150448529031</v>
      </c>
      <c r="I1044" s="15">
        <v>0.501852646153364</v>
      </c>
      <c r="J1044" s="15">
        <v>1</v>
      </c>
      <c r="K1044" s="15"/>
      <c r="L1044" s="15"/>
      <c r="M1044" s="15"/>
      <c r="N1044" s="15"/>
      <c r="O1044" s="15"/>
      <c r="P1044" s="15"/>
      <c r="Q1044" s="15"/>
    </row>
    <row r="1045" spans="2:17" x14ac:dyDescent="0.2">
      <c r="B1045" t="s">
        <v>1696</v>
      </c>
      <c r="C1045" s="76" t="s">
        <v>3013</v>
      </c>
      <c r="D1045" t="s">
        <v>1422</v>
      </c>
      <c r="E1045" s="15">
        <v>-6.8500854725817101E-2</v>
      </c>
      <c r="F1045" s="15">
        <v>5.1476631914940202E-2</v>
      </c>
      <c r="G1045" s="15">
        <v>0.18328198389677799</v>
      </c>
      <c r="H1045" s="15">
        <v>0.989150448529031</v>
      </c>
      <c r="I1045" s="15">
        <v>0.327383130264573</v>
      </c>
      <c r="J1045" s="15">
        <v>1</v>
      </c>
      <c r="K1045" s="15"/>
      <c r="L1045" s="15"/>
      <c r="M1045" s="15"/>
      <c r="N1045" s="15"/>
      <c r="O1045" s="15"/>
      <c r="P1045" s="15"/>
      <c r="Q1045" s="15"/>
    </row>
    <row r="1046" spans="2:17" x14ac:dyDescent="0.2">
      <c r="B1046" t="s">
        <v>1696</v>
      </c>
      <c r="C1046" s="76" t="s">
        <v>3013</v>
      </c>
      <c r="D1046" t="s">
        <v>1433</v>
      </c>
      <c r="E1046" s="15">
        <v>6.2543967760962304E-3</v>
      </c>
      <c r="F1046" s="15">
        <v>5.8854261453932098E-2</v>
      </c>
      <c r="G1046" s="15">
        <v>0.91536874787247902</v>
      </c>
      <c r="H1046" s="15">
        <v>0.989150448529031</v>
      </c>
      <c r="I1046" s="15">
        <v>0.94400198338755203</v>
      </c>
      <c r="J1046" s="15">
        <v>1</v>
      </c>
      <c r="K1046" s="15"/>
      <c r="L1046" s="15"/>
      <c r="M1046" s="15"/>
      <c r="N1046" s="15"/>
      <c r="O1046" s="15"/>
      <c r="P1046" s="15"/>
      <c r="Q1046" s="15"/>
    </row>
    <row r="1047" spans="2:17" x14ac:dyDescent="0.2">
      <c r="B1047" t="s">
        <v>1696</v>
      </c>
      <c r="C1047" s="76" t="s">
        <v>3013</v>
      </c>
      <c r="D1047" t="s">
        <v>1455</v>
      </c>
      <c r="E1047" s="15">
        <v>-8.8639731777437503E-2</v>
      </c>
      <c r="F1047" s="15">
        <v>7.0860148199531001E-2</v>
      </c>
      <c r="G1047" s="15">
        <v>0.21096698654485399</v>
      </c>
      <c r="H1047" s="15">
        <v>0.989150448529031</v>
      </c>
      <c r="I1047" s="15">
        <v>0.36367674968107999</v>
      </c>
      <c r="J1047" s="15">
        <v>1</v>
      </c>
      <c r="K1047" s="15"/>
      <c r="L1047" s="15"/>
      <c r="M1047" s="15"/>
      <c r="N1047" s="15"/>
      <c r="O1047" s="15"/>
      <c r="P1047" s="15"/>
      <c r="Q1047" s="15"/>
    </row>
    <row r="1048" spans="2:17" x14ac:dyDescent="0.2">
      <c r="B1048" t="s">
        <v>1696</v>
      </c>
      <c r="C1048" s="76" t="s">
        <v>3013</v>
      </c>
      <c r="D1048" t="s">
        <v>1461</v>
      </c>
      <c r="E1048" s="15">
        <v>-1.41786529817431E-2</v>
      </c>
      <c r="F1048" s="15">
        <v>6.6432079762460503E-2</v>
      </c>
      <c r="G1048" s="15">
        <v>0.83099094662413597</v>
      </c>
      <c r="H1048" s="15">
        <v>0.989150448529031</v>
      </c>
      <c r="I1048" s="15">
        <v>0.90849269294141299</v>
      </c>
      <c r="J1048" s="15">
        <v>1</v>
      </c>
      <c r="K1048" s="15"/>
      <c r="L1048" s="15"/>
      <c r="M1048" s="15"/>
      <c r="N1048" s="15"/>
      <c r="O1048" s="15"/>
      <c r="P1048" s="15"/>
      <c r="Q1048" s="15"/>
    </row>
    <row r="1049" spans="2:17" x14ac:dyDescent="0.2">
      <c r="B1049" t="s">
        <v>1696</v>
      </c>
      <c r="C1049" s="76" t="s">
        <v>3013</v>
      </c>
      <c r="D1049" t="s">
        <v>1462</v>
      </c>
      <c r="E1049" s="15">
        <v>-6.1501313276501298E-3</v>
      </c>
      <c r="F1049" s="15">
        <v>8.8014937539214202E-2</v>
      </c>
      <c r="G1049" s="15">
        <v>0.94429235970186798</v>
      </c>
      <c r="H1049" s="15">
        <v>0.989150448529031</v>
      </c>
      <c r="I1049" s="15">
        <v>0.96068316247393504</v>
      </c>
      <c r="J1049" s="15">
        <v>1</v>
      </c>
      <c r="K1049" s="15"/>
      <c r="L1049" s="15"/>
      <c r="M1049" s="15"/>
      <c r="N1049" s="15"/>
      <c r="O1049" s="15"/>
      <c r="P1049" s="15"/>
      <c r="Q1049" s="15"/>
    </row>
    <row r="1050" spans="2:17" x14ac:dyDescent="0.2">
      <c r="B1050" t="s">
        <v>1696</v>
      </c>
      <c r="C1050" s="76" t="s">
        <v>3013</v>
      </c>
      <c r="D1050" t="s">
        <v>1472</v>
      </c>
      <c r="E1050" s="15">
        <v>1.43625088015656E-2</v>
      </c>
      <c r="F1050" s="15">
        <v>7.0007168357422905E-2</v>
      </c>
      <c r="G1050" s="15">
        <v>0.83744892636319002</v>
      </c>
      <c r="H1050" s="15">
        <v>0.989150448529031</v>
      </c>
      <c r="I1050" s="15">
        <v>0.91271551375326998</v>
      </c>
      <c r="J1050" s="15">
        <v>1</v>
      </c>
      <c r="K1050" s="15"/>
      <c r="L1050" s="15"/>
      <c r="M1050" s="15"/>
      <c r="N1050" s="15"/>
      <c r="O1050" s="15"/>
      <c r="P1050" s="15"/>
      <c r="Q1050" s="15"/>
    </row>
    <row r="1051" spans="2:17" x14ac:dyDescent="0.2">
      <c r="B1051" t="s">
        <v>1696</v>
      </c>
      <c r="C1051" s="76" t="s">
        <v>3013</v>
      </c>
      <c r="D1051" t="s">
        <v>1476</v>
      </c>
      <c r="E1051" s="15">
        <v>-9.1846866813833597E-2</v>
      </c>
      <c r="F1051" s="15">
        <v>4.7334075375988598E-2</v>
      </c>
      <c r="G1051" s="15">
        <v>5.2331540555854698E-2</v>
      </c>
      <c r="H1051" s="15">
        <v>0.98336317444700605</v>
      </c>
      <c r="I1051" s="15">
        <v>0.124978653673296</v>
      </c>
      <c r="J1051" s="15">
        <v>1</v>
      </c>
      <c r="K1051" s="15"/>
      <c r="L1051" s="15"/>
      <c r="M1051" s="15"/>
      <c r="N1051" s="15"/>
      <c r="O1051" s="15"/>
      <c r="P1051" s="15"/>
      <c r="Q1051" s="15"/>
    </row>
    <row r="1052" spans="2:17" x14ac:dyDescent="0.2">
      <c r="B1052" t="s">
        <v>1696</v>
      </c>
      <c r="C1052" s="76" t="s">
        <v>3013</v>
      </c>
      <c r="D1052" t="s">
        <v>3221</v>
      </c>
      <c r="E1052" s="15">
        <v>5.0056373562161902E-2</v>
      </c>
      <c r="F1052" s="15">
        <v>5.2256095183900703E-2</v>
      </c>
      <c r="G1052" s="15">
        <v>0.33811067745318901</v>
      </c>
      <c r="H1052" s="15">
        <v>0.989150448529031</v>
      </c>
      <c r="I1052" s="15">
        <v>0.50453573509634297</v>
      </c>
      <c r="J1052" s="15">
        <v>1</v>
      </c>
      <c r="K1052" s="15"/>
      <c r="L1052" s="15"/>
      <c r="M1052" s="15"/>
      <c r="N1052" s="15"/>
      <c r="O1052" s="15"/>
      <c r="P1052" s="15"/>
      <c r="Q1052" s="15"/>
    </row>
    <row r="1053" spans="2:17" x14ac:dyDescent="0.2">
      <c r="B1053" t="s">
        <v>1696</v>
      </c>
      <c r="C1053" s="76" t="s">
        <v>3013</v>
      </c>
      <c r="D1053" t="s">
        <v>3222</v>
      </c>
      <c r="E1053" s="15">
        <v>1.50762200254419E-2</v>
      </c>
      <c r="F1053" s="15">
        <v>6.5672339988301395E-2</v>
      </c>
      <c r="G1053" s="15">
        <v>0.81842803978772805</v>
      </c>
      <c r="H1053" s="15">
        <v>0.989150448529031</v>
      </c>
      <c r="I1053" s="15">
        <v>0.90423587765008895</v>
      </c>
      <c r="J1053" s="15">
        <v>1</v>
      </c>
      <c r="K1053" s="15"/>
      <c r="L1053" s="15"/>
      <c r="M1053" s="15"/>
      <c r="N1053" s="15"/>
      <c r="O1053" s="15"/>
      <c r="P1053" s="15"/>
      <c r="Q1053" s="15"/>
    </row>
    <row r="1054" spans="2:17" x14ac:dyDescent="0.2">
      <c r="B1054" t="s">
        <v>1696</v>
      </c>
      <c r="C1054" s="76" t="s">
        <v>3013</v>
      </c>
      <c r="D1054" t="s">
        <v>3223</v>
      </c>
      <c r="E1054" s="15">
        <v>-1.96038610720328E-2</v>
      </c>
      <c r="F1054" s="15">
        <v>4.1892341630000399E-2</v>
      </c>
      <c r="G1054" s="15">
        <v>0.63981454541044203</v>
      </c>
      <c r="H1054" s="15">
        <v>0.989150448529031</v>
      </c>
      <c r="I1054" s="15">
        <v>0.78397717236703501</v>
      </c>
      <c r="J1054" s="15">
        <v>1</v>
      </c>
      <c r="K1054" s="15"/>
      <c r="L1054" s="15"/>
      <c r="M1054" s="15"/>
      <c r="N1054" s="15"/>
      <c r="O1054" s="15"/>
      <c r="P1054" s="15"/>
      <c r="Q1054" s="15"/>
    </row>
    <row r="1055" spans="2:17" x14ac:dyDescent="0.2">
      <c r="B1055" t="s">
        <v>1696</v>
      </c>
      <c r="C1055" s="76" t="s">
        <v>3013</v>
      </c>
      <c r="D1055" t="s">
        <v>784</v>
      </c>
      <c r="E1055" s="15">
        <v>1.4256696098617599E-2</v>
      </c>
      <c r="F1055" s="15">
        <v>1.5436923847484499E-2</v>
      </c>
      <c r="G1055" s="15">
        <v>0.355776040804963</v>
      </c>
      <c r="H1055" s="15">
        <v>0.989150448529031</v>
      </c>
      <c r="I1055" s="15">
        <v>0.52422307688440795</v>
      </c>
      <c r="J1055" s="15">
        <v>1</v>
      </c>
      <c r="K1055" s="15"/>
      <c r="L1055" s="15"/>
      <c r="M1055" s="15"/>
      <c r="N1055" s="15"/>
      <c r="O1055" s="15"/>
      <c r="P1055" s="15"/>
      <c r="Q1055" s="15"/>
    </row>
    <row r="1056" spans="2:17" x14ac:dyDescent="0.2">
      <c r="B1056" t="s">
        <v>1696</v>
      </c>
      <c r="C1056" s="76" t="s">
        <v>3013</v>
      </c>
      <c r="D1056" t="s">
        <v>788</v>
      </c>
      <c r="E1056" s="15">
        <v>-2.6412872603812699E-3</v>
      </c>
      <c r="F1056" s="15">
        <v>1.57556969354972E-2</v>
      </c>
      <c r="G1056" s="15">
        <v>0.86687479817375002</v>
      </c>
      <c r="H1056" s="15">
        <v>0.989150448529031</v>
      </c>
      <c r="I1056" s="15">
        <v>0.92769700210442196</v>
      </c>
      <c r="J1056" s="15">
        <v>1</v>
      </c>
      <c r="K1056" s="15"/>
      <c r="L1056" s="15"/>
      <c r="M1056" s="15"/>
      <c r="N1056" s="15"/>
      <c r="O1056" s="15"/>
      <c r="P1056" s="15"/>
      <c r="Q1056" s="15"/>
    </row>
    <row r="1057" spans="2:19" x14ac:dyDescent="0.2">
      <c r="B1057" t="s">
        <v>1696</v>
      </c>
      <c r="C1057" s="76" t="s">
        <v>3013</v>
      </c>
      <c r="D1057" t="s">
        <v>794</v>
      </c>
      <c r="E1057" s="15">
        <v>3.0130403492893902E-3</v>
      </c>
      <c r="F1057" s="15">
        <v>1.46672633571762E-2</v>
      </c>
      <c r="G1057" s="15">
        <v>0.837248619446195</v>
      </c>
      <c r="H1057" s="15">
        <v>0.989150448529031</v>
      </c>
      <c r="I1057" s="15">
        <v>0.91271551375326998</v>
      </c>
      <c r="J1057" s="15">
        <v>1</v>
      </c>
      <c r="K1057" s="15"/>
      <c r="L1057" s="15"/>
      <c r="M1057" s="15"/>
      <c r="N1057" s="15"/>
      <c r="O1057" s="15"/>
      <c r="P1057" s="15"/>
      <c r="Q1057" s="15"/>
    </row>
    <row r="1058" spans="2:19" x14ac:dyDescent="0.2">
      <c r="B1058" t="s">
        <v>1696</v>
      </c>
      <c r="C1058" s="76" t="s">
        <v>3013</v>
      </c>
      <c r="D1058" t="s">
        <v>814</v>
      </c>
      <c r="E1058" s="15">
        <v>-4.6704170171257596E-3</v>
      </c>
      <c r="F1058" s="15">
        <v>1.58015757559213E-2</v>
      </c>
      <c r="G1058" s="15">
        <v>0.76757596066335099</v>
      </c>
      <c r="H1058" s="15">
        <v>0.989150448529031</v>
      </c>
      <c r="I1058" s="15">
        <v>0.87074477258046801</v>
      </c>
      <c r="J1058" s="15">
        <v>1</v>
      </c>
      <c r="K1058" s="15"/>
      <c r="L1058" s="15"/>
      <c r="M1058" s="15"/>
      <c r="N1058" s="15"/>
      <c r="O1058" s="15"/>
      <c r="P1058" s="15"/>
      <c r="Q1058" s="15"/>
    </row>
    <row r="1059" spans="2:19" x14ac:dyDescent="0.2">
      <c r="B1059" s="21" t="s">
        <v>1696</v>
      </c>
      <c r="C1059" s="77" t="s">
        <v>3013</v>
      </c>
      <c r="D1059" s="21" t="s">
        <v>94</v>
      </c>
      <c r="E1059" s="15">
        <v>-1.96206088909558E-2</v>
      </c>
      <c r="F1059" s="15">
        <v>1.3623828012283399E-2</v>
      </c>
      <c r="G1059" s="15">
        <v>0.149913027692957</v>
      </c>
      <c r="H1059" s="15">
        <v>0.989150448529031</v>
      </c>
      <c r="I1059" s="15">
        <v>0.284969809398324</v>
      </c>
      <c r="J1059" s="15">
        <v>1</v>
      </c>
      <c r="K1059" s="15"/>
      <c r="L1059" s="15"/>
      <c r="M1059" s="15"/>
      <c r="N1059" s="15"/>
      <c r="O1059" s="15"/>
      <c r="P1059" s="15"/>
      <c r="Q1059" s="15"/>
    </row>
    <row r="1060" spans="2:19" ht="16" customHeight="1" x14ac:dyDescent="0.2">
      <c r="B1060" s="137" t="s">
        <v>3224</v>
      </c>
      <c r="C1060" s="137"/>
      <c r="D1060" s="137"/>
      <c r="E1060" s="137"/>
      <c r="F1060" s="137"/>
      <c r="G1060" s="137"/>
      <c r="H1060" s="137"/>
      <c r="I1060" s="137"/>
      <c r="J1060" s="137"/>
      <c r="K1060" s="3"/>
      <c r="L1060" s="3"/>
      <c r="M1060" s="3"/>
      <c r="N1060" s="3"/>
      <c r="O1060" s="3"/>
      <c r="P1060" s="3"/>
      <c r="Q1060" s="3"/>
      <c r="R1060" s="3"/>
      <c r="S1060" s="3"/>
    </row>
    <row r="1061" spans="2:19" x14ac:dyDescent="0.2">
      <c r="B1061" s="135"/>
      <c r="C1061" s="135"/>
      <c r="D1061" s="135"/>
      <c r="E1061" s="135"/>
      <c r="F1061" s="135"/>
      <c r="G1061" s="135"/>
      <c r="H1061" s="135"/>
      <c r="I1061" s="135"/>
      <c r="J1061" s="135"/>
      <c r="K1061" s="3"/>
      <c r="L1061" s="3"/>
      <c r="M1061" s="3"/>
      <c r="N1061" s="3"/>
      <c r="O1061" s="3"/>
      <c r="P1061" s="3"/>
      <c r="Q1061" s="3"/>
    </row>
    <row r="1062" spans="2:19" x14ac:dyDescent="0.2">
      <c r="B1062" s="135"/>
      <c r="C1062" s="135"/>
      <c r="D1062" s="135"/>
      <c r="E1062" s="135"/>
      <c r="F1062" s="135"/>
      <c r="G1062" s="135"/>
      <c r="H1062" s="135"/>
      <c r="I1062" s="135"/>
      <c r="J1062" s="135"/>
    </row>
    <row r="1063" spans="2:19" x14ac:dyDescent="0.2">
      <c r="B1063" s="135"/>
      <c r="C1063" s="135"/>
      <c r="D1063" s="135"/>
      <c r="E1063" s="135"/>
      <c r="F1063" s="135"/>
      <c r="G1063" s="135"/>
      <c r="H1063" s="135"/>
      <c r="I1063" s="135"/>
      <c r="J1063" s="135"/>
    </row>
  </sheetData>
  <mergeCells count="4">
    <mergeCell ref="L8:Q11"/>
    <mergeCell ref="B3:J3"/>
    <mergeCell ref="L3:Q3"/>
    <mergeCell ref="B1060:J1063"/>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CE579-D2B1-7043-9F4A-2234CB3E0B40}">
  <dimension ref="B2:AG59"/>
  <sheetViews>
    <sheetView showGridLines="0" workbookViewId="0">
      <selection activeCell="F12" sqref="F12"/>
    </sheetView>
  </sheetViews>
  <sheetFormatPr baseColWidth="10" defaultRowHeight="16" x14ac:dyDescent="0.2"/>
  <cols>
    <col min="2" max="2" width="32.1640625" customWidth="1"/>
    <col min="3" max="3" width="17" customWidth="1"/>
    <col min="4" max="5" width="12.5" customWidth="1"/>
    <col min="6" max="6" width="16.5" customWidth="1"/>
    <col min="7" max="7" width="15.33203125" customWidth="1"/>
    <col min="8" max="8" width="15" customWidth="1"/>
    <col min="9" max="11" width="12.5" customWidth="1"/>
    <col min="12" max="12" width="17" customWidth="1"/>
    <col min="13" max="13" width="32.33203125" customWidth="1"/>
    <col min="14" max="14" width="18.33203125" customWidth="1"/>
    <col min="15" max="15" width="13.83203125" customWidth="1"/>
    <col min="16" max="16" width="13" customWidth="1"/>
    <col min="18" max="18" width="14.5" customWidth="1"/>
    <col min="19" max="19" width="16.5" customWidth="1"/>
    <col min="24" max="24" width="30.5" customWidth="1"/>
    <col min="25" max="25" width="16.83203125" customWidth="1"/>
    <col min="30" max="30" width="14.1640625" customWidth="1"/>
  </cols>
  <sheetData>
    <row r="2" spans="2:33" x14ac:dyDescent="0.2">
      <c r="B2" s="51" t="s">
        <v>8552</v>
      </c>
      <c r="C2" s="51"/>
      <c r="D2" s="51"/>
      <c r="E2" s="51"/>
      <c r="F2" s="51"/>
      <c r="G2" s="51"/>
      <c r="H2" s="51"/>
      <c r="I2" s="51"/>
      <c r="J2" s="51"/>
    </row>
    <row r="3" spans="2:33" x14ac:dyDescent="0.2">
      <c r="C3" s="139" t="s">
        <v>3229</v>
      </c>
      <c r="D3" s="139"/>
      <c r="E3" s="139"/>
      <c r="F3" s="139"/>
      <c r="G3" s="139"/>
      <c r="H3" s="139"/>
      <c r="I3" s="139"/>
      <c r="J3" s="139"/>
      <c r="L3" s="51"/>
      <c r="N3" s="139" t="s">
        <v>3231</v>
      </c>
      <c r="O3" s="139"/>
      <c r="P3" s="139"/>
      <c r="Q3" s="139"/>
      <c r="R3" s="139"/>
      <c r="S3" s="139"/>
      <c r="T3" s="139"/>
      <c r="U3" s="139"/>
      <c r="Y3" s="139" t="s">
        <v>3233</v>
      </c>
      <c r="Z3" s="139"/>
      <c r="AA3" s="139"/>
      <c r="AB3" s="139"/>
      <c r="AC3" s="139"/>
      <c r="AD3" s="139"/>
      <c r="AE3" s="139"/>
      <c r="AF3" s="139"/>
    </row>
    <row r="4" spans="2:33" x14ac:dyDescent="0.2">
      <c r="B4" s="52" t="s">
        <v>1722</v>
      </c>
      <c r="C4" s="45" t="s">
        <v>1723</v>
      </c>
      <c r="D4" s="45" t="s">
        <v>1724</v>
      </c>
      <c r="E4" s="45" t="s">
        <v>1725</v>
      </c>
      <c r="F4" s="45" t="s">
        <v>1726</v>
      </c>
      <c r="G4" s="45" t="s">
        <v>1969</v>
      </c>
      <c r="H4" s="45" t="s">
        <v>1727</v>
      </c>
      <c r="I4" s="45" t="s">
        <v>1724</v>
      </c>
      <c r="J4" s="45" t="s">
        <v>1725</v>
      </c>
      <c r="K4" s="45" t="s">
        <v>1728</v>
      </c>
      <c r="M4" s="52" t="s">
        <v>1722</v>
      </c>
      <c r="N4" s="45" t="s">
        <v>1723</v>
      </c>
      <c r="O4" s="45" t="s">
        <v>1724</v>
      </c>
      <c r="P4" s="45" t="s">
        <v>1725</v>
      </c>
      <c r="Q4" s="45" t="s">
        <v>1726</v>
      </c>
      <c r="R4" s="45" t="s">
        <v>1969</v>
      </c>
      <c r="S4" s="45" t="s">
        <v>1727</v>
      </c>
      <c r="T4" s="45" t="s">
        <v>1724</v>
      </c>
      <c r="U4" s="45" t="s">
        <v>1725</v>
      </c>
      <c r="V4" s="45" t="s">
        <v>1728</v>
      </c>
      <c r="X4" s="52" t="s">
        <v>1722</v>
      </c>
      <c r="Y4" s="45" t="s">
        <v>1723</v>
      </c>
      <c r="Z4" s="45" t="s">
        <v>1724</v>
      </c>
      <c r="AA4" s="45" t="s">
        <v>1725</v>
      </c>
      <c r="AB4" s="45" t="s">
        <v>1726</v>
      </c>
      <c r="AC4" s="45" t="s">
        <v>1969</v>
      </c>
      <c r="AD4" s="45" t="s">
        <v>1727</v>
      </c>
      <c r="AE4" s="45" t="s">
        <v>1724</v>
      </c>
      <c r="AF4" s="45" t="s">
        <v>1725</v>
      </c>
      <c r="AG4" s="45" t="s">
        <v>1728</v>
      </c>
    </row>
    <row r="5" spans="2:33" x14ac:dyDescent="0.2">
      <c r="B5" t="s">
        <v>865</v>
      </c>
      <c r="C5" s="79">
        <v>6.6740065308548901E-3</v>
      </c>
      <c r="D5" s="79">
        <v>2.5785829711924401E-3</v>
      </c>
      <c r="E5" s="79">
        <v>1.07694300905173E-2</v>
      </c>
      <c r="F5" s="79">
        <v>1.4031260634519401E-3</v>
      </c>
      <c r="G5" s="79">
        <v>7.0156303172597106E-2</v>
      </c>
      <c r="H5" s="79">
        <v>1.6566173158421401E-2</v>
      </c>
      <c r="I5" s="79">
        <v>6.3757202535978094E-2</v>
      </c>
      <c r="J5" s="79">
        <v>0.128695408040298</v>
      </c>
      <c r="K5" s="79">
        <v>6.2996674543569497E-9</v>
      </c>
      <c r="L5" s="15"/>
      <c r="M5" t="s">
        <v>865</v>
      </c>
      <c r="N5" s="79">
        <v>6.1831646207684797E-3</v>
      </c>
      <c r="O5" s="79">
        <v>2.1101232828485499E-3</v>
      </c>
      <c r="P5" s="79">
        <v>1.02562059586884E-2</v>
      </c>
      <c r="Q5" s="79">
        <v>2.9264121827472498E-3</v>
      </c>
      <c r="R5" s="79">
        <v>0.137541372589121</v>
      </c>
      <c r="S5" s="79">
        <v>1.66076701844486E-2</v>
      </c>
      <c r="T5" s="79">
        <v>6.4090603780336194E-2</v>
      </c>
      <c r="U5" s="79">
        <v>0.12919147463761399</v>
      </c>
      <c r="V5" s="79">
        <v>5.9179277034360203E-9</v>
      </c>
      <c r="X5" t="s">
        <v>865</v>
      </c>
      <c r="Y5" s="79">
        <v>6.40300276538288E-3</v>
      </c>
      <c r="Z5" s="79">
        <v>2.1624200701476598E-3</v>
      </c>
      <c r="AA5" s="79">
        <v>1.06435854606181E-2</v>
      </c>
      <c r="AB5" s="79">
        <v>3.0822117563906702E-3</v>
      </c>
      <c r="AC5" s="79">
        <v>0.157192799575924</v>
      </c>
      <c r="AD5" s="79">
        <v>1.66236395355993E-2</v>
      </c>
      <c r="AE5" s="79">
        <v>6.3909358047252299E-2</v>
      </c>
      <c r="AF5" s="79">
        <v>0.129072827610754</v>
      </c>
      <c r="AG5" s="79">
        <v>6.4577434510937304E-9</v>
      </c>
    </row>
    <row r="6" spans="2:33" x14ac:dyDescent="0.2">
      <c r="B6" s="51" t="s">
        <v>891</v>
      </c>
      <c r="C6" s="81">
        <v>8.0732351841721998E-3</v>
      </c>
      <c r="D6" s="81">
        <v>3.31103294566658E-3</v>
      </c>
      <c r="E6" s="81">
        <v>1.2835437422677801E-2</v>
      </c>
      <c r="F6" s="81">
        <v>8.9158734509009495E-4</v>
      </c>
      <c r="G6" s="81">
        <v>4.4579367254504697E-2</v>
      </c>
      <c r="H6" s="81">
        <v>1.5695676034711101E-2</v>
      </c>
      <c r="I6" s="81">
        <v>9.2959273385506302E-2</v>
      </c>
      <c r="J6" s="81">
        <v>0.15448519286759099</v>
      </c>
      <c r="K6" s="81">
        <v>3.1086244689504399E-15</v>
      </c>
      <c r="L6" s="15"/>
      <c r="M6" t="s">
        <v>175</v>
      </c>
      <c r="N6" s="79">
        <v>-3.15421707715066E-3</v>
      </c>
      <c r="O6" s="79">
        <v>-5.6462890576850699E-3</v>
      </c>
      <c r="P6" s="79">
        <v>-6.62145096616254E-4</v>
      </c>
      <c r="Q6" s="79">
        <v>1.31114509661587E-2</v>
      </c>
      <c r="R6" s="79">
        <v>0.61623819540946001</v>
      </c>
      <c r="S6" s="79">
        <v>1.49073306635229E-2</v>
      </c>
      <c r="T6" s="79">
        <v>-9.4684129600673794E-2</v>
      </c>
      <c r="U6" s="79">
        <v>-3.6248467188404701E-2</v>
      </c>
      <c r="V6" s="79">
        <v>1.12545084638427E-5</v>
      </c>
      <c r="X6" t="s">
        <v>175</v>
      </c>
      <c r="Y6" s="79">
        <v>-3.20595475207788E-3</v>
      </c>
      <c r="Z6" s="79">
        <v>-5.7316044697534804E-3</v>
      </c>
      <c r="AA6" s="79">
        <v>-6.8030503440229099E-4</v>
      </c>
      <c r="AB6" s="79">
        <v>1.2850101540225801E-2</v>
      </c>
      <c r="AC6" s="79">
        <v>0.65535517855151604</v>
      </c>
      <c r="AD6" s="79">
        <v>1.4911291376951E-2</v>
      </c>
      <c r="AE6" s="79">
        <v>-9.4096650967940398E-2</v>
      </c>
      <c r="AF6" s="79">
        <v>-3.5645462844327097E-2</v>
      </c>
      <c r="AG6" s="79">
        <v>1.35848903262126E-5</v>
      </c>
    </row>
    <row r="7" spans="2:33" x14ac:dyDescent="0.2">
      <c r="B7" t="s">
        <v>3189</v>
      </c>
      <c r="C7" s="79">
        <v>4.4925382802971101E-3</v>
      </c>
      <c r="D7" s="79">
        <v>1.35506814324111E-3</v>
      </c>
      <c r="E7" s="79">
        <v>7.6300084173531197E-3</v>
      </c>
      <c r="F7" s="79">
        <v>5.0087704380303898E-3</v>
      </c>
      <c r="G7" s="79">
        <v>0.250438521901519</v>
      </c>
      <c r="H7" s="79">
        <v>1.45806857213432E-2</v>
      </c>
      <c r="I7" s="79">
        <v>3.9312839516200501E-2</v>
      </c>
      <c r="J7" s="79">
        <v>9.6468077283660705E-2</v>
      </c>
      <c r="K7" s="79">
        <v>3.2211304366036599E-6</v>
      </c>
      <c r="L7" s="15"/>
      <c r="M7" t="s">
        <v>891</v>
      </c>
      <c r="N7" s="79">
        <v>6.7973694549076803E-3</v>
      </c>
      <c r="O7" s="79">
        <v>2.3836041355301098E-3</v>
      </c>
      <c r="P7" s="79">
        <v>1.12111347742853E-2</v>
      </c>
      <c r="Q7" s="79">
        <v>2.5409613656937101E-3</v>
      </c>
      <c r="R7" s="79">
        <v>0.11942518418760401</v>
      </c>
      <c r="S7" s="79">
        <v>1.5770124219176999E-2</v>
      </c>
      <c r="T7" s="79">
        <v>9.3993209644358894E-2</v>
      </c>
      <c r="U7" s="79">
        <v>0.155810960646978</v>
      </c>
      <c r="V7" s="79">
        <v>2.4424906541753401E-15</v>
      </c>
      <c r="X7" t="s">
        <v>891</v>
      </c>
      <c r="Y7" s="79">
        <v>7.0568210260656397E-3</v>
      </c>
      <c r="Z7" s="79">
        <v>2.42579477746558E-3</v>
      </c>
      <c r="AA7" s="79">
        <v>1.1687847274665699E-2</v>
      </c>
      <c r="AB7" s="79">
        <v>2.8208021885793898E-3</v>
      </c>
      <c r="AC7" s="79">
        <v>0.14386091161754899</v>
      </c>
      <c r="AD7" s="79">
        <v>1.57719179273468E-2</v>
      </c>
      <c r="AE7" s="79">
        <v>9.3493247522807202E-2</v>
      </c>
      <c r="AF7" s="79">
        <v>0.15531802973225001</v>
      </c>
      <c r="AG7" s="79">
        <v>3.1086244689504399E-15</v>
      </c>
    </row>
    <row r="8" spans="2:33" x14ac:dyDescent="0.2">
      <c r="B8" t="s">
        <v>927</v>
      </c>
      <c r="C8" s="79">
        <v>4.3441710950298199E-3</v>
      </c>
      <c r="D8" s="79">
        <v>1.3853078053830401E-3</v>
      </c>
      <c r="E8" s="79">
        <v>7.3030343846766004E-3</v>
      </c>
      <c r="F8" s="79">
        <v>4.0071550713567401E-3</v>
      </c>
      <c r="G8" s="79">
        <v>0.200357753567837</v>
      </c>
      <c r="H8" s="79">
        <v>1.50045653925476E-2</v>
      </c>
      <c r="I8" s="79">
        <v>9.1052896710018205E-2</v>
      </c>
      <c r="J8" s="79">
        <v>0.149869712256157</v>
      </c>
      <c r="K8" s="79">
        <v>8.8817841970012504E-16</v>
      </c>
      <c r="L8" s="15"/>
      <c r="M8" t="s">
        <v>927</v>
      </c>
      <c r="N8" s="79">
        <v>3.9664293319379897E-3</v>
      </c>
      <c r="O8" s="79">
        <v>1.0937318361375101E-3</v>
      </c>
      <c r="P8" s="79">
        <v>6.8391268277384603E-3</v>
      </c>
      <c r="Q8" s="79">
        <v>6.8060564253544804E-3</v>
      </c>
      <c r="R8" s="79">
        <v>0.319884651991661</v>
      </c>
      <c r="S8" s="79">
        <v>1.5013786593905801E-2</v>
      </c>
      <c r="T8" s="79">
        <v>9.1373764665931306E-2</v>
      </c>
      <c r="U8" s="79">
        <v>0.15022672665718301</v>
      </c>
      <c r="V8" s="79">
        <v>8.8817841970012504E-16</v>
      </c>
      <c r="X8" t="s">
        <v>3189</v>
      </c>
      <c r="Y8" s="79">
        <v>3.9155728808545698E-3</v>
      </c>
      <c r="Z8" s="79">
        <v>9.4835897924549204E-4</v>
      </c>
      <c r="AA8" s="79">
        <v>6.88278678246364E-3</v>
      </c>
      <c r="AB8" s="79">
        <v>9.6986224587420899E-3</v>
      </c>
      <c r="AC8" s="79">
        <v>0.49462974539584698</v>
      </c>
      <c r="AD8" s="79">
        <v>1.45885726223767E-2</v>
      </c>
      <c r="AE8" s="79">
        <v>3.94148870506126E-2</v>
      </c>
      <c r="AF8" s="79">
        <v>9.6601040902023302E-2</v>
      </c>
      <c r="AG8" s="79">
        <v>3.1356475258537101E-6</v>
      </c>
    </row>
    <row r="9" spans="2:33" x14ac:dyDescent="0.2">
      <c r="B9" t="s">
        <v>935</v>
      </c>
      <c r="C9" s="79">
        <v>3.7492564158807199E-3</v>
      </c>
      <c r="D9" s="79">
        <v>1.0289421886802699E-3</v>
      </c>
      <c r="E9" s="79">
        <v>6.4695706430811803E-3</v>
      </c>
      <c r="F9" s="79">
        <v>6.9067272043010801E-3</v>
      </c>
      <c r="G9" s="79">
        <v>0.34533636021505398</v>
      </c>
      <c r="H9" s="79">
        <v>1.48932692732859E-2</v>
      </c>
      <c r="I9" s="79">
        <v>4.7534440129323299E-2</v>
      </c>
      <c r="J9" s="79">
        <v>0.105914982904718</v>
      </c>
      <c r="K9" s="79">
        <v>2.5822299565270199E-7</v>
      </c>
      <c r="L9" s="15"/>
      <c r="M9" t="s">
        <v>3191</v>
      </c>
      <c r="N9" s="79">
        <v>4.0000962241283303E-3</v>
      </c>
      <c r="O9" s="79">
        <v>1.1777498057739201E-3</v>
      </c>
      <c r="P9" s="79">
        <v>6.8224426424827499E-3</v>
      </c>
      <c r="Q9" s="79">
        <v>5.4720496864326699E-3</v>
      </c>
      <c r="R9" s="79">
        <v>0.25718633526233498</v>
      </c>
      <c r="S9" s="79">
        <v>1.4611190362396199E-2</v>
      </c>
      <c r="T9" s="79">
        <v>8.4373031459731199E-2</v>
      </c>
      <c r="U9" s="79">
        <v>0.14164784522284199</v>
      </c>
      <c r="V9" s="79">
        <v>1.04360964314765E-14</v>
      </c>
      <c r="X9" t="s">
        <v>927</v>
      </c>
      <c r="Y9" s="79">
        <v>4.1686706220510697E-3</v>
      </c>
      <c r="Z9" s="79">
        <v>1.18089108157248E-3</v>
      </c>
      <c r="AA9" s="79">
        <v>7.1564501625296598E-3</v>
      </c>
      <c r="AB9" s="79">
        <v>6.24521621060725E-3</v>
      </c>
      <c r="AC9" s="79">
        <v>0.31850602674097001</v>
      </c>
      <c r="AD9" s="79">
        <v>1.5016804062106801E-2</v>
      </c>
      <c r="AE9" s="79">
        <v>9.1275463558378803E-2</v>
      </c>
      <c r="AF9" s="79">
        <v>0.15014025380762699</v>
      </c>
      <c r="AG9" s="79">
        <v>8.8817841970012504E-16</v>
      </c>
    </row>
    <row r="10" spans="2:33" x14ac:dyDescent="0.2">
      <c r="B10" t="s">
        <v>940</v>
      </c>
      <c r="C10" s="79">
        <v>3.7205825891308401E-3</v>
      </c>
      <c r="D10" s="79">
        <v>1.00926669704887E-3</v>
      </c>
      <c r="E10" s="79">
        <v>6.4318984812128102E-3</v>
      </c>
      <c r="F10" s="79">
        <v>7.1549359265072896E-3</v>
      </c>
      <c r="G10" s="79">
        <v>0.35774679632536399</v>
      </c>
      <c r="H10" s="79">
        <v>1.5085690697718901E-2</v>
      </c>
      <c r="I10" s="79">
        <v>6.1973124468236197E-2</v>
      </c>
      <c r="J10" s="79">
        <v>0.121107945367116</v>
      </c>
      <c r="K10" s="79">
        <v>1.2948278005353601E-9</v>
      </c>
      <c r="L10" s="15"/>
      <c r="M10" t="s">
        <v>3194</v>
      </c>
      <c r="N10" s="79">
        <v>3.67202745118789E-3</v>
      </c>
      <c r="O10" s="79">
        <v>9.2666854226734698E-4</v>
      </c>
      <c r="P10" s="79">
        <v>6.4173863601084402E-3</v>
      </c>
      <c r="Q10" s="79">
        <v>8.7535981545148207E-3</v>
      </c>
      <c r="R10" s="79">
        <v>0.41141911326219699</v>
      </c>
      <c r="S10" s="79">
        <v>1.47271138914095E-2</v>
      </c>
      <c r="T10" s="79">
        <v>5.3656205945652298E-2</v>
      </c>
      <c r="U10" s="79">
        <v>0.111385431592417</v>
      </c>
      <c r="V10" s="79">
        <v>2.1027731333944601E-8</v>
      </c>
      <c r="X10" t="s">
        <v>935</v>
      </c>
      <c r="Y10" s="79">
        <v>3.67063460565516E-3</v>
      </c>
      <c r="Z10" s="79">
        <v>8.8285812664017495E-4</v>
      </c>
      <c r="AA10" s="79">
        <v>6.4584110846701501E-3</v>
      </c>
      <c r="AB10" s="79">
        <v>9.8610789942663608E-3</v>
      </c>
      <c r="AC10" s="79">
        <v>0.50291502870758398</v>
      </c>
      <c r="AD10" s="79">
        <v>1.4915540289096E-2</v>
      </c>
      <c r="AE10" s="79">
        <v>4.7587162457665699E-2</v>
      </c>
      <c r="AF10" s="79">
        <v>0.10605500601083399</v>
      </c>
      <c r="AG10" s="79">
        <v>2.5992354735215899E-7</v>
      </c>
    </row>
    <row r="11" spans="2:33" x14ac:dyDescent="0.2">
      <c r="B11" t="s">
        <v>944</v>
      </c>
      <c r="C11" s="79">
        <v>3.9677777905798503E-3</v>
      </c>
      <c r="D11" s="79">
        <v>1.21670282488122E-3</v>
      </c>
      <c r="E11" s="79">
        <v>6.7188527562784799E-3</v>
      </c>
      <c r="F11" s="79">
        <v>4.7017664184274598E-3</v>
      </c>
      <c r="G11" s="79">
        <v>0.235088320921373</v>
      </c>
      <c r="H11" s="79">
        <v>1.49555812955701E-2</v>
      </c>
      <c r="I11" s="79">
        <v>5.5964348080474097E-2</v>
      </c>
      <c r="J11" s="79">
        <v>0.114589149494831</v>
      </c>
      <c r="K11" s="79">
        <v>1.1840870284274301E-8</v>
      </c>
      <c r="L11" s="15"/>
      <c r="M11" t="s">
        <v>1059</v>
      </c>
      <c r="N11" s="79">
        <v>5.8614982445959699E-3</v>
      </c>
      <c r="O11" s="79">
        <v>1.6703941537091599E-3</v>
      </c>
      <c r="P11" s="79">
        <v>1.00526023354828E-2</v>
      </c>
      <c r="Q11" s="79">
        <v>6.1229864541130202E-3</v>
      </c>
      <c r="R11" s="79">
        <v>0.28778036334331197</v>
      </c>
      <c r="S11" s="79">
        <v>1.61591933790107E-2</v>
      </c>
      <c r="T11" s="79">
        <v>6.9874805073407806E-2</v>
      </c>
      <c r="U11" s="79">
        <v>0.13321767915756599</v>
      </c>
      <c r="V11" s="79">
        <v>3.2972491403882001E-10</v>
      </c>
      <c r="X11" t="s">
        <v>3191</v>
      </c>
      <c r="Y11" s="79">
        <v>3.9612924995961196E-3</v>
      </c>
      <c r="Z11" s="79">
        <v>1.12799381345102E-3</v>
      </c>
      <c r="AA11" s="79">
        <v>6.7945911857412201E-3</v>
      </c>
      <c r="AB11" s="79">
        <v>6.1389572391734601E-3</v>
      </c>
      <c r="AC11" s="79">
        <v>0.31308681919784598</v>
      </c>
      <c r="AD11" s="79">
        <v>1.4622144042854999E-2</v>
      </c>
      <c r="AE11" s="79">
        <v>8.4351305539979798E-2</v>
      </c>
      <c r="AF11" s="79">
        <v>0.14166905694148499</v>
      </c>
      <c r="AG11" s="79">
        <v>1.0880185641326499E-14</v>
      </c>
    </row>
    <row r="12" spans="2:33" x14ac:dyDescent="0.2">
      <c r="B12" t="s">
        <v>3191</v>
      </c>
      <c r="C12" s="79">
        <v>4.9892558000520304E-3</v>
      </c>
      <c r="D12" s="79">
        <v>1.8089907297458301E-3</v>
      </c>
      <c r="E12" s="79">
        <v>8.1695208703582399E-3</v>
      </c>
      <c r="F12" s="79">
        <v>2.10625404974873E-3</v>
      </c>
      <c r="G12" s="79">
        <v>0.105312702487437</v>
      </c>
      <c r="H12" s="79">
        <v>1.4610221989005899E-2</v>
      </c>
      <c r="I12" s="79">
        <v>8.3442969620077204E-2</v>
      </c>
      <c r="J12" s="79">
        <v>0.14071398742925101</v>
      </c>
      <c r="K12" s="79">
        <v>1.7097434579227401E-14</v>
      </c>
      <c r="L12" s="15"/>
      <c r="M12" t="s">
        <v>1060</v>
      </c>
      <c r="N12" s="79">
        <v>4.0308495568744801E-3</v>
      </c>
      <c r="O12" s="79">
        <v>8.5622944291423103E-4</v>
      </c>
      <c r="P12" s="79">
        <v>7.2054696708347401E-3</v>
      </c>
      <c r="Q12" s="79">
        <v>1.2825167055552599E-2</v>
      </c>
      <c r="R12" s="79">
        <v>0.602782851610972</v>
      </c>
      <c r="S12" s="79">
        <v>1.6682658094110101E-2</v>
      </c>
      <c r="T12" s="79">
        <v>6.2105010908067401E-2</v>
      </c>
      <c r="U12" s="79">
        <v>0.12749982896977</v>
      </c>
      <c r="V12" s="79">
        <v>1.32590358692397E-8</v>
      </c>
      <c r="X12" t="s">
        <v>3194</v>
      </c>
      <c r="Y12" s="79">
        <v>3.5514535329924102E-3</v>
      </c>
      <c r="Z12" s="79">
        <v>8.3456610838554199E-4</v>
      </c>
      <c r="AA12" s="79">
        <v>6.2683409575992697E-3</v>
      </c>
      <c r="AB12" s="79">
        <v>1.04065204498649E-2</v>
      </c>
      <c r="AC12" s="79">
        <v>0.53073254294311001</v>
      </c>
      <c r="AD12" s="79">
        <v>1.47251844912801E-2</v>
      </c>
      <c r="AE12" s="79">
        <v>5.3739999528511301E-2</v>
      </c>
      <c r="AF12" s="79">
        <v>0.111461662065745</v>
      </c>
      <c r="AG12" s="79">
        <v>2.02919290259729E-8</v>
      </c>
    </row>
    <row r="13" spans="2:33" x14ac:dyDescent="0.2">
      <c r="B13" t="s">
        <v>3194</v>
      </c>
      <c r="C13" s="79">
        <v>4.4900992655856498E-3</v>
      </c>
      <c r="D13" s="79">
        <v>1.4085643887861499E-3</v>
      </c>
      <c r="E13" s="79">
        <v>7.5716341423851599E-3</v>
      </c>
      <c r="F13" s="79">
        <v>4.29204056334021E-3</v>
      </c>
      <c r="G13" s="79">
        <v>0.21460202816700999</v>
      </c>
      <c r="H13" s="79">
        <v>1.47320987980237E-2</v>
      </c>
      <c r="I13" s="79">
        <v>5.2879757604889603E-2</v>
      </c>
      <c r="J13" s="79">
        <v>0.11062852372651399</v>
      </c>
      <c r="K13" s="79">
        <v>2.8667039631002899E-8</v>
      </c>
      <c r="L13" s="15"/>
      <c r="M13" t="s">
        <v>324</v>
      </c>
      <c r="N13" s="79">
        <v>4.6031697548200804E-3</v>
      </c>
      <c r="O13" s="79">
        <v>1.3930392466601799E-3</v>
      </c>
      <c r="P13" s="79">
        <v>7.8133002629799803E-3</v>
      </c>
      <c r="Q13" s="79">
        <v>4.9465779302488898E-3</v>
      </c>
      <c r="R13" s="79">
        <v>0.23248916272169801</v>
      </c>
      <c r="S13" s="79">
        <v>1.6176185808539099E-2</v>
      </c>
      <c r="T13" s="79">
        <v>4.2257070681268702E-2</v>
      </c>
      <c r="U13" s="79">
        <v>0.10566655386519801</v>
      </c>
      <c r="V13" s="79">
        <v>4.8247962307623704E-6</v>
      </c>
      <c r="X13" t="s">
        <v>3196</v>
      </c>
      <c r="Y13" s="79">
        <v>3.59438279300036E-3</v>
      </c>
      <c r="Z13" s="79">
        <v>8.3385531633776598E-4</v>
      </c>
      <c r="AA13" s="79">
        <v>6.3549102696629596E-3</v>
      </c>
      <c r="AB13" s="79">
        <v>1.07107108923503E-2</v>
      </c>
      <c r="AC13" s="79">
        <v>0.54624625550986605</v>
      </c>
      <c r="AD13" s="79">
        <v>1.5388816626112601E-2</v>
      </c>
      <c r="AE13" s="79">
        <v>8.4623154765446407E-2</v>
      </c>
      <c r="AF13" s="79">
        <v>0.14494620746919001</v>
      </c>
      <c r="AG13" s="79">
        <v>8.7263529735537304E-14</v>
      </c>
    </row>
    <row r="14" spans="2:33" x14ac:dyDescent="0.2">
      <c r="B14" t="s">
        <v>3196</v>
      </c>
      <c r="C14" s="79">
        <v>4.8891129287657901E-3</v>
      </c>
      <c r="D14" s="79">
        <v>1.6665604186917001E-3</v>
      </c>
      <c r="E14" s="79">
        <v>8.1116654388398799E-3</v>
      </c>
      <c r="F14" s="79">
        <v>2.9435732003200198E-3</v>
      </c>
      <c r="G14" s="79">
        <v>0.147178660016001</v>
      </c>
      <c r="H14" s="79">
        <v>1.5378843226173101E-2</v>
      </c>
      <c r="I14" s="79">
        <v>8.3285697964923702E-2</v>
      </c>
      <c r="J14" s="79">
        <v>0.143569655659298</v>
      </c>
      <c r="K14" s="79">
        <v>1.63646873829748E-13</v>
      </c>
      <c r="L14" s="15"/>
      <c r="M14" t="s">
        <v>328</v>
      </c>
      <c r="N14" s="79">
        <v>3.5632329472874398E-3</v>
      </c>
      <c r="O14" s="79">
        <v>9.6088068581566901E-4</v>
      </c>
      <c r="P14" s="79">
        <v>6.1655852087592203E-3</v>
      </c>
      <c r="Q14" s="79">
        <v>7.2822830620349298E-3</v>
      </c>
      <c r="R14" s="79">
        <v>0.34226730391564197</v>
      </c>
      <c r="S14" s="79">
        <v>1.5886486426086598E-2</v>
      </c>
      <c r="T14" s="79">
        <v>2.7674469419172999E-2</v>
      </c>
      <c r="U14" s="79">
        <v>8.9948351891201206E-2</v>
      </c>
      <c r="V14" s="79">
        <v>2.1392583996426899E-4</v>
      </c>
      <c r="X14" t="s">
        <v>1059</v>
      </c>
      <c r="Y14" s="79">
        <v>6.1123003599153902E-3</v>
      </c>
      <c r="Z14" s="79">
        <v>1.6884131015339799E-3</v>
      </c>
      <c r="AA14" s="79">
        <v>1.05361876182968E-2</v>
      </c>
      <c r="AB14" s="79">
        <v>6.7689936082859798E-3</v>
      </c>
      <c r="AC14" s="79">
        <v>0.34521867402258499</v>
      </c>
      <c r="AD14" s="79">
        <v>1.6142887054883599E-2</v>
      </c>
      <c r="AE14" s="79">
        <v>6.9392046433934998E-2</v>
      </c>
      <c r="AF14" s="79">
        <v>0.13267100090207501</v>
      </c>
      <c r="AG14" s="79">
        <v>3.8850256345313002E-10</v>
      </c>
    </row>
    <row r="15" spans="2:33" x14ac:dyDescent="0.2">
      <c r="B15" t="s">
        <v>1059</v>
      </c>
      <c r="C15" s="79">
        <v>6.9330014689636303E-3</v>
      </c>
      <c r="D15" s="79">
        <v>2.47606379407857E-3</v>
      </c>
      <c r="E15" s="79">
        <v>1.13899391438487E-2</v>
      </c>
      <c r="F15" s="79">
        <v>2.2973652012661101E-3</v>
      </c>
      <c r="G15" s="79">
        <v>0.114868260063306</v>
      </c>
      <c r="H15" s="79">
        <v>1.6141325098569501E-2</v>
      </c>
      <c r="I15" s="79">
        <v>6.88978316156377E-2</v>
      </c>
      <c r="J15" s="79">
        <v>0.13217066332753499</v>
      </c>
      <c r="K15" s="79">
        <v>4.7129389280087304E-10</v>
      </c>
      <c r="L15" s="15"/>
      <c r="M15" t="s">
        <v>1069</v>
      </c>
      <c r="N15" s="79">
        <v>-3.1498882437918201E-3</v>
      </c>
      <c r="O15" s="79">
        <v>-5.66731129282033E-3</v>
      </c>
      <c r="P15" s="79">
        <v>-6.3246519476330902E-4</v>
      </c>
      <c r="Q15" s="79">
        <v>1.4191633841643901E-2</v>
      </c>
      <c r="R15" s="79">
        <v>0.66700679055726297</v>
      </c>
      <c r="S15" s="79">
        <v>1.5217867913981199E-2</v>
      </c>
      <c r="T15" s="79">
        <v>-0.144136775683394</v>
      </c>
      <c r="U15" s="79">
        <v>-8.4483829617612499E-2</v>
      </c>
      <c r="V15" s="79">
        <v>5.8397731095283196E-14</v>
      </c>
      <c r="X15" t="s">
        <v>1060</v>
      </c>
      <c r="Y15" s="79">
        <v>4.1974864623318701E-3</v>
      </c>
      <c r="Z15" s="79">
        <v>8.6622431800050003E-4</v>
      </c>
      <c r="AA15" s="79">
        <v>7.5287486066632301E-3</v>
      </c>
      <c r="AB15" s="79">
        <v>1.3525997339265201E-2</v>
      </c>
      <c r="AC15" s="79">
        <v>0.68982586430252402</v>
      </c>
      <c r="AD15" s="79">
        <v>1.66734711823944E-2</v>
      </c>
      <c r="AE15" s="79">
        <v>6.1638970850359499E-2</v>
      </c>
      <c r="AF15" s="79">
        <v>0.12699777687987801</v>
      </c>
      <c r="AG15" s="79">
        <v>1.5422764843009401E-8</v>
      </c>
    </row>
    <row r="16" spans="2:33" x14ac:dyDescent="0.2">
      <c r="B16" t="s">
        <v>1060</v>
      </c>
      <c r="C16" s="79">
        <v>4.5071190524000604E-3</v>
      </c>
      <c r="D16" s="79">
        <v>1.2203070558501801E-3</v>
      </c>
      <c r="E16" s="79">
        <v>7.7939310489499401E-3</v>
      </c>
      <c r="F16" s="79">
        <v>7.1957381515694897E-3</v>
      </c>
      <c r="G16" s="79">
        <v>0.35978690757847398</v>
      </c>
      <c r="H16" s="79">
        <v>1.6663856558283199E-2</v>
      </c>
      <c r="I16" s="79">
        <v>6.1707615275761803E-2</v>
      </c>
      <c r="J16" s="79">
        <v>0.12702873267131501</v>
      </c>
      <c r="K16" s="79">
        <v>1.4870991105198101E-8</v>
      </c>
      <c r="L16" s="15"/>
      <c r="M16" t="s">
        <v>1072</v>
      </c>
      <c r="N16" s="79">
        <v>-3.9579132662097196E-3</v>
      </c>
      <c r="O16" s="79">
        <v>-6.9033507454206002E-3</v>
      </c>
      <c r="P16" s="79">
        <v>-1.0124757869988401E-3</v>
      </c>
      <c r="Q16" s="79">
        <v>8.4462714498883002E-3</v>
      </c>
      <c r="R16" s="79">
        <v>0.39697475814474997</v>
      </c>
      <c r="S16" s="79">
        <v>1.56022196195132E-2</v>
      </c>
      <c r="T16" s="79">
        <v>-0.16916311103340101</v>
      </c>
      <c r="U16" s="79">
        <v>-0.10800353396714001</v>
      </c>
      <c r="V16" s="79">
        <v>0</v>
      </c>
      <c r="X16" t="s">
        <v>324</v>
      </c>
      <c r="Y16" s="79">
        <v>4.7348548681838401E-3</v>
      </c>
      <c r="Z16" s="79">
        <v>1.4209017013157299E-3</v>
      </c>
      <c r="AA16" s="79">
        <v>8.0488080350519502E-3</v>
      </c>
      <c r="AB16" s="79">
        <v>5.1051221975100302E-3</v>
      </c>
      <c r="AC16" s="79">
        <v>0.26036123207301098</v>
      </c>
      <c r="AD16" s="79">
        <v>1.6191580108413602E-2</v>
      </c>
      <c r="AE16" s="79">
        <v>4.19134285744917E-2</v>
      </c>
      <c r="AF16" s="79">
        <v>0.105383256305063</v>
      </c>
      <c r="AG16" s="79">
        <v>5.4014738113394898E-6</v>
      </c>
    </row>
    <row r="17" spans="2:33" x14ac:dyDescent="0.2">
      <c r="B17" t="s">
        <v>324</v>
      </c>
      <c r="C17" s="79">
        <v>4.7325690020888298E-3</v>
      </c>
      <c r="D17" s="79">
        <v>1.6399330124083301E-3</v>
      </c>
      <c r="E17" s="79">
        <v>7.8252049917693304E-3</v>
      </c>
      <c r="F17" s="79">
        <v>2.7062321360393801E-3</v>
      </c>
      <c r="G17" s="79">
        <v>0.13531160680196899</v>
      </c>
      <c r="H17" s="79">
        <v>1.6176137310645301E-2</v>
      </c>
      <c r="I17" s="79">
        <v>4.2180590535784303E-2</v>
      </c>
      <c r="J17" s="79">
        <v>0.105589883611463</v>
      </c>
      <c r="K17" s="79">
        <v>4.9346947159634203E-6</v>
      </c>
      <c r="L17" s="15"/>
      <c r="M17" t="s">
        <v>1075</v>
      </c>
      <c r="N17" s="79">
        <v>-3.1095773275018799E-3</v>
      </c>
      <c r="O17" s="79">
        <v>-5.6589992875666698E-3</v>
      </c>
      <c r="P17" s="79">
        <v>-5.6015536743708304E-4</v>
      </c>
      <c r="Q17" s="79">
        <v>1.6820662300800301E-2</v>
      </c>
      <c r="R17" s="79">
        <v>0.79057112813761199</v>
      </c>
      <c r="S17" s="79">
        <v>1.5628233439113601E-2</v>
      </c>
      <c r="T17" s="79">
        <v>-0.14883780138219499</v>
      </c>
      <c r="U17" s="79">
        <v>-8.7576252016900502E-2</v>
      </c>
      <c r="V17" s="79">
        <v>3.9079850466805498E-14</v>
      </c>
      <c r="X17" t="s">
        <v>328</v>
      </c>
      <c r="Y17" s="79">
        <v>3.70366768945704E-3</v>
      </c>
      <c r="Z17" s="79">
        <v>9.9315085005561698E-4</v>
      </c>
      <c r="AA17" s="79">
        <v>6.4141845288584699E-3</v>
      </c>
      <c r="AB17" s="79">
        <v>7.4039467178395098E-3</v>
      </c>
      <c r="AC17" s="79">
        <v>0.37760128260981501</v>
      </c>
      <c r="AD17" s="79">
        <v>1.5893857278795599E-2</v>
      </c>
      <c r="AE17" s="79">
        <v>2.74626797864269E-2</v>
      </c>
      <c r="AF17" s="79">
        <v>8.9765455470145403E-2</v>
      </c>
      <c r="AG17" s="79">
        <v>2.2616214910642401E-4</v>
      </c>
    </row>
    <row r="18" spans="2:33" x14ac:dyDescent="0.2">
      <c r="B18" t="s">
        <v>1069</v>
      </c>
      <c r="C18" s="79">
        <v>-4.0213950353398904E-3</v>
      </c>
      <c r="D18" s="79">
        <v>-6.8941513755273898E-3</v>
      </c>
      <c r="E18" s="79">
        <v>-1.1486386951523901E-3</v>
      </c>
      <c r="F18" s="79">
        <v>6.0763406112747101E-3</v>
      </c>
      <c r="G18" s="79">
        <v>0.30381703056373599</v>
      </c>
      <c r="H18" s="79">
        <v>1.52074859714536E-2</v>
      </c>
      <c r="I18" s="79">
        <v>-0.143293873215811</v>
      </c>
      <c r="J18" s="79">
        <v>-8.3681623616916598E-2</v>
      </c>
      <c r="K18" s="79">
        <v>8.4821039081361998E-14</v>
      </c>
      <c r="L18" s="15"/>
      <c r="M18" t="s">
        <v>1077</v>
      </c>
      <c r="N18" s="79">
        <v>3.35591527417691E-3</v>
      </c>
      <c r="O18" s="79">
        <v>7.0805517993883702E-4</v>
      </c>
      <c r="P18" s="79">
        <v>6.0037753684149698E-3</v>
      </c>
      <c r="Q18" s="79">
        <v>1.2988982493271E-2</v>
      </c>
      <c r="R18" s="79">
        <v>0.61048217718373499</v>
      </c>
      <c r="S18" s="79">
        <v>1.5656558751678599E-2</v>
      </c>
      <c r="T18" s="79">
        <v>7.9889412245036304E-2</v>
      </c>
      <c r="U18" s="79">
        <v>0.141261994795287</v>
      </c>
      <c r="V18" s="79">
        <v>1.6344703368531599E-12</v>
      </c>
      <c r="X18" t="s">
        <v>1069</v>
      </c>
      <c r="Y18" s="79">
        <v>-3.38337300397494E-3</v>
      </c>
      <c r="Z18" s="79">
        <v>-6.0351359292761904E-3</v>
      </c>
      <c r="AA18" s="79">
        <v>-7.3161007867367895E-4</v>
      </c>
      <c r="AB18" s="79">
        <v>1.23944735086867E-2</v>
      </c>
      <c r="AC18" s="79">
        <v>0.63211814894302298</v>
      </c>
      <c r="AD18" s="79">
        <v>1.5222908153503301E-2</v>
      </c>
      <c r="AE18" s="79">
        <v>-0.14371324003642999</v>
      </c>
      <c r="AF18" s="79">
        <v>-8.4040536594774798E-2</v>
      </c>
      <c r="AG18" s="79">
        <v>7.39408534400354E-14</v>
      </c>
    </row>
    <row r="19" spans="2:33" x14ac:dyDescent="0.2">
      <c r="B19" t="s">
        <v>1072</v>
      </c>
      <c r="C19" s="79">
        <v>-4.5982832210021999E-3</v>
      </c>
      <c r="D19" s="79">
        <v>-7.7263945899649902E-3</v>
      </c>
      <c r="E19" s="79">
        <v>-1.4701718520394101E-3</v>
      </c>
      <c r="F19" s="79">
        <v>3.9626261973346698E-3</v>
      </c>
      <c r="G19" s="79">
        <v>0.198131309866734</v>
      </c>
      <c r="H19" s="79">
        <v>1.56040519007286E-2</v>
      </c>
      <c r="I19" s="79">
        <v>-0.16858230748650899</v>
      </c>
      <c r="J19" s="79">
        <v>-0.107415548009866</v>
      </c>
      <c r="K19" s="79">
        <v>0</v>
      </c>
      <c r="L19" s="15"/>
      <c r="M19" t="s">
        <v>1078</v>
      </c>
      <c r="N19" s="79">
        <v>-3.8950721788447002E-3</v>
      </c>
      <c r="O19" s="79">
        <v>-6.8161405619591199E-3</v>
      </c>
      <c r="P19" s="79">
        <v>-9.7400379573028297E-4</v>
      </c>
      <c r="Q19" s="79">
        <v>8.9621074162764599E-3</v>
      </c>
      <c r="R19" s="79">
        <v>0.42121904856499298</v>
      </c>
      <c r="S19" s="79">
        <v>1.5504126206449901E-2</v>
      </c>
      <c r="T19" s="79">
        <v>-0.15802651142074201</v>
      </c>
      <c r="U19" s="79">
        <v>-9.7251453467931306E-2</v>
      </c>
      <c r="V19" s="79">
        <v>2.2204460492503101E-16</v>
      </c>
      <c r="X19" t="s">
        <v>1072</v>
      </c>
      <c r="Y19" s="79">
        <v>-4.1137276561378101E-3</v>
      </c>
      <c r="Z19" s="79">
        <v>-7.1563138608318998E-3</v>
      </c>
      <c r="AA19" s="79">
        <v>-1.07114145144371E-3</v>
      </c>
      <c r="AB19" s="79">
        <v>8.0499240856772899E-3</v>
      </c>
      <c r="AC19" s="79">
        <v>0.41054612836954202</v>
      </c>
      <c r="AD19" s="79">
        <v>1.5612469284884099E-2</v>
      </c>
      <c r="AE19" s="79">
        <v>-0.16867712921790001</v>
      </c>
      <c r="AF19" s="79">
        <v>-0.10747737420167899</v>
      </c>
      <c r="AG19" s="79">
        <v>0</v>
      </c>
    </row>
    <row r="20" spans="2:33" x14ac:dyDescent="0.2">
      <c r="B20" t="s">
        <v>1075</v>
      </c>
      <c r="C20" s="79">
        <v>-3.3954048013520701E-3</v>
      </c>
      <c r="D20" s="79">
        <v>-6.0085073313033699E-3</v>
      </c>
      <c r="E20" s="79">
        <v>-7.8230227140077503E-4</v>
      </c>
      <c r="F20" s="79">
        <v>1.08736990223035E-2</v>
      </c>
      <c r="G20" s="79">
        <v>0.54368495111517501</v>
      </c>
      <c r="H20" s="79">
        <v>1.5635669687255601E-2</v>
      </c>
      <c r="I20" s="79">
        <v>-0.14860658167989499</v>
      </c>
      <c r="J20" s="79">
        <v>-8.7315882757523902E-2</v>
      </c>
      <c r="K20" s="79">
        <v>4.5519144009631399E-14</v>
      </c>
      <c r="L20" s="15"/>
      <c r="M20" t="s">
        <v>3203</v>
      </c>
      <c r="N20" s="79">
        <v>-4.0731226318668897E-3</v>
      </c>
      <c r="O20" s="79">
        <v>-7.07218751185534E-3</v>
      </c>
      <c r="P20" s="79">
        <v>-1.0740577518784399E-3</v>
      </c>
      <c r="Q20" s="79">
        <v>7.77038173887723E-3</v>
      </c>
      <c r="R20" s="79">
        <v>0.36520794172722998</v>
      </c>
      <c r="S20" s="79">
        <v>1.51320639968148E-2</v>
      </c>
      <c r="T20" s="79">
        <v>-0.13128934395602801</v>
      </c>
      <c r="U20" s="79">
        <v>-7.1972743065003897E-2</v>
      </c>
      <c r="V20" s="79">
        <v>1.8643309118715501E-11</v>
      </c>
      <c r="X20" t="s">
        <v>1075</v>
      </c>
      <c r="Y20" s="79">
        <v>-3.1272357273835001E-3</v>
      </c>
      <c r="Z20" s="79">
        <v>-5.6973368088357196E-3</v>
      </c>
      <c r="AA20" s="79">
        <v>-5.5713464593126695E-4</v>
      </c>
      <c r="AB20" s="79">
        <v>1.70867400023791E-2</v>
      </c>
      <c r="AC20" s="79">
        <v>0.87142374012133295</v>
      </c>
      <c r="AD20" s="79">
        <v>1.5639103684893501E-2</v>
      </c>
      <c r="AE20" s="79">
        <v>-0.148492583332474</v>
      </c>
      <c r="AF20" s="79">
        <v>-8.7188423386716396E-2</v>
      </c>
      <c r="AG20" s="79">
        <v>4.88498130835069E-14</v>
      </c>
    </row>
    <row r="21" spans="2:33" x14ac:dyDescent="0.2">
      <c r="B21" t="s">
        <v>1077</v>
      </c>
      <c r="C21" s="79">
        <v>3.8632415752202299E-3</v>
      </c>
      <c r="D21" s="79">
        <v>1.0373439132560999E-3</v>
      </c>
      <c r="E21" s="79">
        <v>6.68913923718436E-3</v>
      </c>
      <c r="F21" s="79">
        <v>7.3746110533898799E-3</v>
      </c>
      <c r="G21" s="79">
        <v>0.368730552669494</v>
      </c>
      <c r="H21" s="79">
        <v>1.5654096216034401E-2</v>
      </c>
      <c r="I21" s="79">
        <v>7.9432997988625104E-2</v>
      </c>
      <c r="J21" s="79">
        <v>0.14079592757652901</v>
      </c>
      <c r="K21" s="79">
        <v>2.0037305148434801E-12</v>
      </c>
      <c r="L21" s="15"/>
      <c r="M21" t="s">
        <v>3211</v>
      </c>
      <c r="N21" s="79">
        <v>-3.4219439392042601E-3</v>
      </c>
      <c r="O21" s="79">
        <v>-6.0881418975543399E-3</v>
      </c>
      <c r="P21" s="79">
        <v>-7.5574598085418796E-4</v>
      </c>
      <c r="Q21" s="79">
        <v>1.1885534125567501E-2</v>
      </c>
      <c r="R21" s="79">
        <v>0.55862010390167105</v>
      </c>
      <c r="S21" s="79">
        <v>1.50780222241502E-2</v>
      </c>
      <c r="T21" s="79">
        <v>-0.120028747198824</v>
      </c>
      <c r="U21" s="79">
        <v>-6.0923986163966701E-2</v>
      </c>
      <c r="V21" s="79">
        <v>1.9665507000610201E-9</v>
      </c>
      <c r="X21" t="s">
        <v>1077</v>
      </c>
      <c r="Y21" s="79">
        <v>3.4999711143559398E-3</v>
      </c>
      <c r="Z21" s="79">
        <v>7.5949474880644295E-4</v>
      </c>
      <c r="AA21" s="79">
        <v>6.2404474799054302E-3</v>
      </c>
      <c r="AB21" s="79">
        <v>1.23094134209194E-2</v>
      </c>
      <c r="AC21" s="79">
        <v>0.62778008446689004</v>
      </c>
      <c r="AD21" s="79">
        <v>1.56532158340357E-2</v>
      </c>
      <c r="AE21" s="79">
        <v>7.9208020051880504E-2</v>
      </c>
      <c r="AF21" s="79">
        <v>0.14056749860576501</v>
      </c>
      <c r="AG21" s="79">
        <v>2.2164492463616601E-12</v>
      </c>
    </row>
    <row r="22" spans="2:33" x14ac:dyDescent="0.2">
      <c r="B22" t="s">
        <v>1078</v>
      </c>
      <c r="C22" s="79">
        <v>-4.5243446902726902E-3</v>
      </c>
      <c r="D22" s="79">
        <v>-7.6072749392341798E-3</v>
      </c>
      <c r="E22" s="79">
        <v>-1.4414144413111901E-3</v>
      </c>
      <c r="F22" s="79">
        <v>4.0231731892499401E-3</v>
      </c>
      <c r="G22" s="79">
        <v>0.201158659462497</v>
      </c>
      <c r="H22" s="79">
        <v>1.55114360945593E-2</v>
      </c>
      <c r="I22" s="79">
        <v>-0.15746632377095501</v>
      </c>
      <c r="J22" s="79">
        <v>-9.6662611583293298E-2</v>
      </c>
      <c r="K22" s="79">
        <v>2.2204460492503101E-16</v>
      </c>
      <c r="L22" s="15"/>
      <c r="M22" t="s">
        <v>3212</v>
      </c>
      <c r="N22" s="79">
        <v>-3.0682665641710901E-3</v>
      </c>
      <c r="O22" s="79">
        <v>-5.5964464542726904E-3</v>
      </c>
      <c r="P22" s="79">
        <v>-5.4008667406948497E-4</v>
      </c>
      <c r="Q22" s="79">
        <v>1.7375478425710099E-2</v>
      </c>
      <c r="R22" s="79">
        <v>0.816647486008374</v>
      </c>
      <c r="S22" s="79">
        <v>1.50429597733373E-2</v>
      </c>
      <c r="T22" s="79">
        <v>-0.121898813888367</v>
      </c>
      <c r="U22" s="79">
        <v>-6.2931495135114701E-2</v>
      </c>
      <c r="V22" s="79">
        <v>8.0765572008090203E-10</v>
      </c>
      <c r="X22" t="s">
        <v>1078</v>
      </c>
      <c r="Y22" s="79">
        <v>-4.0882054823019503E-3</v>
      </c>
      <c r="Z22" s="79">
        <v>-7.1208993797704503E-3</v>
      </c>
      <c r="AA22" s="79">
        <v>-1.05551158483344E-3</v>
      </c>
      <c r="AB22" s="79">
        <v>8.2389316196878094E-3</v>
      </c>
      <c r="AC22" s="79">
        <v>0.42018551260407799</v>
      </c>
      <c r="AD22" s="79">
        <v>1.5518131366018E-2</v>
      </c>
      <c r="AE22" s="79">
        <v>-0.15752285398110799</v>
      </c>
      <c r="AF22" s="79">
        <v>-9.6692896811594806E-2</v>
      </c>
      <c r="AG22" s="79">
        <v>2.2204460492503101E-16</v>
      </c>
    </row>
    <row r="23" spans="2:33" x14ac:dyDescent="0.2">
      <c r="B23" t="s">
        <v>3200</v>
      </c>
      <c r="C23" s="79">
        <v>-3.2415056724656899E-3</v>
      </c>
      <c r="D23" s="79">
        <v>-5.77882375596348E-3</v>
      </c>
      <c r="E23" s="79">
        <v>-7.0418758896790396E-4</v>
      </c>
      <c r="F23" s="79">
        <v>1.22826777371956E-2</v>
      </c>
      <c r="G23" s="79">
        <v>0.61413388685977999</v>
      </c>
      <c r="H23" s="79">
        <v>1.50631353908341E-2</v>
      </c>
      <c r="I23" s="79">
        <v>-0.15139100930869001</v>
      </c>
      <c r="J23" s="79">
        <v>-9.2344603588119106E-2</v>
      </c>
      <c r="K23" s="79">
        <v>6.6613381477509402E-16</v>
      </c>
      <c r="L23" s="15"/>
      <c r="M23" t="s">
        <v>3213</v>
      </c>
      <c r="N23" s="79">
        <v>-3.1645435553465601E-3</v>
      </c>
      <c r="O23" s="79">
        <v>-5.7322531712214802E-3</v>
      </c>
      <c r="P23" s="79">
        <v>-5.9683393947162903E-4</v>
      </c>
      <c r="Q23" s="79">
        <v>1.57121300218288E-2</v>
      </c>
      <c r="R23" s="79">
        <v>0.73847011102595395</v>
      </c>
      <c r="S23" s="79">
        <v>1.53898018643018E-2</v>
      </c>
      <c r="T23" s="79">
        <v>-0.125878356094073</v>
      </c>
      <c r="U23" s="79">
        <v>-6.5551441327594606E-2</v>
      </c>
      <c r="V23" s="79">
        <v>4.9914938848871801E-10</v>
      </c>
      <c r="X23" t="s">
        <v>3203</v>
      </c>
      <c r="Y23" s="79">
        <v>-4.2221798826811404E-3</v>
      </c>
      <c r="Z23" s="79">
        <v>-7.3220528626108203E-3</v>
      </c>
      <c r="AA23" s="79">
        <v>-1.1223069027514699E-3</v>
      </c>
      <c r="AB23" s="79">
        <v>7.5948980611424402E-3</v>
      </c>
      <c r="AC23" s="79">
        <v>0.38733980111826499</v>
      </c>
      <c r="AD23" s="79">
        <v>1.51391959020887E-2</v>
      </c>
      <c r="AE23" s="79">
        <v>-0.130489638451702</v>
      </c>
      <c r="AF23" s="79">
        <v>-7.1145081005721297E-2</v>
      </c>
      <c r="AG23" s="79">
        <v>2.7502222721409501E-11</v>
      </c>
    </row>
    <row r="24" spans="2:33" x14ac:dyDescent="0.2">
      <c r="B24" t="s">
        <v>3203</v>
      </c>
      <c r="C24" s="79">
        <v>-4.4600231778435598E-3</v>
      </c>
      <c r="D24" s="79">
        <v>-7.5200988969209301E-3</v>
      </c>
      <c r="E24" s="79">
        <v>-1.3999474587661901E-3</v>
      </c>
      <c r="F24" s="79">
        <v>4.2817313661629398E-3</v>
      </c>
      <c r="G24" s="79">
        <v>0.21408656830814701</v>
      </c>
      <c r="H24" s="79">
        <v>1.51443978666437E-2</v>
      </c>
      <c r="I24" s="79">
        <v>-0.13097937279618699</v>
      </c>
      <c r="J24" s="79">
        <v>-7.1614424023853498E-2</v>
      </c>
      <c r="K24" s="79">
        <v>2.2510437958089801E-11</v>
      </c>
      <c r="L24" s="15"/>
      <c r="M24" t="s">
        <v>3214</v>
      </c>
      <c r="N24" s="79">
        <v>-3.4058121458290002E-3</v>
      </c>
      <c r="O24" s="79">
        <v>-6.0244034179867904E-3</v>
      </c>
      <c r="P24" s="79">
        <v>-7.8722087367120899E-4</v>
      </c>
      <c r="Q24" s="79">
        <v>1.07975531236812E-2</v>
      </c>
      <c r="R24" s="79">
        <v>0.50748499681301895</v>
      </c>
      <c r="S24" s="79">
        <v>1.5262603122579699E-2</v>
      </c>
      <c r="T24" s="79">
        <v>-0.12696728912095201</v>
      </c>
      <c r="U24" s="79">
        <v>-6.71389842597825E-2</v>
      </c>
      <c r="V24" s="79">
        <v>2.0322366012237601E-10</v>
      </c>
      <c r="X24" t="s">
        <v>3211</v>
      </c>
      <c r="Y24" s="79">
        <v>-3.55944614833931E-3</v>
      </c>
      <c r="Z24" s="79">
        <v>-6.3122240937295701E-3</v>
      </c>
      <c r="AA24" s="79">
        <v>-8.06668202949059E-4</v>
      </c>
      <c r="AB24" s="79">
        <v>1.12669758671569E-2</v>
      </c>
      <c r="AC24" s="79">
        <v>0.57461576922500002</v>
      </c>
      <c r="AD24" s="79">
        <v>1.50878579523363E-2</v>
      </c>
      <c r="AE24" s="79">
        <v>-0.119716680845837</v>
      </c>
      <c r="AF24" s="79">
        <v>-6.0573364464965598E-2</v>
      </c>
      <c r="AG24" s="79">
        <v>2.3055168885122198E-9</v>
      </c>
    </row>
    <row r="25" spans="2:33" x14ac:dyDescent="0.2">
      <c r="B25" t="s">
        <v>3211</v>
      </c>
      <c r="C25" s="79">
        <v>-3.55357132176767E-3</v>
      </c>
      <c r="D25" s="79">
        <v>-6.2004815511280597E-3</v>
      </c>
      <c r="E25" s="79">
        <v>-9.0666109240727195E-4</v>
      </c>
      <c r="F25" s="79">
        <v>8.5053532382684E-3</v>
      </c>
      <c r="G25" s="79">
        <v>0.42526766191342003</v>
      </c>
      <c r="H25" s="79">
        <v>1.5092478896811401E-2</v>
      </c>
      <c r="I25" s="79">
        <v>-0.119966864803321</v>
      </c>
      <c r="J25" s="79">
        <v>-6.0805434652958602E-2</v>
      </c>
      <c r="K25" s="79">
        <v>2.1136805639088202E-9</v>
      </c>
      <c r="L25" s="15"/>
      <c r="M25" t="s">
        <v>355</v>
      </c>
      <c r="N25" s="79">
        <v>3.4441950415528199E-3</v>
      </c>
      <c r="O25" s="79">
        <v>7.5016140035065004E-4</v>
      </c>
      <c r="P25" s="79">
        <v>6.1382286827549896E-3</v>
      </c>
      <c r="Q25" s="79">
        <v>1.2220180242456901E-2</v>
      </c>
      <c r="R25" s="79">
        <v>0.57434847139547196</v>
      </c>
      <c r="S25" s="79">
        <v>1.5061895389066099E-2</v>
      </c>
      <c r="T25" s="79">
        <v>6.5091289110127501E-2</v>
      </c>
      <c r="U25" s="79">
        <v>0.124132834113086</v>
      </c>
      <c r="V25" s="79">
        <v>3.35212080315728E-10</v>
      </c>
      <c r="X25" t="s">
        <v>3212</v>
      </c>
      <c r="Y25" s="79">
        <v>-3.2090693175851701E-3</v>
      </c>
      <c r="Z25" s="79">
        <v>-5.81915321970191E-3</v>
      </c>
      <c r="AA25" s="79">
        <v>-5.9898541546842801E-4</v>
      </c>
      <c r="AB25" s="79">
        <v>1.5963277264395601E-2</v>
      </c>
      <c r="AC25" s="79">
        <v>0.814127140484176</v>
      </c>
      <c r="AD25" s="79">
        <v>1.5048776624508599E-2</v>
      </c>
      <c r="AE25" s="79">
        <v>-0.122186815949387</v>
      </c>
      <c r="AF25" s="79">
        <v>-6.3196695558536894E-2</v>
      </c>
      <c r="AG25" s="79">
        <v>7.30112414970563E-10</v>
      </c>
    </row>
    <row r="26" spans="2:33" x14ac:dyDescent="0.2">
      <c r="B26" t="s">
        <v>3212</v>
      </c>
      <c r="C26" s="79">
        <v>-3.40151715211928E-3</v>
      </c>
      <c r="D26" s="79">
        <v>-6.0194289053728802E-3</v>
      </c>
      <c r="E26" s="79">
        <v>-7.8360539886568098E-4</v>
      </c>
      <c r="F26" s="79">
        <v>1.0876886832431199E-2</v>
      </c>
      <c r="G26" s="79">
        <v>0.54384434162155804</v>
      </c>
      <c r="H26" s="79">
        <v>1.50440433969646E-2</v>
      </c>
      <c r="I26" s="79">
        <v>-0.121608060314658</v>
      </c>
      <c r="J26" s="79">
        <v>-6.2636493834841697E-2</v>
      </c>
      <c r="K26" s="79">
        <v>9.1538909785526802E-10</v>
      </c>
      <c r="L26" s="15"/>
      <c r="M26" t="s">
        <v>359</v>
      </c>
      <c r="N26" s="79">
        <v>3.68332771641343E-3</v>
      </c>
      <c r="O26" s="79">
        <v>8.9483445949356804E-4</v>
      </c>
      <c r="P26" s="79">
        <v>6.4718209733332904E-3</v>
      </c>
      <c r="Q26" s="79">
        <v>9.6277087264480306E-3</v>
      </c>
      <c r="R26" s="79">
        <v>0.45250231014305697</v>
      </c>
      <c r="S26" s="79">
        <v>1.55214528308758E-2</v>
      </c>
      <c r="T26" s="79">
        <v>8.7208966164732102E-2</v>
      </c>
      <c r="U26" s="79">
        <v>0.14805194323724</v>
      </c>
      <c r="V26" s="79">
        <v>3.4861002973229903E-14</v>
      </c>
      <c r="X26" t="s">
        <v>3213</v>
      </c>
      <c r="Y26" s="79">
        <v>-3.2011651104394902E-3</v>
      </c>
      <c r="Z26" s="79">
        <v>-5.7930906762557301E-3</v>
      </c>
      <c r="AA26" s="79">
        <v>-6.0923954462324095E-4</v>
      </c>
      <c r="AB26" s="79">
        <v>1.5492396262247099E-2</v>
      </c>
      <c r="AC26" s="79">
        <v>0.79011220937460103</v>
      </c>
      <c r="AD26" s="79">
        <v>1.53997513685914E-2</v>
      </c>
      <c r="AE26" s="79">
        <v>-0.12546191623500699</v>
      </c>
      <c r="AF26" s="79">
        <v>-6.50960001283859E-2</v>
      </c>
      <c r="AG26" s="79">
        <v>6.1302385390149497E-10</v>
      </c>
    </row>
    <row r="27" spans="2:33" x14ac:dyDescent="0.2">
      <c r="B27" t="s">
        <v>3213</v>
      </c>
      <c r="C27" s="79">
        <v>-3.2144861380677099E-3</v>
      </c>
      <c r="D27" s="79">
        <v>-5.7419477988891396E-3</v>
      </c>
      <c r="E27" s="79">
        <v>-6.8702447724629202E-4</v>
      </c>
      <c r="F27" s="79">
        <v>1.26765545673111E-2</v>
      </c>
      <c r="G27" s="79">
        <v>0.63382772836555501</v>
      </c>
      <c r="H27" s="79">
        <v>1.53888452570507E-2</v>
      </c>
      <c r="I27" s="79">
        <v>-0.12586375521813201</v>
      </c>
      <c r="J27" s="79">
        <v>-6.5540590283173605E-2</v>
      </c>
      <c r="K27" s="79">
        <v>5.0055204425802902E-10</v>
      </c>
      <c r="L27" s="15"/>
      <c r="M27" t="s">
        <v>361</v>
      </c>
      <c r="N27" s="79">
        <v>4.8160971004427003E-3</v>
      </c>
      <c r="O27" s="79">
        <v>1.47365116803272E-3</v>
      </c>
      <c r="P27" s="79">
        <v>8.1585430328526796E-3</v>
      </c>
      <c r="Q27" s="79">
        <v>4.7414682202624502E-3</v>
      </c>
      <c r="R27" s="79">
        <v>0.22284900635233501</v>
      </c>
      <c r="S27" s="79">
        <v>1.52829732991118E-2</v>
      </c>
      <c r="T27" s="79">
        <v>5.26180857283816E-2</v>
      </c>
      <c r="U27" s="79">
        <v>0.112526240214274</v>
      </c>
      <c r="V27" s="79">
        <v>6.5577127950078293E-8</v>
      </c>
      <c r="X27" t="s">
        <v>3214</v>
      </c>
      <c r="Y27" s="79">
        <v>-3.61435059859965E-3</v>
      </c>
      <c r="Z27" s="79">
        <v>-6.35774916332225E-3</v>
      </c>
      <c r="AA27" s="79">
        <v>-8.7095203387704801E-4</v>
      </c>
      <c r="AB27" s="79">
        <v>9.8173376147194808E-3</v>
      </c>
      <c r="AC27" s="79">
        <v>0.50068421835069399</v>
      </c>
      <c r="AD27" s="79">
        <v>1.5274925138023801E-2</v>
      </c>
      <c r="AE27" s="79">
        <v>-0.12670024628608201</v>
      </c>
      <c r="AF27" s="79">
        <v>-6.6823640011937593E-2</v>
      </c>
      <c r="AG27" s="79">
        <v>2.3781621116825099E-10</v>
      </c>
    </row>
    <row r="28" spans="2:33" x14ac:dyDescent="0.2">
      <c r="B28" t="s">
        <v>3214</v>
      </c>
      <c r="C28" s="79">
        <v>-4.1719948049771796E-3</v>
      </c>
      <c r="D28" s="79">
        <v>-7.0395638894352099E-3</v>
      </c>
      <c r="E28" s="79">
        <v>-1.3044257205191601E-3</v>
      </c>
      <c r="F28" s="79">
        <v>4.3509366532332701E-3</v>
      </c>
      <c r="G28" s="79">
        <v>0.217546832661664</v>
      </c>
      <c r="H28" s="79">
        <v>1.52612272218299E-2</v>
      </c>
      <c r="I28" s="79">
        <v>-0.126249183746897</v>
      </c>
      <c r="J28" s="79">
        <v>-6.6426272317559001E-2</v>
      </c>
      <c r="K28" s="79">
        <v>2.7442026429014297E-10</v>
      </c>
      <c r="L28" s="15"/>
      <c r="M28" t="s">
        <v>368</v>
      </c>
      <c r="N28" s="79">
        <v>3.8338387592282502E-3</v>
      </c>
      <c r="O28" s="79">
        <v>1.0184165733476899E-3</v>
      </c>
      <c r="P28" s="79">
        <v>6.6492609451088E-3</v>
      </c>
      <c r="Q28" s="79">
        <v>7.6091604767414304E-3</v>
      </c>
      <c r="R28" s="79">
        <v>0.357630542406847</v>
      </c>
      <c r="S28" s="79">
        <v>1.57839887802315E-2</v>
      </c>
      <c r="T28" s="79">
        <v>2.85577284631174E-2</v>
      </c>
      <c r="U28" s="79">
        <v>9.0429827546393296E-2</v>
      </c>
      <c r="V28" s="79">
        <v>1.63739722999212E-4</v>
      </c>
      <c r="X28" t="s">
        <v>355</v>
      </c>
      <c r="Y28" s="79">
        <v>3.32001977736931E-3</v>
      </c>
      <c r="Z28" s="79">
        <v>6.6296711537500998E-4</v>
      </c>
      <c r="AA28" s="79">
        <v>5.9770724393636097E-3</v>
      </c>
      <c r="AB28" s="79">
        <v>1.4325386390701101E-2</v>
      </c>
      <c r="AC28" s="79">
        <v>0.73059470592575804</v>
      </c>
      <c r="AD28" s="79">
        <v>1.50748007923281E-2</v>
      </c>
      <c r="AE28" s="79">
        <v>6.4792631451427302E-2</v>
      </c>
      <c r="AF28" s="79">
        <v>0.123884764705585</v>
      </c>
      <c r="AG28" s="79">
        <v>3.8984726558055601E-10</v>
      </c>
    </row>
    <row r="29" spans="2:33" x14ac:dyDescent="0.2">
      <c r="B29" t="s">
        <v>355</v>
      </c>
      <c r="C29" s="79">
        <v>4.5366531669752E-3</v>
      </c>
      <c r="D29" s="79">
        <v>1.44777411474351E-3</v>
      </c>
      <c r="E29" s="79">
        <v>7.62553221920688E-3</v>
      </c>
      <c r="F29" s="79">
        <v>3.9943249184684103E-3</v>
      </c>
      <c r="G29" s="79">
        <v>0.19971624592341999</v>
      </c>
      <c r="H29" s="79">
        <v>1.5035234372731901E-2</v>
      </c>
      <c r="I29" s="79">
        <v>6.4105570539906898E-2</v>
      </c>
      <c r="J29" s="79">
        <v>0.12304260627925299</v>
      </c>
      <c r="K29" s="79">
        <v>4.85709250597211E-10</v>
      </c>
      <c r="L29" s="15"/>
      <c r="M29" t="s">
        <v>369</v>
      </c>
      <c r="N29" s="79">
        <v>4.1012661372154501E-3</v>
      </c>
      <c r="O29" s="79">
        <v>1.18929749239235E-3</v>
      </c>
      <c r="P29" s="79">
        <v>7.0132347820385504E-3</v>
      </c>
      <c r="Q29" s="79">
        <v>5.7722395189210296E-3</v>
      </c>
      <c r="R29" s="79">
        <v>0.271295257389288</v>
      </c>
      <c r="S29" s="79">
        <v>1.5769510844278599E-2</v>
      </c>
      <c r="T29" s="79">
        <v>3.5205939705242002E-2</v>
      </c>
      <c r="U29" s="79">
        <v>9.7021286322441599E-2</v>
      </c>
      <c r="V29" s="79">
        <v>2.7590180377678999E-5</v>
      </c>
      <c r="X29" t="s">
        <v>359</v>
      </c>
      <c r="Y29" s="79">
        <v>3.8147944193448599E-3</v>
      </c>
      <c r="Z29" s="79">
        <v>9.4205843332410702E-4</v>
      </c>
      <c r="AA29" s="79">
        <v>6.6875304053656097E-3</v>
      </c>
      <c r="AB29" s="79">
        <v>9.2493814894680799E-3</v>
      </c>
      <c r="AC29" s="79">
        <v>0.47171845596287199</v>
      </c>
      <c r="AD29" s="79">
        <v>1.55305866324527E-2</v>
      </c>
      <c r="AE29" s="79">
        <v>8.6798733692406704E-2</v>
      </c>
      <c r="AF29" s="79">
        <v>0.14767751460917999</v>
      </c>
      <c r="AG29" s="79">
        <v>4.3964831775156199E-14</v>
      </c>
    </row>
    <row r="30" spans="2:33" x14ac:dyDescent="0.2">
      <c r="B30" t="s">
        <v>359</v>
      </c>
      <c r="C30" s="79">
        <v>3.9341646286402097E-3</v>
      </c>
      <c r="D30" s="79">
        <v>1.13878278068391E-3</v>
      </c>
      <c r="E30" s="79">
        <v>6.72954647659651E-3</v>
      </c>
      <c r="F30" s="79">
        <v>5.8082550615632398E-3</v>
      </c>
      <c r="G30" s="79">
        <v>0.290412753078162</v>
      </c>
      <c r="H30" s="79">
        <v>1.55257314226102E-2</v>
      </c>
      <c r="I30" s="79">
        <v>8.6994441079380494E-2</v>
      </c>
      <c r="J30" s="79">
        <v>0.14785418992329599</v>
      </c>
      <c r="K30" s="79">
        <v>3.9301895071730497E-14</v>
      </c>
      <c r="L30" s="15"/>
      <c r="M30" t="s">
        <v>370</v>
      </c>
      <c r="N30" s="79">
        <v>4.3970092757544699E-3</v>
      </c>
      <c r="O30" s="79">
        <v>1.38323581585024E-3</v>
      </c>
      <c r="P30" s="79">
        <v>7.4107827356587001E-3</v>
      </c>
      <c r="Q30" s="79">
        <v>4.2426742322167997E-3</v>
      </c>
      <c r="R30" s="79">
        <v>0.19940568891419</v>
      </c>
      <c r="S30" s="79">
        <v>1.6374327085772501E-2</v>
      </c>
      <c r="T30" s="79">
        <v>2.7517563613079801E-2</v>
      </c>
      <c r="U30" s="79">
        <v>9.1703746331465399E-2</v>
      </c>
      <c r="V30" s="79">
        <v>2.7211445113084498E-4</v>
      </c>
      <c r="X30" t="s">
        <v>361</v>
      </c>
      <c r="Y30" s="79">
        <v>5.1741315815252101E-3</v>
      </c>
      <c r="Z30" s="79">
        <v>1.5949433312360201E-3</v>
      </c>
      <c r="AA30" s="79">
        <v>8.7533198318143993E-3</v>
      </c>
      <c r="AB30" s="79">
        <v>4.6062174874605998E-3</v>
      </c>
      <c r="AC30" s="79">
        <v>0.23491709186049001</v>
      </c>
      <c r="AD30" s="79">
        <v>1.52834716451259E-2</v>
      </c>
      <c r="AE30" s="79">
        <v>5.20271024737659E-2</v>
      </c>
      <c r="AF30" s="79">
        <v>0.111937210440138</v>
      </c>
      <c r="AG30" s="79">
        <v>8.1351284597630498E-8</v>
      </c>
    </row>
    <row r="31" spans="2:33" x14ac:dyDescent="0.2">
      <c r="B31" t="s">
        <v>361</v>
      </c>
      <c r="C31" s="79">
        <v>5.5717621073593697E-3</v>
      </c>
      <c r="D31" s="79">
        <v>2.04184050377433E-3</v>
      </c>
      <c r="E31" s="79">
        <v>9.1016837109444103E-3</v>
      </c>
      <c r="F31" s="79">
        <v>1.9768960930164302E-3</v>
      </c>
      <c r="G31" s="79">
        <v>9.8844804650821697E-2</v>
      </c>
      <c r="H31" s="79">
        <v>1.5287416370725801E-2</v>
      </c>
      <c r="I31" s="79">
        <v>5.19184812914203E-2</v>
      </c>
      <c r="J31" s="79">
        <v>0.111844052298001</v>
      </c>
      <c r="K31" s="79">
        <v>8.5027119123282104E-8</v>
      </c>
      <c r="L31" s="15"/>
      <c r="M31" t="s">
        <v>371</v>
      </c>
      <c r="N31" s="79">
        <v>4.3234635722418898E-3</v>
      </c>
      <c r="O31" s="79">
        <v>1.2027667066925301E-3</v>
      </c>
      <c r="P31" s="79">
        <v>7.4441604377912503E-3</v>
      </c>
      <c r="Q31" s="79">
        <v>6.6202643184132296E-3</v>
      </c>
      <c r="R31" s="79">
        <v>0.311152422965422</v>
      </c>
      <c r="S31" s="79">
        <v>1.54698314528192E-2</v>
      </c>
      <c r="T31" s="79">
        <v>4.3048139533228398E-2</v>
      </c>
      <c r="U31" s="79">
        <v>0.103688764522089</v>
      </c>
      <c r="V31" s="79">
        <v>2.1090983801652598E-6</v>
      </c>
      <c r="X31" t="s">
        <v>368</v>
      </c>
      <c r="Y31" s="79">
        <v>3.9257304637225201E-3</v>
      </c>
      <c r="Z31" s="79">
        <v>1.0333482353192399E-3</v>
      </c>
      <c r="AA31" s="79">
        <v>6.8181126921257997E-3</v>
      </c>
      <c r="AB31" s="79">
        <v>7.8096258091668903E-3</v>
      </c>
      <c r="AC31" s="79">
        <v>0.39829091626751101</v>
      </c>
      <c r="AD31" s="79">
        <v>1.5782544651106799E-2</v>
      </c>
      <c r="AE31" s="79">
        <v>2.82605205163847E-2</v>
      </c>
      <c r="AF31" s="79">
        <v>9.0126958717514E-2</v>
      </c>
      <c r="AG31" s="79">
        <v>1.76424073431658E-4</v>
      </c>
    </row>
    <row r="32" spans="2:33" x14ac:dyDescent="0.2">
      <c r="B32" t="s">
        <v>368</v>
      </c>
      <c r="C32" s="79">
        <v>4.3942528323219201E-3</v>
      </c>
      <c r="D32" s="79">
        <v>1.42774975718631E-3</v>
      </c>
      <c r="E32" s="79">
        <v>7.3607559074575397E-3</v>
      </c>
      <c r="F32" s="79">
        <v>3.6928099241355702E-3</v>
      </c>
      <c r="G32" s="79">
        <v>0.184640496206778</v>
      </c>
      <c r="H32" s="79">
        <v>1.5785806260839301E-2</v>
      </c>
      <c r="I32" s="79">
        <v>2.8044709353031199E-2</v>
      </c>
      <c r="J32" s="79">
        <v>8.9923932829374997E-2</v>
      </c>
      <c r="K32" s="79">
        <v>1.8656862743893199E-4</v>
      </c>
      <c r="L32" s="15"/>
      <c r="M32" t="s">
        <v>375</v>
      </c>
      <c r="N32" s="79">
        <v>3.3691571672657601E-3</v>
      </c>
      <c r="O32" s="79">
        <v>7.0622092053698098E-4</v>
      </c>
      <c r="P32" s="79">
        <v>6.0320934139945501E-3</v>
      </c>
      <c r="Q32" s="79">
        <v>1.31473067380052E-2</v>
      </c>
      <c r="R32" s="79">
        <v>0.61792341668624595</v>
      </c>
      <c r="S32" s="79">
        <v>1.57229150082475E-2</v>
      </c>
      <c r="T32" s="79">
        <v>2.8413353525076301E-2</v>
      </c>
      <c r="U32" s="79">
        <v>9.0046047821375E-2</v>
      </c>
      <c r="V32" s="79">
        <v>1.65158747658101E-4</v>
      </c>
      <c r="X32" t="s">
        <v>369</v>
      </c>
      <c r="Y32" s="79">
        <v>4.2110200353899603E-3</v>
      </c>
      <c r="Z32" s="79">
        <v>1.2116988453855901E-3</v>
      </c>
      <c r="AA32" s="79">
        <v>7.2103412253943198E-3</v>
      </c>
      <c r="AB32" s="79">
        <v>5.92738008508009E-3</v>
      </c>
      <c r="AC32" s="79">
        <v>0.30229638433908501</v>
      </c>
      <c r="AD32" s="79">
        <v>1.57719812272408E-2</v>
      </c>
      <c r="AE32" s="79">
        <v>3.5034283721415399E-2</v>
      </c>
      <c r="AF32" s="79">
        <v>9.6859314061882903E-2</v>
      </c>
      <c r="AG32" s="79">
        <v>2.89894527907286E-5</v>
      </c>
    </row>
    <row r="33" spans="2:33" x14ac:dyDescent="0.2">
      <c r="B33" t="s">
        <v>369</v>
      </c>
      <c r="C33" s="79">
        <v>4.1143058852643596E-3</v>
      </c>
      <c r="D33" s="79">
        <v>1.26259717396056E-3</v>
      </c>
      <c r="E33" s="79">
        <v>6.9660145965681599E-3</v>
      </c>
      <c r="F33" s="79">
        <v>4.6877833221807804E-3</v>
      </c>
      <c r="G33" s="79">
        <v>0.23438916610903901</v>
      </c>
      <c r="H33" s="79">
        <v>1.5779501385783299E-2</v>
      </c>
      <c r="I33" s="79">
        <v>3.5219170714331997E-2</v>
      </c>
      <c r="J33" s="79">
        <v>9.7073679534602303E-2</v>
      </c>
      <c r="K33" s="79">
        <v>2.76602175210972E-5</v>
      </c>
      <c r="L33" s="15"/>
      <c r="M33" t="s">
        <v>377</v>
      </c>
      <c r="N33" s="79">
        <v>3.9975288684766398E-3</v>
      </c>
      <c r="O33" s="79">
        <v>1.0940431957206099E-3</v>
      </c>
      <c r="P33" s="79">
        <v>6.9010145412326798E-3</v>
      </c>
      <c r="Q33" s="79">
        <v>6.9655871628584399E-3</v>
      </c>
      <c r="R33" s="79">
        <v>0.32738259665434699</v>
      </c>
      <c r="S33" s="79">
        <v>1.5141506455330101E-2</v>
      </c>
      <c r="T33" s="79">
        <v>3.8936850491166498E-2</v>
      </c>
      <c r="U33" s="79">
        <v>9.8290465139421898E-2</v>
      </c>
      <c r="V33" s="79">
        <v>5.8567778207230299E-6</v>
      </c>
      <c r="X33" t="s">
        <v>370</v>
      </c>
      <c r="Y33" s="79">
        <v>4.5296827888240696E-3</v>
      </c>
      <c r="Z33" s="79">
        <v>1.38756999385835E-3</v>
      </c>
      <c r="AA33" s="79">
        <v>7.6717955837897998E-3</v>
      </c>
      <c r="AB33" s="79">
        <v>4.7208040461177402E-3</v>
      </c>
      <c r="AC33" s="79">
        <v>0.24076100635200501</v>
      </c>
      <c r="AD33" s="79">
        <v>1.6360502620733498E-2</v>
      </c>
      <c r="AE33" s="79">
        <v>2.73375070169159E-2</v>
      </c>
      <c r="AF33" s="79">
        <v>9.1469498828137305E-2</v>
      </c>
      <c r="AG33" s="79">
        <v>2.8242431023706198E-4</v>
      </c>
    </row>
    <row r="34" spans="2:33" x14ac:dyDescent="0.2">
      <c r="B34" t="s">
        <v>370</v>
      </c>
      <c r="C34" s="79">
        <v>4.5455988291531E-3</v>
      </c>
      <c r="D34" s="79">
        <v>1.56221034570144E-3</v>
      </c>
      <c r="E34" s="79">
        <v>7.5289873126047598E-3</v>
      </c>
      <c r="F34" s="79">
        <v>2.8240118097446801E-3</v>
      </c>
      <c r="G34" s="79">
        <v>0.14120059048723399</v>
      </c>
      <c r="H34" s="79">
        <v>1.6382087021375599E-2</v>
      </c>
      <c r="I34" s="79">
        <v>2.7404939047770999E-2</v>
      </c>
      <c r="J34" s="79">
        <v>9.1621540154765299E-2</v>
      </c>
      <c r="K34" s="79">
        <v>2.8033619157574703E-4</v>
      </c>
      <c r="L34" s="15"/>
      <c r="M34" t="s">
        <v>387</v>
      </c>
      <c r="N34" s="79">
        <v>3.5516459461485202E-3</v>
      </c>
      <c r="O34" s="79">
        <v>8.8528502702527902E-4</v>
      </c>
      <c r="P34" s="79">
        <v>6.2180068652717699E-3</v>
      </c>
      <c r="Q34" s="79">
        <v>9.0354178387439497E-3</v>
      </c>
      <c r="R34" s="79">
        <v>0.42466463842096602</v>
      </c>
      <c r="S34" s="79">
        <v>1.5250905104648301E-2</v>
      </c>
      <c r="T34" s="79">
        <v>4.1632334558825597E-2</v>
      </c>
      <c r="U34" s="79">
        <v>0.101414784032323</v>
      </c>
      <c r="V34" s="79">
        <v>2.7348408615512901E-6</v>
      </c>
      <c r="X34" t="s">
        <v>371</v>
      </c>
      <c r="Y34" s="79">
        <v>4.5183216160994003E-3</v>
      </c>
      <c r="Z34" s="79">
        <v>1.2669898361773299E-3</v>
      </c>
      <c r="AA34" s="79">
        <v>7.76965339602146E-3</v>
      </c>
      <c r="AB34" s="79">
        <v>6.4549389379668903E-3</v>
      </c>
      <c r="AC34" s="79">
        <v>0.32920188583631199</v>
      </c>
      <c r="AD34" s="79">
        <v>1.54774817839724E-2</v>
      </c>
      <c r="AE34" s="79">
        <v>4.2535050058080899E-2</v>
      </c>
      <c r="AF34" s="79">
        <v>0.10320566379400201</v>
      </c>
      <c r="AG34" s="79">
        <v>2.4997108429847301E-6</v>
      </c>
    </row>
    <row r="35" spans="2:33" x14ac:dyDescent="0.2">
      <c r="B35" t="s">
        <v>371</v>
      </c>
      <c r="C35" s="79">
        <v>5.2753179823914502E-3</v>
      </c>
      <c r="D35" s="79">
        <v>1.8375900621184699E-3</v>
      </c>
      <c r="E35" s="79">
        <v>8.7130459026644302E-3</v>
      </c>
      <c r="F35" s="79">
        <v>2.6328853948007799E-3</v>
      </c>
      <c r="G35" s="79">
        <v>0.13164426974003901</v>
      </c>
      <c r="H35" s="79">
        <v>1.5463834673173801E-2</v>
      </c>
      <c r="I35" s="79">
        <v>4.2170216488644802E-2</v>
      </c>
      <c r="J35" s="79">
        <v>0.10278733453324999</v>
      </c>
      <c r="K35" s="79">
        <v>2.7725802238531802E-6</v>
      </c>
      <c r="L35" s="15"/>
      <c r="M35" t="s">
        <v>388</v>
      </c>
      <c r="N35" s="79">
        <v>3.2524928742956199E-3</v>
      </c>
      <c r="O35" s="79">
        <v>5.7325925585244005E-4</v>
      </c>
      <c r="P35" s="79">
        <v>5.9317264927388098E-3</v>
      </c>
      <c r="Q35" s="79">
        <v>1.7344352401983201E-2</v>
      </c>
      <c r="R35" s="79">
        <v>0.81518456289320895</v>
      </c>
      <c r="S35" s="79">
        <v>1.65828612769282E-2</v>
      </c>
      <c r="T35" s="79">
        <v>2.1509437766990599E-2</v>
      </c>
      <c r="U35" s="79">
        <v>8.6513059493797104E-2</v>
      </c>
      <c r="V35" s="79">
        <v>1.1257563692268499E-3</v>
      </c>
      <c r="X35" t="s">
        <v>375</v>
      </c>
      <c r="Y35" s="79">
        <v>3.5310466482208402E-3</v>
      </c>
      <c r="Z35" s="79">
        <v>7.5929508979318905E-4</v>
      </c>
      <c r="AA35" s="79">
        <v>6.3027982066484901E-3</v>
      </c>
      <c r="AB35" s="79">
        <v>1.2529221081917201E-2</v>
      </c>
      <c r="AC35" s="79">
        <v>0.63899027517777895</v>
      </c>
      <c r="AD35" s="79">
        <v>1.5717236199557599E-2</v>
      </c>
      <c r="AE35" s="79">
        <v>2.8114935873839599E-2</v>
      </c>
      <c r="AF35" s="79">
        <v>8.9725369649123601E-2</v>
      </c>
      <c r="AG35" s="79">
        <v>1.7771075583117299E-4</v>
      </c>
    </row>
    <row r="36" spans="2:33" x14ac:dyDescent="0.2">
      <c r="B36" t="s">
        <v>377</v>
      </c>
      <c r="C36" s="79">
        <v>4.5559392608098799E-3</v>
      </c>
      <c r="D36" s="79">
        <v>1.47997252463556E-3</v>
      </c>
      <c r="E36" s="79">
        <v>7.6319059969841996E-3</v>
      </c>
      <c r="F36" s="79">
        <v>3.69627574387943E-3</v>
      </c>
      <c r="G36" s="79">
        <v>0.18481378719397101</v>
      </c>
      <c r="H36" s="79">
        <v>1.51335601084738E-2</v>
      </c>
      <c r="I36" s="79">
        <v>3.8446757694428298E-2</v>
      </c>
      <c r="J36" s="79">
        <v>9.7769223235389696E-2</v>
      </c>
      <c r="K36" s="79">
        <v>6.7806384169699598E-6</v>
      </c>
      <c r="L36" s="15"/>
      <c r="M36" t="s">
        <v>389</v>
      </c>
      <c r="N36" s="79">
        <v>3.3782390282574102E-3</v>
      </c>
      <c r="O36" s="79">
        <v>7.4459680769158097E-4</v>
      </c>
      <c r="P36" s="79">
        <v>6.01188124882324E-3</v>
      </c>
      <c r="Q36" s="79">
        <v>1.19338271270062E-2</v>
      </c>
      <c r="R36" s="79">
        <v>0.56088987496929099</v>
      </c>
      <c r="S36" s="79">
        <v>1.5614927588020701E-2</v>
      </c>
      <c r="T36" s="79">
        <v>5.5798850288409599E-2</v>
      </c>
      <c r="U36" s="79">
        <v>0.117008241675853</v>
      </c>
      <c r="V36" s="79">
        <v>3.1409290501827098E-8</v>
      </c>
      <c r="X36" t="s">
        <v>377</v>
      </c>
      <c r="Y36" s="79">
        <v>4.3202179008498898E-3</v>
      </c>
      <c r="Z36" s="79">
        <v>1.2124429770023701E-3</v>
      </c>
      <c r="AA36" s="79">
        <v>7.4279928246974098E-3</v>
      </c>
      <c r="AB36" s="79">
        <v>6.4377678695159996E-3</v>
      </c>
      <c r="AC36" s="79">
        <v>0.328326161345316</v>
      </c>
      <c r="AD36" s="79">
        <v>1.51430458652437E-2</v>
      </c>
      <c r="AE36" s="79">
        <v>3.84023304498642E-2</v>
      </c>
      <c r="AF36" s="79">
        <v>9.7761979474095706E-2</v>
      </c>
      <c r="AG36" s="79">
        <v>6.9264786604072998E-6</v>
      </c>
    </row>
    <row r="37" spans="2:33" x14ac:dyDescent="0.2">
      <c r="B37" t="s">
        <v>388</v>
      </c>
      <c r="C37" s="79">
        <v>3.7174027455651099E-3</v>
      </c>
      <c r="D37" s="79">
        <v>9.0873577484164097E-4</v>
      </c>
      <c r="E37" s="79">
        <v>6.5260697162885803E-3</v>
      </c>
      <c r="F37" s="79">
        <v>9.4837669414920001E-3</v>
      </c>
      <c r="G37" s="79">
        <v>0.4741883470746</v>
      </c>
      <c r="H37" s="79">
        <v>1.6597109292477399E-2</v>
      </c>
      <c r="I37" s="79">
        <v>2.10586196782378E-2</v>
      </c>
      <c r="J37" s="79">
        <v>8.6118092599699297E-2</v>
      </c>
      <c r="K37" s="79">
        <v>1.2432102136164E-3</v>
      </c>
      <c r="L37" s="15"/>
      <c r="M37" t="s">
        <v>391</v>
      </c>
      <c r="N37" s="79">
        <v>3.5402674674480301E-3</v>
      </c>
      <c r="O37" s="79">
        <v>8.4640477083185097E-4</v>
      </c>
      <c r="P37" s="79">
        <v>6.2341301640642102E-3</v>
      </c>
      <c r="Q37" s="79">
        <v>1.00014358536984E-2</v>
      </c>
      <c r="R37" s="79">
        <v>0.47006748512382501</v>
      </c>
      <c r="S37" s="79">
        <v>1.6133475342100401E-2</v>
      </c>
      <c r="T37" s="79">
        <v>3.0652546289455702E-2</v>
      </c>
      <c r="U37" s="79">
        <v>9.3894607521419399E-2</v>
      </c>
      <c r="V37" s="79">
        <v>1.13434142496649E-4</v>
      </c>
      <c r="X37" t="s">
        <v>387</v>
      </c>
      <c r="Y37" s="79">
        <v>3.7340305315282599E-3</v>
      </c>
      <c r="Z37" s="79">
        <v>9.3543109084418203E-4</v>
      </c>
      <c r="AA37" s="79">
        <v>6.5326299722123296E-3</v>
      </c>
      <c r="AB37" s="79">
        <v>8.9206191422286397E-3</v>
      </c>
      <c r="AC37" s="79">
        <v>0.45495157625366001</v>
      </c>
      <c r="AD37" s="79">
        <v>1.5261429965543499E-2</v>
      </c>
      <c r="AE37" s="79">
        <v>4.1255252805708298E-2</v>
      </c>
      <c r="AF37" s="79">
        <v>0.10107895897579899</v>
      </c>
      <c r="AG37" s="79">
        <v>3.1132935154332101E-6</v>
      </c>
    </row>
    <row r="38" spans="2:33" x14ac:dyDescent="0.2">
      <c r="B38" t="s">
        <v>389</v>
      </c>
      <c r="C38" s="79">
        <v>4.3457592234396403E-3</v>
      </c>
      <c r="D38" s="79">
        <v>1.3691515168826501E-3</v>
      </c>
      <c r="E38" s="79">
        <v>7.3223669299966399E-3</v>
      </c>
      <c r="F38" s="79">
        <v>4.21655530550691E-3</v>
      </c>
      <c r="G38" s="79">
        <v>0.210827765275345</v>
      </c>
      <c r="H38" s="79">
        <v>1.5581487528041799E-2</v>
      </c>
      <c r="I38" s="79">
        <v>5.4947421125591499E-2</v>
      </c>
      <c r="J38" s="79">
        <v>0.11602572988663599</v>
      </c>
      <c r="K38" s="79">
        <v>4.1016242846581001E-8</v>
      </c>
      <c r="L38" s="15"/>
      <c r="M38" t="s">
        <v>414</v>
      </c>
      <c r="N38" s="79">
        <v>3.3051904473034698E-3</v>
      </c>
      <c r="O38" s="79">
        <v>7.15952842329502E-4</v>
      </c>
      <c r="P38" s="79">
        <v>5.8944280522774404E-3</v>
      </c>
      <c r="Q38" s="79">
        <v>1.23523330022906E-2</v>
      </c>
      <c r="R38" s="79">
        <v>0.58055965110765595</v>
      </c>
      <c r="S38" s="79">
        <v>1.5722498690958198E-2</v>
      </c>
      <c r="T38" s="79">
        <v>8.5427432323965796E-2</v>
      </c>
      <c r="U38" s="79">
        <v>0.147058494686478</v>
      </c>
      <c r="V38" s="79">
        <v>1.4299672557172001E-13</v>
      </c>
      <c r="X38" t="s">
        <v>388</v>
      </c>
      <c r="Y38" s="79">
        <v>3.3198682660050501E-3</v>
      </c>
      <c r="Z38" s="79">
        <v>5.7119926430908101E-4</v>
      </c>
      <c r="AA38" s="79">
        <v>6.0685372677010199E-3</v>
      </c>
      <c r="AB38" s="79">
        <v>1.7920196703623499E-2</v>
      </c>
      <c r="AC38" s="79">
        <v>0.91393003188480104</v>
      </c>
      <c r="AD38" s="79">
        <v>1.6584955871414099E-2</v>
      </c>
      <c r="AE38" s="79">
        <v>2.1334579395100899E-2</v>
      </c>
      <c r="AF38" s="79">
        <v>8.6346411781416305E-2</v>
      </c>
      <c r="AG38" s="79">
        <v>1.16896909928221E-3</v>
      </c>
    </row>
    <row r="39" spans="2:33" x14ac:dyDescent="0.2">
      <c r="B39" t="s">
        <v>391</v>
      </c>
      <c r="C39" s="79">
        <v>4.1518024330777104E-3</v>
      </c>
      <c r="D39" s="79">
        <v>1.26238166733865E-3</v>
      </c>
      <c r="E39" s="79">
        <v>7.04122319881678E-3</v>
      </c>
      <c r="F39" s="79">
        <v>4.8585119197033198E-3</v>
      </c>
      <c r="G39" s="79">
        <v>0.242925595985166</v>
      </c>
      <c r="H39" s="79">
        <v>1.61483614315409E-2</v>
      </c>
      <c r="I39" s="79">
        <v>3.0059086845355999E-2</v>
      </c>
      <c r="J39" s="79">
        <v>9.3359500475667795E-2</v>
      </c>
      <c r="K39" s="79">
        <v>1.3269804393667401E-4</v>
      </c>
      <c r="L39" s="15"/>
      <c r="M39" t="s">
        <v>423</v>
      </c>
      <c r="N39" s="79">
        <v>3.2632701145584898E-3</v>
      </c>
      <c r="O39" s="79">
        <v>7.3184332178055102E-4</v>
      </c>
      <c r="P39" s="79">
        <v>5.7946969073364198E-3</v>
      </c>
      <c r="Q39" s="79">
        <v>1.1517402450876599E-2</v>
      </c>
      <c r="R39" s="79">
        <v>0.54131791519120098</v>
      </c>
      <c r="S39" s="79">
        <v>1.465292710134E-2</v>
      </c>
      <c r="T39" s="79">
        <v>2.4346832701948502E-2</v>
      </c>
      <c r="U39" s="79">
        <v>8.1785251475383305E-2</v>
      </c>
      <c r="V39" s="79">
        <v>2.9286374895742801E-4</v>
      </c>
      <c r="X39" t="s">
        <v>389</v>
      </c>
      <c r="Y39" s="79">
        <v>3.51189200195119E-3</v>
      </c>
      <c r="Z39" s="79">
        <v>7.9148297011546001E-4</v>
      </c>
      <c r="AA39" s="79">
        <v>6.2323010337869099E-3</v>
      </c>
      <c r="AB39" s="79">
        <v>1.13997177846925E-2</v>
      </c>
      <c r="AC39" s="79">
        <v>0.58138560701931796</v>
      </c>
      <c r="AD39" s="79">
        <v>1.56243003259466E-2</v>
      </c>
      <c r="AE39" s="79">
        <v>5.5452275866812298E-2</v>
      </c>
      <c r="AF39" s="79">
        <v>0.116698407711798</v>
      </c>
      <c r="AG39" s="79">
        <v>3.6073738440833803E-8</v>
      </c>
    </row>
    <row r="40" spans="2:33" x14ac:dyDescent="0.2">
      <c r="B40" t="s">
        <v>414</v>
      </c>
      <c r="C40" s="79">
        <v>3.8658011380155702E-3</v>
      </c>
      <c r="D40" s="79">
        <v>1.08209026241068E-3</v>
      </c>
      <c r="E40" s="79">
        <v>6.6495120136204596E-3</v>
      </c>
      <c r="F40" s="79">
        <v>6.49184793945712E-3</v>
      </c>
      <c r="G40" s="79">
        <v>0.32459239697285602</v>
      </c>
      <c r="H40" s="79">
        <v>1.5695782474130001E-2</v>
      </c>
      <c r="I40" s="79">
        <v>8.4963155943957994E-2</v>
      </c>
      <c r="J40" s="79">
        <v>0.146489492660898</v>
      </c>
      <c r="K40" s="79">
        <v>1.6675549829869899E-13</v>
      </c>
      <c r="L40" s="15"/>
      <c r="M40" t="s">
        <v>427</v>
      </c>
      <c r="N40" s="79">
        <v>3.2536857478079901E-3</v>
      </c>
      <c r="O40" s="79">
        <v>6.6971306902673295E-4</v>
      </c>
      <c r="P40" s="79">
        <v>5.8376584265892404E-3</v>
      </c>
      <c r="Q40" s="79">
        <v>1.3589054653685E-2</v>
      </c>
      <c r="R40" s="79">
        <v>0.63868556872319404</v>
      </c>
      <c r="S40" s="79">
        <v>1.53577748132356E-2</v>
      </c>
      <c r="T40" s="79">
        <v>6.2514461094538495E-2</v>
      </c>
      <c r="U40" s="79">
        <v>0.122715832127775</v>
      </c>
      <c r="V40" s="79">
        <v>1.63447544387907E-9</v>
      </c>
      <c r="X40" t="s">
        <v>391</v>
      </c>
      <c r="Y40" s="79">
        <v>3.6953429625752798E-3</v>
      </c>
      <c r="Z40" s="79">
        <v>8.9573921226388398E-4</v>
      </c>
      <c r="AA40" s="79">
        <v>6.4949467128866904E-3</v>
      </c>
      <c r="AB40" s="79">
        <v>9.6799112415293393E-3</v>
      </c>
      <c r="AC40" s="79">
        <v>0.49367547331799599</v>
      </c>
      <c r="AD40" s="79">
        <v>1.6127516450672001E-2</v>
      </c>
      <c r="AE40" s="79">
        <v>3.0286974609830101E-2</v>
      </c>
      <c r="AF40" s="79">
        <v>9.3505677416618693E-2</v>
      </c>
      <c r="AG40" s="79">
        <v>1.24074372409577E-4</v>
      </c>
    </row>
    <row r="41" spans="2:33" x14ac:dyDescent="0.2">
      <c r="B41" t="s">
        <v>423</v>
      </c>
      <c r="C41" s="79">
        <v>3.7975711109286799E-3</v>
      </c>
      <c r="D41" s="79">
        <v>1.10758649795953E-3</v>
      </c>
      <c r="E41" s="79">
        <v>6.4875557238978296E-3</v>
      </c>
      <c r="F41" s="79">
        <v>5.6580227256270996E-3</v>
      </c>
      <c r="G41" s="79">
        <v>0.28290113628135499</v>
      </c>
      <c r="H41" s="79">
        <v>1.4636561831432001E-2</v>
      </c>
      <c r="I41" s="79">
        <v>2.38877427930426E-2</v>
      </c>
      <c r="J41" s="79">
        <v>8.1262010887243399E-2</v>
      </c>
      <c r="K41" s="79">
        <v>3.2812001299542499E-4</v>
      </c>
      <c r="L41" s="15"/>
      <c r="M41" t="s">
        <v>443</v>
      </c>
      <c r="N41" s="79">
        <v>3.8681330477827202E-3</v>
      </c>
      <c r="O41" s="79">
        <v>1.0011839850539001E-3</v>
      </c>
      <c r="P41" s="79">
        <v>6.7350821105115503E-3</v>
      </c>
      <c r="Q41" s="79">
        <v>8.1832395524994404E-3</v>
      </c>
      <c r="R41" s="79">
        <v>0.38461225896747397</v>
      </c>
      <c r="S41" s="79">
        <v>1.5654799509683098E-2</v>
      </c>
      <c r="T41" s="79">
        <v>2.9663665383618702E-2</v>
      </c>
      <c r="U41" s="79">
        <v>9.1029351831967101E-2</v>
      </c>
      <c r="V41" s="79">
        <v>1.15812559605022E-4</v>
      </c>
      <c r="X41" t="s">
        <v>414</v>
      </c>
      <c r="Y41" s="79">
        <v>3.5165218624476401E-3</v>
      </c>
      <c r="Z41" s="79">
        <v>8.0172310031290399E-4</v>
      </c>
      <c r="AA41" s="79">
        <v>6.2313206245823696E-3</v>
      </c>
      <c r="AB41" s="79">
        <v>1.1124216197354601E-2</v>
      </c>
      <c r="AC41" s="79">
        <v>0.56733502606508401</v>
      </c>
      <c r="AD41" s="79">
        <v>1.5720532089027298E-2</v>
      </c>
      <c r="AE41" s="79">
        <v>8.5165879833916394E-2</v>
      </c>
      <c r="AF41" s="79">
        <v>0.14678923325851601</v>
      </c>
      <c r="AG41" s="79">
        <v>1.6142642778049799E-13</v>
      </c>
    </row>
    <row r="42" spans="2:33" x14ac:dyDescent="0.2">
      <c r="B42" t="s">
        <v>427</v>
      </c>
      <c r="C42" s="79">
        <v>3.7405405220285E-3</v>
      </c>
      <c r="D42" s="79">
        <v>1.0201149751552601E-3</v>
      </c>
      <c r="E42" s="79">
        <v>6.4609660689017396E-3</v>
      </c>
      <c r="F42" s="79">
        <v>7.0405882977027101E-3</v>
      </c>
      <c r="G42" s="79">
        <v>0.352029414885136</v>
      </c>
      <c r="H42" s="79">
        <v>1.53609294901323E-2</v>
      </c>
      <c r="I42" s="79">
        <v>6.2063771580537698E-2</v>
      </c>
      <c r="J42" s="79">
        <v>0.122277508719975</v>
      </c>
      <c r="K42" s="79">
        <v>1.9691739350235999E-9</v>
      </c>
      <c r="L42" s="15"/>
      <c r="M42" t="s">
        <v>339</v>
      </c>
      <c r="N42" s="79">
        <v>5.2229268837798003E-3</v>
      </c>
      <c r="O42" s="79">
        <v>1.39292606861888E-3</v>
      </c>
      <c r="P42" s="79">
        <v>9.0529276989407097E-3</v>
      </c>
      <c r="Q42" s="79">
        <v>7.5225624694605902E-3</v>
      </c>
      <c r="R42" s="79">
        <v>0.35356043606464799</v>
      </c>
      <c r="S42" s="79">
        <v>1.75364741519866E-2</v>
      </c>
      <c r="T42" s="79">
        <v>8.6668961961931204E-2</v>
      </c>
      <c r="U42" s="79">
        <v>0.155410677469354</v>
      </c>
      <c r="V42" s="79">
        <v>5.1212367679909197E-12</v>
      </c>
      <c r="X42" t="s">
        <v>423</v>
      </c>
      <c r="Y42" s="79">
        <v>3.41070192665057E-3</v>
      </c>
      <c r="Z42" s="79">
        <v>7.8614807775494199E-4</v>
      </c>
      <c r="AA42" s="79">
        <v>6.0352557755462E-3</v>
      </c>
      <c r="AB42" s="79">
        <v>1.0863987597725E-2</v>
      </c>
      <c r="AC42" s="79">
        <v>0.554063367483975</v>
      </c>
      <c r="AD42" s="79">
        <v>1.4661883257544001E-2</v>
      </c>
      <c r="AE42" s="79">
        <v>2.3955471195786501E-2</v>
      </c>
      <c r="AF42" s="79">
        <v>8.1428997456420599E-2</v>
      </c>
      <c r="AG42" s="79">
        <v>3.2585944808749502E-4</v>
      </c>
    </row>
    <row r="43" spans="2:33" x14ac:dyDescent="0.2">
      <c r="B43" t="s">
        <v>443</v>
      </c>
      <c r="C43" s="79">
        <v>4.5017752480520897E-3</v>
      </c>
      <c r="D43" s="79">
        <v>1.4317617492914799E-3</v>
      </c>
      <c r="E43" s="79">
        <v>7.5717887468126997E-3</v>
      </c>
      <c r="F43" s="79">
        <v>4.0526776668830004E-3</v>
      </c>
      <c r="G43" s="79">
        <v>0.20263388334415</v>
      </c>
      <c r="H43" s="79">
        <v>1.5658704143648099E-2</v>
      </c>
      <c r="I43" s="79">
        <v>2.9073505603585698E-2</v>
      </c>
      <c r="J43" s="79">
        <v>9.0454497935822498E-2</v>
      </c>
      <c r="K43" s="79">
        <v>1.35268548518308E-4</v>
      </c>
      <c r="L43" s="15"/>
      <c r="M43" t="s">
        <v>340</v>
      </c>
      <c r="N43" s="79">
        <v>5.6344760062458201E-3</v>
      </c>
      <c r="O43" s="79">
        <v>1.57516116813555E-3</v>
      </c>
      <c r="P43" s="79">
        <v>9.6937908443560893E-3</v>
      </c>
      <c r="Q43" s="79">
        <v>6.5183076296409003E-3</v>
      </c>
      <c r="R43" s="79">
        <v>0.306360458593122</v>
      </c>
      <c r="S43" s="79">
        <v>1.91644279813908E-2</v>
      </c>
      <c r="T43" s="79">
        <v>5.7065487543501402E-2</v>
      </c>
      <c r="U43" s="79">
        <v>0.13218866479917599</v>
      </c>
      <c r="V43" s="79">
        <v>7.9073003877994097E-7</v>
      </c>
      <c r="X43" t="s">
        <v>427</v>
      </c>
      <c r="Y43" s="79">
        <v>3.4164191057486598E-3</v>
      </c>
      <c r="Z43" s="79">
        <v>7.3090622769017403E-4</v>
      </c>
      <c r="AA43" s="79">
        <v>6.10193198380715E-3</v>
      </c>
      <c r="AB43" s="79">
        <v>1.2652614018916E-2</v>
      </c>
      <c r="AC43" s="79">
        <v>0.64528331496471802</v>
      </c>
      <c r="AD43" s="79">
        <v>1.53610586265195E-2</v>
      </c>
      <c r="AE43" s="79">
        <v>6.2027653059071299E-2</v>
      </c>
      <c r="AF43" s="79">
        <v>0.122241896403844</v>
      </c>
      <c r="AG43" s="79">
        <v>1.9983097399034498E-9</v>
      </c>
    </row>
    <row r="44" spans="2:33" x14ac:dyDescent="0.2">
      <c r="B44" t="s">
        <v>339</v>
      </c>
      <c r="C44" s="79">
        <v>5.54338103144015E-3</v>
      </c>
      <c r="D44" s="79">
        <v>1.6809965441956301E-3</v>
      </c>
      <c r="E44" s="79">
        <v>9.4057655186846698E-3</v>
      </c>
      <c r="F44" s="79">
        <v>4.90840376987589E-3</v>
      </c>
      <c r="G44" s="79">
        <v>0.24542018849379499</v>
      </c>
      <c r="H44" s="79">
        <v>1.7533965040819301E-2</v>
      </c>
      <c r="I44" s="79">
        <v>8.63901446646691E-2</v>
      </c>
      <c r="J44" s="79">
        <v>0.15512202463704999</v>
      </c>
      <c r="K44" s="79">
        <v>5.6987747854009301E-12</v>
      </c>
      <c r="L44" s="15"/>
      <c r="M44" t="s">
        <v>341</v>
      </c>
      <c r="N44" s="79">
        <v>6.77404568638102E-3</v>
      </c>
      <c r="O44" s="79">
        <v>2.06732015154163E-3</v>
      </c>
      <c r="P44" s="79">
        <v>1.14807712212204E-2</v>
      </c>
      <c r="Q44" s="79">
        <v>4.7899167175686798E-3</v>
      </c>
      <c r="R44" s="79">
        <v>0.22512608572572801</v>
      </c>
      <c r="S44" s="79">
        <v>1.8693745436191098E-2</v>
      </c>
      <c r="T44" s="79">
        <v>6.0792665667446698E-2</v>
      </c>
      <c r="U44" s="79">
        <v>0.134070801249636</v>
      </c>
      <c r="V44" s="79">
        <v>1.8681920010976701E-7</v>
      </c>
      <c r="X44" t="s">
        <v>443</v>
      </c>
      <c r="Y44" s="79">
        <v>3.9907156155499102E-3</v>
      </c>
      <c r="Z44" s="79">
        <v>1.0224873570518799E-3</v>
      </c>
      <c r="AA44" s="79">
        <v>6.9589438740479499E-3</v>
      </c>
      <c r="AB44" s="79">
        <v>8.4105770111979599E-3</v>
      </c>
      <c r="AC44" s="79">
        <v>0.42893942757109599</v>
      </c>
      <c r="AD44" s="79">
        <v>1.5660481686318201E-2</v>
      </c>
      <c r="AE44" s="79">
        <v>2.9306629328676E-2</v>
      </c>
      <c r="AF44" s="79">
        <v>9.0694589500141407E-2</v>
      </c>
      <c r="AG44" s="79">
        <v>1.2744792021735001E-4</v>
      </c>
    </row>
    <row r="45" spans="2:33" x14ac:dyDescent="0.2">
      <c r="B45" t="s">
        <v>340</v>
      </c>
      <c r="C45" s="79">
        <v>5.9351563735775999E-3</v>
      </c>
      <c r="D45" s="79">
        <v>1.76456567218561E-3</v>
      </c>
      <c r="E45" s="79">
        <v>1.01057470749696E-2</v>
      </c>
      <c r="F45" s="79">
        <v>5.2835249298885901E-3</v>
      </c>
      <c r="G45" s="79">
        <v>0.26417624649443</v>
      </c>
      <c r="H45" s="79">
        <v>1.9156407932117901E-2</v>
      </c>
      <c r="I45" s="79">
        <v>5.6819645718599501E-2</v>
      </c>
      <c r="J45" s="79">
        <v>0.13191138495881599</v>
      </c>
      <c r="K45" s="79">
        <v>8.3906472725381299E-7</v>
      </c>
      <c r="L45" s="15"/>
      <c r="M45" t="s">
        <v>343</v>
      </c>
      <c r="N45" s="79">
        <v>6.8134617530616398E-3</v>
      </c>
      <c r="O45" s="79">
        <v>2.0938886479637802E-3</v>
      </c>
      <c r="P45" s="79">
        <v>1.1533034858159499E-2</v>
      </c>
      <c r="Q45" s="79">
        <v>4.6617480168278397E-3</v>
      </c>
      <c r="R45" s="79">
        <v>0.219102156790908</v>
      </c>
      <c r="S45" s="79">
        <v>1.9070544195177199E-2</v>
      </c>
      <c r="T45" s="79">
        <v>6.4939046123351302E-2</v>
      </c>
      <c r="U45" s="79">
        <v>0.139694205699605</v>
      </c>
      <c r="V45" s="79">
        <v>8.0875026009508107E-8</v>
      </c>
      <c r="X45" t="s">
        <v>339</v>
      </c>
      <c r="Y45" s="79">
        <v>5.4938272609605897E-3</v>
      </c>
      <c r="Z45" s="79">
        <v>1.44932265997212E-3</v>
      </c>
      <c r="AA45" s="79">
        <v>9.5383318619490492E-3</v>
      </c>
      <c r="AB45" s="79">
        <v>7.7607593234134704E-3</v>
      </c>
      <c r="AC45" s="79">
        <v>0.39579872549408701</v>
      </c>
      <c r="AD45" s="79">
        <v>1.7533569505705299E-2</v>
      </c>
      <c r="AE45" s="79">
        <v>8.5947785832265602E-2</v>
      </c>
      <c r="AF45" s="79">
        <v>0.15467811533549</v>
      </c>
      <c r="AG45" s="79">
        <v>6.79678535675521E-12</v>
      </c>
    </row>
    <row r="46" spans="2:33" x14ac:dyDescent="0.2">
      <c r="B46" t="s">
        <v>341</v>
      </c>
      <c r="C46" s="79">
        <v>7.3778047341582498E-3</v>
      </c>
      <c r="D46" s="79">
        <v>2.5037903129661501E-3</v>
      </c>
      <c r="E46" s="79">
        <v>1.2251819155350299E-2</v>
      </c>
      <c r="F46" s="79">
        <v>3.0091551253359499E-3</v>
      </c>
      <c r="G46" s="79">
        <v>0.150457756266797</v>
      </c>
      <c r="H46" s="79">
        <v>1.86903127544162E-2</v>
      </c>
      <c r="I46" s="79">
        <v>6.0245300411296603E-2</v>
      </c>
      <c r="J46" s="79">
        <v>0.13350998012818699</v>
      </c>
      <c r="K46" s="79">
        <v>2.17985076433891E-7</v>
      </c>
      <c r="L46" s="15"/>
      <c r="M46" t="s">
        <v>344</v>
      </c>
      <c r="N46" s="79">
        <v>5.8352912530124897E-3</v>
      </c>
      <c r="O46" s="79">
        <v>1.6629382487976601E-3</v>
      </c>
      <c r="P46" s="79">
        <v>1.00076442572273E-2</v>
      </c>
      <c r="Q46" s="79">
        <v>6.12283349156617E-3</v>
      </c>
      <c r="R46" s="79">
        <v>0.28777317410360997</v>
      </c>
      <c r="S46" s="79">
        <v>1.7958904895462601E-2</v>
      </c>
      <c r="T46" s="79">
        <v>6.2291084543782002E-2</v>
      </c>
      <c r="U46" s="79">
        <v>0.13268869813755599</v>
      </c>
      <c r="V46" s="79">
        <v>5.6830069317115297E-8</v>
      </c>
      <c r="X46" t="s">
        <v>340</v>
      </c>
      <c r="Y46" s="79">
        <v>5.8069526563798296E-3</v>
      </c>
      <c r="Z46" s="79">
        <v>1.5642665396612999E-3</v>
      </c>
      <c r="AA46" s="79">
        <v>1.0049638773098399E-2</v>
      </c>
      <c r="AB46" s="79">
        <v>7.3052910633097899E-3</v>
      </c>
      <c r="AC46" s="79">
        <v>0.37256984422879902</v>
      </c>
      <c r="AD46" s="79">
        <v>1.91496532966383E-2</v>
      </c>
      <c r="AE46" s="79">
        <v>5.6600800623391297E-2</v>
      </c>
      <c r="AF46" s="79">
        <v>0.13166606217907101</v>
      </c>
      <c r="AG46" s="79">
        <v>8.8478030613181602E-7</v>
      </c>
    </row>
    <row r="47" spans="2:33" x14ac:dyDescent="0.2">
      <c r="B47" t="s">
        <v>343</v>
      </c>
      <c r="C47" s="79">
        <v>7.3566824734484799E-3</v>
      </c>
      <c r="D47" s="79">
        <v>2.4841712213085399E-3</v>
      </c>
      <c r="E47" s="79">
        <v>1.2229193725588399E-2</v>
      </c>
      <c r="F47" s="79">
        <v>3.0841884546364299E-3</v>
      </c>
      <c r="G47" s="79">
        <v>0.15420942273182101</v>
      </c>
      <c r="H47" s="79">
        <v>1.90655416148654E-2</v>
      </c>
      <c r="I47" s="79">
        <v>6.4454895598554995E-2</v>
      </c>
      <c r="J47" s="79">
        <v>0.13919044542032699</v>
      </c>
      <c r="K47" s="79">
        <v>9.2606254220584105E-8</v>
      </c>
      <c r="L47" s="15"/>
      <c r="M47" t="s">
        <v>348</v>
      </c>
      <c r="N47" s="79">
        <v>5.2084532651658997E-3</v>
      </c>
      <c r="O47" s="79">
        <v>1.35781322958875E-3</v>
      </c>
      <c r="P47" s="79">
        <v>9.0590933007430492E-3</v>
      </c>
      <c r="Q47" s="79">
        <v>8.0233228436761301E-3</v>
      </c>
      <c r="R47" s="79">
        <v>0.37709617365277798</v>
      </c>
      <c r="S47" s="79">
        <v>1.7581741351894799E-2</v>
      </c>
      <c r="T47" s="79">
        <v>8.5359275323008396E-2</v>
      </c>
      <c r="U47" s="79">
        <v>0.15427843499343299</v>
      </c>
      <c r="V47" s="79">
        <v>9.4291241481414497E-12</v>
      </c>
      <c r="X47" t="s">
        <v>341</v>
      </c>
      <c r="Y47" s="79">
        <v>6.9572815444414599E-3</v>
      </c>
      <c r="Z47" s="79">
        <v>2.0378382498011799E-3</v>
      </c>
      <c r="AA47" s="79">
        <v>1.18767248390817E-2</v>
      </c>
      <c r="AB47" s="79">
        <v>5.5736544344220399E-3</v>
      </c>
      <c r="AC47" s="79">
        <v>0.28425637615552402</v>
      </c>
      <c r="AD47" s="79">
        <v>1.86850196295495E-2</v>
      </c>
      <c r="AE47" s="79">
        <v>6.0209482622337399E-2</v>
      </c>
      <c r="AF47" s="79">
        <v>0.13345341367101901</v>
      </c>
      <c r="AG47" s="79">
        <v>2.1916186199177901E-7</v>
      </c>
    </row>
    <row r="48" spans="2:33" x14ac:dyDescent="0.2">
      <c r="B48" t="s">
        <v>344</v>
      </c>
      <c r="C48" s="79">
        <v>6.1959546718674497E-3</v>
      </c>
      <c r="D48" s="79">
        <v>1.9576195179524698E-3</v>
      </c>
      <c r="E48" s="79">
        <v>1.04342898257824E-2</v>
      </c>
      <c r="F48" s="79">
        <v>4.1669311603571603E-3</v>
      </c>
      <c r="G48" s="79">
        <v>0.20834655801785801</v>
      </c>
      <c r="H48" s="79">
        <v>1.7964774435753499E-2</v>
      </c>
      <c r="I48" s="79">
        <v>6.1959975996017103E-2</v>
      </c>
      <c r="J48" s="79">
        <v>0.13238059776494299</v>
      </c>
      <c r="K48" s="79">
        <v>6.3400836802785005E-8</v>
      </c>
      <c r="L48" s="15"/>
      <c r="M48" t="s">
        <v>349</v>
      </c>
      <c r="N48" s="79">
        <v>5.5049803714266998E-3</v>
      </c>
      <c r="O48" s="79">
        <v>1.4340937854314701E-3</v>
      </c>
      <c r="P48" s="79">
        <v>9.5758669574219305E-3</v>
      </c>
      <c r="Q48" s="79">
        <v>8.03915275990774E-3</v>
      </c>
      <c r="R48" s="79">
        <v>0.37784017971566403</v>
      </c>
      <c r="S48" s="79">
        <v>1.7711401109342901E-2</v>
      </c>
      <c r="T48" s="79">
        <v>6.5456727251758204E-2</v>
      </c>
      <c r="U48" s="79">
        <v>0.134884143831868</v>
      </c>
      <c r="V48" s="79">
        <v>1.5520909002475501E-8</v>
      </c>
      <c r="X48" t="s">
        <v>343</v>
      </c>
      <c r="Y48" s="79">
        <v>7.0041369274769097E-3</v>
      </c>
      <c r="Z48" s="79">
        <v>2.0642330211447001E-3</v>
      </c>
      <c r="AA48" s="79">
        <v>1.1944040833809099E-2</v>
      </c>
      <c r="AB48" s="79">
        <v>5.4531174985368303E-3</v>
      </c>
      <c r="AC48" s="79">
        <v>0.27810899242537801</v>
      </c>
      <c r="AD48" s="79">
        <v>1.90567511096679E-2</v>
      </c>
      <c r="AE48" s="79">
        <v>6.4364108546023896E-2</v>
      </c>
      <c r="AF48" s="79">
        <v>0.13906520022061</v>
      </c>
      <c r="AG48" s="79">
        <v>9.4257480931503297E-8</v>
      </c>
    </row>
    <row r="49" spans="2:33" x14ac:dyDescent="0.2">
      <c r="B49" t="s">
        <v>348</v>
      </c>
      <c r="C49" s="79">
        <v>5.5104770481524002E-3</v>
      </c>
      <c r="D49" s="79">
        <v>1.6289069263986E-3</v>
      </c>
      <c r="E49" s="79">
        <v>9.3920471699062095E-3</v>
      </c>
      <c r="F49" s="79">
        <v>5.3947532013716203E-3</v>
      </c>
      <c r="G49" s="79">
        <v>0.26973766006858102</v>
      </c>
      <c r="H49" s="79">
        <v>1.7590893070384899E-2</v>
      </c>
      <c r="I49" s="79">
        <v>8.5075740925390997E-2</v>
      </c>
      <c r="J49" s="79">
        <v>0.15403077467309001</v>
      </c>
      <c r="K49" s="79">
        <v>1.07329700682612E-11</v>
      </c>
      <c r="L49" s="15"/>
      <c r="M49" t="s">
        <v>350</v>
      </c>
      <c r="N49" s="79">
        <v>6.7205119283257298E-3</v>
      </c>
      <c r="O49" s="79">
        <v>2.0821763766687099E-3</v>
      </c>
      <c r="P49" s="79">
        <v>1.1358847479982699E-2</v>
      </c>
      <c r="Q49" s="79">
        <v>4.5141337025431704E-3</v>
      </c>
      <c r="R49" s="79">
        <v>0.212164284019529</v>
      </c>
      <c r="S49" s="79">
        <v>1.99999516987629E-2</v>
      </c>
      <c r="T49" s="79">
        <v>6.3708836545612102E-2</v>
      </c>
      <c r="U49" s="79">
        <v>0.14210720658984399</v>
      </c>
      <c r="V49" s="79">
        <v>2.6693217236584101E-7</v>
      </c>
      <c r="X49" t="s">
        <v>344</v>
      </c>
      <c r="Y49" s="79">
        <v>6.0862973394022E-3</v>
      </c>
      <c r="Z49" s="79">
        <v>1.6841316970519801E-3</v>
      </c>
      <c r="AA49" s="79">
        <v>1.04884629817524E-2</v>
      </c>
      <c r="AB49" s="79">
        <v>6.7326781545333798E-3</v>
      </c>
      <c r="AC49" s="79">
        <v>0.343366585881202</v>
      </c>
      <c r="AD49" s="79">
        <v>1.7953945758140001E-2</v>
      </c>
      <c r="AE49" s="79">
        <v>6.1689165679596501E-2</v>
      </c>
      <c r="AF49" s="79">
        <v>0.132067339812277</v>
      </c>
      <c r="AG49" s="79">
        <v>6.8169136779872006E-8</v>
      </c>
    </row>
    <row r="50" spans="2:33" x14ac:dyDescent="0.2">
      <c r="B50" t="s">
        <v>349</v>
      </c>
      <c r="C50" s="79">
        <v>6.5488048932011598E-3</v>
      </c>
      <c r="D50" s="79">
        <v>2.0590903444429802E-3</v>
      </c>
      <c r="E50" s="79">
        <v>1.1038519441959301E-2</v>
      </c>
      <c r="F50" s="79">
        <v>4.2517939482429297E-3</v>
      </c>
      <c r="G50" s="79">
        <v>0.21258969741214701</v>
      </c>
      <c r="H50" s="79">
        <v>1.7674061003013299E-2</v>
      </c>
      <c r="I50" s="79">
        <v>6.4532464149220994E-2</v>
      </c>
      <c r="J50" s="79">
        <v>0.13381351020216101</v>
      </c>
      <c r="K50" s="79">
        <v>2.0090892727253601E-8</v>
      </c>
      <c r="L50" s="15"/>
      <c r="M50" t="s">
        <v>597</v>
      </c>
      <c r="N50" s="79">
        <v>4.7575813204554299E-3</v>
      </c>
      <c r="O50" s="79">
        <v>-5.0447168458749296E-4</v>
      </c>
      <c r="P50" s="79">
        <v>1.00196343254983E-2</v>
      </c>
      <c r="Q50" s="79">
        <v>7.63841439013562E-2</v>
      </c>
      <c r="R50" s="79">
        <v>1</v>
      </c>
      <c r="S50" s="79">
        <v>2.17238245087444E-2</v>
      </c>
      <c r="T50" s="79">
        <v>7.7258970075716096E-2</v>
      </c>
      <c r="U50" s="79">
        <v>0.16241479736293099</v>
      </c>
      <c r="V50" s="79">
        <v>3.4605243781626902E-8</v>
      </c>
      <c r="X50" t="s">
        <v>348</v>
      </c>
      <c r="Y50" s="79">
        <v>5.4342888358921296E-3</v>
      </c>
      <c r="Z50" s="79">
        <v>1.3933539580413101E-3</v>
      </c>
      <c r="AA50" s="79">
        <v>9.4752237137429498E-3</v>
      </c>
      <c r="AB50" s="79">
        <v>8.3944438862646499E-3</v>
      </c>
      <c r="AC50" s="79">
        <v>0.42811663819949702</v>
      </c>
      <c r="AD50" s="79">
        <v>1.7579454286743498E-2</v>
      </c>
      <c r="AE50" s="79">
        <v>8.4668678048654994E-2</v>
      </c>
      <c r="AF50" s="79">
        <v>0.15357887258842601</v>
      </c>
      <c r="AG50" s="79">
        <v>1.23285825992525E-11</v>
      </c>
    </row>
    <row r="51" spans="2:33" x14ac:dyDescent="0.2">
      <c r="B51" t="s">
        <v>350</v>
      </c>
      <c r="C51" s="79">
        <v>7.1749214378177403E-3</v>
      </c>
      <c r="D51" s="79">
        <v>2.3927213492938E-3</v>
      </c>
      <c r="E51" s="79">
        <v>1.1957121526341701E-2</v>
      </c>
      <c r="F51" s="79">
        <v>3.2756618384286499E-3</v>
      </c>
      <c r="G51" s="79">
        <v>0.16378309192143201</v>
      </c>
      <c r="H51" s="79">
        <v>1.99939387393132E-2</v>
      </c>
      <c r="I51" s="79">
        <v>6.3313917170797193E-2</v>
      </c>
      <c r="J51" s="79">
        <v>0.14168871684710499</v>
      </c>
      <c r="K51" s="79">
        <v>2.9499078557648799E-7</v>
      </c>
      <c r="L51" s="15"/>
      <c r="M51" t="s">
        <v>1455</v>
      </c>
      <c r="N51" s="79">
        <v>1.9563420686152101E-3</v>
      </c>
      <c r="O51" s="79">
        <v>6.0682298119082295E-4</v>
      </c>
      <c r="P51" s="79">
        <v>3.3058611560395999E-3</v>
      </c>
      <c r="Q51" s="79">
        <v>4.4933008946952402E-3</v>
      </c>
      <c r="R51" s="79">
        <v>0.21118514205067601</v>
      </c>
      <c r="S51" s="79">
        <v>5.9789347490863199E-3</v>
      </c>
      <c r="T51" s="79">
        <v>2.8778696031100101E-2</v>
      </c>
      <c r="U51" s="79">
        <v>5.22156895793486E-2</v>
      </c>
      <c r="V51" s="79">
        <v>1.25865984301754E-11</v>
      </c>
      <c r="X51" t="s">
        <v>349</v>
      </c>
      <c r="Y51" s="79">
        <v>5.5919304023994004E-3</v>
      </c>
      <c r="Z51" s="79">
        <v>1.40349995845933E-3</v>
      </c>
      <c r="AA51" s="79">
        <v>9.7803608463394708E-3</v>
      </c>
      <c r="AB51" s="79">
        <v>8.8777116437141999E-3</v>
      </c>
      <c r="AC51" s="79">
        <v>0.45276329382942399</v>
      </c>
      <c r="AD51" s="79">
        <v>1.7715514170064901E-2</v>
      </c>
      <c r="AE51" s="79">
        <v>6.4860063787628194E-2</v>
      </c>
      <c r="AF51" s="79">
        <v>0.134303603269501</v>
      </c>
      <c r="AG51" s="79">
        <v>1.8967367676481201E-8</v>
      </c>
    </row>
    <row r="52" spans="2:33" x14ac:dyDescent="0.2">
      <c r="B52" t="s">
        <v>597</v>
      </c>
      <c r="C52" s="79">
        <v>5.7539449938264998E-3</v>
      </c>
      <c r="D52" s="79">
        <v>2.4626838182392101E-4</v>
      </c>
      <c r="E52" s="79">
        <v>1.12616216058291E-2</v>
      </c>
      <c r="F52" s="79">
        <v>4.0599096718463103E-2</v>
      </c>
      <c r="G52" s="79">
        <v>1</v>
      </c>
      <c r="H52" s="79">
        <v>2.1724958170309599E-2</v>
      </c>
      <c r="I52" s="79">
        <v>7.63254230463105E-2</v>
      </c>
      <c r="J52" s="79">
        <v>0.16148569420520201</v>
      </c>
      <c r="K52" s="79">
        <v>4.4192137282905699E-8</v>
      </c>
      <c r="L52" s="15"/>
      <c r="N52" s="79"/>
      <c r="O52" s="79"/>
      <c r="P52" s="79"/>
      <c r="Q52" s="79"/>
      <c r="R52" s="79"/>
      <c r="S52" s="79"/>
      <c r="T52" s="79"/>
      <c r="U52" s="79"/>
      <c r="V52" s="79"/>
      <c r="X52" t="s">
        <v>350</v>
      </c>
      <c r="Y52" s="79">
        <v>7.0227909853871097E-3</v>
      </c>
      <c r="Z52" s="79">
        <v>2.0983070489800802E-3</v>
      </c>
      <c r="AA52" s="79">
        <v>1.19472749217941E-2</v>
      </c>
      <c r="AB52" s="79">
        <v>5.1883912815391398E-3</v>
      </c>
      <c r="AC52" s="79">
        <v>0.26460795535849602</v>
      </c>
      <c r="AD52" s="79">
        <v>1.99710251787058E-2</v>
      </c>
      <c r="AE52" s="79">
        <v>6.3214837666842896E-2</v>
      </c>
      <c r="AF52" s="79">
        <v>0.141499817836055</v>
      </c>
      <c r="AG52" s="79">
        <v>2.9707758830710402E-7</v>
      </c>
    </row>
    <row r="53" spans="2:33" x14ac:dyDescent="0.2">
      <c r="B53" t="s">
        <v>1455</v>
      </c>
      <c r="C53" s="79">
        <v>2.3930317232826702E-3</v>
      </c>
      <c r="D53" s="79">
        <v>8.9921991402258097E-4</v>
      </c>
      <c r="E53" s="79">
        <v>3.88684353254276E-3</v>
      </c>
      <c r="F53" s="79">
        <v>1.69068747070145E-3</v>
      </c>
      <c r="G53" s="79">
        <v>8.4534373535072302E-2</v>
      </c>
      <c r="H53" s="79">
        <v>5.9801402824305504E-3</v>
      </c>
      <c r="I53" s="79">
        <v>2.8368703411071498E-2</v>
      </c>
      <c r="J53" s="79">
        <v>5.1810422563193702E-2</v>
      </c>
      <c r="K53" s="79">
        <v>2.0309087744863099E-11</v>
      </c>
      <c r="L53" s="15"/>
      <c r="N53" s="79"/>
      <c r="O53" s="79"/>
      <c r="P53" s="79"/>
      <c r="Q53" s="79"/>
      <c r="R53" s="79"/>
      <c r="S53" s="79"/>
      <c r="T53" s="79"/>
      <c r="U53" s="79"/>
      <c r="V53" s="79"/>
      <c r="X53" t="s">
        <v>353</v>
      </c>
      <c r="Y53" s="79">
        <v>4.8834894344247396E-3</v>
      </c>
      <c r="Z53" s="79">
        <v>1.17542782748789E-3</v>
      </c>
      <c r="AA53" s="79">
        <v>8.5915510413615906E-3</v>
      </c>
      <c r="AB53" s="79">
        <v>9.8441003462759209E-3</v>
      </c>
      <c r="AC53" s="79">
        <v>0.50204911766007199</v>
      </c>
      <c r="AD53" s="79">
        <v>1.73089573541724E-2</v>
      </c>
      <c r="AE53" s="79">
        <v>3.7031277837177599E-2</v>
      </c>
      <c r="AF53" s="79">
        <v>0.104881143885413</v>
      </c>
      <c r="AG53" s="79">
        <v>4.1423592594958001E-5</v>
      </c>
    </row>
    <row r="54" spans="2:33" x14ac:dyDescent="0.2">
      <c r="B54" t="s">
        <v>1462</v>
      </c>
      <c r="C54" s="79">
        <v>6.6844509842803204E-4</v>
      </c>
      <c r="D54" s="79">
        <v>1.72297254730413E-4</v>
      </c>
      <c r="E54" s="79">
        <v>1.1645929421256499E-3</v>
      </c>
      <c r="F54" s="79">
        <v>8.2759206343725501E-3</v>
      </c>
      <c r="G54" s="79">
        <v>0.413796031718627</v>
      </c>
      <c r="H54" s="79">
        <v>2.7648775607719799E-3</v>
      </c>
      <c r="I54" s="79">
        <v>7.4800104462831698E-3</v>
      </c>
      <c r="J54" s="79">
        <v>1.8318131327835201E-2</v>
      </c>
      <c r="K54" s="79">
        <v>3.0811962055121698E-6</v>
      </c>
      <c r="L54" s="15"/>
      <c r="N54" s="79"/>
      <c r="O54" s="79"/>
      <c r="P54" s="79"/>
      <c r="Q54" s="79"/>
      <c r="R54" s="79"/>
      <c r="S54" s="79"/>
      <c r="T54" s="79"/>
      <c r="U54" s="79"/>
      <c r="V54" s="79"/>
      <c r="X54" t="s">
        <v>597</v>
      </c>
      <c r="Y54" s="79">
        <v>4.6211512163274399E-3</v>
      </c>
      <c r="Z54" s="79">
        <v>-7.3651066641748598E-4</v>
      </c>
      <c r="AA54" s="79">
        <v>9.9788130990723593E-3</v>
      </c>
      <c r="AB54" s="79">
        <v>9.0926539320596897E-2</v>
      </c>
      <c r="AC54" s="79">
        <v>1</v>
      </c>
      <c r="AD54" s="79">
        <v>2.1744776573920401E-2</v>
      </c>
      <c r="AE54" s="79">
        <v>7.73405825650232E-2</v>
      </c>
      <c r="AF54" s="79">
        <v>0.16257854043853201</v>
      </c>
      <c r="AG54" s="79">
        <v>3.4541055793369002E-8</v>
      </c>
    </row>
    <row r="55" spans="2:33" ht="15" customHeight="1" x14ac:dyDescent="0.2">
      <c r="B55" s="151" t="s">
        <v>3230</v>
      </c>
      <c r="C55" s="151"/>
      <c r="D55" s="151"/>
      <c r="E55" s="151"/>
      <c r="F55" s="151"/>
      <c r="G55" s="151"/>
      <c r="H55" s="151"/>
      <c r="I55" s="151"/>
      <c r="J55" s="151"/>
      <c r="K55" s="151"/>
      <c r="M55" s="151" t="s">
        <v>3232</v>
      </c>
      <c r="N55" s="151"/>
      <c r="O55" s="151"/>
      <c r="P55" s="151"/>
      <c r="Q55" s="151"/>
      <c r="R55" s="151"/>
      <c r="S55" s="151"/>
      <c r="T55" s="151"/>
      <c r="U55" s="151"/>
      <c r="V55" s="151"/>
      <c r="X55" t="s">
        <v>1455</v>
      </c>
      <c r="Y55" s="79">
        <v>2.0188858015318199E-3</v>
      </c>
      <c r="Z55" s="79">
        <v>6.1550661855722002E-4</v>
      </c>
      <c r="AA55" s="79">
        <v>3.4222649845064099E-3</v>
      </c>
      <c r="AB55" s="79">
        <v>4.8086160285765204E-3</v>
      </c>
      <c r="AC55" s="79">
        <v>0.24523941745740199</v>
      </c>
      <c r="AD55" s="79">
        <v>5.9756198398702599E-3</v>
      </c>
      <c r="AE55" s="79">
        <v>2.8660425406227399E-2</v>
      </c>
      <c r="AF55" s="79">
        <v>5.2084424749124801E-2</v>
      </c>
      <c r="AG55" s="79">
        <v>1.41666678388219E-11</v>
      </c>
    </row>
    <row r="56" spans="2:33" ht="16" customHeight="1" x14ac:dyDescent="0.2">
      <c r="B56" s="141"/>
      <c r="C56" s="141"/>
      <c r="D56" s="141"/>
      <c r="E56" s="141"/>
      <c r="F56" s="141"/>
      <c r="G56" s="141"/>
      <c r="H56" s="141"/>
      <c r="I56" s="141"/>
      <c r="J56" s="141"/>
      <c r="K56" s="141"/>
      <c r="M56" s="141"/>
      <c r="N56" s="141"/>
      <c r="O56" s="141"/>
      <c r="P56" s="141"/>
      <c r="Q56" s="141"/>
      <c r="R56" s="141"/>
      <c r="S56" s="141"/>
      <c r="T56" s="141"/>
      <c r="U56" s="141"/>
      <c r="V56" s="141"/>
      <c r="X56" s="137" t="s">
        <v>3234</v>
      </c>
      <c r="Y56" s="137"/>
      <c r="Z56" s="137"/>
      <c r="AA56" s="137"/>
      <c r="AB56" s="137"/>
      <c r="AC56" s="137"/>
      <c r="AD56" s="137"/>
      <c r="AE56" s="137"/>
      <c r="AF56" s="137"/>
      <c r="AG56" s="137"/>
    </row>
    <row r="57" spans="2:33" x14ac:dyDescent="0.2">
      <c r="B57" s="141"/>
      <c r="C57" s="141"/>
      <c r="D57" s="141"/>
      <c r="E57" s="141"/>
      <c r="F57" s="141"/>
      <c r="G57" s="141"/>
      <c r="H57" s="141"/>
      <c r="I57" s="141"/>
      <c r="J57" s="141"/>
      <c r="K57" s="141"/>
      <c r="M57" s="141"/>
      <c r="N57" s="141"/>
      <c r="O57" s="141"/>
      <c r="P57" s="141"/>
      <c r="Q57" s="141"/>
      <c r="R57" s="141"/>
      <c r="S57" s="141"/>
      <c r="T57" s="141"/>
      <c r="U57" s="141"/>
      <c r="V57" s="141"/>
      <c r="X57" s="135"/>
      <c r="Y57" s="135"/>
      <c r="Z57" s="135"/>
      <c r="AA57" s="135"/>
      <c r="AB57" s="135"/>
      <c r="AC57" s="135"/>
      <c r="AD57" s="135"/>
      <c r="AE57" s="135"/>
      <c r="AF57" s="135"/>
      <c r="AG57" s="135"/>
    </row>
    <row r="58" spans="2:33" x14ac:dyDescent="0.2">
      <c r="M58" s="141"/>
      <c r="N58" s="141"/>
      <c r="O58" s="141"/>
      <c r="P58" s="141"/>
      <c r="Q58" s="141"/>
      <c r="R58" s="141"/>
      <c r="S58" s="141"/>
      <c r="T58" s="141"/>
      <c r="U58" s="141"/>
      <c r="V58" s="141"/>
      <c r="X58" s="135"/>
      <c r="Y58" s="135"/>
      <c r="Z58" s="135"/>
      <c r="AA58" s="135"/>
      <c r="AB58" s="135"/>
      <c r="AC58" s="135"/>
      <c r="AD58" s="135"/>
      <c r="AE58" s="135"/>
      <c r="AF58" s="135"/>
      <c r="AG58" s="135"/>
    </row>
    <row r="59" spans="2:33" x14ac:dyDescent="0.2">
      <c r="X59" s="135"/>
      <c r="Y59" s="135"/>
      <c r="Z59" s="135"/>
      <c r="AA59" s="135"/>
      <c r="AB59" s="135"/>
      <c r="AC59" s="135"/>
      <c r="AD59" s="135"/>
      <c r="AE59" s="135"/>
      <c r="AF59" s="135"/>
      <c r="AG59" s="135"/>
    </row>
  </sheetData>
  <mergeCells count="6">
    <mergeCell ref="Y3:AF3"/>
    <mergeCell ref="M55:V58"/>
    <mergeCell ref="X56:AG59"/>
    <mergeCell ref="C3:J3"/>
    <mergeCell ref="B55:K57"/>
    <mergeCell ref="N3:U3"/>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58B82-2E90-9F43-9301-0EECF54D375D}">
  <dimension ref="B2:G9"/>
  <sheetViews>
    <sheetView showGridLines="0" workbookViewId="0">
      <selection activeCell="J28" sqref="J28"/>
    </sheetView>
  </sheetViews>
  <sheetFormatPr baseColWidth="10" defaultRowHeight="16" x14ac:dyDescent="0.2"/>
  <cols>
    <col min="2" max="2" width="55.1640625" customWidth="1"/>
  </cols>
  <sheetData>
    <row r="2" spans="2:7" x14ac:dyDescent="0.2">
      <c r="B2" s="51" t="s">
        <v>8553</v>
      </c>
    </row>
    <row r="3" spans="2:7" x14ac:dyDescent="0.2">
      <c r="B3" s="48" t="s">
        <v>1749</v>
      </c>
      <c r="C3" s="45" t="s">
        <v>1750</v>
      </c>
      <c r="D3" s="45" t="s">
        <v>1751</v>
      </c>
      <c r="E3" s="45" t="s">
        <v>1752</v>
      </c>
      <c r="F3" s="45" t="s">
        <v>1753</v>
      </c>
      <c r="G3" s="45" t="s">
        <v>1754</v>
      </c>
    </row>
    <row r="4" spans="2:7" x14ac:dyDescent="0.2">
      <c r="B4" s="49" t="s">
        <v>1755</v>
      </c>
      <c r="C4">
        <v>293</v>
      </c>
      <c r="D4">
        <v>33</v>
      </c>
      <c r="E4">
        <v>359</v>
      </c>
      <c r="F4">
        <v>0.95199999999999996</v>
      </c>
      <c r="G4">
        <v>8.3000000000000004E-2</v>
      </c>
    </row>
    <row r="5" spans="2:7" x14ac:dyDescent="0.2">
      <c r="B5" s="49" t="s">
        <v>1756</v>
      </c>
      <c r="C5">
        <v>319</v>
      </c>
      <c r="D5">
        <v>35</v>
      </c>
      <c r="E5">
        <v>381</v>
      </c>
      <c r="F5">
        <v>0.94699999999999995</v>
      </c>
      <c r="G5">
        <v>8.6999999999999994E-2</v>
      </c>
    </row>
    <row r="6" spans="2:7" x14ac:dyDescent="0.2">
      <c r="B6" s="49" t="s">
        <v>1757</v>
      </c>
      <c r="C6">
        <v>217</v>
      </c>
      <c r="D6">
        <v>36</v>
      </c>
      <c r="E6">
        <v>277</v>
      </c>
      <c r="F6">
        <v>0.96699999999999997</v>
      </c>
      <c r="G6">
        <v>0.08</v>
      </c>
    </row>
    <row r="7" spans="2:7" x14ac:dyDescent="0.2">
      <c r="B7" s="49" t="s">
        <v>1759</v>
      </c>
      <c r="C7">
        <v>216</v>
      </c>
      <c r="D7">
        <v>34</v>
      </c>
      <c r="E7">
        <v>280</v>
      </c>
      <c r="F7">
        <v>0.96599999999999997</v>
      </c>
      <c r="G7">
        <v>0.08</v>
      </c>
    </row>
    <row r="8" spans="2:7" x14ac:dyDescent="0.2">
      <c r="B8" s="50" t="s">
        <v>1758</v>
      </c>
      <c r="C8" s="21">
        <v>216</v>
      </c>
      <c r="D8" s="21">
        <v>35</v>
      </c>
      <c r="E8" s="21">
        <v>278</v>
      </c>
      <c r="F8" s="21">
        <v>0.96599999999999997</v>
      </c>
      <c r="G8" s="21">
        <v>0.08</v>
      </c>
    </row>
    <row r="9" spans="2:7" x14ac:dyDescent="0.2">
      <c r="B9" s="47" t="s">
        <v>1767</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74DC8-749A-174D-A8CE-C21171396868}">
  <dimension ref="B2:P27"/>
  <sheetViews>
    <sheetView showGridLines="0" workbookViewId="0">
      <selection activeCell="K24" sqref="K24"/>
    </sheetView>
  </sheetViews>
  <sheetFormatPr baseColWidth="10" defaultRowHeight="16" x14ac:dyDescent="0.2"/>
  <cols>
    <col min="2" max="2" width="18" customWidth="1"/>
    <col min="3" max="3" width="7.6640625" customWidth="1"/>
    <col min="4" max="4" width="8.6640625" customWidth="1"/>
    <col min="5" max="5" width="18" customWidth="1"/>
    <col min="6" max="6" width="7.6640625" customWidth="1"/>
    <col min="7" max="7" width="8.6640625" customWidth="1"/>
    <col min="8" max="8" width="18" customWidth="1"/>
    <col min="9" max="9" width="7.6640625" customWidth="1"/>
    <col min="10" max="10" width="8.6640625" customWidth="1"/>
    <col min="11" max="11" width="18" customWidth="1"/>
    <col min="12" max="12" width="7.6640625" customWidth="1"/>
    <col min="13" max="13" width="8.6640625" customWidth="1"/>
    <col min="14" max="14" width="18" customWidth="1"/>
    <col min="15" max="15" width="7.6640625" customWidth="1"/>
    <col min="16" max="16" width="8.6640625" customWidth="1"/>
  </cols>
  <sheetData>
    <row r="2" spans="2:16" x14ac:dyDescent="0.2">
      <c r="B2" s="138" t="s">
        <v>8554</v>
      </c>
      <c r="C2" s="138"/>
      <c r="D2" s="138"/>
      <c r="E2" s="138"/>
    </row>
    <row r="3" spans="2:16" s="54" customFormat="1" ht="34" customHeight="1" x14ac:dyDescent="0.2">
      <c r="B3" s="152" t="s">
        <v>1755</v>
      </c>
      <c r="C3" s="152"/>
      <c r="D3" s="152"/>
      <c r="E3" s="152" t="s">
        <v>1756</v>
      </c>
      <c r="F3" s="152"/>
      <c r="G3" s="152"/>
      <c r="H3" s="152" t="s">
        <v>1757</v>
      </c>
      <c r="I3" s="152"/>
      <c r="J3" s="152"/>
      <c r="K3" s="152" t="s">
        <v>1759</v>
      </c>
      <c r="L3" s="152"/>
      <c r="M3" s="152"/>
      <c r="N3" s="152" t="s">
        <v>1758</v>
      </c>
      <c r="O3" s="152"/>
      <c r="P3" s="152"/>
    </row>
    <row r="4" spans="2:16" x14ac:dyDescent="0.2">
      <c r="B4" s="55" t="s">
        <v>1741</v>
      </c>
      <c r="C4" s="45" t="s">
        <v>1742</v>
      </c>
      <c r="D4" s="52" t="s">
        <v>1743</v>
      </c>
      <c r="E4" s="55" t="s">
        <v>1741</v>
      </c>
      <c r="F4" s="45" t="s">
        <v>1742</v>
      </c>
      <c r="G4" s="52" t="s">
        <v>1743</v>
      </c>
      <c r="H4" s="55" t="s">
        <v>1741</v>
      </c>
      <c r="I4" s="45" t="s">
        <v>1742</v>
      </c>
      <c r="J4" s="52" t="s">
        <v>1743</v>
      </c>
      <c r="K4" s="55" t="s">
        <v>1741</v>
      </c>
      <c r="L4" s="45" t="s">
        <v>1742</v>
      </c>
      <c r="M4" s="52" t="s">
        <v>1743</v>
      </c>
      <c r="N4" s="55" t="s">
        <v>1741</v>
      </c>
      <c r="O4" s="45" t="s">
        <v>1742</v>
      </c>
      <c r="P4" s="45" t="s">
        <v>1743</v>
      </c>
    </row>
    <row r="5" spans="2:16" x14ac:dyDescent="0.2">
      <c r="B5" t="s">
        <v>1744</v>
      </c>
      <c r="C5" t="s">
        <v>1735</v>
      </c>
      <c r="D5" s="56">
        <v>0.76</v>
      </c>
      <c r="E5" t="s">
        <v>1744</v>
      </c>
      <c r="F5" t="s">
        <v>1735</v>
      </c>
      <c r="G5" s="56">
        <v>0.72</v>
      </c>
      <c r="H5" t="s">
        <v>1744</v>
      </c>
      <c r="I5" t="s">
        <v>1735</v>
      </c>
      <c r="J5" s="58">
        <v>0.76</v>
      </c>
      <c r="K5" t="s">
        <v>1744</v>
      </c>
      <c r="L5" t="s">
        <v>1735</v>
      </c>
      <c r="M5" s="58">
        <v>0.75</v>
      </c>
      <c r="N5" t="s">
        <v>1744</v>
      </c>
      <c r="O5" t="s">
        <v>1735</v>
      </c>
      <c r="P5" s="59">
        <v>0.75</v>
      </c>
    </row>
    <row r="6" spans="2:16" x14ac:dyDescent="0.2">
      <c r="C6" t="s">
        <v>1731</v>
      </c>
      <c r="D6" s="56">
        <v>0.65</v>
      </c>
      <c r="F6" t="s">
        <v>1731</v>
      </c>
      <c r="G6" s="56">
        <v>0.67</v>
      </c>
      <c r="I6" t="s">
        <v>1731</v>
      </c>
      <c r="J6" s="56">
        <v>0.65</v>
      </c>
      <c r="L6" t="s">
        <v>1731</v>
      </c>
      <c r="M6" s="56">
        <v>0.66</v>
      </c>
      <c r="O6" t="s">
        <v>1731</v>
      </c>
      <c r="P6" s="59">
        <v>0.66</v>
      </c>
    </row>
    <row r="7" spans="2:16" x14ac:dyDescent="0.2">
      <c r="C7" t="s">
        <v>1739</v>
      </c>
      <c r="D7" s="56">
        <v>0.22</v>
      </c>
      <c r="F7" t="s">
        <v>1739</v>
      </c>
      <c r="G7" s="56">
        <v>0.19</v>
      </c>
      <c r="I7" t="s">
        <v>1739</v>
      </c>
      <c r="J7" s="56">
        <v>0.21</v>
      </c>
      <c r="L7" t="s">
        <v>1739</v>
      </c>
      <c r="M7" s="56">
        <v>0.21</v>
      </c>
      <c r="O7" t="s">
        <v>1739</v>
      </c>
      <c r="P7" s="59">
        <v>0.21</v>
      </c>
    </row>
    <row r="8" spans="2:16" x14ac:dyDescent="0.2">
      <c r="B8" t="s">
        <v>1745</v>
      </c>
      <c r="C8" t="s">
        <v>1738</v>
      </c>
      <c r="D8" s="56">
        <v>0.78</v>
      </c>
      <c r="E8" t="s">
        <v>1745</v>
      </c>
      <c r="F8" t="s">
        <v>1738</v>
      </c>
      <c r="G8" s="56">
        <v>0.78</v>
      </c>
      <c r="H8" t="s">
        <v>1745</v>
      </c>
      <c r="I8" t="s">
        <v>1738</v>
      </c>
      <c r="J8" s="56">
        <v>0.78</v>
      </c>
      <c r="K8" t="s">
        <v>1745</v>
      </c>
      <c r="L8" t="s">
        <v>1738</v>
      </c>
      <c r="M8" s="56">
        <v>0.78</v>
      </c>
      <c r="N8" t="s">
        <v>1745</v>
      </c>
      <c r="O8" t="s">
        <v>1738</v>
      </c>
      <c r="P8" s="59">
        <v>0.78</v>
      </c>
    </row>
    <row r="9" spans="2:16" x14ac:dyDescent="0.2">
      <c r="C9" t="s">
        <v>1740</v>
      </c>
      <c r="D9" s="56">
        <v>0.88</v>
      </c>
      <c r="F9" t="s">
        <v>1740</v>
      </c>
      <c r="G9" s="56">
        <v>0.88</v>
      </c>
      <c r="I9" t="s">
        <v>1740</v>
      </c>
      <c r="J9" s="56">
        <v>0.87</v>
      </c>
      <c r="L9" t="s">
        <v>1740</v>
      </c>
      <c r="M9" s="56">
        <v>0.88</v>
      </c>
      <c r="O9" t="s">
        <v>1740</v>
      </c>
      <c r="P9" s="59">
        <v>0.88</v>
      </c>
    </row>
    <row r="10" spans="2:16" x14ac:dyDescent="0.2">
      <c r="C10" t="s">
        <v>1736</v>
      </c>
      <c r="D10" s="56">
        <v>0.22</v>
      </c>
      <c r="F10" t="s">
        <v>1736</v>
      </c>
      <c r="G10" s="56">
        <v>0.21</v>
      </c>
      <c r="I10" t="s">
        <v>1736</v>
      </c>
      <c r="J10" s="56">
        <v>0.25</v>
      </c>
      <c r="L10" t="s">
        <v>1736</v>
      </c>
      <c r="M10" s="56">
        <v>0.22</v>
      </c>
      <c r="O10" t="s">
        <v>1736</v>
      </c>
      <c r="P10" s="59">
        <v>0.22</v>
      </c>
    </row>
    <row r="11" spans="2:16" x14ac:dyDescent="0.2">
      <c r="B11" t="s">
        <v>1746</v>
      </c>
      <c r="C11" t="s">
        <v>1730</v>
      </c>
      <c r="D11" s="56">
        <v>0.71</v>
      </c>
      <c r="E11" t="s">
        <v>1746</v>
      </c>
      <c r="F11" t="s">
        <v>1730</v>
      </c>
      <c r="G11" s="56">
        <v>0.64</v>
      </c>
      <c r="H11" t="s">
        <v>1746</v>
      </c>
      <c r="I11" t="s">
        <v>1730</v>
      </c>
      <c r="J11" s="56">
        <v>0.69</v>
      </c>
      <c r="K11" t="s">
        <v>1746</v>
      </c>
      <c r="L11" t="s">
        <v>1730</v>
      </c>
      <c r="M11" s="56">
        <v>0.74</v>
      </c>
      <c r="N11" t="s">
        <v>1746</v>
      </c>
      <c r="O11" t="s">
        <v>1730</v>
      </c>
      <c r="P11" s="59">
        <v>0.74</v>
      </c>
    </row>
    <row r="12" spans="2:16" x14ac:dyDescent="0.2">
      <c r="C12" t="s">
        <v>1732</v>
      </c>
      <c r="D12" s="56">
        <v>0.47</v>
      </c>
      <c r="F12" t="s">
        <v>1732</v>
      </c>
      <c r="G12" s="56">
        <v>0.49</v>
      </c>
      <c r="I12" t="s">
        <v>1732</v>
      </c>
      <c r="J12" s="56">
        <v>0.46</v>
      </c>
      <c r="L12" t="s">
        <v>1732</v>
      </c>
      <c r="M12" s="56">
        <v>0.49</v>
      </c>
      <c r="O12" t="s">
        <v>1732</v>
      </c>
      <c r="P12" s="59">
        <v>0.49</v>
      </c>
    </row>
    <row r="13" spans="2:16" x14ac:dyDescent="0.2">
      <c r="C13" t="s">
        <v>1737</v>
      </c>
      <c r="D13" s="56">
        <v>0.44</v>
      </c>
      <c r="F13" t="s">
        <v>1737</v>
      </c>
      <c r="G13" s="56">
        <v>0.44</v>
      </c>
      <c r="I13" t="s">
        <v>1737</v>
      </c>
      <c r="J13" s="56">
        <v>0.45</v>
      </c>
      <c r="L13" t="s">
        <v>1737</v>
      </c>
      <c r="M13" s="56">
        <v>0.41</v>
      </c>
      <c r="O13" t="s">
        <v>1737</v>
      </c>
      <c r="P13" s="59">
        <v>0.41</v>
      </c>
    </row>
    <row r="14" spans="2:16" x14ac:dyDescent="0.2">
      <c r="C14" t="s">
        <v>1734</v>
      </c>
      <c r="D14" s="56">
        <v>-0.23</v>
      </c>
      <c r="F14" t="s">
        <v>1734</v>
      </c>
      <c r="G14" s="56">
        <v>0.6</v>
      </c>
      <c r="I14" s="46" t="s">
        <v>1747</v>
      </c>
      <c r="J14" s="56"/>
      <c r="L14" s="46" t="s">
        <v>1747</v>
      </c>
      <c r="M14" s="56"/>
      <c r="O14" s="46" t="s">
        <v>1747</v>
      </c>
      <c r="P14" s="59"/>
    </row>
    <row r="15" spans="2:16" x14ac:dyDescent="0.2">
      <c r="C15" t="s">
        <v>1739</v>
      </c>
      <c r="D15" s="56">
        <v>0.13</v>
      </c>
      <c r="F15" t="s">
        <v>1739</v>
      </c>
      <c r="G15" s="56">
        <v>0.15</v>
      </c>
      <c r="I15" t="s">
        <v>1739</v>
      </c>
      <c r="J15" s="56">
        <v>0.13</v>
      </c>
      <c r="L15" t="s">
        <v>1739</v>
      </c>
      <c r="M15" s="56">
        <v>0.14000000000000001</v>
      </c>
      <c r="O15" t="s">
        <v>1739</v>
      </c>
      <c r="P15" s="59">
        <v>0.14000000000000001</v>
      </c>
    </row>
    <row r="16" spans="2:16" x14ac:dyDescent="0.2">
      <c r="C16" t="s">
        <v>1736</v>
      </c>
      <c r="D16" s="56">
        <v>0.22</v>
      </c>
      <c r="F16" t="s">
        <v>1736</v>
      </c>
      <c r="G16" s="56">
        <v>0.21</v>
      </c>
      <c r="I16" t="s">
        <v>1736</v>
      </c>
      <c r="J16" s="56">
        <v>0.35</v>
      </c>
      <c r="L16" t="s">
        <v>1736</v>
      </c>
      <c r="M16" s="56">
        <v>0.21</v>
      </c>
      <c r="O16" t="s">
        <v>1736</v>
      </c>
      <c r="P16" s="59">
        <v>0.21</v>
      </c>
    </row>
    <row r="17" spans="2:16" x14ac:dyDescent="0.2">
      <c r="B17" t="s">
        <v>1748</v>
      </c>
      <c r="C17" t="s">
        <v>1734</v>
      </c>
      <c r="D17" s="56">
        <v>1.1100000000000001</v>
      </c>
      <c r="E17" t="s">
        <v>1748</v>
      </c>
      <c r="F17" t="s">
        <v>1734</v>
      </c>
      <c r="G17" s="56">
        <v>0.46</v>
      </c>
      <c r="H17" t="s">
        <v>1748</v>
      </c>
      <c r="I17" t="s">
        <v>1734</v>
      </c>
      <c r="J17" s="56">
        <v>0.91</v>
      </c>
      <c r="K17" t="s">
        <v>1748</v>
      </c>
      <c r="L17" t="s">
        <v>1734</v>
      </c>
      <c r="M17" s="56">
        <v>0.92</v>
      </c>
      <c r="N17" t="s">
        <v>1748</v>
      </c>
      <c r="O17" t="s">
        <v>1734</v>
      </c>
      <c r="P17" s="59">
        <v>0.92</v>
      </c>
    </row>
    <row r="18" spans="2:16" x14ac:dyDescent="0.2">
      <c r="C18" t="s">
        <v>1733</v>
      </c>
      <c r="D18" s="56">
        <v>0.72</v>
      </c>
      <c r="F18" t="s">
        <v>1733</v>
      </c>
      <c r="G18" s="56">
        <v>0.86</v>
      </c>
      <c r="I18" t="s">
        <v>1733</v>
      </c>
      <c r="J18" s="56">
        <v>0.73</v>
      </c>
      <c r="L18" t="s">
        <v>1733</v>
      </c>
      <c r="M18" s="56">
        <v>0.73</v>
      </c>
      <c r="O18" t="s">
        <v>1733</v>
      </c>
      <c r="P18" s="59">
        <v>0.73</v>
      </c>
    </row>
    <row r="19" spans="2:16" x14ac:dyDescent="0.2">
      <c r="C19" t="s">
        <v>1737</v>
      </c>
      <c r="D19" s="56">
        <v>0.51</v>
      </c>
      <c r="F19" t="s">
        <v>1737</v>
      </c>
      <c r="G19" s="56">
        <v>0.63</v>
      </c>
      <c r="I19" t="s">
        <v>1737</v>
      </c>
      <c r="J19" s="56">
        <v>0.51</v>
      </c>
      <c r="L19" t="s">
        <v>1737</v>
      </c>
      <c r="M19" s="56">
        <v>0.55000000000000004</v>
      </c>
      <c r="O19" t="s">
        <v>1737</v>
      </c>
      <c r="P19" s="59">
        <v>0.55000000000000004</v>
      </c>
    </row>
    <row r="20" spans="2:16" x14ac:dyDescent="0.2">
      <c r="C20" t="s">
        <v>1736</v>
      </c>
      <c r="D20" s="56">
        <v>0.14000000000000001</v>
      </c>
      <c r="E20" s="21"/>
      <c r="F20" s="21" t="s">
        <v>1736</v>
      </c>
      <c r="G20" s="57">
        <v>0.18</v>
      </c>
      <c r="I20" s="46" t="s">
        <v>1747</v>
      </c>
      <c r="J20" s="56"/>
      <c r="L20" t="s">
        <v>1736</v>
      </c>
      <c r="M20" s="56">
        <v>0.18</v>
      </c>
      <c r="O20" t="s">
        <v>1736</v>
      </c>
      <c r="P20" s="59">
        <v>0.15</v>
      </c>
    </row>
    <row r="21" spans="2:16" x14ac:dyDescent="0.2">
      <c r="D21" s="17"/>
      <c r="E21" t="s">
        <v>1761</v>
      </c>
      <c r="F21" t="s">
        <v>1762</v>
      </c>
      <c r="G21" s="56">
        <v>0.51</v>
      </c>
      <c r="J21" s="56"/>
      <c r="M21" s="56"/>
    </row>
    <row r="22" spans="2:16" x14ac:dyDescent="0.2">
      <c r="D22" s="17"/>
      <c r="F22" t="s">
        <v>1763</v>
      </c>
      <c r="G22" s="56">
        <v>0.69</v>
      </c>
      <c r="J22" s="17"/>
      <c r="M22" s="17"/>
    </row>
    <row r="23" spans="2:16" x14ac:dyDescent="0.2">
      <c r="D23" s="17"/>
      <c r="F23" t="s">
        <v>1764</v>
      </c>
      <c r="G23" s="56">
        <v>0.66</v>
      </c>
      <c r="J23" s="17"/>
      <c r="M23" s="17"/>
    </row>
    <row r="24" spans="2:16" x14ac:dyDescent="0.2">
      <c r="B24" s="21"/>
      <c r="C24" s="21"/>
      <c r="D24" s="22"/>
      <c r="E24" s="21"/>
      <c r="F24" s="21" t="s">
        <v>1765</v>
      </c>
      <c r="G24" s="57">
        <v>0.52</v>
      </c>
      <c r="H24" s="21"/>
      <c r="I24" s="21"/>
      <c r="J24" s="22"/>
      <c r="K24" s="21"/>
      <c r="L24" s="21"/>
      <c r="M24" s="22"/>
      <c r="N24" s="21"/>
      <c r="O24" s="21"/>
      <c r="P24" s="21"/>
    </row>
    <row r="25" spans="2:16" x14ac:dyDescent="0.2">
      <c r="B25" s="151" t="s">
        <v>1766</v>
      </c>
      <c r="C25" s="151"/>
      <c r="D25" s="151"/>
      <c r="E25" s="151"/>
      <c r="F25" s="151"/>
      <c r="G25" s="151"/>
      <c r="H25" s="151"/>
      <c r="I25" s="151"/>
      <c r="J25" s="151"/>
      <c r="K25" s="151"/>
      <c r="L25" s="151"/>
      <c r="M25" s="151"/>
      <c r="N25" s="151"/>
      <c r="O25" s="151"/>
      <c r="P25" s="151"/>
    </row>
    <row r="26" spans="2:16" x14ac:dyDescent="0.2">
      <c r="B26" s="141"/>
      <c r="C26" s="141"/>
      <c r="D26" s="141"/>
      <c r="E26" s="141"/>
      <c r="F26" s="141"/>
      <c r="G26" s="141"/>
      <c r="H26" s="141"/>
      <c r="I26" s="141"/>
      <c r="J26" s="141"/>
      <c r="K26" s="141"/>
      <c r="L26" s="141"/>
      <c r="M26" s="141"/>
      <c r="N26" s="141"/>
      <c r="O26" s="141"/>
      <c r="P26" s="141"/>
    </row>
    <row r="27" spans="2:16" x14ac:dyDescent="0.2">
      <c r="B27" s="141"/>
      <c r="C27" s="141"/>
      <c r="D27" s="141"/>
      <c r="E27" s="141"/>
      <c r="F27" s="141"/>
      <c r="G27" s="141"/>
      <c r="H27" s="141"/>
      <c r="I27" s="141"/>
      <c r="J27" s="141"/>
      <c r="K27" s="141"/>
      <c r="L27" s="141"/>
      <c r="M27" s="141"/>
      <c r="N27" s="141"/>
      <c r="O27" s="141"/>
      <c r="P27" s="141"/>
    </row>
  </sheetData>
  <mergeCells count="7">
    <mergeCell ref="B2:E2"/>
    <mergeCell ref="B25:P27"/>
    <mergeCell ref="B3:D3"/>
    <mergeCell ref="E3:G3"/>
    <mergeCell ref="H3:J3"/>
    <mergeCell ref="K3:M3"/>
    <mergeCell ref="N3:P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9EEF4-8E84-6245-9BCE-EC8D5783F178}">
  <dimension ref="B2:E1281"/>
  <sheetViews>
    <sheetView showGridLines="0" topLeftCell="A704" workbookViewId="0">
      <selection activeCell="B642" sqref="B642"/>
    </sheetView>
  </sheetViews>
  <sheetFormatPr baseColWidth="10" defaultRowHeight="16" x14ac:dyDescent="0.2"/>
  <cols>
    <col min="2" max="2" width="38.5" customWidth="1"/>
    <col min="3" max="3" width="47" customWidth="1"/>
    <col min="4" max="4" width="23.33203125" style="110" customWidth="1"/>
  </cols>
  <sheetData>
    <row r="2" spans="2:5" x14ac:dyDescent="0.2">
      <c r="B2" s="51" t="s">
        <v>8530</v>
      </c>
    </row>
    <row r="4" spans="2:5" x14ac:dyDescent="0.2">
      <c r="B4" t="s">
        <v>3884</v>
      </c>
      <c r="C4" s="51" t="s">
        <v>3885</v>
      </c>
      <c r="D4" s="119" t="s">
        <v>6581</v>
      </c>
      <c r="E4" s="51" t="s">
        <v>3886</v>
      </c>
    </row>
    <row r="5" spans="2:5" x14ac:dyDescent="0.2">
      <c r="B5" s="51" t="s">
        <v>3887</v>
      </c>
      <c r="C5" s="51"/>
      <c r="D5" s="119"/>
      <c r="E5" s="51"/>
    </row>
    <row r="6" spans="2:5" x14ac:dyDescent="0.2">
      <c r="B6" t="s">
        <v>3888</v>
      </c>
      <c r="D6" s="110" t="s">
        <v>6582</v>
      </c>
      <c r="E6" t="s">
        <v>3889</v>
      </c>
    </row>
    <row r="7" spans="2:5" x14ac:dyDescent="0.2">
      <c r="B7" t="s">
        <v>115</v>
      </c>
      <c r="D7" s="110" t="s">
        <v>6580</v>
      </c>
      <c r="E7" t="s">
        <v>3890</v>
      </c>
    </row>
    <row r="8" spans="2:5" x14ac:dyDescent="0.2">
      <c r="B8" t="s">
        <v>108</v>
      </c>
      <c r="D8" s="110" t="s">
        <v>6582</v>
      </c>
      <c r="E8" t="s">
        <v>3891</v>
      </c>
    </row>
    <row r="9" spans="2:5" x14ac:dyDescent="0.2">
      <c r="B9" t="s">
        <v>113</v>
      </c>
      <c r="D9" s="110" t="s">
        <v>6580</v>
      </c>
      <c r="E9" t="s">
        <v>3892</v>
      </c>
    </row>
    <row r="10" spans="2:5" x14ac:dyDescent="0.2">
      <c r="B10" t="s">
        <v>106</v>
      </c>
      <c r="D10" s="110" t="s">
        <v>6580</v>
      </c>
      <c r="E10" t="s">
        <v>3893</v>
      </c>
    </row>
    <row r="11" spans="2:5" x14ac:dyDescent="0.2">
      <c r="B11" t="s">
        <v>112</v>
      </c>
      <c r="D11" s="110" t="s">
        <v>6582</v>
      </c>
      <c r="E11" t="s">
        <v>3894</v>
      </c>
    </row>
    <row r="12" spans="2:5" x14ac:dyDescent="0.2">
      <c r="B12" t="s">
        <v>107</v>
      </c>
      <c r="D12" s="110" t="s">
        <v>6582</v>
      </c>
      <c r="E12" t="s">
        <v>3895</v>
      </c>
    </row>
    <row r="13" spans="2:5" x14ac:dyDescent="0.2">
      <c r="B13" t="s">
        <v>109</v>
      </c>
      <c r="D13" s="110" t="s">
        <v>6580</v>
      </c>
      <c r="E13" t="s">
        <v>3896</v>
      </c>
    </row>
    <row r="14" spans="2:5" x14ac:dyDescent="0.2">
      <c r="B14" t="s">
        <v>110</v>
      </c>
      <c r="D14" s="110" t="s">
        <v>6580</v>
      </c>
      <c r="E14" t="s">
        <v>3897</v>
      </c>
    </row>
    <row r="15" spans="2:5" x14ac:dyDescent="0.2">
      <c r="B15" t="s">
        <v>105</v>
      </c>
      <c r="D15" s="110" t="s">
        <v>6580</v>
      </c>
      <c r="E15" t="s">
        <v>3898</v>
      </c>
    </row>
    <row r="16" spans="2:5" x14ac:dyDescent="0.2">
      <c r="B16" t="s">
        <v>111</v>
      </c>
      <c r="D16" s="110" t="s">
        <v>6580</v>
      </c>
      <c r="E16" t="s">
        <v>3899</v>
      </c>
    </row>
    <row r="17" spans="2:5" x14ac:dyDescent="0.2">
      <c r="B17" t="s">
        <v>114</v>
      </c>
      <c r="D17" s="110" t="s">
        <v>6582</v>
      </c>
      <c r="E17" t="s">
        <v>3900</v>
      </c>
    </row>
    <row r="18" spans="2:5" x14ac:dyDescent="0.2">
      <c r="B18" s="59" t="s">
        <v>116</v>
      </c>
      <c r="D18" s="110" t="s">
        <v>6582</v>
      </c>
      <c r="E18" s="110" t="s">
        <v>5617</v>
      </c>
    </row>
    <row r="19" spans="2:5" x14ac:dyDescent="0.2">
      <c r="B19" t="s">
        <v>117</v>
      </c>
      <c r="D19" s="110" t="s">
        <v>6580</v>
      </c>
      <c r="E19" t="s">
        <v>3901</v>
      </c>
    </row>
    <row r="20" spans="2:5" x14ac:dyDescent="0.2">
      <c r="B20" s="51" t="s">
        <v>2231</v>
      </c>
      <c r="E20" s="109"/>
    </row>
    <row r="21" spans="2:5" x14ac:dyDescent="0.2">
      <c r="B21" t="s">
        <v>1992</v>
      </c>
      <c r="D21" s="120" t="s">
        <v>5638</v>
      </c>
      <c r="E21" t="s">
        <v>3902</v>
      </c>
    </row>
    <row r="22" spans="2:5" x14ac:dyDescent="0.2">
      <c r="B22" t="s">
        <v>222</v>
      </c>
      <c r="D22" s="120" t="s">
        <v>3194</v>
      </c>
      <c r="E22" t="s">
        <v>3903</v>
      </c>
    </row>
    <row r="23" spans="2:5" x14ac:dyDescent="0.2">
      <c r="B23" t="s">
        <v>230</v>
      </c>
      <c r="D23" s="120" t="s">
        <v>3260</v>
      </c>
      <c r="E23" t="s">
        <v>3904</v>
      </c>
    </row>
    <row r="24" spans="2:5" x14ac:dyDescent="0.2">
      <c r="B24" t="s">
        <v>231</v>
      </c>
      <c r="D24" s="120" t="s">
        <v>3261</v>
      </c>
      <c r="E24" t="s">
        <v>3905</v>
      </c>
    </row>
    <row r="25" spans="2:5" x14ac:dyDescent="0.2">
      <c r="B25" t="s">
        <v>232</v>
      </c>
      <c r="D25" s="120" t="s">
        <v>3195</v>
      </c>
      <c r="E25" t="s">
        <v>3906</v>
      </c>
    </row>
    <row r="26" spans="2:5" x14ac:dyDescent="0.2">
      <c r="B26" t="s">
        <v>233</v>
      </c>
      <c r="D26" s="110" t="s">
        <v>6580</v>
      </c>
      <c r="E26" t="s">
        <v>3907</v>
      </c>
    </row>
    <row r="27" spans="2:5" x14ac:dyDescent="0.2">
      <c r="B27" t="s">
        <v>234</v>
      </c>
      <c r="D27" s="110" t="s">
        <v>6580</v>
      </c>
      <c r="E27" t="s">
        <v>3908</v>
      </c>
    </row>
    <row r="28" spans="2:5" x14ac:dyDescent="0.2">
      <c r="B28" t="s">
        <v>223</v>
      </c>
      <c r="D28" s="120" t="s">
        <v>3197</v>
      </c>
      <c r="E28" t="s">
        <v>3909</v>
      </c>
    </row>
    <row r="29" spans="2:5" x14ac:dyDescent="0.2">
      <c r="B29" t="s">
        <v>224</v>
      </c>
      <c r="D29" s="120" t="s">
        <v>3265</v>
      </c>
      <c r="E29" t="s">
        <v>3910</v>
      </c>
    </row>
    <row r="30" spans="2:5" x14ac:dyDescent="0.2">
      <c r="B30" t="s">
        <v>225</v>
      </c>
      <c r="D30" s="120" t="s">
        <v>3254</v>
      </c>
      <c r="E30" t="s">
        <v>3911</v>
      </c>
    </row>
    <row r="31" spans="2:5" x14ac:dyDescent="0.2">
      <c r="B31" t="s">
        <v>226</v>
      </c>
      <c r="D31" s="120" t="s">
        <v>3255</v>
      </c>
      <c r="E31" t="s">
        <v>3912</v>
      </c>
    </row>
    <row r="32" spans="2:5" x14ac:dyDescent="0.2">
      <c r="B32" t="s">
        <v>227</v>
      </c>
      <c r="D32" s="120" t="s">
        <v>3258</v>
      </c>
      <c r="E32" t="s">
        <v>3913</v>
      </c>
    </row>
    <row r="33" spans="2:5" x14ac:dyDescent="0.2">
      <c r="B33" t="s">
        <v>228</v>
      </c>
      <c r="D33" s="120" t="s">
        <v>3192</v>
      </c>
      <c r="E33" t="s">
        <v>3914</v>
      </c>
    </row>
    <row r="34" spans="2:5" x14ac:dyDescent="0.2">
      <c r="B34" t="s">
        <v>229</v>
      </c>
      <c r="D34" s="120" t="s">
        <v>3259</v>
      </c>
      <c r="E34" t="s">
        <v>3915</v>
      </c>
    </row>
    <row r="35" spans="2:5" x14ac:dyDescent="0.2">
      <c r="B35" t="s">
        <v>1993</v>
      </c>
      <c r="D35" s="110" t="s">
        <v>3268</v>
      </c>
      <c r="E35" t="s">
        <v>3916</v>
      </c>
    </row>
    <row r="36" spans="2:5" x14ac:dyDescent="0.2">
      <c r="B36" t="s">
        <v>1994</v>
      </c>
      <c r="D36" s="110" t="s">
        <v>3198</v>
      </c>
      <c r="E36" t="s">
        <v>3917</v>
      </c>
    </row>
    <row r="37" spans="2:5" x14ac:dyDescent="0.2">
      <c r="B37" t="s">
        <v>313</v>
      </c>
      <c r="D37" s="120" t="s">
        <v>3191</v>
      </c>
      <c r="E37" t="s">
        <v>3918</v>
      </c>
    </row>
    <row r="38" spans="2:5" x14ac:dyDescent="0.2">
      <c r="B38" t="s">
        <v>314</v>
      </c>
      <c r="D38" s="120" t="s">
        <v>3196</v>
      </c>
      <c r="E38" t="s">
        <v>3919</v>
      </c>
    </row>
    <row r="39" spans="2:5" x14ac:dyDescent="0.2">
      <c r="B39" s="51" t="s">
        <v>2232</v>
      </c>
      <c r="E39" s="109"/>
    </row>
    <row r="40" spans="2:5" x14ac:dyDescent="0.2">
      <c r="B40" t="s">
        <v>3920</v>
      </c>
      <c r="D40" s="120" t="s">
        <v>1446</v>
      </c>
      <c r="E40" t="s">
        <v>3921</v>
      </c>
    </row>
    <row r="41" spans="2:5" x14ac:dyDescent="0.2">
      <c r="B41" t="s">
        <v>3922</v>
      </c>
      <c r="D41" s="120" t="s">
        <v>1055</v>
      </c>
      <c r="E41" t="s">
        <v>3923</v>
      </c>
    </row>
    <row r="42" spans="2:5" x14ac:dyDescent="0.2">
      <c r="B42" t="s">
        <v>3924</v>
      </c>
      <c r="D42" s="120" t="s">
        <v>1049</v>
      </c>
      <c r="E42" t="s">
        <v>3925</v>
      </c>
    </row>
    <row r="43" spans="2:5" x14ac:dyDescent="0.2">
      <c r="B43" t="s">
        <v>3926</v>
      </c>
      <c r="D43" s="120" t="s">
        <v>1447</v>
      </c>
      <c r="E43" t="s">
        <v>3927</v>
      </c>
    </row>
    <row r="44" spans="2:5" x14ac:dyDescent="0.2">
      <c r="B44" t="s">
        <v>3928</v>
      </c>
      <c r="D44" s="110" t="s">
        <v>6582</v>
      </c>
      <c r="E44" t="s">
        <v>3929</v>
      </c>
    </row>
    <row r="45" spans="2:5" x14ac:dyDescent="0.2">
      <c r="B45" t="s">
        <v>3930</v>
      </c>
      <c r="D45" s="120" t="s">
        <v>1448</v>
      </c>
      <c r="E45" t="s">
        <v>3931</v>
      </c>
    </row>
    <row r="46" spans="2:5" x14ac:dyDescent="0.2">
      <c r="B46" t="s">
        <v>3932</v>
      </c>
      <c r="D46" s="120" t="s">
        <v>3429</v>
      </c>
      <c r="E46" t="s">
        <v>3933</v>
      </c>
    </row>
    <row r="47" spans="2:5" x14ac:dyDescent="0.2">
      <c r="B47" t="s">
        <v>3934</v>
      </c>
      <c r="D47" s="120" t="s">
        <v>1449</v>
      </c>
      <c r="E47" t="s">
        <v>3935</v>
      </c>
    </row>
    <row r="48" spans="2:5" x14ac:dyDescent="0.2">
      <c r="B48" t="s">
        <v>3936</v>
      </c>
      <c r="D48" s="120" t="s">
        <v>1450</v>
      </c>
      <c r="E48" t="s">
        <v>3937</v>
      </c>
    </row>
    <row r="49" spans="2:5" x14ac:dyDescent="0.2">
      <c r="B49" t="s">
        <v>3938</v>
      </c>
      <c r="D49" s="110" t="s">
        <v>6582</v>
      </c>
      <c r="E49" t="s">
        <v>3939</v>
      </c>
    </row>
    <row r="50" spans="2:5" x14ac:dyDescent="0.2">
      <c r="B50" t="s">
        <v>3940</v>
      </c>
      <c r="D50" s="120" t="s">
        <v>1050</v>
      </c>
      <c r="E50" t="s">
        <v>3941</v>
      </c>
    </row>
    <row r="51" spans="2:5" x14ac:dyDescent="0.2">
      <c r="B51" t="s">
        <v>3942</v>
      </c>
      <c r="D51" s="120" t="s">
        <v>1051</v>
      </c>
      <c r="E51" t="s">
        <v>3943</v>
      </c>
    </row>
    <row r="52" spans="2:5" x14ac:dyDescent="0.2">
      <c r="B52" t="s">
        <v>3944</v>
      </c>
      <c r="D52" s="120" t="s">
        <v>1052</v>
      </c>
      <c r="E52" t="s">
        <v>3945</v>
      </c>
    </row>
    <row r="53" spans="2:5" x14ac:dyDescent="0.2">
      <c r="B53" t="s">
        <v>3946</v>
      </c>
      <c r="D53" s="110" t="s">
        <v>6582</v>
      </c>
      <c r="E53" t="s">
        <v>3947</v>
      </c>
    </row>
    <row r="54" spans="2:5" x14ac:dyDescent="0.2">
      <c r="B54" t="s">
        <v>3948</v>
      </c>
      <c r="D54" s="120" t="s">
        <v>1445</v>
      </c>
      <c r="E54" t="s">
        <v>3949</v>
      </c>
    </row>
    <row r="55" spans="2:5" x14ac:dyDescent="0.2">
      <c r="B55" t="s">
        <v>3950</v>
      </c>
      <c r="D55" s="120" t="s">
        <v>1444</v>
      </c>
      <c r="E55" t="s">
        <v>3951</v>
      </c>
    </row>
    <row r="56" spans="2:5" x14ac:dyDescent="0.2">
      <c r="B56" t="s">
        <v>758</v>
      </c>
      <c r="C56" t="s">
        <v>5615</v>
      </c>
      <c r="D56" s="120" t="s">
        <v>3427</v>
      </c>
      <c r="E56" t="s">
        <v>3953</v>
      </c>
    </row>
    <row r="57" spans="2:5" x14ac:dyDescent="0.2">
      <c r="B57" t="s">
        <v>3954</v>
      </c>
      <c r="D57" s="110" t="s">
        <v>6582</v>
      </c>
      <c r="E57" t="s">
        <v>3955</v>
      </c>
    </row>
    <row r="58" spans="2:5" x14ac:dyDescent="0.2">
      <c r="B58" t="s">
        <v>3956</v>
      </c>
      <c r="D58" s="120" t="s">
        <v>1053</v>
      </c>
      <c r="E58" t="s">
        <v>3957</v>
      </c>
    </row>
    <row r="59" spans="2:5" x14ac:dyDescent="0.2">
      <c r="B59" t="s">
        <v>3958</v>
      </c>
      <c r="D59" s="120" t="s">
        <v>1054</v>
      </c>
      <c r="E59" t="s">
        <v>3959</v>
      </c>
    </row>
    <row r="60" spans="2:5" x14ac:dyDescent="0.2">
      <c r="B60" t="s">
        <v>757</v>
      </c>
      <c r="C60" t="s">
        <v>3952</v>
      </c>
      <c r="D60" s="120" t="s">
        <v>3428</v>
      </c>
      <c r="E60" t="s">
        <v>5614</v>
      </c>
    </row>
    <row r="61" spans="2:5" x14ac:dyDescent="0.2">
      <c r="B61" t="s">
        <v>613</v>
      </c>
      <c r="D61" s="120" t="s">
        <v>1174</v>
      </c>
      <c r="E61" t="s">
        <v>3960</v>
      </c>
    </row>
    <row r="62" spans="2:5" x14ac:dyDescent="0.2">
      <c r="B62" t="s">
        <v>612</v>
      </c>
      <c r="D62" s="110" t="s">
        <v>6582</v>
      </c>
      <c r="E62" t="s">
        <v>3961</v>
      </c>
    </row>
    <row r="63" spans="2:5" x14ac:dyDescent="0.2">
      <c r="B63" t="s">
        <v>1996</v>
      </c>
      <c r="D63" s="120" t="s">
        <v>1056</v>
      </c>
      <c r="E63" t="s">
        <v>3962</v>
      </c>
    </row>
    <row r="64" spans="2:5" x14ac:dyDescent="0.2">
      <c r="B64" t="s">
        <v>1997</v>
      </c>
      <c r="D64" s="120" t="s">
        <v>1057</v>
      </c>
      <c r="E64" t="s">
        <v>3963</v>
      </c>
    </row>
    <row r="65" spans="2:5" x14ac:dyDescent="0.2">
      <c r="B65" t="s">
        <v>3964</v>
      </c>
      <c r="D65" s="120" t="s">
        <v>1451</v>
      </c>
      <c r="E65" t="s">
        <v>3965</v>
      </c>
    </row>
    <row r="66" spans="2:5" x14ac:dyDescent="0.2">
      <c r="B66" t="s">
        <v>3966</v>
      </c>
      <c r="D66" s="120" t="s">
        <v>1452</v>
      </c>
      <c r="E66" t="s">
        <v>3967</v>
      </c>
    </row>
    <row r="67" spans="2:5" x14ac:dyDescent="0.2">
      <c r="B67" s="51" t="s">
        <v>3968</v>
      </c>
      <c r="E67" s="109"/>
    </row>
    <row r="68" spans="2:5" x14ac:dyDescent="0.2">
      <c r="B68" t="s">
        <v>3971</v>
      </c>
      <c r="D68" s="120" t="s">
        <v>3399</v>
      </c>
      <c r="E68" t="s">
        <v>3972</v>
      </c>
    </row>
    <row r="69" spans="2:5" x14ac:dyDescent="0.2">
      <c r="B69" t="s">
        <v>3973</v>
      </c>
      <c r="D69" s="120" t="s">
        <v>824</v>
      </c>
      <c r="E69" t="s">
        <v>3974</v>
      </c>
    </row>
    <row r="70" spans="2:5" x14ac:dyDescent="0.2">
      <c r="B70" t="s">
        <v>698</v>
      </c>
      <c r="D70" s="110" t="s">
        <v>6580</v>
      </c>
      <c r="E70" t="s">
        <v>3975</v>
      </c>
    </row>
    <row r="71" spans="2:5" x14ac:dyDescent="0.2">
      <c r="B71" t="s">
        <v>102</v>
      </c>
      <c r="D71" s="110" t="s">
        <v>6580</v>
      </c>
      <c r="E71" t="s">
        <v>3976</v>
      </c>
    </row>
    <row r="72" spans="2:5" x14ac:dyDescent="0.2">
      <c r="B72" t="s">
        <v>699</v>
      </c>
      <c r="D72" s="110" t="s">
        <v>6580</v>
      </c>
      <c r="E72" t="s">
        <v>3977</v>
      </c>
    </row>
    <row r="73" spans="2:5" x14ac:dyDescent="0.2">
      <c r="B73" t="s">
        <v>700</v>
      </c>
      <c r="D73" s="110" t="s">
        <v>6580</v>
      </c>
      <c r="E73" t="s">
        <v>3978</v>
      </c>
    </row>
    <row r="74" spans="2:5" x14ac:dyDescent="0.2">
      <c r="B74" t="s">
        <v>103</v>
      </c>
      <c r="D74" s="110" t="s">
        <v>6580</v>
      </c>
      <c r="E74" t="s">
        <v>3976</v>
      </c>
    </row>
    <row r="75" spans="2:5" x14ac:dyDescent="0.2">
      <c r="B75" t="s">
        <v>1987</v>
      </c>
      <c r="D75" s="110" t="s">
        <v>6580</v>
      </c>
      <c r="E75" t="s">
        <v>3979</v>
      </c>
    </row>
    <row r="76" spans="2:5" x14ac:dyDescent="0.2">
      <c r="B76" t="s">
        <v>701</v>
      </c>
      <c r="D76" s="110" t="s">
        <v>6580</v>
      </c>
      <c r="E76" t="s">
        <v>3980</v>
      </c>
    </row>
    <row r="77" spans="2:5" x14ac:dyDescent="0.2">
      <c r="B77" t="s">
        <v>104</v>
      </c>
      <c r="D77" s="110" t="s">
        <v>6580</v>
      </c>
      <c r="E77" t="s">
        <v>3981</v>
      </c>
    </row>
    <row r="78" spans="2:5" x14ac:dyDescent="0.2">
      <c r="B78" t="s">
        <v>1988</v>
      </c>
      <c r="D78" s="110" t="s">
        <v>6580</v>
      </c>
      <c r="E78" t="s">
        <v>3982</v>
      </c>
    </row>
    <row r="79" spans="2:5" x14ac:dyDescent="0.2">
      <c r="B79" t="s">
        <v>87</v>
      </c>
      <c r="D79" s="120" t="s">
        <v>796</v>
      </c>
      <c r="E79" t="s">
        <v>3983</v>
      </c>
    </row>
    <row r="80" spans="2:5" x14ac:dyDescent="0.2">
      <c r="B80" t="s">
        <v>88</v>
      </c>
      <c r="D80" s="120" t="s">
        <v>797</v>
      </c>
      <c r="E80" t="s">
        <v>3984</v>
      </c>
    </row>
    <row r="81" spans="2:5" x14ac:dyDescent="0.2">
      <c r="B81" t="s">
        <v>89</v>
      </c>
      <c r="D81" s="120" t="s">
        <v>799</v>
      </c>
      <c r="E81" t="s">
        <v>3985</v>
      </c>
    </row>
    <row r="82" spans="2:5" x14ac:dyDescent="0.2">
      <c r="B82" t="s">
        <v>90</v>
      </c>
      <c r="D82" s="120" t="s">
        <v>800</v>
      </c>
      <c r="E82" t="s">
        <v>3986</v>
      </c>
    </row>
    <row r="83" spans="2:5" x14ac:dyDescent="0.2">
      <c r="B83" t="s">
        <v>91</v>
      </c>
      <c r="D83" s="120" t="s">
        <v>802</v>
      </c>
      <c r="E83" t="s">
        <v>3987</v>
      </c>
    </row>
    <row r="84" spans="2:5" x14ac:dyDescent="0.2">
      <c r="B84" t="s">
        <v>92</v>
      </c>
      <c r="D84" s="120" t="s">
        <v>803</v>
      </c>
      <c r="E84" t="s">
        <v>3988</v>
      </c>
    </row>
    <row r="85" spans="2:5" x14ac:dyDescent="0.2">
      <c r="B85" t="s">
        <v>86</v>
      </c>
      <c r="D85" s="120" t="s">
        <v>794</v>
      </c>
      <c r="E85" t="s">
        <v>3989</v>
      </c>
    </row>
    <row r="86" spans="2:5" x14ac:dyDescent="0.2">
      <c r="B86" t="s">
        <v>1981</v>
      </c>
      <c r="D86" s="120" t="s">
        <v>825</v>
      </c>
      <c r="E86" t="s">
        <v>3990</v>
      </c>
    </row>
    <row r="87" spans="2:5" x14ac:dyDescent="0.2">
      <c r="B87" t="s">
        <v>1982</v>
      </c>
      <c r="D87" s="120" t="s">
        <v>826</v>
      </c>
      <c r="E87" t="s">
        <v>3991</v>
      </c>
    </row>
    <row r="88" spans="2:5" x14ac:dyDescent="0.2">
      <c r="B88" t="s">
        <v>1983</v>
      </c>
      <c r="D88" s="120" t="s">
        <v>827</v>
      </c>
      <c r="E88" t="s">
        <v>3992</v>
      </c>
    </row>
    <row r="89" spans="2:5" x14ac:dyDescent="0.2">
      <c r="B89" t="s">
        <v>1984</v>
      </c>
      <c r="D89" s="120" t="s">
        <v>828</v>
      </c>
      <c r="E89" t="s">
        <v>3993</v>
      </c>
    </row>
    <row r="90" spans="2:5" x14ac:dyDescent="0.2">
      <c r="B90" t="s">
        <v>1985</v>
      </c>
      <c r="D90" s="120" t="s">
        <v>829</v>
      </c>
      <c r="E90" t="s">
        <v>3994</v>
      </c>
    </row>
    <row r="91" spans="2:5" x14ac:dyDescent="0.2">
      <c r="B91" t="s">
        <v>1986</v>
      </c>
      <c r="D91" s="120" t="s">
        <v>830</v>
      </c>
      <c r="E91" t="s">
        <v>3995</v>
      </c>
    </row>
    <row r="92" spans="2:5" x14ac:dyDescent="0.2">
      <c r="B92" t="s">
        <v>1989</v>
      </c>
      <c r="D92" s="120" t="s">
        <v>821</v>
      </c>
      <c r="E92" t="s">
        <v>3996</v>
      </c>
    </row>
    <row r="93" spans="2:5" x14ac:dyDescent="0.2">
      <c r="B93" t="s">
        <v>84</v>
      </c>
      <c r="D93" s="120" t="s">
        <v>822</v>
      </c>
      <c r="E93" t="s">
        <v>3997</v>
      </c>
    </row>
    <row r="94" spans="2:5" x14ac:dyDescent="0.2">
      <c r="B94" t="s">
        <v>85</v>
      </c>
      <c r="D94" s="120" t="s">
        <v>823</v>
      </c>
      <c r="E94" t="s">
        <v>3998</v>
      </c>
    </row>
    <row r="95" spans="2:5" x14ac:dyDescent="0.2">
      <c r="B95" t="s">
        <v>93</v>
      </c>
      <c r="D95" s="120" t="s">
        <v>6580</v>
      </c>
      <c r="E95" t="s">
        <v>3999</v>
      </c>
    </row>
    <row r="96" spans="2:5" x14ac:dyDescent="0.2">
      <c r="B96" t="s">
        <v>94</v>
      </c>
      <c r="D96" s="120" t="s">
        <v>6580</v>
      </c>
      <c r="E96" t="s">
        <v>4000</v>
      </c>
    </row>
    <row r="97" spans="2:5" x14ac:dyDescent="0.2">
      <c r="B97" t="s">
        <v>95</v>
      </c>
      <c r="D97" s="120" t="s">
        <v>6580</v>
      </c>
      <c r="E97" t="s">
        <v>4001</v>
      </c>
    </row>
    <row r="98" spans="2:5" x14ac:dyDescent="0.2">
      <c r="B98" t="s">
        <v>96</v>
      </c>
      <c r="D98" s="120" t="s">
        <v>6580</v>
      </c>
      <c r="E98" t="s">
        <v>4002</v>
      </c>
    </row>
    <row r="99" spans="2:5" x14ac:dyDescent="0.2">
      <c r="B99" t="s">
        <v>97</v>
      </c>
      <c r="D99" s="120" t="s">
        <v>6580</v>
      </c>
      <c r="E99" t="s">
        <v>4003</v>
      </c>
    </row>
    <row r="100" spans="2:5" x14ac:dyDescent="0.2">
      <c r="B100" t="s">
        <v>98</v>
      </c>
      <c r="D100" s="120" t="s">
        <v>6580</v>
      </c>
      <c r="E100" t="s">
        <v>4004</v>
      </c>
    </row>
    <row r="101" spans="2:5" x14ac:dyDescent="0.2">
      <c r="B101" t="s">
        <v>99</v>
      </c>
      <c r="D101" s="120" t="s">
        <v>6580</v>
      </c>
      <c r="E101" t="s">
        <v>4005</v>
      </c>
    </row>
    <row r="102" spans="2:5" x14ac:dyDescent="0.2">
      <c r="B102" t="s">
        <v>100</v>
      </c>
      <c r="D102" s="120" t="s">
        <v>6580</v>
      </c>
      <c r="E102" t="s">
        <v>4006</v>
      </c>
    </row>
    <row r="103" spans="2:5" x14ac:dyDescent="0.2">
      <c r="B103" t="s">
        <v>101</v>
      </c>
      <c r="D103" s="120" t="s">
        <v>6580</v>
      </c>
      <c r="E103" t="s">
        <v>4007</v>
      </c>
    </row>
    <row r="104" spans="2:5" x14ac:dyDescent="0.2">
      <c r="B104" t="s">
        <v>4008</v>
      </c>
      <c r="D104" s="120" t="s">
        <v>1321</v>
      </c>
      <c r="E104" t="s">
        <v>4009</v>
      </c>
    </row>
    <row r="105" spans="2:5" x14ac:dyDescent="0.2">
      <c r="B105" t="s">
        <v>4010</v>
      </c>
      <c r="D105" s="120" t="s">
        <v>1318</v>
      </c>
      <c r="E105" t="s">
        <v>4011</v>
      </c>
    </row>
    <row r="106" spans="2:5" x14ac:dyDescent="0.2">
      <c r="B106" t="s">
        <v>4012</v>
      </c>
      <c r="D106" s="120" t="s">
        <v>1310</v>
      </c>
      <c r="E106" t="s">
        <v>4013</v>
      </c>
    </row>
    <row r="107" spans="2:5" x14ac:dyDescent="0.2">
      <c r="B107" t="s">
        <v>4014</v>
      </c>
      <c r="D107" s="120" t="s">
        <v>3398</v>
      </c>
      <c r="E107" t="s">
        <v>4015</v>
      </c>
    </row>
    <row r="108" spans="2:5" x14ac:dyDescent="0.2">
      <c r="B108" t="s">
        <v>4016</v>
      </c>
      <c r="D108" s="120" t="s">
        <v>1313</v>
      </c>
      <c r="E108" t="s">
        <v>4017</v>
      </c>
    </row>
    <row r="109" spans="2:5" x14ac:dyDescent="0.2">
      <c r="B109" t="s">
        <v>4018</v>
      </c>
      <c r="D109" s="120" t="s">
        <v>1320</v>
      </c>
      <c r="E109" t="s">
        <v>4019</v>
      </c>
    </row>
    <row r="110" spans="2:5" x14ac:dyDescent="0.2">
      <c r="B110" t="s">
        <v>4020</v>
      </c>
      <c r="D110" s="120" t="s">
        <v>1315</v>
      </c>
      <c r="E110" t="s">
        <v>4021</v>
      </c>
    </row>
    <row r="111" spans="2:5" x14ac:dyDescent="0.2">
      <c r="B111" t="s">
        <v>4022</v>
      </c>
      <c r="D111" s="120" t="s">
        <v>1316</v>
      </c>
      <c r="E111" t="s">
        <v>4023</v>
      </c>
    </row>
    <row r="112" spans="2:5" x14ac:dyDescent="0.2">
      <c r="B112" t="s">
        <v>4024</v>
      </c>
      <c r="D112" s="120" t="s">
        <v>1319</v>
      </c>
      <c r="E112" t="s">
        <v>4025</v>
      </c>
    </row>
    <row r="113" spans="2:5" x14ac:dyDescent="0.2">
      <c r="B113" t="s">
        <v>4026</v>
      </c>
      <c r="D113" s="120" t="s">
        <v>6582</v>
      </c>
      <c r="E113" t="s">
        <v>4027</v>
      </c>
    </row>
    <row r="114" spans="2:5" x14ac:dyDescent="0.2">
      <c r="B114" s="51" t="s">
        <v>2265</v>
      </c>
    </row>
    <row r="115" spans="2:5" x14ac:dyDescent="0.2">
      <c r="B115" t="s">
        <v>185</v>
      </c>
      <c r="D115" s="120" t="s">
        <v>6582</v>
      </c>
      <c r="E115" t="s">
        <v>4028</v>
      </c>
    </row>
    <row r="116" spans="2:5" x14ac:dyDescent="0.2">
      <c r="B116" t="s">
        <v>186</v>
      </c>
      <c r="D116" s="120" t="s">
        <v>6582</v>
      </c>
      <c r="E116" t="s">
        <v>4029</v>
      </c>
    </row>
    <row r="117" spans="2:5" x14ac:dyDescent="0.2">
      <c r="B117" t="s">
        <v>187</v>
      </c>
      <c r="D117" s="120" t="s">
        <v>6582</v>
      </c>
      <c r="E117" t="s">
        <v>4030</v>
      </c>
    </row>
    <row r="118" spans="2:5" x14ac:dyDescent="0.2">
      <c r="B118" t="s">
        <v>188</v>
      </c>
      <c r="D118" s="120" t="s">
        <v>6582</v>
      </c>
      <c r="E118" t="s">
        <v>4031</v>
      </c>
    </row>
    <row r="119" spans="2:5" x14ac:dyDescent="0.2">
      <c r="B119" t="s">
        <v>189</v>
      </c>
      <c r="D119" s="120" t="s">
        <v>6582</v>
      </c>
      <c r="E119" t="s">
        <v>4032</v>
      </c>
    </row>
    <row r="120" spans="2:5" x14ac:dyDescent="0.2">
      <c r="B120" t="s">
        <v>180</v>
      </c>
      <c r="D120" s="120" t="s">
        <v>6582</v>
      </c>
      <c r="E120" t="s">
        <v>4033</v>
      </c>
    </row>
    <row r="121" spans="2:5" x14ac:dyDescent="0.2">
      <c r="B121" t="s">
        <v>181</v>
      </c>
      <c r="D121" s="120" t="s">
        <v>6582</v>
      </c>
      <c r="E121" t="s">
        <v>4034</v>
      </c>
    </row>
    <row r="122" spans="2:5" x14ac:dyDescent="0.2">
      <c r="B122" t="s">
        <v>182</v>
      </c>
      <c r="D122" s="120" t="s">
        <v>6582</v>
      </c>
      <c r="E122" t="s">
        <v>4035</v>
      </c>
    </row>
    <row r="123" spans="2:5" x14ac:dyDescent="0.2">
      <c r="B123" t="s">
        <v>183</v>
      </c>
      <c r="D123" s="120" t="s">
        <v>6582</v>
      </c>
      <c r="E123" t="s">
        <v>4036</v>
      </c>
    </row>
    <row r="124" spans="2:5" x14ac:dyDescent="0.2">
      <c r="B124" t="s">
        <v>184</v>
      </c>
      <c r="D124" s="120" t="s">
        <v>6582</v>
      </c>
      <c r="E124" t="s">
        <v>4037</v>
      </c>
    </row>
    <row r="125" spans="2:5" x14ac:dyDescent="0.2">
      <c r="B125" t="s">
        <v>192</v>
      </c>
      <c r="D125" s="120" t="s">
        <v>6582</v>
      </c>
      <c r="E125" t="s">
        <v>4038</v>
      </c>
    </row>
    <row r="126" spans="2:5" x14ac:dyDescent="0.2">
      <c r="B126" t="s">
        <v>191</v>
      </c>
      <c r="D126" s="120" t="s">
        <v>6582</v>
      </c>
      <c r="E126" t="s">
        <v>4039</v>
      </c>
    </row>
    <row r="127" spans="2:5" x14ac:dyDescent="0.2">
      <c r="B127" t="s">
        <v>702</v>
      </c>
      <c r="D127" s="120" t="s">
        <v>6580</v>
      </c>
      <c r="E127" t="s">
        <v>4040</v>
      </c>
    </row>
    <row r="128" spans="2:5" x14ac:dyDescent="0.2">
      <c r="B128" t="s">
        <v>703</v>
      </c>
      <c r="D128" s="120" t="s">
        <v>6580</v>
      </c>
      <c r="E128" t="s">
        <v>4041</v>
      </c>
    </row>
    <row r="129" spans="2:5" x14ac:dyDescent="0.2">
      <c r="B129" t="s">
        <v>704</v>
      </c>
      <c r="D129" s="120" t="s">
        <v>6580</v>
      </c>
      <c r="E129" t="s">
        <v>4042</v>
      </c>
    </row>
    <row r="130" spans="2:5" x14ac:dyDescent="0.2">
      <c r="B130" t="s">
        <v>705</v>
      </c>
      <c r="D130" s="120" t="s">
        <v>6580</v>
      </c>
      <c r="E130" t="s">
        <v>4043</v>
      </c>
    </row>
    <row r="131" spans="2:5" x14ac:dyDescent="0.2">
      <c r="B131" t="s">
        <v>706</v>
      </c>
      <c r="D131" s="120" t="s">
        <v>6580</v>
      </c>
      <c r="E131" t="s">
        <v>4044</v>
      </c>
    </row>
    <row r="132" spans="2:5" x14ac:dyDescent="0.2">
      <c r="B132" t="s">
        <v>707</v>
      </c>
      <c r="D132" s="120" t="s">
        <v>6580</v>
      </c>
      <c r="E132" t="s">
        <v>4045</v>
      </c>
    </row>
    <row r="133" spans="2:5" x14ac:dyDescent="0.2">
      <c r="B133" t="s">
        <v>708</v>
      </c>
      <c r="D133" s="120" t="s">
        <v>6580</v>
      </c>
      <c r="E133" t="s">
        <v>4046</v>
      </c>
    </row>
    <row r="134" spans="2:5" x14ac:dyDescent="0.2">
      <c r="B134" t="s">
        <v>709</v>
      </c>
      <c r="D134" s="120" t="s">
        <v>6580</v>
      </c>
      <c r="E134" t="s">
        <v>4047</v>
      </c>
    </row>
    <row r="135" spans="2:5" x14ac:dyDescent="0.2">
      <c r="B135" t="s">
        <v>710</v>
      </c>
      <c r="D135" s="120" t="s">
        <v>6580</v>
      </c>
      <c r="E135" t="s">
        <v>4048</v>
      </c>
    </row>
    <row r="136" spans="2:5" x14ac:dyDescent="0.2">
      <c r="B136" t="s">
        <v>197</v>
      </c>
      <c r="D136" s="120" t="s">
        <v>6580</v>
      </c>
      <c r="E136" t="s">
        <v>4049</v>
      </c>
    </row>
    <row r="137" spans="2:5" x14ac:dyDescent="0.2">
      <c r="B137" t="s">
        <v>196</v>
      </c>
      <c r="D137" s="120" t="s">
        <v>6580</v>
      </c>
      <c r="E137" t="s">
        <v>4050</v>
      </c>
    </row>
    <row r="138" spans="2:5" x14ac:dyDescent="0.2">
      <c r="B138" t="s">
        <v>711</v>
      </c>
      <c r="D138" s="120" t="s">
        <v>6580</v>
      </c>
      <c r="E138" t="s">
        <v>4051</v>
      </c>
    </row>
    <row r="139" spans="2:5" x14ac:dyDescent="0.2">
      <c r="B139" t="s">
        <v>712</v>
      </c>
      <c r="D139" s="120" t="s">
        <v>6580</v>
      </c>
      <c r="E139" t="s">
        <v>4052</v>
      </c>
    </row>
    <row r="140" spans="2:5" x14ac:dyDescent="0.2">
      <c r="B140" t="s">
        <v>713</v>
      </c>
      <c r="D140" s="120" t="s">
        <v>6580</v>
      </c>
      <c r="E140" t="s">
        <v>4053</v>
      </c>
    </row>
    <row r="141" spans="2:5" x14ac:dyDescent="0.2">
      <c r="B141" t="s">
        <v>714</v>
      </c>
      <c r="D141" s="120" t="s">
        <v>6580</v>
      </c>
      <c r="E141" t="s">
        <v>4054</v>
      </c>
    </row>
    <row r="142" spans="2:5" x14ac:dyDescent="0.2">
      <c r="B142" t="s">
        <v>715</v>
      </c>
      <c r="D142" s="120" t="s">
        <v>6580</v>
      </c>
      <c r="E142" t="s">
        <v>4055</v>
      </c>
    </row>
    <row r="143" spans="2:5" x14ac:dyDescent="0.2">
      <c r="B143" t="s">
        <v>716</v>
      </c>
      <c r="D143" s="120" t="s">
        <v>6580</v>
      </c>
      <c r="E143" t="s">
        <v>4056</v>
      </c>
    </row>
    <row r="144" spans="2:5" x14ac:dyDescent="0.2">
      <c r="B144" t="s">
        <v>717</v>
      </c>
      <c r="D144" s="120" t="s">
        <v>6580</v>
      </c>
      <c r="E144" t="s">
        <v>4057</v>
      </c>
    </row>
    <row r="145" spans="2:5" x14ac:dyDescent="0.2">
      <c r="B145" t="s">
        <v>718</v>
      </c>
      <c r="D145" s="120" t="s">
        <v>6580</v>
      </c>
      <c r="E145" t="s">
        <v>4058</v>
      </c>
    </row>
    <row r="146" spans="2:5" x14ac:dyDescent="0.2">
      <c r="B146" t="s">
        <v>719</v>
      </c>
      <c r="D146" s="120" t="s">
        <v>6580</v>
      </c>
      <c r="E146" t="s">
        <v>4059</v>
      </c>
    </row>
    <row r="147" spans="2:5" x14ac:dyDescent="0.2">
      <c r="B147" t="s">
        <v>201</v>
      </c>
      <c r="D147" s="120" t="s">
        <v>6580</v>
      </c>
      <c r="E147" t="s">
        <v>4060</v>
      </c>
    </row>
    <row r="148" spans="2:5" x14ac:dyDescent="0.2">
      <c r="B148" t="s">
        <v>198</v>
      </c>
      <c r="D148" s="120" t="s">
        <v>6580</v>
      </c>
      <c r="E148" t="s">
        <v>4061</v>
      </c>
    </row>
    <row r="149" spans="2:5" x14ac:dyDescent="0.2">
      <c r="B149" t="s">
        <v>199</v>
      </c>
      <c r="D149" s="120" t="s">
        <v>6580</v>
      </c>
      <c r="E149" t="s">
        <v>4062</v>
      </c>
    </row>
    <row r="150" spans="2:5" x14ac:dyDescent="0.2">
      <c r="B150" t="s">
        <v>200</v>
      </c>
      <c r="D150" s="120" t="s">
        <v>6580</v>
      </c>
      <c r="E150" t="s">
        <v>4063</v>
      </c>
    </row>
    <row r="151" spans="2:5" x14ac:dyDescent="0.2">
      <c r="B151" t="s">
        <v>202</v>
      </c>
      <c r="D151" s="120" t="s">
        <v>6580</v>
      </c>
      <c r="E151" t="s">
        <v>4064</v>
      </c>
    </row>
    <row r="152" spans="2:5" x14ac:dyDescent="0.2">
      <c r="B152" t="s">
        <v>204</v>
      </c>
      <c r="D152" s="120" t="s">
        <v>6580</v>
      </c>
      <c r="E152" t="s">
        <v>4065</v>
      </c>
    </row>
    <row r="153" spans="2:5" x14ac:dyDescent="0.2">
      <c r="B153" t="s">
        <v>205</v>
      </c>
      <c r="D153" s="120" t="s">
        <v>6580</v>
      </c>
      <c r="E153" t="s">
        <v>4066</v>
      </c>
    </row>
    <row r="154" spans="2:5" x14ac:dyDescent="0.2">
      <c r="B154" t="s">
        <v>206</v>
      </c>
      <c r="D154" s="120" t="s">
        <v>6580</v>
      </c>
      <c r="E154" t="s">
        <v>4067</v>
      </c>
    </row>
    <row r="155" spans="2:5" x14ac:dyDescent="0.2">
      <c r="B155" t="s">
        <v>207</v>
      </c>
      <c r="D155" s="120" t="s">
        <v>6580</v>
      </c>
      <c r="E155" t="s">
        <v>4068</v>
      </c>
    </row>
    <row r="156" spans="2:5" x14ac:dyDescent="0.2">
      <c r="B156" t="s">
        <v>208</v>
      </c>
      <c r="D156" s="120" t="s">
        <v>6580</v>
      </c>
      <c r="E156" t="s">
        <v>4069</v>
      </c>
    </row>
    <row r="157" spans="2:5" x14ac:dyDescent="0.2">
      <c r="B157" t="s">
        <v>209</v>
      </c>
      <c r="D157" s="120" t="s">
        <v>6580</v>
      </c>
      <c r="E157" t="s">
        <v>4070</v>
      </c>
    </row>
    <row r="158" spans="2:5" x14ac:dyDescent="0.2">
      <c r="B158" t="s">
        <v>119</v>
      </c>
      <c r="D158" s="120" t="s">
        <v>6580</v>
      </c>
      <c r="E158" t="s">
        <v>4071</v>
      </c>
    </row>
    <row r="159" spans="2:5" x14ac:dyDescent="0.2">
      <c r="B159" t="s">
        <v>122</v>
      </c>
      <c r="D159" s="120" t="s">
        <v>6580</v>
      </c>
      <c r="E159" t="s">
        <v>4072</v>
      </c>
    </row>
    <row r="160" spans="2:5" x14ac:dyDescent="0.2">
      <c r="B160" t="s">
        <v>120</v>
      </c>
      <c r="D160" s="120" t="s">
        <v>6580</v>
      </c>
      <c r="E160" t="s">
        <v>4073</v>
      </c>
    </row>
    <row r="161" spans="2:5" x14ac:dyDescent="0.2">
      <c r="B161" t="s">
        <v>123</v>
      </c>
      <c r="D161" s="120" t="s">
        <v>6580</v>
      </c>
      <c r="E161" t="s">
        <v>4074</v>
      </c>
    </row>
    <row r="162" spans="2:5" x14ac:dyDescent="0.2">
      <c r="B162" t="s">
        <v>121</v>
      </c>
      <c r="D162" s="120" t="s">
        <v>6580</v>
      </c>
      <c r="E162" t="s">
        <v>4075</v>
      </c>
    </row>
    <row r="163" spans="2:5" x14ac:dyDescent="0.2">
      <c r="B163" t="s">
        <v>124</v>
      </c>
      <c r="D163" s="120" t="s">
        <v>6580</v>
      </c>
      <c r="E163" t="s">
        <v>4076</v>
      </c>
    </row>
    <row r="164" spans="2:5" x14ac:dyDescent="0.2">
      <c r="B164" t="s">
        <v>203</v>
      </c>
      <c r="D164" s="120" t="s">
        <v>6580</v>
      </c>
      <c r="E164" t="s">
        <v>4077</v>
      </c>
    </row>
    <row r="165" spans="2:5" x14ac:dyDescent="0.2">
      <c r="B165" t="s">
        <v>190</v>
      </c>
      <c r="D165" s="120" t="s">
        <v>6580</v>
      </c>
      <c r="E165" t="s">
        <v>4078</v>
      </c>
    </row>
    <row r="166" spans="2:5" x14ac:dyDescent="0.2">
      <c r="B166" t="s">
        <v>149</v>
      </c>
      <c r="D166" s="120" t="s">
        <v>6580</v>
      </c>
      <c r="E166" t="s">
        <v>4079</v>
      </c>
    </row>
    <row r="167" spans="2:5" x14ac:dyDescent="0.2">
      <c r="B167" t="s">
        <v>146</v>
      </c>
      <c r="D167" s="120" t="s">
        <v>6580</v>
      </c>
      <c r="E167" t="s">
        <v>4080</v>
      </c>
    </row>
    <row r="168" spans="2:5" x14ac:dyDescent="0.2">
      <c r="B168" t="s">
        <v>138</v>
      </c>
      <c r="D168" s="120" t="s">
        <v>6580</v>
      </c>
      <c r="E168" t="s">
        <v>4081</v>
      </c>
    </row>
    <row r="169" spans="2:5" x14ac:dyDescent="0.2">
      <c r="B169" t="s">
        <v>137</v>
      </c>
      <c r="D169" s="120" t="s">
        <v>6580</v>
      </c>
      <c r="E169" t="s">
        <v>4082</v>
      </c>
    </row>
    <row r="170" spans="2:5" x14ac:dyDescent="0.2">
      <c r="B170" t="s">
        <v>145</v>
      </c>
      <c r="D170" s="120" t="s">
        <v>6580</v>
      </c>
      <c r="E170" t="s">
        <v>4083</v>
      </c>
    </row>
    <row r="171" spans="2:5" x14ac:dyDescent="0.2">
      <c r="B171" t="s">
        <v>142</v>
      </c>
      <c r="D171" s="120" t="s">
        <v>6580</v>
      </c>
      <c r="E171" t="s">
        <v>4084</v>
      </c>
    </row>
    <row r="172" spans="2:5" x14ac:dyDescent="0.2">
      <c r="B172" t="s">
        <v>141</v>
      </c>
      <c r="D172" s="120" t="s">
        <v>6580</v>
      </c>
      <c r="E172" t="s">
        <v>4085</v>
      </c>
    </row>
    <row r="173" spans="2:5" x14ac:dyDescent="0.2">
      <c r="B173" t="s">
        <v>140</v>
      </c>
      <c r="D173" s="120" t="s">
        <v>6580</v>
      </c>
      <c r="E173" t="s">
        <v>4086</v>
      </c>
    </row>
    <row r="174" spans="2:5" x14ac:dyDescent="0.2">
      <c r="B174" t="s">
        <v>144</v>
      </c>
      <c r="D174" s="120" t="s">
        <v>6580</v>
      </c>
      <c r="E174" t="s">
        <v>4087</v>
      </c>
    </row>
    <row r="175" spans="2:5" x14ac:dyDescent="0.2">
      <c r="B175" t="s">
        <v>151</v>
      </c>
      <c r="D175" s="120" t="s">
        <v>6580</v>
      </c>
      <c r="E175" t="s">
        <v>4088</v>
      </c>
    </row>
    <row r="176" spans="2:5" x14ac:dyDescent="0.2">
      <c r="B176" t="s">
        <v>153</v>
      </c>
      <c r="D176" s="120" t="s">
        <v>6580</v>
      </c>
      <c r="E176" t="s">
        <v>4089</v>
      </c>
    </row>
    <row r="177" spans="2:5" x14ac:dyDescent="0.2">
      <c r="B177" t="s">
        <v>152</v>
      </c>
      <c r="D177" s="120" t="s">
        <v>6580</v>
      </c>
      <c r="E177" t="s">
        <v>4090</v>
      </c>
    </row>
    <row r="178" spans="2:5" x14ac:dyDescent="0.2">
      <c r="B178" t="s">
        <v>155</v>
      </c>
      <c r="D178" s="120" t="s">
        <v>6580</v>
      </c>
      <c r="E178" t="s">
        <v>4091</v>
      </c>
    </row>
    <row r="179" spans="2:5" x14ac:dyDescent="0.2">
      <c r="B179" t="s">
        <v>148</v>
      </c>
      <c r="D179" s="120" t="s">
        <v>6580</v>
      </c>
      <c r="E179" t="s">
        <v>4092</v>
      </c>
    </row>
    <row r="180" spans="2:5" x14ac:dyDescent="0.2">
      <c r="B180" t="s">
        <v>143</v>
      </c>
      <c r="D180" s="120" t="s">
        <v>6580</v>
      </c>
      <c r="E180" t="s">
        <v>4093</v>
      </c>
    </row>
    <row r="181" spans="2:5" x14ac:dyDescent="0.2">
      <c r="B181" t="s">
        <v>150</v>
      </c>
      <c r="D181" s="120" t="s">
        <v>6580</v>
      </c>
      <c r="E181" t="s">
        <v>4094</v>
      </c>
    </row>
    <row r="182" spans="2:5" x14ac:dyDescent="0.2">
      <c r="B182" t="s">
        <v>147</v>
      </c>
      <c r="D182" s="120" t="s">
        <v>6580</v>
      </c>
      <c r="E182" t="s">
        <v>4095</v>
      </c>
    </row>
    <row r="183" spans="2:5" x14ac:dyDescent="0.2">
      <c r="B183" t="s">
        <v>139</v>
      </c>
      <c r="D183" s="120" t="s">
        <v>6580</v>
      </c>
      <c r="E183" t="s">
        <v>4096</v>
      </c>
    </row>
    <row r="184" spans="2:5" x14ac:dyDescent="0.2">
      <c r="B184" t="s">
        <v>154</v>
      </c>
      <c r="D184" s="120" t="s">
        <v>6580</v>
      </c>
      <c r="E184" t="s">
        <v>4097</v>
      </c>
    </row>
    <row r="185" spans="2:5" x14ac:dyDescent="0.2">
      <c r="B185" t="s">
        <v>127</v>
      </c>
      <c r="D185" s="120" t="s">
        <v>6580</v>
      </c>
      <c r="E185" t="s">
        <v>4098</v>
      </c>
    </row>
    <row r="186" spans="2:5" x14ac:dyDescent="0.2">
      <c r="B186" t="s">
        <v>135</v>
      </c>
      <c r="D186" s="120" t="s">
        <v>6580</v>
      </c>
      <c r="E186" t="s">
        <v>4099</v>
      </c>
    </row>
    <row r="187" spans="2:5" x14ac:dyDescent="0.2">
      <c r="B187" t="s">
        <v>133</v>
      </c>
      <c r="D187" s="120" t="s">
        <v>6580</v>
      </c>
      <c r="E187" t="s">
        <v>4100</v>
      </c>
    </row>
    <row r="188" spans="2:5" x14ac:dyDescent="0.2">
      <c r="B188" t="s">
        <v>132</v>
      </c>
      <c r="D188" s="120" t="s">
        <v>6580</v>
      </c>
      <c r="E188" t="s">
        <v>4101</v>
      </c>
    </row>
    <row r="189" spans="2:5" x14ac:dyDescent="0.2">
      <c r="B189" t="s">
        <v>136</v>
      </c>
      <c r="D189" s="120" t="s">
        <v>6580</v>
      </c>
      <c r="E189" t="s">
        <v>4102</v>
      </c>
    </row>
    <row r="190" spans="2:5" x14ac:dyDescent="0.2">
      <c r="B190" t="s">
        <v>126</v>
      </c>
      <c r="D190" s="120" t="s">
        <v>6580</v>
      </c>
      <c r="E190" t="s">
        <v>4103</v>
      </c>
    </row>
    <row r="191" spans="2:5" x14ac:dyDescent="0.2">
      <c r="B191" t="s">
        <v>129</v>
      </c>
      <c r="D191" s="120" t="s">
        <v>6580</v>
      </c>
      <c r="E191" t="s">
        <v>4104</v>
      </c>
    </row>
    <row r="192" spans="2:5" x14ac:dyDescent="0.2">
      <c r="B192" t="s">
        <v>164</v>
      </c>
      <c r="D192" s="120" t="s">
        <v>6580</v>
      </c>
      <c r="E192" t="s">
        <v>4105</v>
      </c>
    </row>
    <row r="193" spans="2:5" x14ac:dyDescent="0.2">
      <c r="B193" t="s">
        <v>163</v>
      </c>
      <c r="D193" s="120" t="s">
        <v>6580</v>
      </c>
      <c r="E193" t="s">
        <v>4106</v>
      </c>
    </row>
    <row r="194" spans="2:5" x14ac:dyDescent="0.2">
      <c r="B194" t="s">
        <v>162</v>
      </c>
      <c r="D194" s="120" t="s">
        <v>6580</v>
      </c>
      <c r="E194" t="s">
        <v>4107</v>
      </c>
    </row>
    <row r="195" spans="2:5" x14ac:dyDescent="0.2">
      <c r="B195" t="s">
        <v>134</v>
      </c>
      <c r="D195" s="120" t="s">
        <v>6580</v>
      </c>
      <c r="E195" t="s">
        <v>4108</v>
      </c>
    </row>
    <row r="196" spans="2:5" x14ac:dyDescent="0.2">
      <c r="B196" t="s">
        <v>157</v>
      </c>
      <c r="D196" s="120" t="s">
        <v>6582</v>
      </c>
      <c r="E196" t="s">
        <v>4109</v>
      </c>
    </row>
    <row r="197" spans="2:5" x14ac:dyDescent="0.2">
      <c r="B197" t="s">
        <v>130</v>
      </c>
      <c r="D197" s="120" t="s">
        <v>6580</v>
      </c>
      <c r="E197" t="s">
        <v>4110</v>
      </c>
    </row>
    <row r="198" spans="2:5" x14ac:dyDescent="0.2">
      <c r="B198" t="s">
        <v>131</v>
      </c>
      <c r="D198" s="120" t="s">
        <v>6580</v>
      </c>
      <c r="E198" t="s">
        <v>4111</v>
      </c>
    </row>
    <row r="199" spans="2:5" x14ac:dyDescent="0.2">
      <c r="B199" t="s">
        <v>160</v>
      </c>
      <c r="D199" s="120" t="s">
        <v>6580</v>
      </c>
      <c r="E199" t="s">
        <v>4112</v>
      </c>
    </row>
    <row r="200" spans="2:5" x14ac:dyDescent="0.2">
      <c r="B200" t="s">
        <v>158</v>
      </c>
      <c r="D200" s="120" t="s">
        <v>6582</v>
      </c>
      <c r="E200" t="s">
        <v>4113</v>
      </c>
    </row>
    <row r="201" spans="2:5" x14ac:dyDescent="0.2">
      <c r="B201" t="s">
        <v>161</v>
      </c>
      <c r="D201" s="120" t="s">
        <v>6580</v>
      </c>
      <c r="E201" t="s">
        <v>4114</v>
      </c>
    </row>
    <row r="202" spans="2:5" x14ac:dyDescent="0.2">
      <c r="B202" t="s">
        <v>156</v>
      </c>
      <c r="D202" s="120" t="s">
        <v>6580</v>
      </c>
      <c r="E202" t="s">
        <v>4115</v>
      </c>
    </row>
    <row r="203" spans="2:5" x14ac:dyDescent="0.2">
      <c r="B203" t="s">
        <v>159</v>
      </c>
      <c r="D203" s="120" t="s">
        <v>6580</v>
      </c>
      <c r="E203" t="s">
        <v>4116</v>
      </c>
    </row>
    <row r="204" spans="2:5" x14ac:dyDescent="0.2">
      <c r="B204" t="s">
        <v>128</v>
      </c>
      <c r="D204" s="120" t="s">
        <v>6580</v>
      </c>
      <c r="E204" t="s">
        <v>4117</v>
      </c>
    </row>
    <row r="205" spans="2:5" x14ac:dyDescent="0.2">
      <c r="B205" t="s">
        <v>125</v>
      </c>
      <c r="D205" s="120" t="s">
        <v>6582</v>
      </c>
      <c r="E205" t="s">
        <v>4118</v>
      </c>
    </row>
    <row r="206" spans="2:5" x14ac:dyDescent="0.2">
      <c r="B206" t="s">
        <v>686</v>
      </c>
      <c r="D206" s="120" t="s">
        <v>6582</v>
      </c>
      <c r="E206" t="s">
        <v>4119</v>
      </c>
    </row>
    <row r="207" spans="2:5" x14ac:dyDescent="0.2">
      <c r="B207" t="s">
        <v>1234</v>
      </c>
      <c r="C207" t="s">
        <v>4120</v>
      </c>
      <c r="D207" s="120" t="s">
        <v>3384</v>
      </c>
      <c r="E207" t="s">
        <v>4121</v>
      </c>
    </row>
    <row r="208" spans="2:5" x14ac:dyDescent="0.2">
      <c r="B208" t="s">
        <v>1235</v>
      </c>
      <c r="C208" t="s">
        <v>4120</v>
      </c>
      <c r="D208" s="120" t="s">
        <v>3385</v>
      </c>
      <c r="E208" t="s">
        <v>4122</v>
      </c>
    </row>
    <row r="209" spans="2:5" x14ac:dyDescent="0.2">
      <c r="B209" t="s">
        <v>4123</v>
      </c>
      <c r="C209" t="s">
        <v>4120</v>
      </c>
      <c r="D209" s="120" t="s">
        <v>3386</v>
      </c>
      <c r="E209" t="s">
        <v>4124</v>
      </c>
    </row>
    <row r="210" spans="2:5" x14ac:dyDescent="0.2">
      <c r="B210" t="s">
        <v>166</v>
      </c>
      <c r="D210" s="120" t="s">
        <v>6582</v>
      </c>
      <c r="E210" t="s">
        <v>4125</v>
      </c>
    </row>
    <row r="211" spans="2:5" x14ac:dyDescent="0.2">
      <c r="B211" t="s">
        <v>165</v>
      </c>
      <c r="D211" s="120" t="s">
        <v>6582</v>
      </c>
      <c r="E211" t="s">
        <v>4126</v>
      </c>
    </row>
    <row r="212" spans="2:5" x14ac:dyDescent="0.2">
      <c r="B212" t="s">
        <v>167</v>
      </c>
      <c r="D212" s="120" t="s">
        <v>6582</v>
      </c>
      <c r="E212" t="s">
        <v>4127</v>
      </c>
    </row>
    <row r="213" spans="2:5" x14ac:dyDescent="0.2">
      <c r="B213" t="s">
        <v>176</v>
      </c>
      <c r="D213" s="120" t="s">
        <v>6580</v>
      </c>
      <c r="E213" t="s">
        <v>4128</v>
      </c>
    </row>
    <row r="214" spans="2:5" x14ac:dyDescent="0.2">
      <c r="B214" t="s">
        <v>177</v>
      </c>
      <c r="D214" s="120" t="s">
        <v>6580</v>
      </c>
      <c r="E214" t="s">
        <v>4129</v>
      </c>
    </row>
    <row r="215" spans="2:5" x14ac:dyDescent="0.2">
      <c r="B215" t="s">
        <v>178</v>
      </c>
      <c r="D215" s="120" t="s">
        <v>6580</v>
      </c>
      <c r="E215" t="s">
        <v>4130</v>
      </c>
    </row>
    <row r="216" spans="2:5" x14ac:dyDescent="0.2">
      <c r="B216" t="s">
        <v>179</v>
      </c>
      <c r="D216" s="120" t="s">
        <v>6580</v>
      </c>
      <c r="E216" t="s">
        <v>4131</v>
      </c>
    </row>
    <row r="217" spans="2:5" x14ac:dyDescent="0.2">
      <c r="B217" t="s">
        <v>168</v>
      </c>
      <c r="D217" s="120" t="s">
        <v>6580</v>
      </c>
      <c r="E217" t="s">
        <v>4132</v>
      </c>
    </row>
    <row r="218" spans="2:5" x14ac:dyDescent="0.2">
      <c r="B218" t="s">
        <v>169</v>
      </c>
      <c r="D218" s="120" t="s">
        <v>6580</v>
      </c>
      <c r="E218" t="s">
        <v>4133</v>
      </c>
    </row>
    <row r="219" spans="2:5" x14ac:dyDescent="0.2">
      <c r="B219" t="s">
        <v>170</v>
      </c>
      <c r="D219" s="120" t="s">
        <v>6580</v>
      </c>
      <c r="E219" t="s">
        <v>4134</v>
      </c>
    </row>
    <row r="220" spans="2:5" x14ac:dyDescent="0.2">
      <c r="B220" t="s">
        <v>171</v>
      </c>
      <c r="D220" s="120" t="s">
        <v>6580</v>
      </c>
      <c r="E220" t="s">
        <v>4135</v>
      </c>
    </row>
    <row r="221" spans="2:5" x14ac:dyDescent="0.2">
      <c r="B221" t="s">
        <v>172</v>
      </c>
      <c r="D221" s="120" t="s">
        <v>6580</v>
      </c>
      <c r="E221" t="s">
        <v>4136</v>
      </c>
    </row>
    <row r="222" spans="2:5" x14ac:dyDescent="0.2">
      <c r="B222" t="s">
        <v>173</v>
      </c>
      <c r="D222" s="120" t="s">
        <v>6580</v>
      </c>
      <c r="E222" t="s">
        <v>4137</v>
      </c>
    </row>
    <row r="223" spans="2:5" x14ac:dyDescent="0.2">
      <c r="B223" t="s">
        <v>174</v>
      </c>
      <c r="D223" s="120" t="s">
        <v>6580</v>
      </c>
      <c r="E223" t="s">
        <v>4138</v>
      </c>
    </row>
    <row r="224" spans="2:5" x14ac:dyDescent="0.2">
      <c r="B224" t="s">
        <v>175</v>
      </c>
      <c r="D224" s="120" t="s">
        <v>6580</v>
      </c>
      <c r="E224" t="s">
        <v>4139</v>
      </c>
    </row>
    <row r="225" spans="2:5" x14ac:dyDescent="0.2">
      <c r="B225" t="s">
        <v>195</v>
      </c>
      <c r="D225" s="120" t="s">
        <v>6580</v>
      </c>
      <c r="E225" t="s">
        <v>4140</v>
      </c>
    </row>
    <row r="226" spans="2:5" x14ac:dyDescent="0.2">
      <c r="B226" t="s">
        <v>194</v>
      </c>
      <c r="D226" s="120" t="s">
        <v>6580</v>
      </c>
      <c r="E226" t="s">
        <v>4141</v>
      </c>
    </row>
    <row r="227" spans="2:5" x14ac:dyDescent="0.2">
      <c r="B227" t="s">
        <v>193</v>
      </c>
      <c r="D227" s="120" t="s">
        <v>6580</v>
      </c>
      <c r="E227" t="s">
        <v>4142</v>
      </c>
    </row>
    <row r="228" spans="2:5" x14ac:dyDescent="0.2">
      <c r="B228" s="51" t="s">
        <v>4143</v>
      </c>
    </row>
    <row r="229" spans="2:5" x14ac:dyDescent="0.2">
      <c r="B229" t="s">
        <v>221</v>
      </c>
      <c r="D229" s="120" t="s">
        <v>6580</v>
      </c>
      <c r="E229" t="s">
        <v>4144</v>
      </c>
    </row>
    <row r="230" spans="2:5" x14ac:dyDescent="0.2">
      <c r="B230" t="s">
        <v>219</v>
      </c>
      <c r="D230" s="120" t="s">
        <v>6580</v>
      </c>
      <c r="E230" t="s">
        <v>4145</v>
      </c>
    </row>
    <row r="231" spans="2:5" x14ac:dyDescent="0.2">
      <c r="B231" t="s">
        <v>220</v>
      </c>
      <c r="D231" s="120" t="s">
        <v>3237</v>
      </c>
      <c r="E231" t="s">
        <v>4146</v>
      </c>
    </row>
    <row r="232" spans="2:5" x14ac:dyDescent="0.2">
      <c r="B232" t="s">
        <v>4147</v>
      </c>
      <c r="D232" s="110" t="s">
        <v>6582</v>
      </c>
      <c r="E232" t="s">
        <v>4148</v>
      </c>
    </row>
    <row r="233" spans="2:5" x14ac:dyDescent="0.2">
      <c r="B233" t="s">
        <v>4149</v>
      </c>
      <c r="D233" s="110" t="s">
        <v>6582</v>
      </c>
      <c r="E233" t="s">
        <v>4150</v>
      </c>
    </row>
    <row r="234" spans="2:5" x14ac:dyDescent="0.2">
      <c r="B234" t="s">
        <v>685</v>
      </c>
      <c r="C234" t="s">
        <v>4151</v>
      </c>
      <c r="D234" s="110" t="s">
        <v>6582</v>
      </c>
      <c r="E234" t="s">
        <v>4152</v>
      </c>
    </row>
    <row r="235" spans="2:5" x14ac:dyDescent="0.2">
      <c r="B235" t="s">
        <v>1392</v>
      </c>
      <c r="D235" s="120" t="s">
        <v>6580</v>
      </c>
      <c r="E235" t="s">
        <v>3969</v>
      </c>
    </row>
    <row r="236" spans="2:5" x14ac:dyDescent="0.2">
      <c r="B236" t="s">
        <v>919</v>
      </c>
      <c r="D236" s="120" t="s">
        <v>6580</v>
      </c>
      <c r="E236" t="s">
        <v>3970</v>
      </c>
    </row>
    <row r="237" spans="2:5" x14ac:dyDescent="0.2">
      <c r="B237" t="s">
        <v>1394</v>
      </c>
      <c r="D237" s="120" t="s">
        <v>6580</v>
      </c>
      <c r="E237" t="s">
        <v>5616</v>
      </c>
    </row>
    <row r="238" spans="2:5" x14ac:dyDescent="0.2">
      <c r="B238" t="s">
        <v>3407</v>
      </c>
      <c r="C238" t="s">
        <v>4153</v>
      </c>
      <c r="D238" s="120" t="s">
        <v>6580</v>
      </c>
      <c r="E238" t="s">
        <v>4154</v>
      </c>
    </row>
    <row r="239" spans="2:5" x14ac:dyDescent="0.2">
      <c r="B239" t="s">
        <v>760</v>
      </c>
      <c r="C239" t="s">
        <v>4153</v>
      </c>
      <c r="D239" s="120" t="s">
        <v>6580</v>
      </c>
      <c r="E239" t="s">
        <v>4155</v>
      </c>
    </row>
    <row r="240" spans="2:5" x14ac:dyDescent="0.2">
      <c r="B240" t="s">
        <v>4156</v>
      </c>
      <c r="D240" s="110" t="s">
        <v>6582</v>
      </c>
      <c r="E240" t="s">
        <v>4157</v>
      </c>
    </row>
    <row r="241" spans="2:5" x14ac:dyDescent="0.2">
      <c r="B241" t="s">
        <v>4158</v>
      </c>
      <c r="D241" s="110" t="s">
        <v>6582</v>
      </c>
      <c r="E241" t="s">
        <v>4159</v>
      </c>
    </row>
    <row r="242" spans="2:5" x14ac:dyDescent="0.2">
      <c r="B242" t="s">
        <v>4160</v>
      </c>
      <c r="D242" s="110" t="s">
        <v>6582</v>
      </c>
      <c r="E242" t="s">
        <v>4161</v>
      </c>
    </row>
    <row r="243" spans="2:5" x14ac:dyDescent="0.2">
      <c r="B243" t="s">
        <v>4162</v>
      </c>
      <c r="D243" s="110" t="s">
        <v>6582</v>
      </c>
      <c r="E243" t="s">
        <v>4163</v>
      </c>
    </row>
    <row r="244" spans="2:5" x14ac:dyDescent="0.2">
      <c r="B244" t="s">
        <v>4164</v>
      </c>
      <c r="D244" s="110" t="s">
        <v>6582</v>
      </c>
      <c r="E244" t="s">
        <v>4165</v>
      </c>
    </row>
    <row r="245" spans="2:5" x14ac:dyDescent="0.2">
      <c r="B245" t="s">
        <v>4166</v>
      </c>
      <c r="D245" s="110" t="s">
        <v>6582</v>
      </c>
      <c r="E245" t="s">
        <v>4167</v>
      </c>
    </row>
    <row r="246" spans="2:5" x14ac:dyDescent="0.2">
      <c r="B246" t="s">
        <v>4168</v>
      </c>
      <c r="D246" s="110" t="s">
        <v>6582</v>
      </c>
      <c r="E246" t="s">
        <v>4169</v>
      </c>
    </row>
    <row r="247" spans="2:5" x14ac:dyDescent="0.2">
      <c r="B247" t="s">
        <v>4170</v>
      </c>
      <c r="D247" s="110" t="s">
        <v>6582</v>
      </c>
      <c r="E247" t="s">
        <v>4171</v>
      </c>
    </row>
    <row r="248" spans="2:5" x14ac:dyDescent="0.2">
      <c r="B248" t="s">
        <v>4172</v>
      </c>
      <c r="D248" s="110" t="s">
        <v>6582</v>
      </c>
      <c r="E248" t="s">
        <v>4173</v>
      </c>
    </row>
    <row r="249" spans="2:5" x14ac:dyDescent="0.2">
      <c r="B249" t="s">
        <v>4174</v>
      </c>
      <c r="D249" s="110" t="s">
        <v>6582</v>
      </c>
      <c r="E249" t="s">
        <v>4175</v>
      </c>
    </row>
    <row r="250" spans="2:5" x14ac:dyDescent="0.2">
      <c r="B250" t="s">
        <v>648</v>
      </c>
      <c r="D250" s="110" t="s">
        <v>6582</v>
      </c>
      <c r="E250" t="s">
        <v>4176</v>
      </c>
    </row>
    <row r="251" spans="2:5" x14ac:dyDescent="0.2">
      <c r="B251" t="s">
        <v>4177</v>
      </c>
      <c r="D251" s="110" t="s">
        <v>6582</v>
      </c>
      <c r="E251" t="s">
        <v>4178</v>
      </c>
    </row>
    <row r="252" spans="2:5" x14ac:dyDescent="0.2">
      <c r="B252" t="s">
        <v>4179</v>
      </c>
      <c r="D252" s="110" t="s">
        <v>6582</v>
      </c>
      <c r="E252" t="s">
        <v>4180</v>
      </c>
    </row>
    <row r="253" spans="2:5" x14ac:dyDescent="0.2">
      <c r="B253" t="s">
        <v>4181</v>
      </c>
      <c r="D253" s="110" t="s">
        <v>6582</v>
      </c>
      <c r="E253" t="s">
        <v>4182</v>
      </c>
    </row>
    <row r="254" spans="2:5" x14ac:dyDescent="0.2">
      <c r="B254" t="s">
        <v>4183</v>
      </c>
      <c r="D254" s="110" t="s">
        <v>6582</v>
      </c>
      <c r="E254" t="s">
        <v>4184</v>
      </c>
    </row>
    <row r="255" spans="2:5" x14ac:dyDescent="0.2">
      <c r="B255" t="s">
        <v>4185</v>
      </c>
      <c r="D255" s="110" t="s">
        <v>6582</v>
      </c>
      <c r="E255" t="s">
        <v>4186</v>
      </c>
    </row>
    <row r="256" spans="2:5" x14ac:dyDescent="0.2">
      <c r="B256" t="s">
        <v>4187</v>
      </c>
      <c r="D256" s="110" t="s">
        <v>6582</v>
      </c>
      <c r="E256" t="s">
        <v>4188</v>
      </c>
    </row>
    <row r="257" spans="2:5" x14ac:dyDescent="0.2">
      <c r="B257" t="s">
        <v>4189</v>
      </c>
      <c r="D257" s="110" t="s">
        <v>6582</v>
      </c>
      <c r="E257" t="s">
        <v>4190</v>
      </c>
    </row>
    <row r="258" spans="2:5" x14ac:dyDescent="0.2">
      <c r="B258" t="s">
        <v>4191</v>
      </c>
      <c r="D258" s="110" t="s">
        <v>6582</v>
      </c>
      <c r="E258" t="s">
        <v>4192</v>
      </c>
    </row>
    <row r="259" spans="2:5" x14ac:dyDescent="0.2">
      <c r="B259" t="s">
        <v>649</v>
      </c>
      <c r="D259" s="110" t="s">
        <v>6582</v>
      </c>
      <c r="E259" t="s">
        <v>4193</v>
      </c>
    </row>
    <row r="260" spans="2:5" x14ac:dyDescent="0.2">
      <c r="B260" t="s">
        <v>650</v>
      </c>
      <c r="D260" s="110" t="s">
        <v>6582</v>
      </c>
      <c r="E260" t="s">
        <v>4194</v>
      </c>
    </row>
    <row r="261" spans="2:5" x14ac:dyDescent="0.2">
      <c r="B261" t="s">
        <v>651</v>
      </c>
      <c r="D261" s="110" t="s">
        <v>6582</v>
      </c>
      <c r="E261" t="s">
        <v>4195</v>
      </c>
    </row>
    <row r="262" spans="2:5" x14ac:dyDescent="0.2">
      <c r="B262" t="s">
        <v>652</v>
      </c>
      <c r="D262" s="110" t="s">
        <v>6582</v>
      </c>
      <c r="E262" t="s">
        <v>4196</v>
      </c>
    </row>
    <row r="263" spans="2:5" x14ac:dyDescent="0.2">
      <c r="B263" t="s">
        <v>653</v>
      </c>
      <c r="D263" s="110" t="s">
        <v>6582</v>
      </c>
      <c r="E263" t="s">
        <v>4197</v>
      </c>
    </row>
    <row r="264" spans="2:5" x14ac:dyDescent="0.2">
      <c r="B264" t="s">
        <v>654</v>
      </c>
      <c r="D264" s="110" t="s">
        <v>6582</v>
      </c>
      <c r="E264" t="s">
        <v>4198</v>
      </c>
    </row>
    <row r="265" spans="2:5" x14ac:dyDescent="0.2">
      <c r="B265" t="s">
        <v>655</v>
      </c>
      <c r="D265" s="110" t="s">
        <v>6582</v>
      </c>
      <c r="E265" t="s">
        <v>4199</v>
      </c>
    </row>
    <row r="266" spans="2:5" x14ac:dyDescent="0.2">
      <c r="B266" t="s">
        <v>656</v>
      </c>
      <c r="D266" s="110" t="s">
        <v>6582</v>
      </c>
      <c r="E266" t="s">
        <v>4200</v>
      </c>
    </row>
    <row r="267" spans="2:5" x14ac:dyDescent="0.2">
      <c r="B267" t="s">
        <v>657</v>
      </c>
      <c r="D267" s="110" t="s">
        <v>6582</v>
      </c>
      <c r="E267" t="s">
        <v>4201</v>
      </c>
    </row>
    <row r="268" spans="2:5" x14ac:dyDescent="0.2">
      <c r="B268" t="s">
        <v>658</v>
      </c>
      <c r="D268" s="110" t="s">
        <v>6582</v>
      </c>
      <c r="E268" t="s">
        <v>4202</v>
      </c>
    </row>
    <row r="269" spans="2:5" x14ac:dyDescent="0.2">
      <c r="B269" t="s">
        <v>4203</v>
      </c>
      <c r="D269" s="110" t="s">
        <v>6582</v>
      </c>
      <c r="E269" t="s">
        <v>4204</v>
      </c>
    </row>
    <row r="270" spans="2:5" x14ac:dyDescent="0.2">
      <c r="B270" t="s">
        <v>659</v>
      </c>
      <c r="D270" s="110" t="s">
        <v>6582</v>
      </c>
      <c r="E270" t="s">
        <v>4205</v>
      </c>
    </row>
    <row r="271" spans="2:5" x14ac:dyDescent="0.2">
      <c r="B271" t="s">
        <v>644</v>
      </c>
      <c r="D271" s="110" t="s">
        <v>6582</v>
      </c>
      <c r="E271" t="s">
        <v>4206</v>
      </c>
    </row>
    <row r="272" spans="2:5" x14ac:dyDescent="0.2">
      <c r="B272" t="s">
        <v>645</v>
      </c>
      <c r="D272" s="110" t="s">
        <v>6582</v>
      </c>
      <c r="E272" t="s">
        <v>4207</v>
      </c>
    </row>
    <row r="273" spans="2:5" x14ac:dyDescent="0.2">
      <c r="B273" t="s">
        <v>4208</v>
      </c>
      <c r="D273" s="110" t="s">
        <v>6582</v>
      </c>
      <c r="E273" t="s">
        <v>4209</v>
      </c>
    </row>
    <row r="274" spans="2:5" x14ac:dyDescent="0.2">
      <c r="B274" t="s">
        <v>4210</v>
      </c>
      <c r="D274" s="110" t="s">
        <v>6582</v>
      </c>
      <c r="E274" t="s">
        <v>4211</v>
      </c>
    </row>
    <row r="275" spans="2:5" x14ac:dyDescent="0.2">
      <c r="B275" t="s">
        <v>646</v>
      </c>
      <c r="D275" s="110" t="s">
        <v>6582</v>
      </c>
      <c r="E275" t="s">
        <v>4212</v>
      </c>
    </row>
    <row r="276" spans="2:5" x14ac:dyDescent="0.2">
      <c r="B276" t="s">
        <v>4213</v>
      </c>
      <c r="D276" s="110" t="s">
        <v>6582</v>
      </c>
      <c r="E276" t="s">
        <v>4214</v>
      </c>
    </row>
    <row r="277" spans="2:5" x14ac:dyDescent="0.2">
      <c r="B277" t="s">
        <v>4215</v>
      </c>
      <c r="D277" s="110" t="s">
        <v>6582</v>
      </c>
      <c r="E277" t="s">
        <v>4216</v>
      </c>
    </row>
    <row r="278" spans="2:5" x14ac:dyDescent="0.2">
      <c r="B278" t="s">
        <v>4217</v>
      </c>
      <c r="D278" s="110" t="s">
        <v>6582</v>
      </c>
      <c r="E278" t="s">
        <v>4218</v>
      </c>
    </row>
    <row r="279" spans="2:5" x14ac:dyDescent="0.2">
      <c r="B279" t="s">
        <v>4219</v>
      </c>
      <c r="D279" s="110" t="s">
        <v>6582</v>
      </c>
      <c r="E279" t="s">
        <v>4220</v>
      </c>
    </row>
    <row r="280" spans="2:5" x14ac:dyDescent="0.2">
      <c r="B280" t="s">
        <v>4221</v>
      </c>
      <c r="D280" s="110" t="s">
        <v>6582</v>
      </c>
      <c r="E280" t="s">
        <v>4222</v>
      </c>
    </row>
    <row r="281" spans="2:5" x14ac:dyDescent="0.2">
      <c r="B281" t="s">
        <v>4223</v>
      </c>
      <c r="D281" s="110" t="s">
        <v>6582</v>
      </c>
      <c r="E281" t="s">
        <v>4224</v>
      </c>
    </row>
    <row r="282" spans="2:5" x14ac:dyDescent="0.2">
      <c r="B282" t="s">
        <v>4225</v>
      </c>
      <c r="D282" s="110" t="s">
        <v>6582</v>
      </c>
      <c r="E282" t="s">
        <v>4226</v>
      </c>
    </row>
    <row r="283" spans="2:5" x14ac:dyDescent="0.2">
      <c r="B283" t="s">
        <v>4227</v>
      </c>
      <c r="D283" s="110" t="s">
        <v>6582</v>
      </c>
      <c r="E283" t="s">
        <v>4228</v>
      </c>
    </row>
    <row r="284" spans="2:5" x14ac:dyDescent="0.2">
      <c r="B284" t="s">
        <v>4229</v>
      </c>
      <c r="D284" s="110" t="s">
        <v>6582</v>
      </c>
      <c r="E284" t="s">
        <v>4230</v>
      </c>
    </row>
    <row r="285" spans="2:5" x14ac:dyDescent="0.2">
      <c r="B285" t="s">
        <v>647</v>
      </c>
      <c r="C285" t="s">
        <v>4231</v>
      </c>
      <c r="D285" s="110" t="s">
        <v>6582</v>
      </c>
      <c r="E285" t="s">
        <v>4232</v>
      </c>
    </row>
    <row r="286" spans="2:5" x14ac:dyDescent="0.2">
      <c r="B286" t="s">
        <v>668</v>
      </c>
      <c r="D286" s="110" t="s">
        <v>6582</v>
      </c>
      <c r="E286" t="s">
        <v>4233</v>
      </c>
    </row>
    <row r="287" spans="2:5" x14ac:dyDescent="0.2">
      <c r="B287" t="s">
        <v>662</v>
      </c>
      <c r="D287" s="110" t="s">
        <v>6582</v>
      </c>
      <c r="E287" t="s">
        <v>4234</v>
      </c>
    </row>
    <row r="288" spans="2:5" x14ac:dyDescent="0.2">
      <c r="B288" t="s">
        <v>663</v>
      </c>
      <c r="D288" s="110" t="s">
        <v>6582</v>
      </c>
      <c r="E288" t="s">
        <v>4235</v>
      </c>
    </row>
    <row r="289" spans="2:5" x14ac:dyDescent="0.2">
      <c r="B289" t="s">
        <v>661</v>
      </c>
      <c r="D289" s="110" t="s">
        <v>6582</v>
      </c>
      <c r="E289" t="s">
        <v>4236</v>
      </c>
    </row>
    <row r="290" spans="2:5" x14ac:dyDescent="0.2">
      <c r="B290" t="s">
        <v>660</v>
      </c>
      <c r="D290" s="110" t="s">
        <v>6582</v>
      </c>
      <c r="E290" t="s">
        <v>4237</v>
      </c>
    </row>
    <row r="291" spans="2:5" x14ac:dyDescent="0.2">
      <c r="B291" t="s">
        <v>664</v>
      </c>
      <c r="D291" s="110" t="s">
        <v>6582</v>
      </c>
      <c r="E291" t="s">
        <v>4238</v>
      </c>
    </row>
    <row r="292" spans="2:5" x14ac:dyDescent="0.2">
      <c r="B292" t="s">
        <v>667</v>
      </c>
      <c r="D292" s="110" t="s">
        <v>6582</v>
      </c>
      <c r="E292" t="s">
        <v>4235</v>
      </c>
    </row>
    <row r="293" spans="2:5" x14ac:dyDescent="0.2">
      <c r="B293" t="s">
        <v>666</v>
      </c>
      <c r="D293" s="110" t="s">
        <v>6582</v>
      </c>
      <c r="E293" t="s">
        <v>4236</v>
      </c>
    </row>
    <row r="294" spans="2:5" x14ac:dyDescent="0.2">
      <c r="B294" t="s">
        <v>665</v>
      </c>
      <c r="D294" s="110" t="s">
        <v>6582</v>
      </c>
      <c r="E294" t="s">
        <v>4237</v>
      </c>
    </row>
    <row r="295" spans="2:5" x14ac:dyDescent="0.2">
      <c r="B295" t="s">
        <v>216</v>
      </c>
      <c r="C295" t="s">
        <v>4239</v>
      </c>
      <c r="D295" s="110" t="s">
        <v>6582</v>
      </c>
      <c r="E295" t="s">
        <v>4240</v>
      </c>
    </row>
    <row r="296" spans="2:5" x14ac:dyDescent="0.2">
      <c r="B296" t="s">
        <v>218</v>
      </c>
      <c r="C296" t="s">
        <v>4241</v>
      </c>
      <c r="D296" s="110" t="s">
        <v>6582</v>
      </c>
      <c r="E296" t="s">
        <v>4242</v>
      </c>
    </row>
    <row r="297" spans="2:5" x14ac:dyDescent="0.2">
      <c r="B297" t="s">
        <v>217</v>
      </c>
      <c r="C297" t="s">
        <v>4243</v>
      </c>
      <c r="D297" s="110" t="s">
        <v>6582</v>
      </c>
      <c r="E297" t="s">
        <v>4244</v>
      </c>
    </row>
    <row r="298" spans="2:5" x14ac:dyDescent="0.2">
      <c r="B298" t="s">
        <v>4245</v>
      </c>
      <c r="D298" s="120" t="s">
        <v>1373</v>
      </c>
      <c r="E298" t="s">
        <v>4246</v>
      </c>
    </row>
    <row r="299" spans="2:5" x14ac:dyDescent="0.2">
      <c r="B299" t="s">
        <v>759</v>
      </c>
      <c r="D299" s="110" t="s">
        <v>6582</v>
      </c>
      <c r="E299" t="s">
        <v>4247</v>
      </c>
    </row>
    <row r="300" spans="2:5" x14ac:dyDescent="0.2">
      <c r="B300" t="s">
        <v>4248</v>
      </c>
      <c r="D300" s="120" t="s">
        <v>1374</v>
      </c>
      <c r="E300" t="s">
        <v>4249</v>
      </c>
    </row>
    <row r="301" spans="2:5" x14ac:dyDescent="0.2">
      <c r="B301" t="s">
        <v>4250</v>
      </c>
      <c r="D301" s="120" t="s">
        <v>1375</v>
      </c>
      <c r="E301" t="s">
        <v>4251</v>
      </c>
    </row>
    <row r="302" spans="2:5" x14ac:dyDescent="0.2">
      <c r="B302" t="s">
        <v>4252</v>
      </c>
      <c r="D302" s="110" t="s">
        <v>6582</v>
      </c>
      <c r="E302" t="s">
        <v>4253</v>
      </c>
    </row>
    <row r="303" spans="2:5" x14ac:dyDescent="0.2">
      <c r="B303" t="s">
        <v>4254</v>
      </c>
      <c r="D303" s="110" t="s">
        <v>6582</v>
      </c>
      <c r="E303" t="s">
        <v>4255</v>
      </c>
    </row>
    <row r="304" spans="2:5" x14ac:dyDescent="0.2">
      <c r="B304" t="s">
        <v>4256</v>
      </c>
      <c r="D304" s="110" t="s">
        <v>6582</v>
      </c>
      <c r="E304" t="s">
        <v>4257</v>
      </c>
    </row>
    <row r="305" spans="2:5" x14ac:dyDescent="0.2">
      <c r="B305" t="s">
        <v>4258</v>
      </c>
      <c r="D305" s="120" t="s">
        <v>1376</v>
      </c>
      <c r="E305" t="s">
        <v>4259</v>
      </c>
    </row>
    <row r="306" spans="2:5" x14ac:dyDescent="0.2">
      <c r="B306" t="s">
        <v>4260</v>
      </c>
      <c r="D306" s="110" t="s">
        <v>6582</v>
      </c>
      <c r="E306" t="s">
        <v>4261</v>
      </c>
    </row>
    <row r="307" spans="2:5" x14ac:dyDescent="0.2">
      <c r="B307" t="s">
        <v>4262</v>
      </c>
      <c r="D307" s="120" t="s">
        <v>3403</v>
      </c>
      <c r="E307" t="s">
        <v>4263</v>
      </c>
    </row>
    <row r="308" spans="2:5" x14ac:dyDescent="0.2">
      <c r="B308" t="s">
        <v>4264</v>
      </c>
      <c r="D308" s="120" t="s">
        <v>1377</v>
      </c>
      <c r="E308" t="s">
        <v>4265</v>
      </c>
    </row>
    <row r="309" spans="2:5" x14ac:dyDescent="0.2">
      <c r="B309" t="s">
        <v>4266</v>
      </c>
      <c r="D309" s="120" t="s">
        <v>3404</v>
      </c>
      <c r="E309" t="s">
        <v>4267</v>
      </c>
    </row>
    <row r="310" spans="2:5" x14ac:dyDescent="0.2">
      <c r="B310" t="s">
        <v>4268</v>
      </c>
      <c r="D310" s="120" t="s">
        <v>1378</v>
      </c>
      <c r="E310" t="s">
        <v>4269</v>
      </c>
    </row>
    <row r="311" spans="2:5" x14ac:dyDescent="0.2">
      <c r="B311" t="s">
        <v>671</v>
      </c>
      <c r="D311" s="120" t="s">
        <v>1386</v>
      </c>
      <c r="E311" t="s">
        <v>4270</v>
      </c>
    </row>
    <row r="312" spans="2:5" x14ac:dyDescent="0.2">
      <c r="B312" t="s">
        <v>4271</v>
      </c>
      <c r="D312" s="120" t="s">
        <v>6582</v>
      </c>
      <c r="E312" t="s">
        <v>4272</v>
      </c>
    </row>
    <row r="313" spans="2:5" x14ac:dyDescent="0.2">
      <c r="B313" t="s">
        <v>672</v>
      </c>
      <c r="D313" s="120" t="s">
        <v>6582</v>
      </c>
      <c r="E313" t="s">
        <v>4273</v>
      </c>
    </row>
    <row r="314" spans="2:5" x14ac:dyDescent="0.2">
      <c r="B314" t="s">
        <v>4274</v>
      </c>
      <c r="D314" s="120" t="s">
        <v>1379</v>
      </c>
      <c r="E314" t="s">
        <v>4275</v>
      </c>
    </row>
    <row r="315" spans="2:5" x14ac:dyDescent="0.2">
      <c r="B315" t="s">
        <v>673</v>
      </c>
      <c r="D315" s="120" t="s">
        <v>900</v>
      </c>
      <c r="E315" t="s">
        <v>4276</v>
      </c>
    </row>
    <row r="316" spans="2:5" x14ac:dyDescent="0.2">
      <c r="B316" t="s">
        <v>4277</v>
      </c>
      <c r="D316" s="120" t="s">
        <v>1380</v>
      </c>
      <c r="E316" t="s">
        <v>4278</v>
      </c>
    </row>
    <row r="317" spans="2:5" x14ac:dyDescent="0.2">
      <c r="B317" t="s">
        <v>674</v>
      </c>
      <c r="D317" s="120" t="s">
        <v>901</v>
      </c>
      <c r="E317" t="s">
        <v>4279</v>
      </c>
    </row>
    <row r="318" spans="2:5" x14ac:dyDescent="0.2">
      <c r="B318" t="s">
        <v>4280</v>
      </c>
      <c r="D318" s="120" t="s">
        <v>1381</v>
      </c>
      <c r="E318" t="s">
        <v>4281</v>
      </c>
    </row>
    <row r="319" spans="2:5" x14ac:dyDescent="0.2">
      <c r="B319" t="s">
        <v>675</v>
      </c>
      <c r="D319" s="120" t="s">
        <v>902</v>
      </c>
      <c r="E319" t="s">
        <v>4282</v>
      </c>
    </row>
    <row r="320" spans="2:5" x14ac:dyDescent="0.2">
      <c r="B320" t="s">
        <v>4283</v>
      </c>
      <c r="D320" s="110" t="s">
        <v>6582</v>
      </c>
      <c r="E320" t="s">
        <v>4284</v>
      </c>
    </row>
    <row r="321" spans="2:5" x14ac:dyDescent="0.2">
      <c r="B321" t="s">
        <v>676</v>
      </c>
      <c r="D321" s="110" t="s">
        <v>6582</v>
      </c>
      <c r="E321" t="s">
        <v>4285</v>
      </c>
    </row>
    <row r="322" spans="2:5" x14ac:dyDescent="0.2">
      <c r="B322" t="s">
        <v>4286</v>
      </c>
      <c r="D322" s="110" t="s">
        <v>6582</v>
      </c>
      <c r="E322" t="s">
        <v>4287</v>
      </c>
    </row>
    <row r="323" spans="2:5" x14ac:dyDescent="0.2">
      <c r="B323" t="s">
        <v>677</v>
      </c>
      <c r="D323" s="110" t="s">
        <v>6582</v>
      </c>
      <c r="E323" t="s">
        <v>4288</v>
      </c>
    </row>
    <row r="324" spans="2:5" x14ac:dyDescent="0.2">
      <c r="B324" t="s">
        <v>4289</v>
      </c>
      <c r="D324" s="120" t="s">
        <v>1382</v>
      </c>
      <c r="E324" t="s">
        <v>4290</v>
      </c>
    </row>
    <row r="325" spans="2:5" x14ac:dyDescent="0.2">
      <c r="B325" t="s">
        <v>678</v>
      </c>
      <c r="D325" s="120" t="s">
        <v>903</v>
      </c>
      <c r="E325" t="s">
        <v>4291</v>
      </c>
    </row>
    <row r="326" spans="2:5" x14ac:dyDescent="0.2">
      <c r="B326" t="s">
        <v>4292</v>
      </c>
      <c r="D326" s="120" t="s">
        <v>1383</v>
      </c>
      <c r="E326" t="s">
        <v>4293</v>
      </c>
    </row>
    <row r="327" spans="2:5" x14ac:dyDescent="0.2">
      <c r="B327" t="s">
        <v>679</v>
      </c>
      <c r="D327" s="120" t="s">
        <v>904</v>
      </c>
      <c r="E327" t="s">
        <v>4294</v>
      </c>
    </row>
    <row r="328" spans="2:5" x14ac:dyDescent="0.2">
      <c r="B328" t="s">
        <v>4295</v>
      </c>
      <c r="D328" s="110" t="s">
        <v>6582</v>
      </c>
      <c r="E328" t="s">
        <v>4296</v>
      </c>
    </row>
    <row r="329" spans="2:5" x14ac:dyDescent="0.2">
      <c r="B329" t="s">
        <v>680</v>
      </c>
      <c r="D329" s="110" t="s">
        <v>6582</v>
      </c>
      <c r="E329" t="s">
        <v>4297</v>
      </c>
    </row>
    <row r="330" spans="2:5" x14ac:dyDescent="0.2">
      <c r="B330" t="s">
        <v>4298</v>
      </c>
      <c r="D330" s="110" t="s">
        <v>6582</v>
      </c>
      <c r="E330" t="s">
        <v>4299</v>
      </c>
    </row>
    <row r="331" spans="2:5" x14ac:dyDescent="0.2">
      <c r="B331" t="s">
        <v>681</v>
      </c>
      <c r="D331" s="110" t="s">
        <v>6582</v>
      </c>
      <c r="E331" t="s">
        <v>4300</v>
      </c>
    </row>
    <row r="332" spans="2:5" x14ac:dyDescent="0.2">
      <c r="B332" t="s">
        <v>4301</v>
      </c>
      <c r="D332" s="110" t="s">
        <v>6582</v>
      </c>
      <c r="E332" t="s">
        <v>4302</v>
      </c>
    </row>
    <row r="333" spans="2:5" x14ac:dyDescent="0.2">
      <c r="B333" t="s">
        <v>695</v>
      </c>
      <c r="D333" s="110" t="s">
        <v>6582</v>
      </c>
      <c r="E333" t="s">
        <v>4303</v>
      </c>
    </row>
    <row r="334" spans="2:5" x14ac:dyDescent="0.2">
      <c r="B334" t="s">
        <v>4304</v>
      </c>
      <c r="D334" s="110" t="s">
        <v>6582</v>
      </c>
      <c r="E334" t="s">
        <v>4305</v>
      </c>
    </row>
    <row r="335" spans="2:5" x14ac:dyDescent="0.2">
      <c r="B335" t="s">
        <v>696</v>
      </c>
      <c r="D335" s="110" t="s">
        <v>6582</v>
      </c>
      <c r="E335" t="s">
        <v>4306</v>
      </c>
    </row>
    <row r="336" spans="2:5" x14ac:dyDescent="0.2">
      <c r="B336" t="s">
        <v>4307</v>
      </c>
      <c r="D336" s="110" t="s">
        <v>6582</v>
      </c>
      <c r="E336" t="s">
        <v>4308</v>
      </c>
    </row>
    <row r="337" spans="2:5" x14ac:dyDescent="0.2">
      <c r="B337" t="s">
        <v>697</v>
      </c>
      <c r="D337" s="110" t="s">
        <v>6582</v>
      </c>
      <c r="E337" t="s">
        <v>4309</v>
      </c>
    </row>
    <row r="338" spans="2:5" x14ac:dyDescent="0.2">
      <c r="B338" t="s">
        <v>4310</v>
      </c>
      <c r="D338" s="120" t="s">
        <v>3405</v>
      </c>
      <c r="E338" t="s">
        <v>4311</v>
      </c>
    </row>
    <row r="339" spans="2:5" x14ac:dyDescent="0.2">
      <c r="B339" t="s">
        <v>682</v>
      </c>
      <c r="D339" s="120" t="s">
        <v>905</v>
      </c>
      <c r="E339" t="s">
        <v>4312</v>
      </c>
    </row>
    <row r="340" spans="2:5" x14ac:dyDescent="0.2">
      <c r="B340" t="s">
        <v>4313</v>
      </c>
      <c r="D340" s="110" t="s">
        <v>6582</v>
      </c>
      <c r="E340" t="s">
        <v>4314</v>
      </c>
    </row>
    <row r="341" spans="2:5" x14ac:dyDescent="0.2">
      <c r="B341" t="s">
        <v>4315</v>
      </c>
      <c r="D341" s="120" t="s">
        <v>1384</v>
      </c>
      <c r="E341" t="s">
        <v>4316</v>
      </c>
    </row>
    <row r="342" spans="2:5" x14ac:dyDescent="0.2">
      <c r="B342" t="s">
        <v>683</v>
      </c>
      <c r="D342" s="120" t="s">
        <v>1387</v>
      </c>
      <c r="E342" t="s">
        <v>4317</v>
      </c>
    </row>
    <row r="343" spans="2:5" x14ac:dyDescent="0.2">
      <c r="B343" t="s">
        <v>684</v>
      </c>
      <c r="D343" s="120" t="s">
        <v>899</v>
      </c>
      <c r="E343" t="s">
        <v>4318</v>
      </c>
    </row>
    <row r="344" spans="2:5" x14ac:dyDescent="0.2">
      <c r="B344" t="s">
        <v>210</v>
      </c>
      <c r="D344" s="110" t="s">
        <v>6580</v>
      </c>
      <c r="E344" t="s">
        <v>4319</v>
      </c>
    </row>
    <row r="345" spans="2:5" x14ac:dyDescent="0.2">
      <c r="B345" t="s">
        <v>211</v>
      </c>
      <c r="D345" s="110" t="s">
        <v>6580</v>
      </c>
      <c r="E345" t="s">
        <v>4320</v>
      </c>
    </row>
    <row r="346" spans="2:5" x14ac:dyDescent="0.2">
      <c r="B346" t="s">
        <v>212</v>
      </c>
      <c r="D346" s="110" t="s">
        <v>6580</v>
      </c>
      <c r="E346" t="s">
        <v>4321</v>
      </c>
    </row>
    <row r="347" spans="2:5" x14ac:dyDescent="0.2">
      <c r="B347" t="s">
        <v>215</v>
      </c>
      <c r="D347" s="110" t="s">
        <v>6580</v>
      </c>
      <c r="E347" t="s">
        <v>4322</v>
      </c>
    </row>
    <row r="348" spans="2:5" x14ac:dyDescent="0.2">
      <c r="B348" t="s">
        <v>688</v>
      </c>
      <c r="D348" s="110" t="s">
        <v>6580</v>
      </c>
      <c r="E348" t="s">
        <v>4323</v>
      </c>
    </row>
    <row r="349" spans="2:5" x14ac:dyDescent="0.2">
      <c r="B349" t="s">
        <v>687</v>
      </c>
      <c r="D349" s="110" t="s">
        <v>6580</v>
      </c>
      <c r="E349" t="s">
        <v>4324</v>
      </c>
    </row>
    <row r="350" spans="2:5" x14ac:dyDescent="0.2">
      <c r="B350" t="s">
        <v>213</v>
      </c>
      <c r="D350" s="110" t="s">
        <v>6580</v>
      </c>
      <c r="E350" t="s">
        <v>4325</v>
      </c>
    </row>
    <row r="351" spans="2:5" x14ac:dyDescent="0.2">
      <c r="B351" t="s">
        <v>1238</v>
      </c>
      <c r="D351" s="110" t="s">
        <v>6580</v>
      </c>
      <c r="E351" t="s">
        <v>4326</v>
      </c>
    </row>
    <row r="352" spans="2:5" x14ac:dyDescent="0.2">
      <c r="B352" t="s">
        <v>689</v>
      </c>
      <c r="D352" s="110" t="s">
        <v>6580</v>
      </c>
      <c r="E352" t="s">
        <v>4327</v>
      </c>
    </row>
    <row r="353" spans="2:5" x14ac:dyDescent="0.2">
      <c r="B353" t="s">
        <v>1237</v>
      </c>
      <c r="D353" s="110" t="s">
        <v>6580</v>
      </c>
      <c r="E353" t="s">
        <v>4328</v>
      </c>
    </row>
    <row r="354" spans="2:5" x14ac:dyDescent="0.2">
      <c r="B354" t="s">
        <v>690</v>
      </c>
      <c r="D354" s="110" t="s">
        <v>6580</v>
      </c>
      <c r="E354" t="s">
        <v>4329</v>
      </c>
    </row>
    <row r="355" spans="2:5" x14ac:dyDescent="0.2">
      <c r="B355" t="s">
        <v>691</v>
      </c>
      <c r="D355" s="110" t="s">
        <v>6580</v>
      </c>
      <c r="E355" t="s">
        <v>4330</v>
      </c>
    </row>
    <row r="356" spans="2:5" x14ac:dyDescent="0.2">
      <c r="B356" t="s">
        <v>692</v>
      </c>
      <c r="D356" s="110" t="s">
        <v>6580</v>
      </c>
      <c r="E356" t="s">
        <v>4331</v>
      </c>
    </row>
    <row r="357" spans="2:5" x14ac:dyDescent="0.2">
      <c r="B357" t="s">
        <v>214</v>
      </c>
      <c r="D357" s="110" t="s">
        <v>6580</v>
      </c>
      <c r="E357" t="s">
        <v>4332</v>
      </c>
    </row>
    <row r="358" spans="2:5" x14ac:dyDescent="0.2">
      <c r="B358" t="s">
        <v>693</v>
      </c>
      <c r="D358" s="110" t="s">
        <v>6580</v>
      </c>
      <c r="E358" t="s">
        <v>4333</v>
      </c>
    </row>
    <row r="359" spans="2:5" x14ac:dyDescent="0.2">
      <c r="B359" t="s">
        <v>694</v>
      </c>
      <c r="D359" s="110" t="s">
        <v>6580</v>
      </c>
      <c r="E359" t="s">
        <v>4334</v>
      </c>
    </row>
    <row r="360" spans="2:5" x14ac:dyDescent="0.2">
      <c r="B360" t="s">
        <v>118</v>
      </c>
      <c r="D360" s="110" t="s">
        <v>6580</v>
      </c>
      <c r="E360" t="s">
        <v>4335</v>
      </c>
    </row>
    <row r="361" spans="2:5" x14ac:dyDescent="0.2">
      <c r="B361" t="s">
        <v>1990</v>
      </c>
      <c r="D361" s="120" t="s">
        <v>897</v>
      </c>
      <c r="E361" t="s">
        <v>4336</v>
      </c>
    </row>
    <row r="362" spans="2:5" x14ac:dyDescent="0.2">
      <c r="B362" t="s">
        <v>1991</v>
      </c>
      <c r="D362" s="120" t="s">
        <v>898</v>
      </c>
      <c r="E362" t="s">
        <v>4337</v>
      </c>
    </row>
    <row r="363" spans="2:5" x14ac:dyDescent="0.2">
      <c r="B363" t="s">
        <v>616</v>
      </c>
      <c r="D363" s="110" t="s">
        <v>6580</v>
      </c>
      <c r="E363" t="s">
        <v>4338</v>
      </c>
    </row>
    <row r="364" spans="2:5" x14ac:dyDescent="0.2">
      <c r="B364" t="s">
        <v>614</v>
      </c>
      <c r="D364" s="110" t="s">
        <v>6580</v>
      </c>
      <c r="E364" t="s">
        <v>4339</v>
      </c>
    </row>
    <row r="365" spans="2:5" x14ac:dyDescent="0.2">
      <c r="B365" t="s">
        <v>618</v>
      </c>
      <c r="D365" s="110" t="s">
        <v>6580</v>
      </c>
      <c r="E365" t="s">
        <v>4340</v>
      </c>
    </row>
    <row r="366" spans="2:5" x14ac:dyDescent="0.2">
      <c r="B366" t="s">
        <v>615</v>
      </c>
      <c r="D366" s="110" t="s">
        <v>6580</v>
      </c>
      <c r="E366" t="s">
        <v>4341</v>
      </c>
    </row>
    <row r="367" spans="2:5" x14ac:dyDescent="0.2">
      <c r="B367" t="s">
        <v>619</v>
      </c>
      <c r="D367" s="110" t="s">
        <v>6580</v>
      </c>
      <c r="E367" t="s">
        <v>4342</v>
      </c>
    </row>
    <row r="368" spans="2:5" x14ac:dyDescent="0.2">
      <c r="B368" t="s">
        <v>617</v>
      </c>
      <c r="D368" s="110" t="s">
        <v>6580</v>
      </c>
      <c r="E368" t="s">
        <v>4343</v>
      </c>
    </row>
    <row r="369" spans="2:5" x14ac:dyDescent="0.2">
      <c r="B369" t="s">
        <v>620</v>
      </c>
      <c r="D369" s="110" t="s">
        <v>6580</v>
      </c>
      <c r="E369" t="s">
        <v>4344</v>
      </c>
    </row>
    <row r="370" spans="2:5" x14ac:dyDescent="0.2">
      <c r="B370" t="s">
        <v>621</v>
      </c>
      <c r="D370" s="110" t="s">
        <v>6580</v>
      </c>
      <c r="E370" t="s">
        <v>4345</v>
      </c>
    </row>
    <row r="371" spans="2:5" x14ac:dyDescent="0.2">
      <c r="B371" t="s">
        <v>629</v>
      </c>
      <c r="D371" s="110" t="s">
        <v>6580</v>
      </c>
      <c r="E371" t="s">
        <v>4346</v>
      </c>
    </row>
    <row r="372" spans="2:5" x14ac:dyDescent="0.2">
      <c r="B372" t="s">
        <v>630</v>
      </c>
      <c r="D372" s="110" t="s">
        <v>6580</v>
      </c>
      <c r="E372" t="s">
        <v>4347</v>
      </c>
    </row>
    <row r="373" spans="2:5" x14ac:dyDescent="0.2">
      <c r="B373" t="s">
        <v>631</v>
      </c>
      <c r="D373" s="110" t="s">
        <v>6580</v>
      </c>
      <c r="E373" t="s">
        <v>4348</v>
      </c>
    </row>
    <row r="374" spans="2:5" x14ac:dyDescent="0.2">
      <c r="B374" t="s">
        <v>632</v>
      </c>
      <c r="D374" s="110" t="s">
        <v>6580</v>
      </c>
      <c r="E374" t="s">
        <v>4349</v>
      </c>
    </row>
    <row r="375" spans="2:5" x14ac:dyDescent="0.2">
      <c r="B375" t="s">
        <v>633</v>
      </c>
      <c r="D375" s="110" t="s">
        <v>6580</v>
      </c>
      <c r="E375" t="s">
        <v>4350</v>
      </c>
    </row>
    <row r="376" spans="2:5" x14ac:dyDescent="0.2">
      <c r="B376" t="s">
        <v>634</v>
      </c>
      <c r="D376" s="110" t="s">
        <v>6580</v>
      </c>
      <c r="E376" t="s">
        <v>4351</v>
      </c>
    </row>
    <row r="377" spans="2:5" x14ac:dyDescent="0.2">
      <c r="B377" t="s">
        <v>635</v>
      </c>
      <c r="D377" s="110" t="s">
        <v>6580</v>
      </c>
      <c r="E377" t="s">
        <v>4352</v>
      </c>
    </row>
    <row r="378" spans="2:5" x14ac:dyDescent="0.2">
      <c r="B378" t="s">
        <v>636</v>
      </c>
      <c r="D378" s="110" t="s">
        <v>6580</v>
      </c>
      <c r="E378" t="s">
        <v>4353</v>
      </c>
    </row>
    <row r="379" spans="2:5" x14ac:dyDescent="0.2">
      <c r="B379" t="s">
        <v>637</v>
      </c>
      <c r="D379" s="110" t="s">
        <v>6580</v>
      </c>
      <c r="E379" t="s">
        <v>4354</v>
      </c>
    </row>
    <row r="380" spans="2:5" x14ac:dyDescent="0.2">
      <c r="B380" t="s">
        <v>622</v>
      </c>
      <c r="D380" s="110" t="s">
        <v>6580</v>
      </c>
      <c r="E380" t="s">
        <v>4355</v>
      </c>
    </row>
    <row r="381" spans="2:5" x14ac:dyDescent="0.2">
      <c r="B381" t="s">
        <v>638</v>
      </c>
      <c r="D381" s="110" t="s">
        <v>6580</v>
      </c>
      <c r="E381" t="s">
        <v>4356</v>
      </c>
    </row>
    <row r="382" spans="2:5" x14ac:dyDescent="0.2">
      <c r="B382" t="s">
        <v>639</v>
      </c>
      <c r="D382" s="110" t="s">
        <v>6580</v>
      </c>
      <c r="E382" t="s">
        <v>4357</v>
      </c>
    </row>
    <row r="383" spans="2:5" x14ac:dyDescent="0.2">
      <c r="B383" t="s">
        <v>640</v>
      </c>
      <c r="D383" s="110" t="s">
        <v>6580</v>
      </c>
      <c r="E383" t="s">
        <v>4358</v>
      </c>
    </row>
    <row r="384" spans="2:5" x14ac:dyDescent="0.2">
      <c r="B384" t="s">
        <v>641</v>
      </c>
      <c r="D384" s="110" t="s">
        <v>6580</v>
      </c>
      <c r="E384" t="s">
        <v>4359</v>
      </c>
    </row>
    <row r="385" spans="2:5" x14ac:dyDescent="0.2">
      <c r="B385" t="s">
        <v>642</v>
      </c>
      <c r="D385" s="110" t="s">
        <v>6580</v>
      </c>
      <c r="E385" t="s">
        <v>4360</v>
      </c>
    </row>
    <row r="386" spans="2:5" x14ac:dyDescent="0.2">
      <c r="B386" t="s">
        <v>643</v>
      </c>
      <c r="D386" s="110" t="s">
        <v>6580</v>
      </c>
      <c r="E386" t="s">
        <v>4361</v>
      </c>
    </row>
    <row r="387" spans="2:5" x14ac:dyDescent="0.2">
      <c r="B387" t="s">
        <v>623</v>
      </c>
      <c r="D387" s="110" t="s">
        <v>6580</v>
      </c>
      <c r="E387" t="s">
        <v>4362</v>
      </c>
    </row>
    <row r="388" spans="2:5" x14ac:dyDescent="0.2">
      <c r="B388" t="s">
        <v>624</v>
      </c>
      <c r="D388" s="110" t="s">
        <v>6580</v>
      </c>
      <c r="E388" t="s">
        <v>4363</v>
      </c>
    </row>
    <row r="389" spans="2:5" x14ac:dyDescent="0.2">
      <c r="B389" t="s">
        <v>625</v>
      </c>
      <c r="D389" s="110" t="s">
        <v>6580</v>
      </c>
      <c r="E389" t="s">
        <v>4364</v>
      </c>
    </row>
    <row r="390" spans="2:5" x14ac:dyDescent="0.2">
      <c r="B390" t="s">
        <v>626</v>
      </c>
      <c r="D390" s="110" t="s">
        <v>6580</v>
      </c>
      <c r="E390" t="s">
        <v>4365</v>
      </c>
    </row>
    <row r="391" spans="2:5" x14ac:dyDescent="0.2">
      <c r="B391" t="s">
        <v>627</v>
      </c>
      <c r="D391" s="110" t="s">
        <v>6580</v>
      </c>
      <c r="E391" t="s">
        <v>4366</v>
      </c>
    </row>
    <row r="392" spans="2:5" x14ac:dyDescent="0.2">
      <c r="B392" t="s">
        <v>628</v>
      </c>
      <c r="D392" s="110" t="s">
        <v>6580</v>
      </c>
      <c r="E392" t="s">
        <v>4367</v>
      </c>
    </row>
    <row r="393" spans="2:5" x14ac:dyDescent="0.2">
      <c r="B393" t="s">
        <v>4368</v>
      </c>
      <c r="D393" s="110" t="s">
        <v>6582</v>
      </c>
      <c r="E393" t="s">
        <v>4369</v>
      </c>
    </row>
    <row r="394" spans="2:5" x14ac:dyDescent="0.2">
      <c r="B394" t="s">
        <v>4370</v>
      </c>
      <c r="D394" s="110" t="s">
        <v>6582</v>
      </c>
      <c r="E394" t="s">
        <v>4371</v>
      </c>
    </row>
    <row r="395" spans="2:5" x14ac:dyDescent="0.2">
      <c r="B395" t="s">
        <v>4372</v>
      </c>
      <c r="D395" s="110" t="s">
        <v>6582</v>
      </c>
      <c r="E395" t="s">
        <v>4373</v>
      </c>
    </row>
    <row r="396" spans="2:5" x14ac:dyDescent="0.2">
      <c r="B396" t="s">
        <v>4374</v>
      </c>
      <c r="D396" s="110" t="s">
        <v>6582</v>
      </c>
      <c r="E396" t="s">
        <v>4375</v>
      </c>
    </row>
    <row r="397" spans="2:5" x14ac:dyDescent="0.2">
      <c r="B397" t="s">
        <v>4376</v>
      </c>
      <c r="D397" s="120" t="s">
        <v>1393</v>
      </c>
      <c r="E397" t="s">
        <v>4377</v>
      </c>
    </row>
    <row r="398" spans="2:5" x14ac:dyDescent="0.2">
      <c r="B398" t="s">
        <v>4378</v>
      </c>
      <c r="D398" s="110" t="s">
        <v>6582</v>
      </c>
      <c r="E398" t="s">
        <v>4375</v>
      </c>
    </row>
    <row r="399" spans="2:5" x14ac:dyDescent="0.2">
      <c r="B399" t="s">
        <v>669</v>
      </c>
      <c r="D399" s="120" t="s">
        <v>920</v>
      </c>
      <c r="E399" t="s">
        <v>4379</v>
      </c>
    </row>
    <row r="400" spans="2:5" x14ac:dyDescent="0.2">
      <c r="B400" t="s">
        <v>670</v>
      </c>
      <c r="D400" s="110" t="s">
        <v>6582</v>
      </c>
      <c r="E400" t="s">
        <v>4380</v>
      </c>
    </row>
    <row r="401" spans="2:5" x14ac:dyDescent="0.2">
      <c r="B401" s="51" t="s">
        <v>4381</v>
      </c>
    </row>
    <row r="402" spans="2:5" x14ac:dyDescent="0.2">
      <c r="B402" t="s">
        <v>454</v>
      </c>
      <c r="D402" s="110" t="s">
        <v>6580</v>
      </c>
      <c r="E402" t="s">
        <v>4382</v>
      </c>
    </row>
    <row r="403" spans="2:5" x14ac:dyDescent="0.2">
      <c r="B403" t="s">
        <v>455</v>
      </c>
      <c r="D403" s="110" t="s">
        <v>6580</v>
      </c>
      <c r="E403" t="s">
        <v>4383</v>
      </c>
    </row>
    <row r="404" spans="2:5" x14ac:dyDescent="0.2">
      <c r="B404" t="s">
        <v>456</v>
      </c>
      <c r="D404" s="110" t="s">
        <v>6580</v>
      </c>
      <c r="E404" t="s">
        <v>4384</v>
      </c>
    </row>
    <row r="405" spans="2:5" x14ac:dyDescent="0.2">
      <c r="B405" t="s">
        <v>457</v>
      </c>
      <c r="D405" s="110" t="s">
        <v>6580</v>
      </c>
      <c r="E405" t="s">
        <v>4385</v>
      </c>
    </row>
    <row r="406" spans="2:5" x14ac:dyDescent="0.2">
      <c r="B406" t="s">
        <v>458</v>
      </c>
      <c r="D406" s="110" t="s">
        <v>6580</v>
      </c>
      <c r="E406" t="s">
        <v>4386</v>
      </c>
    </row>
    <row r="407" spans="2:5" x14ac:dyDescent="0.2">
      <c r="B407" t="s">
        <v>459</v>
      </c>
      <c r="D407" s="110" t="s">
        <v>6580</v>
      </c>
      <c r="E407" t="s">
        <v>4387</v>
      </c>
    </row>
    <row r="408" spans="2:5" x14ac:dyDescent="0.2">
      <c r="B408" t="s">
        <v>460</v>
      </c>
      <c r="D408" s="110" t="s">
        <v>6580</v>
      </c>
      <c r="E408" t="s">
        <v>4388</v>
      </c>
    </row>
    <row r="409" spans="2:5" x14ac:dyDescent="0.2">
      <c r="B409" t="s">
        <v>461</v>
      </c>
      <c r="D409" s="110" t="s">
        <v>6580</v>
      </c>
      <c r="E409" t="s">
        <v>4389</v>
      </c>
    </row>
    <row r="410" spans="2:5" x14ac:dyDescent="0.2">
      <c r="B410" t="s">
        <v>462</v>
      </c>
      <c r="D410" s="110" t="s">
        <v>6580</v>
      </c>
      <c r="E410" t="s">
        <v>4390</v>
      </c>
    </row>
    <row r="411" spans="2:5" x14ac:dyDescent="0.2">
      <c r="B411" t="s">
        <v>463</v>
      </c>
      <c r="D411" s="110" t="s">
        <v>6580</v>
      </c>
      <c r="E411" t="s">
        <v>4391</v>
      </c>
    </row>
    <row r="412" spans="2:5" x14ac:dyDescent="0.2">
      <c r="B412" t="s">
        <v>549</v>
      </c>
      <c r="D412" s="110" t="s">
        <v>6580</v>
      </c>
      <c r="E412" t="s">
        <v>4392</v>
      </c>
    </row>
    <row r="413" spans="2:5" x14ac:dyDescent="0.2">
      <c r="B413" t="s">
        <v>550</v>
      </c>
      <c r="D413" s="110" t="s">
        <v>6580</v>
      </c>
      <c r="E413" t="s">
        <v>4393</v>
      </c>
    </row>
    <row r="414" spans="2:5" x14ac:dyDescent="0.2">
      <c r="B414" t="s">
        <v>551</v>
      </c>
      <c r="D414" s="110" t="s">
        <v>6580</v>
      </c>
      <c r="E414" t="s">
        <v>4394</v>
      </c>
    </row>
    <row r="415" spans="2:5" x14ac:dyDescent="0.2">
      <c r="B415" t="s">
        <v>552</v>
      </c>
      <c r="D415" s="110" t="s">
        <v>6580</v>
      </c>
      <c r="E415" t="s">
        <v>4395</v>
      </c>
    </row>
    <row r="416" spans="2:5" x14ac:dyDescent="0.2">
      <c r="B416" t="s">
        <v>553</v>
      </c>
      <c r="D416" s="110" t="s">
        <v>6580</v>
      </c>
      <c r="E416" t="s">
        <v>4396</v>
      </c>
    </row>
    <row r="417" spans="2:5" x14ac:dyDescent="0.2">
      <c r="B417" t="s">
        <v>554</v>
      </c>
      <c r="D417" s="110" t="s">
        <v>6580</v>
      </c>
      <c r="E417" t="s">
        <v>4397</v>
      </c>
    </row>
    <row r="418" spans="2:5" x14ac:dyDescent="0.2">
      <c r="B418" t="s">
        <v>555</v>
      </c>
      <c r="D418" s="110" t="s">
        <v>6580</v>
      </c>
      <c r="E418" t="s">
        <v>4398</v>
      </c>
    </row>
    <row r="419" spans="2:5" x14ac:dyDescent="0.2">
      <c r="B419" t="s">
        <v>556</v>
      </c>
      <c r="D419" s="110" t="s">
        <v>6580</v>
      </c>
      <c r="E419" t="s">
        <v>4399</v>
      </c>
    </row>
    <row r="420" spans="2:5" x14ac:dyDescent="0.2">
      <c r="B420" t="s">
        <v>557</v>
      </c>
      <c r="D420" s="110" t="s">
        <v>6580</v>
      </c>
      <c r="E420" t="s">
        <v>4400</v>
      </c>
    </row>
    <row r="421" spans="2:5" x14ac:dyDescent="0.2">
      <c r="B421" t="s">
        <v>558</v>
      </c>
      <c r="D421" s="110" t="s">
        <v>6580</v>
      </c>
      <c r="E421" t="s">
        <v>4401</v>
      </c>
    </row>
    <row r="422" spans="2:5" x14ac:dyDescent="0.2">
      <c r="B422" t="s">
        <v>464</v>
      </c>
      <c r="D422" s="110" t="s">
        <v>6580</v>
      </c>
      <c r="E422" t="s">
        <v>4402</v>
      </c>
    </row>
    <row r="423" spans="2:5" x14ac:dyDescent="0.2">
      <c r="B423" t="s">
        <v>559</v>
      </c>
      <c r="D423" s="110" t="s">
        <v>6580</v>
      </c>
      <c r="E423" t="s">
        <v>4403</v>
      </c>
    </row>
    <row r="424" spans="2:5" x14ac:dyDescent="0.2">
      <c r="B424" t="s">
        <v>560</v>
      </c>
      <c r="D424" s="110" t="s">
        <v>6580</v>
      </c>
      <c r="E424" t="s">
        <v>4404</v>
      </c>
    </row>
    <row r="425" spans="2:5" x14ac:dyDescent="0.2">
      <c r="B425" t="s">
        <v>561</v>
      </c>
      <c r="D425" s="110" t="s">
        <v>6580</v>
      </c>
      <c r="E425" t="s">
        <v>4405</v>
      </c>
    </row>
    <row r="426" spans="2:5" x14ac:dyDescent="0.2">
      <c r="B426" t="s">
        <v>562</v>
      </c>
      <c r="D426" s="110" t="s">
        <v>6580</v>
      </c>
      <c r="E426" t="s">
        <v>4406</v>
      </c>
    </row>
    <row r="427" spans="2:5" x14ac:dyDescent="0.2">
      <c r="B427" t="s">
        <v>563</v>
      </c>
      <c r="D427" s="110" t="s">
        <v>6580</v>
      </c>
      <c r="E427" t="s">
        <v>4407</v>
      </c>
    </row>
    <row r="428" spans="2:5" x14ac:dyDescent="0.2">
      <c r="B428" t="s">
        <v>564</v>
      </c>
      <c r="D428" s="110" t="s">
        <v>6580</v>
      </c>
      <c r="E428" t="s">
        <v>4408</v>
      </c>
    </row>
    <row r="429" spans="2:5" x14ac:dyDescent="0.2">
      <c r="B429" t="s">
        <v>565</v>
      </c>
      <c r="D429" s="110" t="s">
        <v>6580</v>
      </c>
      <c r="E429" t="s">
        <v>4409</v>
      </c>
    </row>
    <row r="430" spans="2:5" x14ac:dyDescent="0.2">
      <c r="B430" t="s">
        <v>566</v>
      </c>
      <c r="D430" s="110" t="s">
        <v>6580</v>
      </c>
      <c r="E430" t="s">
        <v>4410</v>
      </c>
    </row>
    <row r="431" spans="2:5" x14ac:dyDescent="0.2">
      <c r="B431" t="s">
        <v>567</v>
      </c>
      <c r="D431" s="110" t="s">
        <v>6580</v>
      </c>
      <c r="E431" t="s">
        <v>4411</v>
      </c>
    </row>
    <row r="432" spans="2:5" x14ac:dyDescent="0.2">
      <c r="B432" t="s">
        <v>465</v>
      </c>
      <c r="D432" s="110" t="s">
        <v>6580</v>
      </c>
      <c r="E432" t="s">
        <v>4412</v>
      </c>
    </row>
    <row r="433" spans="2:5" x14ac:dyDescent="0.2">
      <c r="B433" t="s">
        <v>568</v>
      </c>
      <c r="D433" s="110" t="s">
        <v>6580</v>
      </c>
      <c r="E433" t="s">
        <v>4413</v>
      </c>
    </row>
    <row r="434" spans="2:5" x14ac:dyDescent="0.2">
      <c r="B434" t="s">
        <v>569</v>
      </c>
      <c r="D434" s="110" t="s">
        <v>6580</v>
      </c>
      <c r="E434" t="s">
        <v>4414</v>
      </c>
    </row>
    <row r="435" spans="2:5" x14ac:dyDescent="0.2">
      <c r="B435" t="s">
        <v>570</v>
      </c>
      <c r="D435" s="110" t="s">
        <v>6582</v>
      </c>
      <c r="E435" t="s">
        <v>4415</v>
      </c>
    </row>
    <row r="436" spans="2:5" x14ac:dyDescent="0.2">
      <c r="B436" t="s">
        <v>571</v>
      </c>
      <c r="D436" s="110" t="s">
        <v>6580</v>
      </c>
      <c r="E436" t="s">
        <v>4416</v>
      </c>
    </row>
    <row r="437" spans="2:5" x14ac:dyDescent="0.2">
      <c r="B437" t="s">
        <v>572</v>
      </c>
      <c r="D437" s="110" t="s">
        <v>6580</v>
      </c>
      <c r="E437" t="s">
        <v>4417</v>
      </c>
    </row>
    <row r="438" spans="2:5" x14ac:dyDescent="0.2">
      <c r="B438" t="s">
        <v>573</v>
      </c>
      <c r="D438" s="110" t="s">
        <v>6580</v>
      </c>
      <c r="E438" t="s">
        <v>4418</v>
      </c>
    </row>
    <row r="439" spans="2:5" x14ac:dyDescent="0.2">
      <c r="B439" t="s">
        <v>574</v>
      </c>
      <c r="D439" s="110" t="s">
        <v>6580</v>
      </c>
      <c r="E439" t="s">
        <v>4419</v>
      </c>
    </row>
    <row r="440" spans="2:5" x14ac:dyDescent="0.2">
      <c r="B440" t="s">
        <v>466</v>
      </c>
      <c r="D440" s="110" t="s">
        <v>6580</v>
      </c>
      <c r="E440" t="s">
        <v>4420</v>
      </c>
    </row>
    <row r="441" spans="2:5" x14ac:dyDescent="0.2">
      <c r="B441" t="s">
        <v>467</v>
      </c>
      <c r="D441" s="110" t="s">
        <v>6580</v>
      </c>
      <c r="E441" t="s">
        <v>4421</v>
      </c>
    </row>
    <row r="442" spans="2:5" x14ac:dyDescent="0.2">
      <c r="B442" t="s">
        <v>468</v>
      </c>
      <c r="D442" s="110" t="s">
        <v>6580</v>
      </c>
      <c r="E442" t="s">
        <v>4422</v>
      </c>
    </row>
    <row r="443" spans="2:5" x14ac:dyDescent="0.2">
      <c r="B443" t="s">
        <v>469</v>
      </c>
      <c r="D443" s="110" t="s">
        <v>6580</v>
      </c>
      <c r="E443" t="s">
        <v>4423</v>
      </c>
    </row>
    <row r="444" spans="2:5" x14ac:dyDescent="0.2">
      <c r="B444" t="s">
        <v>470</v>
      </c>
      <c r="D444" s="110" t="s">
        <v>6580</v>
      </c>
      <c r="E444" t="s">
        <v>4424</v>
      </c>
    </row>
    <row r="445" spans="2:5" x14ac:dyDescent="0.2">
      <c r="B445" t="s">
        <v>471</v>
      </c>
      <c r="D445" s="110" t="s">
        <v>6580</v>
      </c>
      <c r="E445" t="s">
        <v>4425</v>
      </c>
    </row>
    <row r="446" spans="2:5" x14ac:dyDescent="0.2">
      <c r="B446" t="s">
        <v>472</v>
      </c>
      <c r="D446" s="110" t="s">
        <v>6580</v>
      </c>
      <c r="E446" t="s">
        <v>4426</v>
      </c>
    </row>
    <row r="447" spans="2:5" x14ac:dyDescent="0.2">
      <c r="B447" t="s">
        <v>473</v>
      </c>
      <c r="D447" s="110" t="s">
        <v>6580</v>
      </c>
      <c r="E447" t="s">
        <v>4427</v>
      </c>
    </row>
    <row r="448" spans="2:5" x14ac:dyDescent="0.2">
      <c r="B448" t="s">
        <v>474</v>
      </c>
      <c r="D448" s="110" t="s">
        <v>6580</v>
      </c>
      <c r="E448" t="s">
        <v>4428</v>
      </c>
    </row>
    <row r="449" spans="2:5" x14ac:dyDescent="0.2">
      <c r="B449" t="s">
        <v>475</v>
      </c>
      <c r="D449" s="110" t="s">
        <v>6580</v>
      </c>
      <c r="E449" t="s">
        <v>4429</v>
      </c>
    </row>
    <row r="450" spans="2:5" x14ac:dyDescent="0.2">
      <c r="B450" t="s">
        <v>476</v>
      </c>
      <c r="D450" s="110" t="s">
        <v>6580</v>
      </c>
      <c r="E450" t="s">
        <v>4430</v>
      </c>
    </row>
    <row r="451" spans="2:5" x14ac:dyDescent="0.2">
      <c r="B451" t="s">
        <v>477</v>
      </c>
      <c r="D451" s="110" t="s">
        <v>6580</v>
      </c>
      <c r="E451" t="s">
        <v>4431</v>
      </c>
    </row>
    <row r="452" spans="2:5" x14ac:dyDescent="0.2">
      <c r="B452" t="s">
        <v>478</v>
      </c>
      <c r="D452" s="110" t="s">
        <v>6580</v>
      </c>
      <c r="E452" t="s">
        <v>4432</v>
      </c>
    </row>
    <row r="453" spans="2:5" x14ac:dyDescent="0.2">
      <c r="B453" t="s">
        <v>479</v>
      </c>
      <c r="D453" s="110" t="s">
        <v>6580</v>
      </c>
      <c r="E453" t="s">
        <v>4433</v>
      </c>
    </row>
    <row r="454" spans="2:5" x14ac:dyDescent="0.2">
      <c r="B454" t="s">
        <v>480</v>
      </c>
      <c r="D454" s="110" t="s">
        <v>6580</v>
      </c>
      <c r="E454" t="s">
        <v>4434</v>
      </c>
    </row>
    <row r="455" spans="2:5" x14ac:dyDescent="0.2">
      <c r="B455" t="s">
        <v>481</v>
      </c>
      <c r="D455" s="110" t="s">
        <v>6580</v>
      </c>
      <c r="E455" t="s">
        <v>4435</v>
      </c>
    </row>
    <row r="456" spans="2:5" x14ac:dyDescent="0.2">
      <c r="B456" t="s">
        <v>482</v>
      </c>
      <c r="D456" s="110" t="s">
        <v>6580</v>
      </c>
      <c r="E456" t="s">
        <v>4436</v>
      </c>
    </row>
    <row r="457" spans="2:5" x14ac:dyDescent="0.2">
      <c r="B457" t="s">
        <v>483</v>
      </c>
      <c r="D457" s="110" t="s">
        <v>6580</v>
      </c>
      <c r="E457" t="s">
        <v>4437</v>
      </c>
    </row>
    <row r="458" spans="2:5" x14ac:dyDescent="0.2">
      <c r="B458" t="s">
        <v>484</v>
      </c>
      <c r="D458" s="110" t="s">
        <v>6580</v>
      </c>
      <c r="E458" t="s">
        <v>4438</v>
      </c>
    </row>
    <row r="459" spans="2:5" x14ac:dyDescent="0.2">
      <c r="B459" t="s">
        <v>485</v>
      </c>
      <c r="D459" s="110" t="s">
        <v>6580</v>
      </c>
      <c r="E459" t="s">
        <v>4439</v>
      </c>
    </row>
    <row r="460" spans="2:5" x14ac:dyDescent="0.2">
      <c r="B460" t="s">
        <v>486</v>
      </c>
      <c r="D460" s="110" t="s">
        <v>6580</v>
      </c>
      <c r="E460" t="s">
        <v>4440</v>
      </c>
    </row>
    <row r="461" spans="2:5" x14ac:dyDescent="0.2">
      <c r="B461" t="s">
        <v>487</v>
      </c>
      <c r="D461" s="110" t="s">
        <v>6580</v>
      </c>
      <c r="E461" t="s">
        <v>4441</v>
      </c>
    </row>
    <row r="462" spans="2:5" x14ac:dyDescent="0.2">
      <c r="B462" t="s">
        <v>488</v>
      </c>
      <c r="D462" s="110" t="s">
        <v>6580</v>
      </c>
      <c r="E462" t="s">
        <v>4442</v>
      </c>
    </row>
    <row r="463" spans="2:5" x14ac:dyDescent="0.2">
      <c r="B463" t="s">
        <v>489</v>
      </c>
      <c r="D463" s="110" t="s">
        <v>6580</v>
      </c>
      <c r="E463" t="s">
        <v>4443</v>
      </c>
    </row>
    <row r="464" spans="2:5" x14ac:dyDescent="0.2">
      <c r="B464" t="s">
        <v>490</v>
      </c>
      <c r="D464" s="110" t="s">
        <v>6580</v>
      </c>
      <c r="E464" t="s">
        <v>4444</v>
      </c>
    </row>
    <row r="465" spans="2:5" x14ac:dyDescent="0.2">
      <c r="B465" t="s">
        <v>491</v>
      </c>
      <c r="D465" s="110" t="s">
        <v>6580</v>
      </c>
      <c r="E465" t="s">
        <v>4445</v>
      </c>
    </row>
    <row r="466" spans="2:5" x14ac:dyDescent="0.2">
      <c r="B466" t="s">
        <v>492</v>
      </c>
      <c r="D466" s="110" t="s">
        <v>6580</v>
      </c>
      <c r="E466" t="s">
        <v>4446</v>
      </c>
    </row>
    <row r="467" spans="2:5" x14ac:dyDescent="0.2">
      <c r="B467" t="s">
        <v>493</v>
      </c>
      <c r="D467" s="110" t="s">
        <v>6580</v>
      </c>
      <c r="E467" t="s">
        <v>4447</v>
      </c>
    </row>
    <row r="468" spans="2:5" x14ac:dyDescent="0.2">
      <c r="B468" t="s">
        <v>494</v>
      </c>
      <c r="D468" s="110" t="s">
        <v>6580</v>
      </c>
      <c r="E468" t="s">
        <v>4448</v>
      </c>
    </row>
    <row r="469" spans="2:5" x14ac:dyDescent="0.2">
      <c r="B469" t="s">
        <v>495</v>
      </c>
      <c r="D469" s="110" t="s">
        <v>6580</v>
      </c>
      <c r="E469" t="s">
        <v>4449</v>
      </c>
    </row>
    <row r="470" spans="2:5" x14ac:dyDescent="0.2">
      <c r="B470" t="s">
        <v>496</v>
      </c>
      <c r="D470" s="110" t="s">
        <v>6580</v>
      </c>
      <c r="E470" t="s">
        <v>4450</v>
      </c>
    </row>
    <row r="471" spans="2:5" x14ac:dyDescent="0.2">
      <c r="B471" t="s">
        <v>497</v>
      </c>
      <c r="D471" s="110" t="s">
        <v>6580</v>
      </c>
      <c r="E471" t="s">
        <v>4451</v>
      </c>
    </row>
    <row r="472" spans="2:5" x14ac:dyDescent="0.2">
      <c r="B472" t="s">
        <v>498</v>
      </c>
      <c r="D472" s="110" t="s">
        <v>6580</v>
      </c>
      <c r="E472" t="s">
        <v>4452</v>
      </c>
    </row>
    <row r="473" spans="2:5" x14ac:dyDescent="0.2">
      <c r="B473" t="s">
        <v>499</v>
      </c>
      <c r="D473" s="110" t="s">
        <v>6580</v>
      </c>
      <c r="E473" t="s">
        <v>4453</v>
      </c>
    </row>
    <row r="474" spans="2:5" x14ac:dyDescent="0.2">
      <c r="B474" t="s">
        <v>500</v>
      </c>
      <c r="D474" s="110" t="s">
        <v>6580</v>
      </c>
      <c r="E474" t="s">
        <v>4454</v>
      </c>
    </row>
    <row r="475" spans="2:5" x14ac:dyDescent="0.2">
      <c r="B475" t="s">
        <v>501</v>
      </c>
      <c r="D475" s="110" t="s">
        <v>6580</v>
      </c>
      <c r="E475" t="s">
        <v>4455</v>
      </c>
    </row>
    <row r="476" spans="2:5" x14ac:dyDescent="0.2">
      <c r="B476" t="s">
        <v>502</v>
      </c>
      <c r="D476" s="110" t="s">
        <v>6580</v>
      </c>
      <c r="E476" t="s">
        <v>4456</v>
      </c>
    </row>
    <row r="477" spans="2:5" x14ac:dyDescent="0.2">
      <c r="B477" t="s">
        <v>503</v>
      </c>
      <c r="D477" s="110" t="s">
        <v>6580</v>
      </c>
      <c r="E477" t="s">
        <v>4457</v>
      </c>
    </row>
    <row r="478" spans="2:5" x14ac:dyDescent="0.2">
      <c r="B478" t="s">
        <v>504</v>
      </c>
      <c r="D478" s="110" t="s">
        <v>6580</v>
      </c>
      <c r="E478" t="s">
        <v>4458</v>
      </c>
    </row>
    <row r="479" spans="2:5" x14ac:dyDescent="0.2">
      <c r="B479" t="s">
        <v>505</v>
      </c>
      <c r="D479" s="110" t="s">
        <v>6580</v>
      </c>
      <c r="E479" t="s">
        <v>4459</v>
      </c>
    </row>
    <row r="480" spans="2:5" x14ac:dyDescent="0.2">
      <c r="B480" t="s">
        <v>506</v>
      </c>
      <c r="D480" s="110" t="s">
        <v>6580</v>
      </c>
      <c r="E480" t="s">
        <v>4460</v>
      </c>
    </row>
    <row r="481" spans="2:5" x14ac:dyDescent="0.2">
      <c r="B481" t="s">
        <v>507</v>
      </c>
      <c r="D481" s="110" t="s">
        <v>6580</v>
      </c>
      <c r="E481" t="s">
        <v>4461</v>
      </c>
    </row>
    <row r="482" spans="2:5" x14ac:dyDescent="0.2">
      <c r="B482" t="s">
        <v>508</v>
      </c>
      <c r="D482" s="110" t="s">
        <v>6580</v>
      </c>
      <c r="E482" t="s">
        <v>4462</v>
      </c>
    </row>
    <row r="483" spans="2:5" x14ac:dyDescent="0.2">
      <c r="B483" t="s">
        <v>509</v>
      </c>
      <c r="D483" s="110" t="s">
        <v>6580</v>
      </c>
      <c r="E483" t="s">
        <v>4463</v>
      </c>
    </row>
    <row r="484" spans="2:5" x14ac:dyDescent="0.2">
      <c r="B484" t="s">
        <v>510</v>
      </c>
      <c r="D484" s="110" t="s">
        <v>6580</v>
      </c>
      <c r="E484" t="s">
        <v>4464</v>
      </c>
    </row>
    <row r="485" spans="2:5" x14ac:dyDescent="0.2">
      <c r="B485" t="s">
        <v>511</v>
      </c>
      <c r="D485" s="110" t="s">
        <v>6580</v>
      </c>
      <c r="E485" t="s">
        <v>4465</v>
      </c>
    </row>
    <row r="486" spans="2:5" x14ac:dyDescent="0.2">
      <c r="B486" t="s">
        <v>512</v>
      </c>
      <c r="D486" s="110" t="s">
        <v>6580</v>
      </c>
      <c r="E486" t="s">
        <v>4466</v>
      </c>
    </row>
    <row r="487" spans="2:5" x14ac:dyDescent="0.2">
      <c r="B487" t="s">
        <v>513</v>
      </c>
      <c r="D487" s="110" t="s">
        <v>6580</v>
      </c>
      <c r="E487" t="s">
        <v>4467</v>
      </c>
    </row>
    <row r="488" spans="2:5" x14ac:dyDescent="0.2">
      <c r="B488" t="s">
        <v>514</v>
      </c>
      <c r="D488" s="110" t="s">
        <v>6580</v>
      </c>
      <c r="E488" t="s">
        <v>4468</v>
      </c>
    </row>
    <row r="489" spans="2:5" x14ac:dyDescent="0.2">
      <c r="B489" t="s">
        <v>515</v>
      </c>
      <c r="D489" s="110" t="s">
        <v>6580</v>
      </c>
      <c r="E489" t="s">
        <v>4469</v>
      </c>
    </row>
    <row r="490" spans="2:5" x14ac:dyDescent="0.2">
      <c r="B490" t="s">
        <v>516</v>
      </c>
      <c r="D490" s="110" t="s">
        <v>6580</v>
      </c>
      <c r="E490" t="s">
        <v>4470</v>
      </c>
    </row>
    <row r="491" spans="2:5" x14ac:dyDescent="0.2">
      <c r="B491" t="s">
        <v>517</v>
      </c>
      <c r="D491" s="110" t="s">
        <v>6580</v>
      </c>
      <c r="E491" t="s">
        <v>4471</v>
      </c>
    </row>
    <row r="492" spans="2:5" x14ac:dyDescent="0.2">
      <c r="B492" t="s">
        <v>518</v>
      </c>
      <c r="D492" s="110" t="s">
        <v>6580</v>
      </c>
      <c r="E492" t="s">
        <v>4472</v>
      </c>
    </row>
    <row r="493" spans="2:5" x14ac:dyDescent="0.2">
      <c r="B493" t="s">
        <v>519</v>
      </c>
      <c r="D493" s="110" t="s">
        <v>6580</v>
      </c>
      <c r="E493" t="s">
        <v>4473</v>
      </c>
    </row>
    <row r="494" spans="2:5" x14ac:dyDescent="0.2">
      <c r="B494" t="s">
        <v>520</v>
      </c>
      <c r="D494" s="110" t="s">
        <v>6580</v>
      </c>
      <c r="E494" t="s">
        <v>4474</v>
      </c>
    </row>
    <row r="495" spans="2:5" x14ac:dyDescent="0.2">
      <c r="B495" t="s">
        <v>521</v>
      </c>
      <c r="D495" s="110" t="s">
        <v>6580</v>
      </c>
      <c r="E495" t="s">
        <v>4475</v>
      </c>
    </row>
    <row r="496" spans="2:5" x14ac:dyDescent="0.2">
      <c r="B496" t="s">
        <v>522</v>
      </c>
      <c r="D496" s="110" t="s">
        <v>6580</v>
      </c>
      <c r="E496" t="s">
        <v>4476</v>
      </c>
    </row>
    <row r="497" spans="2:5" x14ac:dyDescent="0.2">
      <c r="B497" t="s">
        <v>523</v>
      </c>
      <c r="D497" s="110" t="s">
        <v>6580</v>
      </c>
      <c r="E497" t="s">
        <v>4477</v>
      </c>
    </row>
    <row r="498" spans="2:5" x14ac:dyDescent="0.2">
      <c r="B498" t="s">
        <v>524</v>
      </c>
      <c r="D498" s="110" t="s">
        <v>6580</v>
      </c>
      <c r="E498" t="s">
        <v>4478</v>
      </c>
    </row>
    <row r="499" spans="2:5" x14ac:dyDescent="0.2">
      <c r="B499" t="s">
        <v>525</v>
      </c>
      <c r="D499" s="110" t="s">
        <v>6580</v>
      </c>
      <c r="E499" t="s">
        <v>4479</v>
      </c>
    </row>
    <row r="500" spans="2:5" x14ac:dyDescent="0.2">
      <c r="B500" t="s">
        <v>526</v>
      </c>
      <c r="D500" s="110" t="s">
        <v>6580</v>
      </c>
      <c r="E500" t="s">
        <v>4480</v>
      </c>
    </row>
    <row r="501" spans="2:5" x14ac:dyDescent="0.2">
      <c r="B501" t="s">
        <v>527</v>
      </c>
      <c r="D501" s="110" t="s">
        <v>6580</v>
      </c>
      <c r="E501" t="s">
        <v>4481</v>
      </c>
    </row>
    <row r="502" spans="2:5" x14ac:dyDescent="0.2">
      <c r="B502" t="s">
        <v>528</v>
      </c>
      <c r="D502" s="110" t="s">
        <v>6580</v>
      </c>
      <c r="E502" t="s">
        <v>4482</v>
      </c>
    </row>
    <row r="503" spans="2:5" x14ac:dyDescent="0.2">
      <c r="B503" t="s">
        <v>529</v>
      </c>
      <c r="D503" s="110" t="s">
        <v>6580</v>
      </c>
      <c r="E503" t="s">
        <v>4483</v>
      </c>
    </row>
    <row r="504" spans="2:5" x14ac:dyDescent="0.2">
      <c r="B504" t="s">
        <v>530</v>
      </c>
      <c r="D504" s="110" t="s">
        <v>6580</v>
      </c>
      <c r="E504" t="s">
        <v>4484</v>
      </c>
    </row>
    <row r="505" spans="2:5" x14ac:dyDescent="0.2">
      <c r="B505" t="s">
        <v>531</v>
      </c>
      <c r="D505" s="110" t="s">
        <v>6580</v>
      </c>
      <c r="E505" t="s">
        <v>4485</v>
      </c>
    </row>
    <row r="506" spans="2:5" x14ac:dyDescent="0.2">
      <c r="B506" t="s">
        <v>532</v>
      </c>
      <c r="D506" s="110" t="s">
        <v>6580</v>
      </c>
      <c r="E506" t="s">
        <v>4486</v>
      </c>
    </row>
    <row r="507" spans="2:5" x14ac:dyDescent="0.2">
      <c r="B507" t="s">
        <v>533</v>
      </c>
      <c r="D507" s="110" t="s">
        <v>6580</v>
      </c>
      <c r="E507" t="s">
        <v>4487</v>
      </c>
    </row>
    <row r="508" spans="2:5" x14ac:dyDescent="0.2">
      <c r="B508" t="s">
        <v>534</v>
      </c>
      <c r="D508" s="110" t="s">
        <v>6580</v>
      </c>
      <c r="E508" t="s">
        <v>4488</v>
      </c>
    </row>
    <row r="509" spans="2:5" x14ac:dyDescent="0.2">
      <c r="B509" t="s">
        <v>535</v>
      </c>
      <c r="D509" s="110" t="s">
        <v>6580</v>
      </c>
      <c r="E509" t="s">
        <v>4489</v>
      </c>
    </row>
    <row r="510" spans="2:5" x14ac:dyDescent="0.2">
      <c r="B510" t="s">
        <v>536</v>
      </c>
      <c r="D510" s="110" t="s">
        <v>6580</v>
      </c>
      <c r="E510" t="s">
        <v>4490</v>
      </c>
    </row>
    <row r="511" spans="2:5" x14ac:dyDescent="0.2">
      <c r="B511" t="s">
        <v>537</v>
      </c>
      <c r="D511" s="110" t="s">
        <v>6580</v>
      </c>
      <c r="E511" t="s">
        <v>4491</v>
      </c>
    </row>
    <row r="512" spans="2:5" x14ac:dyDescent="0.2">
      <c r="B512" t="s">
        <v>538</v>
      </c>
      <c r="D512" s="110" t="s">
        <v>6580</v>
      </c>
      <c r="E512" t="s">
        <v>4492</v>
      </c>
    </row>
    <row r="513" spans="2:5" x14ac:dyDescent="0.2">
      <c r="B513" t="s">
        <v>539</v>
      </c>
      <c r="D513" s="110" t="s">
        <v>6580</v>
      </c>
      <c r="E513" t="s">
        <v>4493</v>
      </c>
    </row>
    <row r="514" spans="2:5" x14ac:dyDescent="0.2">
      <c r="B514" t="s">
        <v>540</v>
      </c>
      <c r="D514" s="110" t="s">
        <v>6580</v>
      </c>
      <c r="E514" t="s">
        <v>4494</v>
      </c>
    </row>
    <row r="515" spans="2:5" x14ac:dyDescent="0.2">
      <c r="B515" t="s">
        <v>541</v>
      </c>
      <c r="D515" s="110" t="s">
        <v>6580</v>
      </c>
      <c r="E515" t="s">
        <v>4495</v>
      </c>
    </row>
    <row r="516" spans="2:5" x14ac:dyDescent="0.2">
      <c r="B516" t="s">
        <v>542</v>
      </c>
      <c r="D516" s="110" t="s">
        <v>6580</v>
      </c>
      <c r="E516" t="s">
        <v>4496</v>
      </c>
    </row>
    <row r="517" spans="2:5" x14ac:dyDescent="0.2">
      <c r="B517" t="s">
        <v>543</v>
      </c>
      <c r="D517" s="110" t="s">
        <v>6580</v>
      </c>
      <c r="E517" t="s">
        <v>4497</v>
      </c>
    </row>
    <row r="518" spans="2:5" x14ac:dyDescent="0.2">
      <c r="B518" t="s">
        <v>544</v>
      </c>
      <c r="D518" s="110" t="s">
        <v>6580</v>
      </c>
      <c r="E518" t="s">
        <v>4498</v>
      </c>
    </row>
    <row r="519" spans="2:5" x14ac:dyDescent="0.2">
      <c r="B519" t="s">
        <v>545</v>
      </c>
      <c r="D519" s="110" t="s">
        <v>6580</v>
      </c>
      <c r="E519" t="s">
        <v>4499</v>
      </c>
    </row>
    <row r="520" spans="2:5" x14ac:dyDescent="0.2">
      <c r="B520" t="s">
        <v>546</v>
      </c>
      <c r="D520" s="110" t="s">
        <v>6580</v>
      </c>
      <c r="E520" t="s">
        <v>4500</v>
      </c>
    </row>
    <row r="521" spans="2:5" x14ac:dyDescent="0.2">
      <c r="B521" t="s">
        <v>547</v>
      </c>
      <c r="D521" s="110" t="s">
        <v>6580</v>
      </c>
      <c r="E521" t="s">
        <v>4501</v>
      </c>
    </row>
    <row r="522" spans="2:5" x14ac:dyDescent="0.2">
      <c r="B522" t="s">
        <v>548</v>
      </c>
      <c r="D522" s="110" t="s">
        <v>6580</v>
      </c>
      <c r="E522" t="s">
        <v>4502</v>
      </c>
    </row>
    <row r="523" spans="2:5" x14ac:dyDescent="0.2">
      <c r="B523" t="s">
        <v>591</v>
      </c>
      <c r="D523" s="110" t="s">
        <v>6580</v>
      </c>
      <c r="E523" t="s">
        <v>4503</v>
      </c>
    </row>
    <row r="524" spans="2:5" x14ac:dyDescent="0.2">
      <c r="B524" t="s">
        <v>581</v>
      </c>
      <c r="D524" s="110" t="s">
        <v>6580</v>
      </c>
      <c r="E524" t="s">
        <v>4504</v>
      </c>
    </row>
    <row r="525" spans="2:5" x14ac:dyDescent="0.2">
      <c r="B525" t="s">
        <v>592</v>
      </c>
      <c r="D525" s="110" t="s">
        <v>6580</v>
      </c>
      <c r="E525" t="s">
        <v>4505</v>
      </c>
    </row>
    <row r="526" spans="2:5" x14ac:dyDescent="0.2">
      <c r="B526" t="s">
        <v>576</v>
      </c>
      <c r="D526" s="110" t="s">
        <v>6580</v>
      </c>
      <c r="E526" t="s">
        <v>4506</v>
      </c>
    </row>
    <row r="527" spans="2:5" x14ac:dyDescent="0.2">
      <c r="B527" t="s">
        <v>588</v>
      </c>
      <c r="D527" s="110" t="s">
        <v>6580</v>
      </c>
      <c r="E527" t="s">
        <v>4507</v>
      </c>
    </row>
    <row r="528" spans="2:5" x14ac:dyDescent="0.2">
      <c r="B528" t="s">
        <v>580</v>
      </c>
      <c r="D528" s="110" t="s">
        <v>6580</v>
      </c>
      <c r="E528" t="s">
        <v>4508</v>
      </c>
    </row>
    <row r="529" spans="2:5" x14ac:dyDescent="0.2">
      <c r="B529" t="s">
        <v>590</v>
      </c>
      <c r="D529" s="110" t="s">
        <v>6580</v>
      </c>
      <c r="E529" t="s">
        <v>4509</v>
      </c>
    </row>
    <row r="530" spans="2:5" x14ac:dyDescent="0.2">
      <c r="B530" t="s">
        <v>587</v>
      </c>
      <c r="D530" s="110" t="s">
        <v>6580</v>
      </c>
      <c r="E530" t="s">
        <v>4510</v>
      </c>
    </row>
    <row r="531" spans="2:5" x14ac:dyDescent="0.2">
      <c r="B531" t="s">
        <v>585</v>
      </c>
      <c r="D531" s="110" t="s">
        <v>6580</v>
      </c>
      <c r="E531" t="s">
        <v>4511</v>
      </c>
    </row>
    <row r="532" spans="2:5" x14ac:dyDescent="0.2">
      <c r="B532" t="s">
        <v>594</v>
      </c>
      <c r="D532" s="110" t="s">
        <v>6580</v>
      </c>
      <c r="E532" t="s">
        <v>4512</v>
      </c>
    </row>
    <row r="533" spans="2:5" x14ac:dyDescent="0.2">
      <c r="B533" t="s">
        <v>593</v>
      </c>
      <c r="D533" s="110" t="s">
        <v>6580</v>
      </c>
      <c r="E533" t="s">
        <v>4513</v>
      </c>
    </row>
    <row r="534" spans="2:5" x14ac:dyDescent="0.2">
      <c r="B534" t="s">
        <v>584</v>
      </c>
      <c r="D534" s="110" t="s">
        <v>6580</v>
      </c>
      <c r="E534" t="s">
        <v>4514</v>
      </c>
    </row>
    <row r="535" spans="2:5" x14ac:dyDescent="0.2">
      <c r="B535" t="s">
        <v>583</v>
      </c>
      <c r="D535" s="110" t="s">
        <v>6580</v>
      </c>
      <c r="E535" t="s">
        <v>4515</v>
      </c>
    </row>
    <row r="536" spans="2:5" x14ac:dyDescent="0.2">
      <c r="B536" t="s">
        <v>575</v>
      </c>
      <c r="D536" s="110" t="s">
        <v>6580</v>
      </c>
      <c r="E536" t="s">
        <v>4516</v>
      </c>
    </row>
    <row r="537" spans="2:5" x14ac:dyDescent="0.2">
      <c r="B537" t="s">
        <v>582</v>
      </c>
      <c r="D537" s="110" t="s">
        <v>6580</v>
      </c>
      <c r="E537" t="s">
        <v>4517</v>
      </c>
    </row>
    <row r="538" spans="2:5" x14ac:dyDescent="0.2">
      <c r="B538" t="s">
        <v>578</v>
      </c>
      <c r="D538" s="110" t="s">
        <v>6580</v>
      </c>
      <c r="E538" t="s">
        <v>4518</v>
      </c>
    </row>
    <row r="539" spans="2:5" x14ac:dyDescent="0.2">
      <c r="B539" t="s">
        <v>589</v>
      </c>
      <c r="D539" s="110" t="s">
        <v>6580</v>
      </c>
      <c r="E539" t="s">
        <v>4519</v>
      </c>
    </row>
    <row r="540" spans="2:5" x14ac:dyDescent="0.2">
      <c r="B540" t="s">
        <v>579</v>
      </c>
      <c r="D540" s="110" t="s">
        <v>6580</v>
      </c>
      <c r="E540" t="s">
        <v>4520</v>
      </c>
    </row>
    <row r="541" spans="2:5" x14ac:dyDescent="0.2">
      <c r="B541" t="s">
        <v>586</v>
      </c>
      <c r="D541" s="110" t="s">
        <v>6580</v>
      </c>
      <c r="E541" t="s">
        <v>4521</v>
      </c>
    </row>
    <row r="542" spans="2:5" x14ac:dyDescent="0.2">
      <c r="B542" t="s">
        <v>577</v>
      </c>
      <c r="D542" s="110" t="s">
        <v>6580</v>
      </c>
      <c r="E542" t="s">
        <v>4522</v>
      </c>
    </row>
    <row r="543" spans="2:5" x14ac:dyDescent="0.2">
      <c r="B543" t="s">
        <v>4523</v>
      </c>
      <c r="D543" s="110" t="s">
        <v>6582</v>
      </c>
      <c r="E543" t="s">
        <v>4524</v>
      </c>
    </row>
    <row r="544" spans="2:5" x14ac:dyDescent="0.2">
      <c r="B544" t="s">
        <v>4525</v>
      </c>
      <c r="D544" s="110" t="s">
        <v>6582</v>
      </c>
      <c r="E544" t="s">
        <v>4526</v>
      </c>
    </row>
    <row r="545" spans="2:5" x14ac:dyDescent="0.2">
      <c r="B545" t="s">
        <v>4527</v>
      </c>
      <c r="D545" s="110" t="s">
        <v>6582</v>
      </c>
      <c r="E545" t="s">
        <v>4528</v>
      </c>
    </row>
    <row r="546" spans="2:5" x14ac:dyDescent="0.2">
      <c r="B546" t="s">
        <v>4529</v>
      </c>
      <c r="D546" s="110" t="s">
        <v>6582</v>
      </c>
      <c r="E546" t="s">
        <v>4530</v>
      </c>
    </row>
    <row r="547" spans="2:5" x14ac:dyDescent="0.2">
      <c r="B547" t="s">
        <v>4531</v>
      </c>
      <c r="D547" s="110" t="s">
        <v>6582</v>
      </c>
      <c r="E547" t="s">
        <v>4532</v>
      </c>
    </row>
    <row r="548" spans="2:5" x14ac:dyDescent="0.2">
      <c r="B548" t="s">
        <v>4533</v>
      </c>
      <c r="D548" s="110" t="s">
        <v>6582</v>
      </c>
      <c r="E548" t="s">
        <v>4534</v>
      </c>
    </row>
    <row r="549" spans="2:5" x14ac:dyDescent="0.2">
      <c r="B549" t="s">
        <v>4535</v>
      </c>
      <c r="D549" s="110" t="s">
        <v>6582</v>
      </c>
      <c r="E549" t="s">
        <v>4536</v>
      </c>
    </row>
    <row r="550" spans="2:5" x14ac:dyDescent="0.2">
      <c r="B550" t="s">
        <v>4537</v>
      </c>
      <c r="D550" s="110" t="s">
        <v>6582</v>
      </c>
      <c r="E550" t="s">
        <v>4538</v>
      </c>
    </row>
    <row r="551" spans="2:5" x14ac:dyDescent="0.2">
      <c r="B551" t="s">
        <v>4539</v>
      </c>
      <c r="D551" s="110" t="s">
        <v>6582</v>
      </c>
      <c r="E551" t="s">
        <v>4540</v>
      </c>
    </row>
    <row r="552" spans="2:5" x14ac:dyDescent="0.2">
      <c r="B552" t="s">
        <v>4541</v>
      </c>
      <c r="D552" s="110" t="s">
        <v>6582</v>
      </c>
      <c r="E552" t="s">
        <v>4542</v>
      </c>
    </row>
    <row r="553" spans="2:5" x14ac:dyDescent="0.2">
      <c r="B553" t="s">
        <v>4543</v>
      </c>
      <c r="D553" s="110" t="s">
        <v>6582</v>
      </c>
      <c r="E553" t="s">
        <v>4544</v>
      </c>
    </row>
    <row r="554" spans="2:5" x14ac:dyDescent="0.2">
      <c r="B554" t="s">
        <v>4545</v>
      </c>
      <c r="D554" s="110" t="s">
        <v>6582</v>
      </c>
      <c r="E554" t="s">
        <v>4546</v>
      </c>
    </row>
    <row r="555" spans="2:5" x14ac:dyDescent="0.2">
      <c r="B555" t="s">
        <v>4547</v>
      </c>
      <c r="D555" s="110" t="s">
        <v>6582</v>
      </c>
      <c r="E555" t="s">
        <v>4548</v>
      </c>
    </row>
    <row r="556" spans="2:5" x14ac:dyDescent="0.2">
      <c r="B556" t="s">
        <v>4549</v>
      </c>
      <c r="D556" s="110" t="s">
        <v>6582</v>
      </c>
      <c r="E556" t="s">
        <v>4550</v>
      </c>
    </row>
    <row r="557" spans="2:5" x14ac:dyDescent="0.2">
      <c r="B557" t="s">
        <v>4551</v>
      </c>
      <c r="D557" s="110" t="s">
        <v>6582</v>
      </c>
      <c r="E557" t="s">
        <v>4552</v>
      </c>
    </row>
    <row r="558" spans="2:5" x14ac:dyDescent="0.2">
      <c r="B558" t="s">
        <v>4553</v>
      </c>
      <c r="D558" s="110" t="s">
        <v>6582</v>
      </c>
      <c r="E558" t="s">
        <v>4554</v>
      </c>
    </row>
    <row r="559" spans="2:5" x14ac:dyDescent="0.2">
      <c r="B559" t="s">
        <v>4555</v>
      </c>
      <c r="D559" s="110" t="s">
        <v>6582</v>
      </c>
      <c r="E559" t="s">
        <v>4556</v>
      </c>
    </row>
    <row r="560" spans="2:5" x14ac:dyDescent="0.2">
      <c r="B560" t="s">
        <v>4557</v>
      </c>
      <c r="D560" s="110" t="s">
        <v>6582</v>
      </c>
      <c r="E560" t="s">
        <v>4558</v>
      </c>
    </row>
    <row r="561" spans="2:5" x14ac:dyDescent="0.2">
      <c r="B561" t="s">
        <v>4559</v>
      </c>
      <c r="D561" s="110" t="s">
        <v>6582</v>
      </c>
      <c r="E561" t="s">
        <v>4560</v>
      </c>
    </row>
    <row r="562" spans="2:5" x14ac:dyDescent="0.2">
      <c r="B562" t="s">
        <v>4561</v>
      </c>
      <c r="D562" s="110" t="s">
        <v>6582</v>
      </c>
      <c r="E562" t="s">
        <v>4562</v>
      </c>
    </row>
    <row r="563" spans="2:5" x14ac:dyDescent="0.2">
      <c r="B563" t="s">
        <v>4563</v>
      </c>
      <c r="D563" s="110" t="s">
        <v>6582</v>
      </c>
      <c r="E563" t="s">
        <v>4564</v>
      </c>
    </row>
    <row r="564" spans="2:5" x14ac:dyDescent="0.2">
      <c r="B564" t="s">
        <v>4565</v>
      </c>
      <c r="D564" s="110" t="s">
        <v>6582</v>
      </c>
      <c r="E564" t="s">
        <v>4566</v>
      </c>
    </row>
    <row r="565" spans="2:5" x14ac:dyDescent="0.2">
      <c r="B565" t="s">
        <v>4567</v>
      </c>
      <c r="D565" s="110" t="s">
        <v>6582</v>
      </c>
      <c r="E565" t="s">
        <v>4568</v>
      </c>
    </row>
    <row r="566" spans="2:5" x14ac:dyDescent="0.2">
      <c r="B566" t="s">
        <v>4569</v>
      </c>
      <c r="D566" s="110" t="s">
        <v>6582</v>
      </c>
      <c r="E566" t="s">
        <v>4570</v>
      </c>
    </row>
    <row r="567" spans="2:5" x14ac:dyDescent="0.2">
      <c r="B567" t="s">
        <v>4571</v>
      </c>
      <c r="D567" s="110" t="s">
        <v>6582</v>
      </c>
      <c r="E567" t="s">
        <v>4572</v>
      </c>
    </row>
    <row r="568" spans="2:5" x14ac:dyDescent="0.2">
      <c r="B568" t="s">
        <v>4573</v>
      </c>
      <c r="D568" s="110" t="s">
        <v>6582</v>
      </c>
      <c r="E568" t="s">
        <v>4574</v>
      </c>
    </row>
    <row r="569" spans="2:5" x14ac:dyDescent="0.2">
      <c r="B569" t="s">
        <v>4575</v>
      </c>
      <c r="D569" s="110" t="s">
        <v>6582</v>
      </c>
      <c r="E569" t="s">
        <v>4576</v>
      </c>
    </row>
    <row r="570" spans="2:5" x14ac:dyDescent="0.2">
      <c r="B570" t="s">
        <v>4577</v>
      </c>
      <c r="D570" s="110" t="s">
        <v>6582</v>
      </c>
      <c r="E570" t="s">
        <v>4578</v>
      </c>
    </row>
    <row r="571" spans="2:5" x14ac:dyDescent="0.2">
      <c r="B571" t="s">
        <v>4579</v>
      </c>
      <c r="D571" s="110" t="s">
        <v>6582</v>
      </c>
      <c r="E571" t="s">
        <v>4580</v>
      </c>
    </row>
    <row r="572" spans="2:5" x14ac:dyDescent="0.2">
      <c r="B572" t="s">
        <v>4581</v>
      </c>
      <c r="D572" s="110" t="s">
        <v>6582</v>
      </c>
      <c r="E572" t="s">
        <v>4582</v>
      </c>
    </row>
    <row r="573" spans="2:5" x14ac:dyDescent="0.2">
      <c r="B573" t="s">
        <v>4583</v>
      </c>
      <c r="D573" s="110" t="s">
        <v>6582</v>
      </c>
      <c r="E573" t="s">
        <v>4584</v>
      </c>
    </row>
    <row r="574" spans="2:5" x14ac:dyDescent="0.2">
      <c r="B574" t="s">
        <v>4585</v>
      </c>
      <c r="D574" s="110" t="s">
        <v>6582</v>
      </c>
      <c r="E574" t="s">
        <v>4586</v>
      </c>
    </row>
    <row r="575" spans="2:5" x14ac:dyDescent="0.2">
      <c r="B575" t="s">
        <v>4587</v>
      </c>
      <c r="D575" s="110" t="s">
        <v>6582</v>
      </c>
      <c r="E575" t="s">
        <v>4588</v>
      </c>
    </row>
    <row r="576" spans="2:5" x14ac:dyDescent="0.2">
      <c r="B576" t="s">
        <v>4589</v>
      </c>
      <c r="D576" s="110" t="s">
        <v>6582</v>
      </c>
      <c r="E576" t="s">
        <v>4590</v>
      </c>
    </row>
    <row r="577" spans="2:5" x14ac:dyDescent="0.2">
      <c r="B577" t="s">
        <v>4591</v>
      </c>
      <c r="D577" s="110" t="s">
        <v>6582</v>
      </c>
      <c r="E577" t="s">
        <v>4592</v>
      </c>
    </row>
    <row r="578" spans="2:5" x14ac:dyDescent="0.2">
      <c r="B578" t="s">
        <v>4593</v>
      </c>
      <c r="D578" s="110" t="s">
        <v>6582</v>
      </c>
      <c r="E578" t="s">
        <v>4594</v>
      </c>
    </row>
    <row r="579" spans="2:5" x14ac:dyDescent="0.2">
      <c r="B579" t="s">
        <v>4595</v>
      </c>
      <c r="D579" s="110" t="s">
        <v>6582</v>
      </c>
      <c r="E579" t="s">
        <v>4596</v>
      </c>
    </row>
    <row r="580" spans="2:5" x14ac:dyDescent="0.2">
      <c r="B580" t="s">
        <v>4597</v>
      </c>
      <c r="D580" s="110" t="s">
        <v>6582</v>
      </c>
      <c r="E580" t="s">
        <v>4598</v>
      </c>
    </row>
    <row r="581" spans="2:5" x14ac:dyDescent="0.2">
      <c r="B581" t="s">
        <v>4599</v>
      </c>
      <c r="D581" s="110" t="s">
        <v>6582</v>
      </c>
      <c r="E581" t="s">
        <v>4600</v>
      </c>
    </row>
    <row r="582" spans="2:5" x14ac:dyDescent="0.2">
      <c r="B582" t="s">
        <v>4601</v>
      </c>
      <c r="D582" s="110" t="s">
        <v>6582</v>
      </c>
      <c r="E582" t="s">
        <v>4602</v>
      </c>
    </row>
    <row r="583" spans="2:5" x14ac:dyDescent="0.2">
      <c r="B583" t="s">
        <v>4603</v>
      </c>
      <c r="D583" s="110" t="s">
        <v>6582</v>
      </c>
      <c r="E583" t="s">
        <v>4604</v>
      </c>
    </row>
    <row r="584" spans="2:5" x14ac:dyDescent="0.2">
      <c r="B584" t="s">
        <v>4605</v>
      </c>
      <c r="D584" s="110" t="s">
        <v>6582</v>
      </c>
      <c r="E584" t="s">
        <v>4606</v>
      </c>
    </row>
    <row r="585" spans="2:5" x14ac:dyDescent="0.2">
      <c r="B585" t="s">
        <v>4607</v>
      </c>
      <c r="D585" s="110" t="s">
        <v>6582</v>
      </c>
      <c r="E585" t="s">
        <v>4608</v>
      </c>
    </row>
    <row r="586" spans="2:5" x14ac:dyDescent="0.2">
      <c r="B586" t="s">
        <v>4609</v>
      </c>
      <c r="D586" s="110" t="s">
        <v>6582</v>
      </c>
      <c r="E586" t="s">
        <v>4610</v>
      </c>
    </row>
    <row r="587" spans="2:5" x14ac:dyDescent="0.2">
      <c r="B587" t="s">
        <v>4611</v>
      </c>
      <c r="D587" s="110" t="s">
        <v>6582</v>
      </c>
      <c r="E587" t="s">
        <v>4612</v>
      </c>
    </row>
    <row r="588" spans="2:5" x14ac:dyDescent="0.2">
      <c r="B588" t="s">
        <v>4613</v>
      </c>
      <c r="D588" s="110" t="s">
        <v>6582</v>
      </c>
      <c r="E588" t="s">
        <v>4614</v>
      </c>
    </row>
    <row r="589" spans="2:5" x14ac:dyDescent="0.2">
      <c r="B589" t="s">
        <v>4615</v>
      </c>
      <c r="D589" s="110" t="s">
        <v>6582</v>
      </c>
      <c r="E589" t="s">
        <v>4616</v>
      </c>
    </row>
    <row r="590" spans="2:5" x14ac:dyDescent="0.2">
      <c r="B590" t="s">
        <v>4617</v>
      </c>
      <c r="D590" s="110" t="s">
        <v>6582</v>
      </c>
      <c r="E590" t="s">
        <v>4618</v>
      </c>
    </row>
    <row r="591" spans="2:5" x14ac:dyDescent="0.2">
      <c r="B591" t="s">
        <v>4619</v>
      </c>
      <c r="D591" s="110" t="s">
        <v>6582</v>
      </c>
      <c r="E591" t="s">
        <v>4620</v>
      </c>
    </row>
    <row r="592" spans="2:5" x14ac:dyDescent="0.2">
      <c r="B592" t="s">
        <v>4621</v>
      </c>
      <c r="D592" s="110" t="s">
        <v>6582</v>
      </c>
      <c r="E592" t="s">
        <v>4622</v>
      </c>
    </row>
    <row r="593" spans="2:5" x14ac:dyDescent="0.2">
      <c r="B593" t="s">
        <v>4623</v>
      </c>
      <c r="D593" s="110" t="s">
        <v>6582</v>
      </c>
      <c r="E593" t="s">
        <v>4624</v>
      </c>
    </row>
    <row r="594" spans="2:5" x14ac:dyDescent="0.2">
      <c r="B594" t="s">
        <v>4625</v>
      </c>
      <c r="D594" s="110" t="s">
        <v>6582</v>
      </c>
      <c r="E594" t="s">
        <v>4626</v>
      </c>
    </row>
    <row r="595" spans="2:5" x14ac:dyDescent="0.2">
      <c r="B595" t="s">
        <v>4627</v>
      </c>
      <c r="D595" s="110" t="s">
        <v>6582</v>
      </c>
      <c r="E595" t="s">
        <v>4628</v>
      </c>
    </row>
    <row r="596" spans="2:5" x14ac:dyDescent="0.2">
      <c r="B596" t="s">
        <v>4629</v>
      </c>
      <c r="D596" s="110" t="s">
        <v>6582</v>
      </c>
      <c r="E596" t="s">
        <v>4630</v>
      </c>
    </row>
    <row r="597" spans="2:5" x14ac:dyDescent="0.2">
      <c r="B597" t="s">
        <v>4631</v>
      </c>
      <c r="D597" s="110" t="s">
        <v>6582</v>
      </c>
      <c r="E597" t="s">
        <v>4632</v>
      </c>
    </row>
    <row r="598" spans="2:5" x14ac:dyDescent="0.2">
      <c r="B598" t="s">
        <v>4633</v>
      </c>
      <c r="D598" s="110" t="s">
        <v>6582</v>
      </c>
      <c r="E598" t="s">
        <v>4634</v>
      </c>
    </row>
    <row r="599" spans="2:5" x14ac:dyDescent="0.2">
      <c r="B599" t="s">
        <v>4635</v>
      </c>
      <c r="D599" s="110" t="s">
        <v>6582</v>
      </c>
      <c r="E599" t="s">
        <v>4636</v>
      </c>
    </row>
    <row r="600" spans="2:5" x14ac:dyDescent="0.2">
      <c r="B600" t="s">
        <v>4637</v>
      </c>
      <c r="D600" s="110" t="s">
        <v>6582</v>
      </c>
      <c r="E600" t="s">
        <v>4638</v>
      </c>
    </row>
    <row r="601" spans="2:5" x14ac:dyDescent="0.2">
      <c r="B601" t="s">
        <v>4639</v>
      </c>
      <c r="D601" s="110" t="s">
        <v>6582</v>
      </c>
      <c r="E601" t="s">
        <v>4640</v>
      </c>
    </row>
    <row r="602" spans="2:5" x14ac:dyDescent="0.2">
      <c r="B602" t="s">
        <v>4641</v>
      </c>
      <c r="D602" s="110" t="s">
        <v>6582</v>
      </c>
      <c r="E602" t="s">
        <v>4642</v>
      </c>
    </row>
    <row r="603" spans="2:5" x14ac:dyDescent="0.2">
      <c r="B603" t="s">
        <v>4643</v>
      </c>
      <c r="D603" s="110" t="s">
        <v>6582</v>
      </c>
      <c r="E603" t="s">
        <v>4644</v>
      </c>
    </row>
    <row r="604" spans="2:5" x14ac:dyDescent="0.2">
      <c r="B604" t="s">
        <v>4645</v>
      </c>
      <c r="D604" s="110" t="s">
        <v>6582</v>
      </c>
      <c r="E604" t="s">
        <v>4646</v>
      </c>
    </row>
    <row r="605" spans="2:5" x14ac:dyDescent="0.2">
      <c r="B605" t="s">
        <v>4647</v>
      </c>
      <c r="D605" s="110" t="s">
        <v>6582</v>
      </c>
      <c r="E605" t="s">
        <v>4648</v>
      </c>
    </row>
    <row r="606" spans="2:5" x14ac:dyDescent="0.2">
      <c r="B606" t="s">
        <v>4649</v>
      </c>
      <c r="D606" s="110" t="s">
        <v>6582</v>
      </c>
      <c r="E606" t="s">
        <v>4650</v>
      </c>
    </row>
    <row r="607" spans="2:5" x14ac:dyDescent="0.2">
      <c r="B607" t="s">
        <v>4651</v>
      </c>
      <c r="D607" s="110" t="s">
        <v>6582</v>
      </c>
      <c r="E607" t="s">
        <v>4652</v>
      </c>
    </row>
    <row r="608" spans="2:5" x14ac:dyDescent="0.2">
      <c r="B608" t="s">
        <v>4653</v>
      </c>
      <c r="D608" s="110" t="s">
        <v>6582</v>
      </c>
      <c r="E608" t="s">
        <v>4654</v>
      </c>
    </row>
    <row r="609" spans="2:5" x14ac:dyDescent="0.2">
      <c r="B609" t="s">
        <v>4655</v>
      </c>
      <c r="D609" s="110" t="s">
        <v>6582</v>
      </c>
      <c r="E609" t="s">
        <v>4656</v>
      </c>
    </row>
    <row r="610" spans="2:5" x14ac:dyDescent="0.2">
      <c r="B610" t="s">
        <v>4657</v>
      </c>
      <c r="D610" s="110" t="s">
        <v>6582</v>
      </c>
      <c r="E610" t="s">
        <v>4658</v>
      </c>
    </row>
    <row r="611" spans="2:5" x14ac:dyDescent="0.2">
      <c r="B611" t="s">
        <v>4659</v>
      </c>
      <c r="D611" s="110" t="s">
        <v>6582</v>
      </c>
      <c r="E611" t="s">
        <v>4660</v>
      </c>
    </row>
    <row r="612" spans="2:5" x14ac:dyDescent="0.2">
      <c r="B612" t="s">
        <v>4661</v>
      </c>
      <c r="D612" s="110" t="s">
        <v>6582</v>
      </c>
      <c r="E612" t="s">
        <v>4662</v>
      </c>
    </row>
    <row r="613" spans="2:5" x14ac:dyDescent="0.2">
      <c r="B613" t="s">
        <v>4663</v>
      </c>
      <c r="D613" s="110" t="s">
        <v>6582</v>
      </c>
      <c r="E613" t="s">
        <v>4664</v>
      </c>
    </row>
    <row r="614" spans="2:5" x14ac:dyDescent="0.2">
      <c r="B614" t="s">
        <v>4665</v>
      </c>
      <c r="D614" s="110" t="s">
        <v>6582</v>
      </c>
      <c r="E614" t="s">
        <v>4666</v>
      </c>
    </row>
    <row r="615" spans="2:5" x14ac:dyDescent="0.2">
      <c r="B615" t="s">
        <v>4667</v>
      </c>
      <c r="D615" s="110" t="s">
        <v>6582</v>
      </c>
      <c r="E615" t="s">
        <v>4668</v>
      </c>
    </row>
    <row r="616" spans="2:5" x14ac:dyDescent="0.2">
      <c r="B616" t="s">
        <v>4669</v>
      </c>
      <c r="D616" s="110" t="s">
        <v>6582</v>
      </c>
      <c r="E616" t="s">
        <v>4670</v>
      </c>
    </row>
    <row r="617" spans="2:5" x14ac:dyDescent="0.2">
      <c r="B617" t="s">
        <v>4671</v>
      </c>
      <c r="D617" s="110" t="s">
        <v>6582</v>
      </c>
      <c r="E617" t="s">
        <v>4672</v>
      </c>
    </row>
    <row r="618" spans="2:5" x14ac:dyDescent="0.2">
      <c r="B618" t="s">
        <v>4673</v>
      </c>
      <c r="D618" s="110" t="s">
        <v>6582</v>
      </c>
      <c r="E618" t="s">
        <v>4674</v>
      </c>
    </row>
    <row r="619" spans="2:5" x14ac:dyDescent="0.2">
      <c r="B619" t="s">
        <v>4675</v>
      </c>
      <c r="D619" s="110" t="s">
        <v>6582</v>
      </c>
      <c r="E619" t="s">
        <v>4676</v>
      </c>
    </row>
    <row r="620" spans="2:5" x14ac:dyDescent="0.2">
      <c r="B620" t="s">
        <v>4677</v>
      </c>
      <c r="D620" s="110" t="s">
        <v>6582</v>
      </c>
      <c r="E620" t="s">
        <v>4678</v>
      </c>
    </row>
    <row r="621" spans="2:5" x14ac:dyDescent="0.2">
      <c r="B621" t="s">
        <v>4679</v>
      </c>
      <c r="D621" s="110" t="s">
        <v>6582</v>
      </c>
      <c r="E621" t="s">
        <v>4680</v>
      </c>
    </row>
    <row r="622" spans="2:5" x14ac:dyDescent="0.2">
      <c r="B622" t="s">
        <v>4681</v>
      </c>
      <c r="D622" s="110" t="s">
        <v>6582</v>
      </c>
      <c r="E622" t="s">
        <v>4682</v>
      </c>
    </row>
    <row r="623" spans="2:5" x14ac:dyDescent="0.2">
      <c r="B623" t="s">
        <v>4683</v>
      </c>
      <c r="D623" s="110" t="s">
        <v>6582</v>
      </c>
      <c r="E623" t="s">
        <v>4684</v>
      </c>
    </row>
    <row r="624" spans="2:5" x14ac:dyDescent="0.2">
      <c r="B624" t="s">
        <v>4685</v>
      </c>
      <c r="D624" s="110" t="s">
        <v>6582</v>
      </c>
      <c r="E624" t="s">
        <v>4686</v>
      </c>
    </row>
    <row r="625" spans="2:5" x14ac:dyDescent="0.2">
      <c r="B625" t="s">
        <v>4687</v>
      </c>
      <c r="D625" s="110" t="s">
        <v>6582</v>
      </c>
      <c r="E625" t="s">
        <v>4688</v>
      </c>
    </row>
    <row r="626" spans="2:5" x14ac:dyDescent="0.2">
      <c r="B626" t="s">
        <v>4689</v>
      </c>
      <c r="D626" s="110" t="s">
        <v>6582</v>
      </c>
      <c r="E626" t="s">
        <v>4690</v>
      </c>
    </row>
    <row r="627" spans="2:5" x14ac:dyDescent="0.2">
      <c r="B627" t="s">
        <v>4691</v>
      </c>
      <c r="D627" s="110" t="s">
        <v>6582</v>
      </c>
      <c r="E627" t="s">
        <v>4692</v>
      </c>
    </row>
    <row r="628" spans="2:5" x14ac:dyDescent="0.2">
      <c r="B628" t="s">
        <v>4693</v>
      </c>
      <c r="D628" s="110" t="s">
        <v>6582</v>
      </c>
      <c r="E628" t="s">
        <v>4694</v>
      </c>
    </row>
    <row r="629" spans="2:5" x14ac:dyDescent="0.2">
      <c r="B629" t="s">
        <v>4695</v>
      </c>
      <c r="D629" s="110" t="s">
        <v>6582</v>
      </c>
      <c r="E629" t="s">
        <v>4696</v>
      </c>
    </row>
    <row r="630" spans="2:5" x14ac:dyDescent="0.2">
      <c r="B630" t="s">
        <v>4697</v>
      </c>
      <c r="D630" s="110" t="s">
        <v>6582</v>
      </c>
      <c r="E630" t="s">
        <v>4698</v>
      </c>
    </row>
    <row r="631" spans="2:5" x14ac:dyDescent="0.2">
      <c r="B631" t="s">
        <v>4699</v>
      </c>
      <c r="D631" s="110" t="s">
        <v>6582</v>
      </c>
      <c r="E631" t="s">
        <v>4700</v>
      </c>
    </row>
    <row r="632" spans="2:5" x14ac:dyDescent="0.2">
      <c r="B632" t="s">
        <v>4701</v>
      </c>
      <c r="D632" s="110" t="s">
        <v>6582</v>
      </c>
      <c r="E632" t="s">
        <v>4702</v>
      </c>
    </row>
    <row r="633" spans="2:5" x14ac:dyDescent="0.2">
      <c r="B633" t="s">
        <v>4703</v>
      </c>
      <c r="D633" s="110" t="s">
        <v>6582</v>
      </c>
      <c r="E633" t="s">
        <v>4704</v>
      </c>
    </row>
    <row r="634" spans="2:5" x14ac:dyDescent="0.2">
      <c r="B634" t="s">
        <v>4705</v>
      </c>
      <c r="D634" s="110" t="s">
        <v>6582</v>
      </c>
      <c r="E634" t="s">
        <v>4706</v>
      </c>
    </row>
    <row r="635" spans="2:5" x14ac:dyDescent="0.2">
      <c r="B635" t="s">
        <v>4707</v>
      </c>
      <c r="D635" s="110" t="s">
        <v>6582</v>
      </c>
      <c r="E635" t="s">
        <v>4708</v>
      </c>
    </row>
    <row r="636" spans="2:5" x14ac:dyDescent="0.2">
      <c r="B636" t="s">
        <v>4709</v>
      </c>
      <c r="D636" s="110" t="s">
        <v>6582</v>
      </c>
      <c r="E636" t="s">
        <v>4710</v>
      </c>
    </row>
    <row r="637" spans="2:5" x14ac:dyDescent="0.2">
      <c r="B637" t="s">
        <v>4711</v>
      </c>
      <c r="D637" s="110" t="s">
        <v>6582</v>
      </c>
      <c r="E637" t="s">
        <v>4712</v>
      </c>
    </row>
    <row r="638" spans="2:5" x14ac:dyDescent="0.2">
      <c r="B638" t="s">
        <v>4713</v>
      </c>
      <c r="D638" s="110" t="s">
        <v>6582</v>
      </c>
      <c r="E638" t="s">
        <v>4714</v>
      </c>
    </row>
    <row r="639" spans="2:5" x14ac:dyDescent="0.2">
      <c r="B639" t="s">
        <v>4715</v>
      </c>
      <c r="D639" s="110" t="s">
        <v>6582</v>
      </c>
      <c r="E639" t="s">
        <v>4716</v>
      </c>
    </row>
    <row r="640" spans="2:5" x14ac:dyDescent="0.2">
      <c r="B640" t="s">
        <v>4717</v>
      </c>
      <c r="D640" s="110" t="s">
        <v>6582</v>
      </c>
      <c r="E640" t="s">
        <v>4718</v>
      </c>
    </row>
    <row r="641" spans="2:5" x14ac:dyDescent="0.2">
      <c r="B641" s="51" t="s">
        <v>2454</v>
      </c>
    </row>
    <row r="642" spans="2:5" x14ac:dyDescent="0.2">
      <c r="B642" t="s">
        <v>4719</v>
      </c>
      <c r="C642" t="s">
        <v>4720</v>
      </c>
      <c r="D642" s="110" t="s">
        <v>6582</v>
      </c>
      <c r="E642" t="s">
        <v>4721</v>
      </c>
    </row>
    <row r="643" spans="2:5" x14ac:dyDescent="0.2">
      <c r="B643" t="s">
        <v>4722</v>
      </c>
      <c r="C643" t="s">
        <v>4723</v>
      </c>
      <c r="D643" s="110" t="s">
        <v>6582</v>
      </c>
      <c r="E643" t="s">
        <v>4724</v>
      </c>
    </row>
    <row r="644" spans="2:5" x14ac:dyDescent="0.2">
      <c r="B644" t="s">
        <v>283</v>
      </c>
      <c r="D644" s="110" t="s">
        <v>6580</v>
      </c>
      <c r="E644" t="s">
        <v>4725</v>
      </c>
    </row>
    <row r="645" spans="2:5" x14ac:dyDescent="0.2">
      <c r="B645" t="s">
        <v>284</v>
      </c>
      <c r="D645" s="110" t="s">
        <v>6580</v>
      </c>
      <c r="E645" t="s">
        <v>4726</v>
      </c>
    </row>
    <row r="646" spans="2:5" x14ac:dyDescent="0.2">
      <c r="B646" t="s">
        <v>282</v>
      </c>
      <c r="D646" s="110" t="s">
        <v>6580</v>
      </c>
      <c r="E646" t="s">
        <v>4727</v>
      </c>
    </row>
    <row r="647" spans="2:5" x14ac:dyDescent="0.2">
      <c r="B647" t="s">
        <v>287</v>
      </c>
      <c r="D647" s="110" t="s">
        <v>6580</v>
      </c>
      <c r="E647" t="s">
        <v>4728</v>
      </c>
    </row>
    <row r="648" spans="2:5" x14ac:dyDescent="0.2">
      <c r="B648" t="s">
        <v>286</v>
      </c>
      <c r="D648" s="110" t="s">
        <v>6580</v>
      </c>
      <c r="E648" t="s">
        <v>4729</v>
      </c>
    </row>
    <row r="649" spans="2:5" x14ac:dyDescent="0.2">
      <c r="B649" t="s">
        <v>281</v>
      </c>
      <c r="D649" s="110" t="s">
        <v>6580</v>
      </c>
      <c r="E649" t="s">
        <v>4730</v>
      </c>
    </row>
    <row r="650" spans="2:5" x14ac:dyDescent="0.2">
      <c r="B650" t="s">
        <v>285</v>
      </c>
      <c r="D650" s="110" t="s">
        <v>6580</v>
      </c>
      <c r="E650" t="s">
        <v>4731</v>
      </c>
    </row>
    <row r="651" spans="2:5" x14ac:dyDescent="0.2">
      <c r="B651" t="s">
        <v>288</v>
      </c>
      <c r="D651" s="110" t="s">
        <v>6580</v>
      </c>
      <c r="E651" t="s">
        <v>4732</v>
      </c>
    </row>
    <row r="652" spans="2:5" x14ac:dyDescent="0.2">
      <c r="B652" t="s">
        <v>296</v>
      </c>
      <c r="D652" s="110" t="s">
        <v>6580</v>
      </c>
      <c r="E652" t="s">
        <v>4733</v>
      </c>
    </row>
    <row r="653" spans="2:5" x14ac:dyDescent="0.2">
      <c r="B653" t="s">
        <v>298</v>
      </c>
      <c r="D653" s="110" t="s">
        <v>6580</v>
      </c>
      <c r="E653" t="s">
        <v>4734</v>
      </c>
    </row>
    <row r="654" spans="2:5" x14ac:dyDescent="0.2">
      <c r="B654" t="s">
        <v>299</v>
      </c>
      <c r="D654" s="110" t="s">
        <v>6580</v>
      </c>
      <c r="E654" t="s">
        <v>4735</v>
      </c>
    </row>
    <row r="655" spans="2:5" x14ac:dyDescent="0.2">
      <c r="B655" t="s">
        <v>300</v>
      </c>
      <c r="D655" s="110" t="s">
        <v>6580</v>
      </c>
      <c r="E655" t="s">
        <v>4736</v>
      </c>
    </row>
    <row r="656" spans="2:5" x14ac:dyDescent="0.2">
      <c r="B656" t="s">
        <v>301</v>
      </c>
      <c r="D656" s="110" t="s">
        <v>6580</v>
      </c>
      <c r="E656" t="s">
        <v>4737</v>
      </c>
    </row>
    <row r="657" spans="2:5" x14ac:dyDescent="0.2">
      <c r="B657" t="s">
        <v>302</v>
      </c>
      <c r="D657" s="110" t="s">
        <v>6580</v>
      </c>
      <c r="E657" t="s">
        <v>4738</v>
      </c>
    </row>
    <row r="658" spans="2:5" x14ac:dyDescent="0.2">
      <c r="B658" t="s">
        <v>303</v>
      </c>
      <c r="D658" s="110" t="s">
        <v>6580</v>
      </c>
      <c r="E658" t="s">
        <v>4739</v>
      </c>
    </row>
    <row r="659" spans="2:5" x14ac:dyDescent="0.2">
      <c r="B659" t="s">
        <v>304</v>
      </c>
      <c r="D659" s="110" t="s">
        <v>6580</v>
      </c>
      <c r="E659" t="s">
        <v>4740</v>
      </c>
    </row>
    <row r="660" spans="2:5" x14ac:dyDescent="0.2">
      <c r="B660" t="s">
        <v>305</v>
      </c>
      <c r="D660" s="110" t="s">
        <v>6580</v>
      </c>
      <c r="E660" t="s">
        <v>4741</v>
      </c>
    </row>
    <row r="661" spans="2:5" x14ac:dyDescent="0.2">
      <c r="B661" t="s">
        <v>306</v>
      </c>
      <c r="D661" s="110" t="s">
        <v>6580</v>
      </c>
      <c r="E661" t="s">
        <v>4742</v>
      </c>
    </row>
    <row r="662" spans="2:5" x14ac:dyDescent="0.2">
      <c r="B662" t="s">
        <v>289</v>
      </c>
      <c r="D662" s="110" t="s">
        <v>6580</v>
      </c>
      <c r="E662" t="s">
        <v>4743</v>
      </c>
    </row>
    <row r="663" spans="2:5" x14ac:dyDescent="0.2">
      <c r="B663" t="s">
        <v>307</v>
      </c>
      <c r="D663" s="110" t="s">
        <v>6580</v>
      </c>
      <c r="E663" t="s">
        <v>4744</v>
      </c>
    </row>
    <row r="664" spans="2:5" x14ac:dyDescent="0.2">
      <c r="B664" t="s">
        <v>290</v>
      </c>
      <c r="D664" s="110" t="s">
        <v>6580</v>
      </c>
      <c r="E664" t="s">
        <v>4745</v>
      </c>
    </row>
    <row r="665" spans="2:5" x14ac:dyDescent="0.2">
      <c r="B665" t="s">
        <v>291</v>
      </c>
      <c r="D665" s="110" t="s">
        <v>6580</v>
      </c>
      <c r="E665" t="s">
        <v>4746</v>
      </c>
    </row>
    <row r="666" spans="2:5" x14ac:dyDescent="0.2">
      <c r="B666" t="s">
        <v>292</v>
      </c>
      <c r="D666" s="110" t="s">
        <v>6580</v>
      </c>
      <c r="E666" t="s">
        <v>4747</v>
      </c>
    </row>
    <row r="667" spans="2:5" x14ac:dyDescent="0.2">
      <c r="B667" t="s">
        <v>293</v>
      </c>
      <c r="D667" s="110" t="s">
        <v>6580</v>
      </c>
      <c r="E667" t="s">
        <v>4748</v>
      </c>
    </row>
    <row r="668" spans="2:5" x14ac:dyDescent="0.2">
      <c r="B668" t="s">
        <v>294</v>
      </c>
      <c r="D668" s="110" t="s">
        <v>6580</v>
      </c>
      <c r="E668" t="s">
        <v>4749</v>
      </c>
    </row>
    <row r="669" spans="2:5" x14ac:dyDescent="0.2">
      <c r="B669" t="s">
        <v>295</v>
      </c>
      <c r="D669" s="110" t="s">
        <v>6580</v>
      </c>
      <c r="E669" t="s">
        <v>4750</v>
      </c>
    </row>
    <row r="670" spans="2:5" x14ac:dyDescent="0.2">
      <c r="B670" t="s">
        <v>297</v>
      </c>
      <c r="D670" s="110" t="s">
        <v>6580</v>
      </c>
      <c r="E670" t="s">
        <v>4751</v>
      </c>
    </row>
    <row r="671" spans="2:5" x14ac:dyDescent="0.2">
      <c r="B671" t="s">
        <v>1126</v>
      </c>
      <c r="D671" s="110" t="s">
        <v>6580</v>
      </c>
      <c r="E671" t="s">
        <v>4752</v>
      </c>
    </row>
    <row r="672" spans="2:5" x14ac:dyDescent="0.2">
      <c r="B672" t="s">
        <v>1128</v>
      </c>
      <c r="D672" s="110" t="s">
        <v>6580</v>
      </c>
      <c r="E672" t="s">
        <v>4753</v>
      </c>
    </row>
    <row r="673" spans="2:5" x14ac:dyDescent="0.2">
      <c r="B673" t="s">
        <v>1127</v>
      </c>
      <c r="D673" s="110" t="s">
        <v>6580</v>
      </c>
      <c r="E673" t="s">
        <v>4754</v>
      </c>
    </row>
    <row r="674" spans="2:5" x14ac:dyDescent="0.2">
      <c r="B674" t="s">
        <v>1129</v>
      </c>
      <c r="D674" s="110" t="s">
        <v>6580</v>
      </c>
      <c r="E674" t="s">
        <v>4755</v>
      </c>
    </row>
    <row r="675" spans="2:5" x14ac:dyDescent="0.2">
      <c r="B675" t="s">
        <v>595</v>
      </c>
      <c r="D675" s="110" t="s">
        <v>6580</v>
      </c>
      <c r="E675" t="s">
        <v>4756</v>
      </c>
    </row>
    <row r="676" spans="2:5" x14ac:dyDescent="0.2">
      <c r="B676" t="s">
        <v>603</v>
      </c>
      <c r="D676" s="110" t="s">
        <v>6580</v>
      </c>
      <c r="E676" t="s">
        <v>4757</v>
      </c>
    </row>
    <row r="677" spans="2:5" x14ac:dyDescent="0.2">
      <c r="B677" t="s">
        <v>604</v>
      </c>
      <c r="D677" s="110" t="s">
        <v>6580</v>
      </c>
      <c r="E677" t="s">
        <v>4758</v>
      </c>
    </row>
    <row r="678" spans="2:5" x14ac:dyDescent="0.2">
      <c r="B678" t="s">
        <v>605</v>
      </c>
      <c r="D678" s="110" t="s">
        <v>6580</v>
      </c>
      <c r="E678" t="s">
        <v>4759</v>
      </c>
    </row>
    <row r="679" spans="2:5" x14ac:dyDescent="0.2">
      <c r="B679" t="s">
        <v>606</v>
      </c>
      <c r="D679" s="110" t="s">
        <v>6580</v>
      </c>
      <c r="E679" t="s">
        <v>4760</v>
      </c>
    </row>
    <row r="680" spans="2:5" x14ac:dyDescent="0.2">
      <c r="B680" t="s">
        <v>607</v>
      </c>
      <c r="D680" s="110" t="s">
        <v>6580</v>
      </c>
      <c r="E680" t="s">
        <v>4761</v>
      </c>
    </row>
    <row r="681" spans="2:5" x14ac:dyDescent="0.2">
      <c r="B681" t="s">
        <v>608</v>
      </c>
      <c r="D681" s="110" t="s">
        <v>6580</v>
      </c>
      <c r="E681" t="s">
        <v>4762</v>
      </c>
    </row>
    <row r="682" spans="2:5" x14ac:dyDescent="0.2">
      <c r="B682" t="s">
        <v>609</v>
      </c>
      <c r="D682" s="110" t="s">
        <v>6580</v>
      </c>
      <c r="E682" t="s">
        <v>4763</v>
      </c>
    </row>
    <row r="683" spans="2:5" x14ac:dyDescent="0.2">
      <c r="B683" t="s">
        <v>610</v>
      </c>
      <c r="D683" s="110" t="s">
        <v>6580</v>
      </c>
      <c r="E683" t="s">
        <v>4764</v>
      </c>
    </row>
    <row r="684" spans="2:5" x14ac:dyDescent="0.2">
      <c r="B684" t="s">
        <v>611</v>
      </c>
      <c r="D684" s="110" t="s">
        <v>6580</v>
      </c>
      <c r="E684" t="s">
        <v>4765</v>
      </c>
    </row>
    <row r="685" spans="2:5" x14ac:dyDescent="0.2">
      <c r="B685" t="s">
        <v>596</v>
      </c>
      <c r="D685" s="110" t="s">
        <v>6580</v>
      </c>
      <c r="E685" t="s">
        <v>4766</v>
      </c>
    </row>
    <row r="686" spans="2:5" x14ac:dyDescent="0.2">
      <c r="B686" t="s">
        <v>597</v>
      </c>
      <c r="D686" s="110" t="s">
        <v>6580</v>
      </c>
      <c r="E686" t="s">
        <v>4767</v>
      </c>
    </row>
    <row r="687" spans="2:5" x14ac:dyDescent="0.2">
      <c r="B687" t="s">
        <v>598</v>
      </c>
      <c r="D687" s="110" t="s">
        <v>6580</v>
      </c>
      <c r="E687" t="s">
        <v>4768</v>
      </c>
    </row>
    <row r="688" spans="2:5" x14ac:dyDescent="0.2">
      <c r="B688" t="s">
        <v>599</v>
      </c>
      <c r="D688" s="110" t="s">
        <v>6580</v>
      </c>
      <c r="E688" t="s">
        <v>4769</v>
      </c>
    </row>
    <row r="689" spans="2:5" x14ac:dyDescent="0.2">
      <c r="B689" t="s">
        <v>600</v>
      </c>
      <c r="D689" s="110" t="s">
        <v>6580</v>
      </c>
      <c r="E689" t="s">
        <v>4770</v>
      </c>
    </row>
    <row r="690" spans="2:5" x14ac:dyDescent="0.2">
      <c r="B690" t="s">
        <v>601</v>
      </c>
      <c r="D690" s="110" t="s">
        <v>6580</v>
      </c>
      <c r="E690" t="s">
        <v>4771</v>
      </c>
    </row>
    <row r="691" spans="2:5" x14ac:dyDescent="0.2">
      <c r="B691" t="s">
        <v>602</v>
      </c>
      <c r="D691" s="110" t="s">
        <v>6580</v>
      </c>
      <c r="E691" t="s">
        <v>4772</v>
      </c>
    </row>
    <row r="692" spans="2:5" x14ac:dyDescent="0.2">
      <c r="B692" t="s">
        <v>354</v>
      </c>
      <c r="D692" s="110" t="s">
        <v>6580</v>
      </c>
      <c r="E692" t="s">
        <v>4773</v>
      </c>
    </row>
    <row r="693" spans="2:5" x14ac:dyDescent="0.2">
      <c r="B693" t="s">
        <v>355</v>
      </c>
      <c r="D693" s="110" t="s">
        <v>6580</v>
      </c>
      <c r="E693" t="s">
        <v>4774</v>
      </c>
    </row>
    <row r="694" spans="2:5" x14ac:dyDescent="0.2">
      <c r="B694" t="s">
        <v>356</v>
      </c>
      <c r="D694" s="110" t="s">
        <v>6580</v>
      </c>
      <c r="E694" t="s">
        <v>4775</v>
      </c>
    </row>
    <row r="695" spans="2:5" x14ac:dyDescent="0.2">
      <c r="B695" t="s">
        <v>357</v>
      </c>
      <c r="D695" s="110" t="s">
        <v>6580</v>
      </c>
      <c r="E695" t="s">
        <v>4776</v>
      </c>
    </row>
    <row r="696" spans="2:5" x14ac:dyDescent="0.2">
      <c r="B696" t="s">
        <v>358</v>
      </c>
      <c r="D696" s="110" t="s">
        <v>6580</v>
      </c>
      <c r="E696" t="s">
        <v>4777</v>
      </c>
    </row>
    <row r="697" spans="2:5" x14ac:dyDescent="0.2">
      <c r="B697" t="s">
        <v>359</v>
      </c>
      <c r="D697" s="110" t="s">
        <v>6580</v>
      </c>
      <c r="E697" t="s">
        <v>4778</v>
      </c>
    </row>
    <row r="698" spans="2:5" x14ac:dyDescent="0.2">
      <c r="B698" t="s">
        <v>360</v>
      </c>
      <c r="D698" s="110" t="s">
        <v>6580</v>
      </c>
      <c r="E698" t="s">
        <v>4779</v>
      </c>
    </row>
    <row r="699" spans="2:5" x14ac:dyDescent="0.2">
      <c r="B699" t="s">
        <v>361</v>
      </c>
      <c r="D699" s="110" t="s">
        <v>6580</v>
      </c>
      <c r="E699" t="s">
        <v>4780</v>
      </c>
    </row>
    <row r="700" spans="2:5" x14ac:dyDescent="0.2">
      <c r="B700" t="s">
        <v>446</v>
      </c>
      <c r="D700" s="110" t="s">
        <v>6580</v>
      </c>
      <c r="E700" t="s">
        <v>4781</v>
      </c>
    </row>
    <row r="701" spans="2:5" x14ac:dyDescent="0.2">
      <c r="B701" t="s">
        <v>447</v>
      </c>
      <c r="D701" s="110" t="s">
        <v>6580</v>
      </c>
      <c r="E701" t="s">
        <v>4782</v>
      </c>
    </row>
    <row r="702" spans="2:5" x14ac:dyDescent="0.2">
      <c r="B702" t="s">
        <v>448</v>
      </c>
      <c r="D702" s="110" t="s">
        <v>6580</v>
      </c>
      <c r="E702" t="s">
        <v>4783</v>
      </c>
    </row>
    <row r="703" spans="2:5" x14ac:dyDescent="0.2">
      <c r="B703" t="s">
        <v>449</v>
      </c>
      <c r="D703" s="110" t="s">
        <v>6580</v>
      </c>
      <c r="E703" t="s">
        <v>4784</v>
      </c>
    </row>
    <row r="704" spans="2:5" x14ac:dyDescent="0.2">
      <c r="B704" t="s">
        <v>450</v>
      </c>
      <c r="D704" s="110" t="s">
        <v>6580</v>
      </c>
      <c r="E704" t="s">
        <v>4785</v>
      </c>
    </row>
    <row r="705" spans="2:5" x14ac:dyDescent="0.2">
      <c r="B705" t="s">
        <v>451</v>
      </c>
      <c r="D705" s="110" t="s">
        <v>6580</v>
      </c>
      <c r="E705" t="s">
        <v>4786</v>
      </c>
    </row>
    <row r="706" spans="2:5" x14ac:dyDescent="0.2">
      <c r="B706" t="s">
        <v>362</v>
      </c>
      <c r="D706" s="110" t="s">
        <v>6580</v>
      </c>
      <c r="E706" t="s">
        <v>4787</v>
      </c>
    </row>
    <row r="707" spans="2:5" x14ac:dyDescent="0.2">
      <c r="B707" t="s">
        <v>452</v>
      </c>
      <c r="D707" s="110" t="s">
        <v>6580</v>
      </c>
      <c r="E707" t="s">
        <v>4788</v>
      </c>
    </row>
    <row r="708" spans="2:5" x14ac:dyDescent="0.2">
      <c r="B708" t="s">
        <v>453</v>
      </c>
      <c r="D708" s="110" t="s">
        <v>6580</v>
      </c>
      <c r="E708" t="s">
        <v>4789</v>
      </c>
    </row>
    <row r="709" spans="2:5" x14ac:dyDescent="0.2">
      <c r="B709" t="s">
        <v>363</v>
      </c>
      <c r="D709" s="110" t="s">
        <v>6580</v>
      </c>
      <c r="E709" t="s">
        <v>4790</v>
      </c>
    </row>
    <row r="710" spans="2:5" x14ac:dyDescent="0.2">
      <c r="B710" t="s">
        <v>364</v>
      </c>
      <c r="D710" s="110" t="s">
        <v>6580</v>
      </c>
      <c r="E710" t="s">
        <v>4791</v>
      </c>
    </row>
    <row r="711" spans="2:5" x14ac:dyDescent="0.2">
      <c r="B711" t="s">
        <v>365</v>
      </c>
      <c r="D711" s="110" t="s">
        <v>6580</v>
      </c>
      <c r="E711" t="s">
        <v>4792</v>
      </c>
    </row>
    <row r="712" spans="2:5" x14ac:dyDescent="0.2">
      <c r="B712" t="s">
        <v>366</v>
      </c>
      <c r="D712" s="110" t="s">
        <v>6580</v>
      </c>
      <c r="E712" t="s">
        <v>4793</v>
      </c>
    </row>
    <row r="713" spans="2:5" x14ac:dyDescent="0.2">
      <c r="B713" t="s">
        <v>367</v>
      </c>
      <c r="D713" s="110" t="s">
        <v>6580</v>
      </c>
      <c r="E713" t="s">
        <v>4794</v>
      </c>
    </row>
    <row r="714" spans="2:5" x14ac:dyDescent="0.2">
      <c r="B714" t="s">
        <v>368</v>
      </c>
      <c r="D714" s="110" t="s">
        <v>6580</v>
      </c>
      <c r="E714" t="s">
        <v>4795</v>
      </c>
    </row>
    <row r="715" spans="2:5" x14ac:dyDescent="0.2">
      <c r="B715" t="s">
        <v>369</v>
      </c>
      <c r="D715" s="110" t="s">
        <v>6580</v>
      </c>
      <c r="E715" t="s">
        <v>4796</v>
      </c>
    </row>
    <row r="716" spans="2:5" x14ac:dyDescent="0.2">
      <c r="B716" t="s">
        <v>370</v>
      </c>
      <c r="D716" s="110" t="s">
        <v>6580</v>
      </c>
      <c r="E716" t="s">
        <v>4797</v>
      </c>
    </row>
    <row r="717" spans="2:5" x14ac:dyDescent="0.2">
      <c r="B717" t="s">
        <v>371</v>
      </c>
      <c r="D717" s="110" t="s">
        <v>6580</v>
      </c>
      <c r="E717" t="s">
        <v>4798</v>
      </c>
    </row>
    <row r="718" spans="2:5" x14ac:dyDescent="0.2">
      <c r="B718" t="s">
        <v>372</v>
      </c>
      <c r="D718" s="110" t="s">
        <v>6580</v>
      </c>
      <c r="E718" t="s">
        <v>4799</v>
      </c>
    </row>
    <row r="719" spans="2:5" x14ac:dyDescent="0.2">
      <c r="B719" t="s">
        <v>373</v>
      </c>
      <c r="D719" s="110" t="s">
        <v>6580</v>
      </c>
      <c r="E719" t="s">
        <v>4800</v>
      </c>
    </row>
    <row r="720" spans="2:5" x14ac:dyDescent="0.2">
      <c r="B720" t="s">
        <v>374</v>
      </c>
      <c r="D720" s="110" t="s">
        <v>6580</v>
      </c>
      <c r="E720" t="s">
        <v>4801</v>
      </c>
    </row>
    <row r="721" spans="2:5" x14ac:dyDescent="0.2">
      <c r="B721" t="s">
        <v>375</v>
      </c>
      <c r="D721" s="110" t="s">
        <v>6580</v>
      </c>
      <c r="E721" t="s">
        <v>4802</v>
      </c>
    </row>
    <row r="722" spans="2:5" x14ac:dyDescent="0.2">
      <c r="B722" t="s">
        <v>376</v>
      </c>
      <c r="D722" s="110" t="s">
        <v>6580</v>
      </c>
      <c r="E722" t="s">
        <v>4803</v>
      </c>
    </row>
    <row r="723" spans="2:5" x14ac:dyDescent="0.2">
      <c r="B723" t="s">
        <v>377</v>
      </c>
      <c r="D723" s="110" t="s">
        <v>6580</v>
      </c>
      <c r="E723" t="s">
        <v>4804</v>
      </c>
    </row>
    <row r="724" spans="2:5" x14ac:dyDescent="0.2">
      <c r="B724" t="s">
        <v>378</v>
      </c>
      <c r="D724" s="110" t="s">
        <v>6580</v>
      </c>
      <c r="E724" t="s">
        <v>4805</v>
      </c>
    </row>
    <row r="725" spans="2:5" x14ac:dyDescent="0.2">
      <c r="B725" t="s">
        <v>379</v>
      </c>
      <c r="D725" s="110" t="s">
        <v>6580</v>
      </c>
      <c r="E725" t="s">
        <v>4806</v>
      </c>
    </row>
    <row r="726" spans="2:5" x14ac:dyDescent="0.2">
      <c r="B726" t="s">
        <v>380</v>
      </c>
      <c r="D726" s="110" t="s">
        <v>6580</v>
      </c>
      <c r="E726" t="s">
        <v>4807</v>
      </c>
    </row>
    <row r="727" spans="2:5" x14ac:dyDescent="0.2">
      <c r="B727" t="s">
        <v>381</v>
      </c>
      <c r="D727" s="110" t="s">
        <v>6580</v>
      </c>
      <c r="E727" t="s">
        <v>4808</v>
      </c>
    </row>
    <row r="728" spans="2:5" x14ac:dyDescent="0.2">
      <c r="B728" t="s">
        <v>382</v>
      </c>
      <c r="D728" s="110" t="s">
        <v>6580</v>
      </c>
      <c r="E728" t="s">
        <v>4809</v>
      </c>
    </row>
    <row r="729" spans="2:5" x14ac:dyDescent="0.2">
      <c r="B729" t="s">
        <v>383</v>
      </c>
      <c r="D729" s="110" t="s">
        <v>6580</v>
      </c>
      <c r="E729" t="s">
        <v>4810</v>
      </c>
    </row>
    <row r="730" spans="2:5" x14ac:dyDescent="0.2">
      <c r="B730" t="s">
        <v>384</v>
      </c>
      <c r="D730" s="110" t="s">
        <v>6580</v>
      </c>
      <c r="E730" t="s">
        <v>4811</v>
      </c>
    </row>
    <row r="731" spans="2:5" x14ac:dyDescent="0.2">
      <c r="B731" t="s">
        <v>385</v>
      </c>
      <c r="D731" s="110" t="s">
        <v>6580</v>
      </c>
      <c r="E731" t="s">
        <v>4812</v>
      </c>
    </row>
    <row r="732" spans="2:5" x14ac:dyDescent="0.2">
      <c r="B732" t="s">
        <v>386</v>
      </c>
      <c r="D732" s="110" t="s">
        <v>6580</v>
      </c>
      <c r="E732" t="s">
        <v>4813</v>
      </c>
    </row>
    <row r="733" spans="2:5" x14ac:dyDescent="0.2">
      <c r="B733" t="s">
        <v>387</v>
      </c>
      <c r="D733" s="110" t="s">
        <v>6580</v>
      </c>
      <c r="E733" t="s">
        <v>4814</v>
      </c>
    </row>
    <row r="734" spans="2:5" x14ac:dyDescent="0.2">
      <c r="B734" t="s">
        <v>388</v>
      </c>
      <c r="D734" s="110" t="s">
        <v>6580</v>
      </c>
      <c r="E734" t="s">
        <v>4815</v>
      </c>
    </row>
    <row r="735" spans="2:5" x14ac:dyDescent="0.2">
      <c r="B735" t="s">
        <v>389</v>
      </c>
      <c r="D735" s="110" t="s">
        <v>6580</v>
      </c>
      <c r="E735" t="s">
        <v>4816</v>
      </c>
    </row>
    <row r="736" spans="2:5" x14ac:dyDescent="0.2">
      <c r="B736" t="s">
        <v>390</v>
      </c>
      <c r="D736" s="110" t="s">
        <v>6580</v>
      </c>
      <c r="E736" t="s">
        <v>4817</v>
      </c>
    </row>
    <row r="737" spans="2:5" x14ac:dyDescent="0.2">
      <c r="B737" t="s">
        <v>391</v>
      </c>
      <c r="D737" s="110" t="s">
        <v>6580</v>
      </c>
      <c r="E737" t="s">
        <v>4818</v>
      </c>
    </row>
    <row r="738" spans="2:5" x14ac:dyDescent="0.2">
      <c r="B738" t="s">
        <v>392</v>
      </c>
      <c r="D738" s="110" t="s">
        <v>6580</v>
      </c>
      <c r="E738" t="s">
        <v>4819</v>
      </c>
    </row>
    <row r="739" spans="2:5" x14ac:dyDescent="0.2">
      <c r="B739" t="s">
        <v>393</v>
      </c>
      <c r="D739" s="110" t="s">
        <v>6580</v>
      </c>
      <c r="E739" t="s">
        <v>4820</v>
      </c>
    </row>
    <row r="740" spans="2:5" x14ac:dyDescent="0.2">
      <c r="B740" t="s">
        <v>394</v>
      </c>
      <c r="D740" s="110" t="s">
        <v>6580</v>
      </c>
      <c r="E740" t="s">
        <v>4821</v>
      </c>
    </row>
    <row r="741" spans="2:5" x14ac:dyDescent="0.2">
      <c r="B741" t="s">
        <v>395</v>
      </c>
      <c r="D741" s="110" t="s">
        <v>6580</v>
      </c>
      <c r="E741" t="s">
        <v>4822</v>
      </c>
    </row>
    <row r="742" spans="2:5" x14ac:dyDescent="0.2">
      <c r="B742" t="s">
        <v>396</v>
      </c>
      <c r="D742" s="110" t="s">
        <v>6580</v>
      </c>
      <c r="E742" t="s">
        <v>4823</v>
      </c>
    </row>
    <row r="743" spans="2:5" x14ac:dyDescent="0.2">
      <c r="B743" t="s">
        <v>397</v>
      </c>
      <c r="D743" s="110" t="s">
        <v>6580</v>
      </c>
      <c r="E743" t="s">
        <v>4824</v>
      </c>
    </row>
    <row r="744" spans="2:5" x14ac:dyDescent="0.2">
      <c r="B744" t="s">
        <v>398</v>
      </c>
      <c r="D744" s="110" t="s">
        <v>6580</v>
      </c>
      <c r="E744" t="s">
        <v>4825</v>
      </c>
    </row>
    <row r="745" spans="2:5" x14ac:dyDescent="0.2">
      <c r="B745" t="s">
        <v>399</v>
      </c>
      <c r="D745" s="110" t="s">
        <v>6580</v>
      </c>
      <c r="E745" t="s">
        <v>4826</v>
      </c>
    </row>
    <row r="746" spans="2:5" x14ac:dyDescent="0.2">
      <c r="B746" t="s">
        <v>400</v>
      </c>
      <c r="D746" s="110" t="s">
        <v>6580</v>
      </c>
      <c r="E746" t="s">
        <v>4827</v>
      </c>
    </row>
    <row r="747" spans="2:5" x14ac:dyDescent="0.2">
      <c r="B747" t="s">
        <v>401</v>
      </c>
      <c r="D747" s="110" t="s">
        <v>6580</v>
      </c>
      <c r="E747" t="s">
        <v>4828</v>
      </c>
    </row>
    <row r="748" spans="2:5" x14ac:dyDescent="0.2">
      <c r="B748" t="s">
        <v>402</v>
      </c>
      <c r="D748" s="110" t="s">
        <v>6580</v>
      </c>
      <c r="E748" t="s">
        <v>4829</v>
      </c>
    </row>
    <row r="749" spans="2:5" x14ac:dyDescent="0.2">
      <c r="B749" t="s">
        <v>403</v>
      </c>
      <c r="D749" s="110" t="s">
        <v>6580</v>
      </c>
      <c r="E749" t="s">
        <v>4830</v>
      </c>
    </row>
    <row r="750" spans="2:5" x14ac:dyDescent="0.2">
      <c r="B750" t="s">
        <v>404</v>
      </c>
      <c r="D750" s="110" t="s">
        <v>6580</v>
      </c>
      <c r="E750" t="s">
        <v>4457</v>
      </c>
    </row>
    <row r="751" spans="2:5" x14ac:dyDescent="0.2">
      <c r="B751" t="s">
        <v>405</v>
      </c>
      <c r="D751" s="110" t="s">
        <v>6580</v>
      </c>
      <c r="E751" t="s">
        <v>4458</v>
      </c>
    </row>
    <row r="752" spans="2:5" x14ac:dyDescent="0.2">
      <c r="B752" t="s">
        <v>406</v>
      </c>
      <c r="D752" s="110" t="s">
        <v>6580</v>
      </c>
      <c r="E752" t="s">
        <v>4831</v>
      </c>
    </row>
    <row r="753" spans="2:5" x14ac:dyDescent="0.2">
      <c r="B753" t="s">
        <v>407</v>
      </c>
      <c r="D753" s="110" t="s">
        <v>6582</v>
      </c>
      <c r="E753" t="s">
        <v>4832</v>
      </c>
    </row>
    <row r="754" spans="2:5" x14ac:dyDescent="0.2">
      <c r="B754" t="s">
        <v>408</v>
      </c>
      <c r="D754" s="110" t="s">
        <v>6580</v>
      </c>
      <c r="E754" t="s">
        <v>4833</v>
      </c>
    </row>
    <row r="755" spans="2:5" x14ac:dyDescent="0.2">
      <c r="B755" t="s">
        <v>409</v>
      </c>
      <c r="D755" s="110" t="s">
        <v>6580</v>
      </c>
      <c r="E755" t="s">
        <v>4834</v>
      </c>
    </row>
    <row r="756" spans="2:5" x14ac:dyDescent="0.2">
      <c r="B756" t="s">
        <v>410</v>
      </c>
      <c r="D756" s="110" t="s">
        <v>6580</v>
      </c>
      <c r="E756" t="s">
        <v>4835</v>
      </c>
    </row>
    <row r="757" spans="2:5" x14ac:dyDescent="0.2">
      <c r="B757" t="s">
        <v>411</v>
      </c>
      <c r="D757" s="110" t="s">
        <v>6580</v>
      </c>
      <c r="E757" t="s">
        <v>4836</v>
      </c>
    </row>
    <row r="758" spans="2:5" x14ac:dyDescent="0.2">
      <c r="B758" t="s">
        <v>412</v>
      </c>
      <c r="D758" s="110" t="s">
        <v>6580</v>
      </c>
      <c r="E758" t="s">
        <v>4837</v>
      </c>
    </row>
    <row r="759" spans="2:5" x14ac:dyDescent="0.2">
      <c r="B759" t="s">
        <v>413</v>
      </c>
      <c r="D759" s="110" t="s">
        <v>6580</v>
      </c>
      <c r="E759" t="s">
        <v>4838</v>
      </c>
    </row>
    <row r="760" spans="2:5" x14ac:dyDescent="0.2">
      <c r="B760" t="s">
        <v>414</v>
      </c>
      <c r="D760" s="110" t="s">
        <v>6580</v>
      </c>
      <c r="E760" t="s">
        <v>4839</v>
      </c>
    </row>
    <row r="761" spans="2:5" x14ac:dyDescent="0.2">
      <c r="B761" t="s">
        <v>415</v>
      </c>
      <c r="D761" s="110" t="s">
        <v>6580</v>
      </c>
      <c r="E761" t="s">
        <v>4840</v>
      </c>
    </row>
    <row r="762" spans="2:5" x14ac:dyDescent="0.2">
      <c r="B762" t="s">
        <v>416</v>
      </c>
      <c r="D762" s="110" t="s">
        <v>6580</v>
      </c>
      <c r="E762" t="s">
        <v>4841</v>
      </c>
    </row>
    <row r="763" spans="2:5" x14ac:dyDescent="0.2">
      <c r="B763" t="s">
        <v>417</v>
      </c>
      <c r="D763" s="110" t="s">
        <v>6580</v>
      </c>
      <c r="E763" t="s">
        <v>4842</v>
      </c>
    </row>
    <row r="764" spans="2:5" x14ac:dyDescent="0.2">
      <c r="B764" t="s">
        <v>418</v>
      </c>
      <c r="D764" s="110" t="s">
        <v>6580</v>
      </c>
      <c r="E764" t="s">
        <v>4843</v>
      </c>
    </row>
    <row r="765" spans="2:5" x14ac:dyDescent="0.2">
      <c r="B765" t="s">
        <v>419</v>
      </c>
      <c r="D765" s="110" t="s">
        <v>6580</v>
      </c>
      <c r="E765" t="s">
        <v>4844</v>
      </c>
    </row>
    <row r="766" spans="2:5" x14ac:dyDescent="0.2">
      <c r="B766" t="s">
        <v>420</v>
      </c>
      <c r="D766" s="110" t="s">
        <v>6580</v>
      </c>
      <c r="E766" t="s">
        <v>4845</v>
      </c>
    </row>
    <row r="767" spans="2:5" x14ac:dyDescent="0.2">
      <c r="B767" t="s">
        <v>421</v>
      </c>
      <c r="D767" s="110" t="s">
        <v>6580</v>
      </c>
      <c r="E767" t="s">
        <v>4846</v>
      </c>
    </row>
    <row r="768" spans="2:5" x14ac:dyDescent="0.2">
      <c r="B768" t="s">
        <v>422</v>
      </c>
      <c r="D768" s="110" t="s">
        <v>6580</v>
      </c>
      <c r="E768" t="s">
        <v>4847</v>
      </c>
    </row>
    <row r="769" spans="2:5" x14ac:dyDescent="0.2">
      <c r="B769" t="s">
        <v>423</v>
      </c>
      <c r="D769" s="110" t="s">
        <v>6580</v>
      </c>
      <c r="E769" t="s">
        <v>4848</v>
      </c>
    </row>
    <row r="770" spans="2:5" x14ac:dyDescent="0.2">
      <c r="B770" t="s">
        <v>424</v>
      </c>
      <c r="D770" s="110" t="s">
        <v>6580</v>
      </c>
      <c r="E770" t="s">
        <v>4849</v>
      </c>
    </row>
    <row r="771" spans="2:5" x14ac:dyDescent="0.2">
      <c r="B771" t="s">
        <v>425</v>
      </c>
      <c r="D771" s="110" t="s">
        <v>6580</v>
      </c>
      <c r="E771" t="s">
        <v>4850</v>
      </c>
    </row>
    <row r="772" spans="2:5" x14ac:dyDescent="0.2">
      <c r="B772" t="s">
        <v>426</v>
      </c>
      <c r="D772" s="110" t="s">
        <v>6580</v>
      </c>
      <c r="E772" t="s">
        <v>4851</v>
      </c>
    </row>
    <row r="773" spans="2:5" x14ac:dyDescent="0.2">
      <c r="B773" t="s">
        <v>427</v>
      </c>
      <c r="D773" s="110" t="s">
        <v>6580</v>
      </c>
      <c r="E773" t="s">
        <v>4852</v>
      </c>
    </row>
    <row r="774" spans="2:5" x14ac:dyDescent="0.2">
      <c r="B774" t="s">
        <v>428</v>
      </c>
      <c r="D774" s="110" t="s">
        <v>6580</v>
      </c>
      <c r="E774" t="s">
        <v>4853</v>
      </c>
    </row>
    <row r="775" spans="2:5" x14ac:dyDescent="0.2">
      <c r="B775" t="s">
        <v>429</v>
      </c>
      <c r="D775" s="110" t="s">
        <v>6580</v>
      </c>
      <c r="E775" t="s">
        <v>4854</v>
      </c>
    </row>
    <row r="776" spans="2:5" x14ac:dyDescent="0.2">
      <c r="B776" t="s">
        <v>430</v>
      </c>
      <c r="D776" s="110" t="s">
        <v>6580</v>
      </c>
      <c r="E776" t="s">
        <v>4855</v>
      </c>
    </row>
    <row r="777" spans="2:5" x14ac:dyDescent="0.2">
      <c r="B777" t="s">
        <v>431</v>
      </c>
      <c r="D777" s="110" t="s">
        <v>6580</v>
      </c>
      <c r="E777" t="s">
        <v>4856</v>
      </c>
    </row>
    <row r="778" spans="2:5" x14ac:dyDescent="0.2">
      <c r="B778" t="s">
        <v>432</v>
      </c>
      <c r="D778" s="110" t="s">
        <v>6580</v>
      </c>
      <c r="E778" t="s">
        <v>4857</v>
      </c>
    </row>
    <row r="779" spans="2:5" x14ac:dyDescent="0.2">
      <c r="B779" t="s">
        <v>433</v>
      </c>
      <c r="D779" s="110" t="s">
        <v>6580</v>
      </c>
      <c r="E779" t="s">
        <v>4858</v>
      </c>
    </row>
    <row r="780" spans="2:5" x14ac:dyDescent="0.2">
      <c r="B780" t="s">
        <v>434</v>
      </c>
      <c r="D780" s="110" t="s">
        <v>6580</v>
      </c>
      <c r="E780" t="s">
        <v>4859</v>
      </c>
    </row>
    <row r="781" spans="2:5" x14ac:dyDescent="0.2">
      <c r="B781" t="s">
        <v>435</v>
      </c>
      <c r="D781" s="110" t="s">
        <v>6580</v>
      </c>
      <c r="E781" t="s">
        <v>4860</v>
      </c>
    </row>
    <row r="782" spans="2:5" x14ac:dyDescent="0.2">
      <c r="B782" t="s">
        <v>436</v>
      </c>
      <c r="D782" s="110" t="s">
        <v>6580</v>
      </c>
      <c r="E782" t="s">
        <v>4861</v>
      </c>
    </row>
    <row r="783" spans="2:5" x14ac:dyDescent="0.2">
      <c r="B783" t="s">
        <v>437</v>
      </c>
      <c r="D783" s="110" t="s">
        <v>6580</v>
      </c>
      <c r="E783" t="s">
        <v>4862</v>
      </c>
    </row>
    <row r="784" spans="2:5" x14ac:dyDescent="0.2">
      <c r="B784" t="s">
        <v>438</v>
      </c>
      <c r="D784" s="110" t="s">
        <v>6580</v>
      </c>
      <c r="E784" t="s">
        <v>4863</v>
      </c>
    </row>
    <row r="785" spans="2:5" x14ac:dyDescent="0.2">
      <c r="B785" t="s">
        <v>439</v>
      </c>
      <c r="D785" s="110" t="s">
        <v>6580</v>
      </c>
      <c r="E785" t="s">
        <v>4864</v>
      </c>
    </row>
    <row r="786" spans="2:5" x14ac:dyDescent="0.2">
      <c r="B786" t="s">
        <v>440</v>
      </c>
      <c r="D786" s="110" t="s">
        <v>6580</v>
      </c>
      <c r="E786" t="s">
        <v>4865</v>
      </c>
    </row>
    <row r="787" spans="2:5" x14ac:dyDescent="0.2">
      <c r="B787" t="s">
        <v>441</v>
      </c>
      <c r="D787" s="110" t="s">
        <v>6580</v>
      </c>
      <c r="E787" t="s">
        <v>4866</v>
      </c>
    </row>
    <row r="788" spans="2:5" x14ac:dyDescent="0.2">
      <c r="B788" t="s">
        <v>442</v>
      </c>
      <c r="D788" s="110" t="s">
        <v>6580</v>
      </c>
      <c r="E788" t="s">
        <v>4867</v>
      </c>
    </row>
    <row r="789" spans="2:5" x14ac:dyDescent="0.2">
      <c r="B789" t="s">
        <v>443</v>
      </c>
      <c r="D789" s="110" t="s">
        <v>6580</v>
      </c>
      <c r="E789" t="s">
        <v>4868</v>
      </c>
    </row>
    <row r="790" spans="2:5" x14ac:dyDescent="0.2">
      <c r="B790" t="s">
        <v>444</v>
      </c>
      <c r="D790" s="110" t="s">
        <v>6580</v>
      </c>
      <c r="E790" t="s">
        <v>4869</v>
      </c>
    </row>
    <row r="791" spans="2:5" x14ac:dyDescent="0.2">
      <c r="B791" t="s">
        <v>445</v>
      </c>
      <c r="D791" s="110" t="s">
        <v>6582</v>
      </c>
      <c r="E791" t="s">
        <v>4870</v>
      </c>
    </row>
    <row r="792" spans="2:5" x14ac:dyDescent="0.2">
      <c r="B792" t="s">
        <v>352</v>
      </c>
      <c r="D792" s="110" t="s">
        <v>6580</v>
      </c>
      <c r="E792" t="s">
        <v>4871</v>
      </c>
    </row>
    <row r="793" spans="2:5" x14ac:dyDescent="0.2">
      <c r="B793" t="s">
        <v>351</v>
      </c>
      <c r="D793" s="110" t="s">
        <v>6580</v>
      </c>
      <c r="E793" t="s">
        <v>4872</v>
      </c>
    </row>
    <row r="794" spans="2:5" x14ac:dyDescent="0.2">
      <c r="B794" t="s">
        <v>353</v>
      </c>
      <c r="D794" s="110" t="s">
        <v>6580</v>
      </c>
      <c r="E794" t="s">
        <v>4873</v>
      </c>
    </row>
    <row r="795" spans="2:5" x14ac:dyDescent="0.2">
      <c r="B795" t="s">
        <v>348</v>
      </c>
      <c r="D795" s="110" t="s">
        <v>6580</v>
      </c>
      <c r="E795" t="s">
        <v>4874</v>
      </c>
    </row>
    <row r="796" spans="2:5" x14ac:dyDescent="0.2">
      <c r="B796" t="s">
        <v>346</v>
      </c>
      <c r="D796" s="110" t="s">
        <v>6580</v>
      </c>
      <c r="E796" t="s">
        <v>4875</v>
      </c>
    </row>
    <row r="797" spans="2:5" x14ac:dyDescent="0.2">
      <c r="B797" t="s">
        <v>350</v>
      </c>
      <c r="D797" s="110" t="s">
        <v>6580</v>
      </c>
      <c r="E797" t="s">
        <v>4876</v>
      </c>
    </row>
    <row r="798" spans="2:5" x14ac:dyDescent="0.2">
      <c r="B798" t="s">
        <v>345</v>
      </c>
      <c r="D798" s="110" t="s">
        <v>6580</v>
      </c>
      <c r="E798" t="s">
        <v>4877</v>
      </c>
    </row>
    <row r="799" spans="2:5" x14ac:dyDescent="0.2">
      <c r="B799" t="s">
        <v>349</v>
      </c>
      <c r="D799" s="110" t="s">
        <v>6580</v>
      </c>
      <c r="E799" t="s">
        <v>4878</v>
      </c>
    </row>
    <row r="800" spans="2:5" x14ac:dyDescent="0.2">
      <c r="B800" t="s">
        <v>347</v>
      </c>
      <c r="D800" s="110" t="s">
        <v>6580</v>
      </c>
      <c r="E800" t="s">
        <v>4879</v>
      </c>
    </row>
    <row r="801" spans="2:5" x14ac:dyDescent="0.2">
      <c r="B801" t="s">
        <v>341</v>
      </c>
      <c r="D801" s="110" t="s">
        <v>6580</v>
      </c>
      <c r="E801" t="s">
        <v>4880</v>
      </c>
    </row>
    <row r="802" spans="2:5" x14ac:dyDescent="0.2">
      <c r="B802" t="s">
        <v>334</v>
      </c>
      <c r="D802" s="110" t="s">
        <v>6580</v>
      </c>
      <c r="E802" t="s">
        <v>4881</v>
      </c>
    </row>
    <row r="803" spans="2:5" x14ac:dyDescent="0.2">
      <c r="B803" t="s">
        <v>339</v>
      </c>
      <c r="D803" s="110" t="s">
        <v>6580</v>
      </c>
      <c r="E803" t="s">
        <v>4882</v>
      </c>
    </row>
    <row r="804" spans="2:5" x14ac:dyDescent="0.2">
      <c r="B804" t="s">
        <v>343</v>
      </c>
      <c r="D804" s="110" t="s">
        <v>6580</v>
      </c>
      <c r="E804" t="s">
        <v>4883</v>
      </c>
    </row>
    <row r="805" spans="2:5" x14ac:dyDescent="0.2">
      <c r="B805" t="s">
        <v>342</v>
      </c>
      <c r="D805" s="110" t="s">
        <v>6580</v>
      </c>
      <c r="E805" t="s">
        <v>4884</v>
      </c>
    </row>
    <row r="806" spans="2:5" x14ac:dyDescent="0.2">
      <c r="B806" t="s">
        <v>340</v>
      </c>
      <c r="D806" s="110" t="s">
        <v>6580</v>
      </c>
      <c r="E806" t="s">
        <v>4885</v>
      </c>
    </row>
    <row r="807" spans="2:5" x14ac:dyDescent="0.2">
      <c r="B807" t="s">
        <v>337</v>
      </c>
      <c r="D807" s="110" t="s">
        <v>6580</v>
      </c>
      <c r="E807" t="s">
        <v>4886</v>
      </c>
    </row>
    <row r="808" spans="2:5" x14ac:dyDescent="0.2">
      <c r="B808" t="s">
        <v>336</v>
      </c>
      <c r="D808" s="110" t="s">
        <v>6580</v>
      </c>
      <c r="E808" t="s">
        <v>4887</v>
      </c>
    </row>
    <row r="809" spans="2:5" x14ac:dyDescent="0.2">
      <c r="B809" t="s">
        <v>338</v>
      </c>
      <c r="D809" s="110" t="s">
        <v>6580</v>
      </c>
      <c r="E809" t="s">
        <v>4888</v>
      </c>
    </row>
    <row r="810" spans="2:5" x14ac:dyDescent="0.2">
      <c r="B810" t="s">
        <v>344</v>
      </c>
      <c r="D810" s="110" t="s">
        <v>6580</v>
      </c>
      <c r="E810" t="s">
        <v>4889</v>
      </c>
    </row>
    <row r="811" spans="2:5" x14ac:dyDescent="0.2">
      <c r="B811" t="s">
        <v>335</v>
      </c>
      <c r="D811" s="110" t="s">
        <v>6580</v>
      </c>
      <c r="E811" t="s">
        <v>4890</v>
      </c>
    </row>
    <row r="812" spans="2:5" x14ac:dyDescent="0.2">
      <c r="B812" t="s">
        <v>325</v>
      </c>
      <c r="D812" s="110" t="s">
        <v>6580</v>
      </c>
      <c r="E812" t="s">
        <v>4891</v>
      </c>
    </row>
    <row r="813" spans="2:5" x14ac:dyDescent="0.2">
      <c r="B813" t="s">
        <v>333</v>
      </c>
      <c r="D813" s="110" t="s">
        <v>6580</v>
      </c>
      <c r="E813" t="s">
        <v>4892</v>
      </c>
    </row>
    <row r="814" spans="2:5" x14ac:dyDescent="0.2">
      <c r="B814" t="s">
        <v>326</v>
      </c>
      <c r="D814" s="110" t="s">
        <v>6580</v>
      </c>
      <c r="E814" t="s">
        <v>4893</v>
      </c>
    </row>
    <row r="815" spans="2:5" x14ac:dyDescent="0.2">
      <c r="B815" t="s">
        <v>327</v>
      </c>
      <c r="D815" s="110" t="s">
        <v>6580</v>
      </c>
      <c r="E815" t="s">
        <v>4894</v>
      </c>
    </row>
    <row r="816" spans="2:5" x14ac:dyDescent="0.2">
      <c r="B816" t="s">
        <v>328</v>
      </c>
      <c r="D816" s="110" t="s">
        <v>6580</v>
      </c>
      <c r="E816" t="s">
        <v>4895</v>
      </c>
    </row>
    <row r="817" spans="2:5" x14ac:dyDescent="0.2">
      <c r="B817" t="s">
        <v>329</v>
      </c>
      <c r="D817" s="110" t="s">
        <v>6580</v>
      </c>
      <c r="E817" t="s">
        <v>4896</v>
      </c>
    </row>
    <row r="818" spans="2:5" x14ac:dyDescent="0.2">
      <c r="B818" t="s">
        <v>330</v>
      </c>
      <c r="D818" s="110" t="s">
        <v>6580</v>
      </c>
      <c r="E818" t="s">
        <v>4897</v>
      </c>
    </row>
    <row r="819" spans="2:5" x14ac:dyDescent="0.2">
      <c r="B819" t="s">
        <v>331</v>
      </c>
      <c r="D819" s="110" t="s">
        <v>6580</v>
      </c>
      <c r="E819" t="s">
        <v>4898</v>
      </c>
    </row>
    <row r="820" spans="2:5" x14ac:dyDescent="0.2">
      <c r="B820" t="s">
        <v>332</v>
      </c>
      <c r="D820" s="110" t="s">
        <v>6580</v>
      </c>
      <c r="E820" t="s">
        <v>4899</v>
      </c>
    </row>
    <row r="821" spans="2:5" x14ac:dyDescent="0.2">
      <c r="B821" t="s">
        <v>1517</v>
      </c>
      <c r="C821" t="s">
        <v>4900</v>
      </c>
      <c r="D821" s="110" t="s">
        <v>6580</v>
      </c>
      <c r="E821" t="s">
        <v>4901</v>
      </c>
    </row>
    <row r="822" spans="2:5" x14ac:dyDescent="0.2">
      <c r="B822" t="s">
        <v>1516</v>
      </c>
      <c r="C822" t="s">
        <v>4900</v>
      </c>
      <c r="D822" s="110" t="s">
        <v>6580</v>
      </c>
      <c r="E822" t="s">
        <v>4902</v>
      </c>
    </row>
    <row r="823" spans="2:5" x14ac:dyDescent="0.2">
      <c r="B823" t="s">
        <v>1518</v>
      </c>
      <c r="C823" t="s">
        <v>4900</v>
      </c>
      <c r="D823" s="110" t="s">
        <v>6580</v>
      </c>
      <c r="E823" t="s">
        <v>4903</v>
      </c>
    </row>
    <row r="824" spans="2:5" x14ac:dyDescent="0.2">
      <c r="B824" t="s">
        <v>323</v>
      </c>
      <c r="D824" s="120" t="s">
        <v>1066</v>
      </c>
      <c r="E824" t="s">
        <v>4904</v>
      </c>
    </row>
    <row r="825" spans="2:5" x14ac:dyDescent="0.2">
      <c r="B825" t="s">
        <v>4905</v>
      </c>
      <c r="D825" s="120" t="s">
        <v>1474</v>
      </c>
      <c r="E825" t="s">
        <v>4906</v>
      </c>
    </row>
    <row r="826" spans="2:5" x14ac:dyDescent="0.2">
      <c r="B826" t="s">
        <v>318</v>
      </c>
      <c r="C826" s="109"/>
      <c r="D826" s="120" t="s">
        <v>1061</v>
      </c>
      <c r="E826" t="s">
        <v>4907</v>
      </c>
    </row>
    <row r="827" spans="2:5" x14ac:dyDescent="0.2">
      <c r="B827" t="s">
        <v>4908</v>
      </c>
      <c r="C827" s="109"/>
      <c r="D827" s="120" t="s">
        <v>1476</v>
      </c>
      <c r="E827" t="s">
        <v>4909</v>
      </c>
    </row>
    <row r="828" spans="2:5" x14ac:dyDescent="0.2">
      <c r="B828" t="s">
        <v>4910</v>
      </c>
      <c r="C828" s="109"/>
      <c r="D828" s="120" t="s">
        <v>1472</v>
      </c>
      <c r="E828" t="s">
        <v>4911</v>
      </c>
    </row>
    <row r="829" spans="2:5" x14ac:dyDescent="0.2">
      <c r="B829" t="s">
        <v>4912</v>
      </c>
      <c r="C829" s="109"/>
      <c r="D829" s="120" t="s">
        <v>1465</v>
      </c>
      <c r="E829" t="s">
        <v>4913</v>
      </c>
    </row>
    <row r="830" spans="2:5" x14ac:dyDescent="0.2">
      <c r="B830" t="s">
        <v>321</v>
      </c>
      <c r="C830" s="109"/>
      <c r="D830" s="120" t="s">
        <v>1063</v>
      </c>
      <c r="E830" t="s">
        <v>4914</v>
      </c>
    </row>
    <row r="831" spans="2:5" x14ac:dyDescent="0.2">
      <c r="B831" t="s">
        <v>322</v>
      </c>
      <c r="C831" s="109"/>
      <c r="D831" s="120" t="s">
        <v>1064</v>
      </c>
      <c r="E831" t="s">
        <v>4915</v>
      </c>
    </row>
    <row r="832" spans="2:5" x14ac:dyDescent="0.2">
      <c r="B832" t="s">
        <v>4916</v>
      </c>
      <c r="C832" s="109"/>
      <c r="D832" s="110" t="s">
        <v>6582</v>
      </c>
      <c r="E832" t="s">
        <v>4917</v>
      </c>
    </row>
    <row r="833" spans="2:5" x14ac:dyDescent="0.2">
      <c r="B833" t="s">
        <v>4918</v>
      </c>
      <c r="C833" s="109"/>
      <c r="D833" s="120" t="s">
        <v>1457</v>
      </c>
      <c r="E833" t="s">
        <v>4919</v>
      </c>
    </row>
    <row r="834" spans="2:5" x14ac:dyDescent="0.2">
      <c r="B834" t="s">
        <v>4920</v>
      </c>
      <c r="C834" s="109"/>
      <c r="D834" s="120" t="s">
        <v>1456</v>
      </c>
      <c r="E834" t="s">
        <v>4921</v>
      </c>
    </row>
    <row r="835" spans="2:5" x14ac:dyDescent="0.2">
      <c r="B835" t="s">
        <v>4922</v>
      </c>
      <c r="C835" s="109"/>
      <c r="D835" s="120" t="s">
        <v>1477</v>
      </c>
      <c r="E835" t="s">
        <v>4923</v>
      </c>
    </row>
    <row r="836" spans="2:5" x14ac:dyDescent="0.2">
      <c r="B836" t="s">
        <v>4924</v>
      </c>
      <c r="C836" s="109"/>
      <c r="D836" s="120" t="s">
        <v>1475</v>
      </c>
      <c r="E836" t="s">
        <v>4925</v>
      </c>
    </row>
    <row r="837" spans="2:5" x14ac:dyDescent="0.2">
      <c r="B837" t="s">
        <v>319</v>
      </c>
      <c r="C837" s="109"/>
      <c r="D837" s="120" t="s">
        <v>1062</v>
      </c>
      <c r="E837" t="s">
        <v>4926</v>
      </c>
    </row>
    <row r="838" spans="2:5" x14ac:dyDescent="0.2">
      <c r="B838" t="s">
        <v>320</v>
      </c>
      <c r="C838" s="109"/>
      <c r="D838" s="120" t="s">
        <v>3270</v>
      </c>
      <c r="E838" t="s">
        <v>4927</v>
      </c>
    </row>
    <row r="839" spans="2:5" x14ac:dyDescent="0.2">
      <c r="B839" t="s">
        <v>4928</v>
      </c>
      <c r="C839" s="109"/>
      <c r="D839" s="120" t="s">
        <v>3221</v>
      </c>
      <c r="E839" t="s">
        <v>4929</v>
      </c>
    </row>
    <row r="840" spans="2:5" x14ac:dyDescent="0.2">
      <c r="B840" t="s">
        <v>4930</v>
      </c>
      <c r="C840" s="109"/>
      <c r="D840" s="120" t="s">
        <v>3223</v>
      </c>
      <c r="E840" t="s">
        <v>4931</v>
      </c>
    </row>
    <row r="841" spans="2:5" x14ac:dyDescent="0.2">
      <c r="B841" t="s">
        <v>4932</v>
      </c>
      <c r="C841" s="109"/>
      <c r="D841" s="120" t="s">
        <v>3431</v>
      </c>
      <c r="E841" t="s">
        <v>4933</v>
      </c>
    </row>
    <row r="842" spans="2:5" x14ac:dyDescent="0.2">
      <c r="B842" t="s">
        <v>4934</v>
      </c>
      <c r="C842" s="109"/>
      <c r="D842" s="120" t="s">
        <v>3222</v>
      </c>
      <c r="E842" t="s">
        <v>4935</v>
      </c>
    </row>
    <row r="843" spans="2:5" x14ac:dyDescent="0.2">
      <c r="B843" t="s">
        <v>4936</v>
      </c>
      <c r="C843" s="109"/>
      <c r="D843" s="120" t="s">
        <v>3432</v>
      </c>
      <c r="E843" t="s">
        <v>4937</v>
      </c>
    </row>
    <row r="844" spans="2:5" x14ac:dyDescent="0.2">
      <c r="B844" t="s">
        <v>4938</v>
      </c>
      <c r="C844" s="109"/>
      <c r="D844" s="120" t="s">
        <v>1466</v>
      </c>
      <c r="E844" t="s">
        <v>4939</v>
      </c>
    </row>
    <row r="845" spans="2:5" x14ac:dyDescent="0.2">
      <c r="B845" t="s">
        <v>4940</v>
      </c>
      <c r="C845" s="109"/>
      <c r="D845" s="120" t="s">
        <v>1467</v>
      </c>
      <c r="E845" t="s">
        <v>4941</v>
      </c>
    </row>
    <row r="846" spans="2:5" x14ac:dyDescent="0.2">
      <c r="B846" t="s">
        <v>4942</v>
      </c>
      <c r="C846" s="109"/>
      <c r="D846" s="120" t="s">
        <v>1468</v>
      </c>
      <c r="E846" t="s">
        <v>4943</v>
      </c>
    </row>
    <row r="847" spans="2:5" x14ac:dyDescent="0.2">
      <c r="B847" t="s">
        <v>4944</v>
      </c>
      <c r="C847" s="109"/>
      <c r="D847" s="120" t="s">
        <v>1469</v>
      </c>
      <c r="E847" t="s">
        <v>4945</v>
      </c>
    </row>
    <row r="848" spans="2:5" x14ac:dyDescent="0.2">
      <c r="B848" t="s">
        <v>4946</v>
      </c>
      <c r="C848" s="109"/>
      <c r="D848" s="120" t="s">
        <v>1470</v>
      </c>
      <c r="E848" t="s">
        <v>4947</v>
      </c>
    </row>
    <row r="849" spans="2:5" x14ac:dyDescent="0.2">
      <c r="B849" t="s">
        <v>4948</v>
      </c>
      <c r="C849" s="109"/>
      <c r="D849" s="120" t="s">
        <v>1471</v>
      </c>
      <c r="E849" t="s">
        <v>4949</v>
      </c>
    </row>
    <row r="850" spans="2:5" x14ac:dyDescent="0.2">
      <c r="B850" t="s">
        <v>315</v>
      </c>
      <c r="C850" s="109"/>
      <c r="D850" s="120" t="s">
        <v>1058</v>
      </c>
      <c r="E850" t="s">
        <v>4950</v>
      </c>
    </row>
    <row r="851" spans="2:5" x14ac:dyDescent="0.2">
      <c r="B851" t="s">
        <v>4951</v>
      </c>
      <c r="C851" s="109"/>
      <c r="D851" s="120" t="s">
        <v>1458</v>
      </c>
      <c r="E851" t="s">
        <v>4952</v>
      </c>
    </row>
    <row r="852" spans="2:5" x14ac:dyDescent="0.2">
      <c r="B852" t="s">
        <v>4953</v>
      </c>
      <c r="C852" s="109"/>
      <c r="D852" s="120" t="s">
        <v>1459</v>
      </c>
      <c r="E852" t="s">
        <v>4954</v>
      </c>
    </row>
    <row r="853" spans="2:5" x14ac:dyDescent="0.2">
      <c r="B853" t="s">
        <v>4955</v>
      </c>
      <c r="C853" s="109"/>
      <c r="D853" s="120" t="s">
        <v>1460</v>
      </c>
      <c r="E853" t="s">
        <v>4956</v>
      </c>
    </row>
    <row r="854" spans="2:5" x14ac:dyDescent="0.2">
      <c r="B854" t="s">
        <v>4957</v>
      </c>
      <c r="C854" s="109"/>
      <c r="D854" s="120" t="s">
        <v>1461</v>
      </c>
      <c r="E854" t="s">
        <v>4958</v>
      </c>
    </row>
    <row r="855" spans="2:5" x14ac:dyDescent="0.2">
      <c r="B855" t="s">
        <v>4959</v>
      </c>
      <c r="C855" s="109"/>
      <c r="D855" s="120" t="s">
        <v>1462</v>
      </c>
      <c r="E855" t="s">
        <v>4960</v>
      </c>
    </row>
    <row r="856" spans="2:5" x14ac:dyDescent="0.2">
      <c r="B856" t="s">
        <v>4961</v>
      </c>
      <c r="C856" s="109"/>
      <c r="D856" s="120" t="s">
        <v>1463</v>
      </c>
      <c r="E856" t="s">
        <v>4962</v>
      </c>
    </row>
    <row r="857" spans="2:5" x14ac:dyDescent="0.2">
      <c r="B857" t="s">
        <v>4963</v>
      </c>
      <c r="C857" s="109"/>
      <c r="D857" s="120" t="s">
        <v>1464</v>
      </c>
      <c r="E857" t="s">
        <v>4964</v>
      </c>
    </row>
    <row r="858" spans="2:5" x14ac:dyDescent="0.2">
      <c r="B858" t="s">
        <v>317</v>
      </c>
      <c r="C858" s="109"/>
      <c r="D858" s="120" t="s">
        <v>1060</v>
      </c>
      <c r="E858" t="s">
        <v>4965</v>
      </c>
    </row>
    <row r="859" spans="2:5" x14ac:dyDescent="0.2">
      <c r="B859" t="s">
        <v>316</v>
      </c>
      <c r="C859" s="109"/>
      <c r="D859" s="120" t="s">
        <v>1059</v>
      </c>
      <c r="E859" t="s">
        <v>4966</v>
      </c>
    </row>
    <row r="860" spans="2:5" x14ac:dyDescent="0.2">
      <c r="B860" t="s">
        <v>4967</v>
      </c>
      <c r="C860" s="109"/>
      <c r="D860" s="110" t="s">
        <v>6582</v>
      </c>
      <c r="E860" t="s">
        <v>4968</v>
      </c>
    </row>
    <row r="861" spans="2:5" x14ac:dyDescent="0.2">
      <c r="B861" t="s">
        <v>756</v>
      </c>
      <c r="C861" s="109"/>
      <c r="D861" s="110" t="s">
        <v>6580</v>
      </c>
      <c r="E861" t="s">
        <v>4969</v>
      </c>
    </row>
    <row r="862" spans="2:5" x14ac:dyDescent="0.2">
      <c r="B862" t="s">
        <v>755</v>
      </c>
      <c r="C862" s="109"/>
      <c r="D862" s="110" t="s">
        <v>6580</v>
      </c>
      <c r="E862" t="s">
        <v>4970</v>
      </c>
    </row>
    <row r="863" spans="2:5" x14ac:dyDescent="0.2">
      <c r="B863" t="s">
        <v>754</v>
      </c>
      <c r="C863" s="109"/>
      <c r="D863" s="110" t="s">
        <v>6580</v>
      </c>
      <c r="E863" t="s">
        <v>4971</v>
      </c>
    </row>
    <row r="864" spans="2:5" x14ac:dyDescent="0.2">
      <c r="B864" t="s">
        <v>753</v>
      </c>
      <c r="C864" s="109"/>
      <c r="D864" s="110" t="s">
        <v>6580</v>
      </c>
      <c r="E864" t="s">
        <v>4972</v>
      </c>
    </row>
    <row r="865" spans="2:5" x14ac:dyDescent="0.2">
      <c r="B865" t="s">
        <v>312</v>
      </c>
      <c r="C865" s="109"/>
      <c r="D865" s="110" t="s">
        <v>6580</v>
      </c>
      <c r="E865" t="s">
        <v>4973</v>
      </c>
    </row>
    <row r="866" spans="2:5" x14ac:dyDescent="0.2">
      <c r="B866" t="s">
        <v>4974</v>
      </c>
      <c r="C866" s="109"/>
      <c r="D866" s="110" t="s">
        <v>6582</v>
      </c>
      <c r="E866" t="s">
        <v>4975</v>
      </c>
    </row>
    <row r="867" spans="2:5" x14ac:dyDescent="0.2">
      <c r="B867" t="s">
        <v>4976</v>
      </c>
      <c r="C867" s="109"/>
      <c r="D867" s="110" t="s">
        <v>6582</v>
      </c>
      <c r="E867" t="s">
        <v>4977</v>
      </c>
    </row>
    <row r="868" spans="2:5" x14ac:dyDescent="0.2">
      <c r="B868" t="s">
        <v>4978</v>
      </c>
      <c r="C868" s="109"/>
      <c r="D868" s="110" t="s">
        <v>6582</v>
      </c>
      <c r="E868" t="s">
        <v>4979</v>
      </c>
    </row>
    <row r="869" spans="2:5" x14ac:dyDescent="0.2">
      <c r="B869" t="s">
        <v>4980</v>
      </c>
      <c r="C869" s="109"/>
      <c r="D869" s="110" t="s">
        <v>6582</v>
      </c>
      <c r="E869" t="s">
        <v>4981</v>
      </c>
    </row>
    <row r="870" spans="2:5" x14ac:dyDescent="0.2">
      <c r="B870" t="s">
        <v>4982</v>
      </c>
      <c r="C870" s="109"/>
      <c r="D870" s="110" t="s">
        <v>6582</v>
      </c>
      <c r="E870" t="s">
        <v>4983</v>
      </c>
    </row>
    <row r="871" spans="2:5" x14ac:dyDescent="0.2">
      <c r="B871" t="s">
        <v>4984</v>
      </c>
      <c r="C871" s="109"/>
      <c r="D871" s="110" t="s">
        <v>6582</v>
      </c>
      <c r="E871" t="s">
        <v>4985</v>
      </c>
    </row>
    <row r="872" spans="2:5" x14ac:dyDescent="0.2">
      <c r="B872" t="s">
        <v>4986</v>
      </c>
      <c r="C872" s="109"/>
      <c r="D872" s="110" t="s">
        <v>6582</v>
      </c>
      <c r="E872" t="s">
        <v>4987</v>
      </c>
    </row>
    <row r="873" spans="2:5" x14ac:dyDescent="0.2">
      <c r="B873" t="s">
        <v>4988</v>
      </c>
      <c r="C873" s="109"/>
      <c r="D873" s="110" t="s">
        <v>6582</v>
      </c>
      <c r="E873" t="s">
        <v>4989</v>
      </c>
    </row>
    <row r="874" spans="2:5" x14ac:dyDescent="0.2">
      <c r="B874" t="s">
        <v>4990</v>
      </c>
      <c r="C874" s="109"/>
      <c r="D874" s="110" t="s">
        <v>6582</v>
      </c>
      <c r="E874" t="s">
        <v>4991</v>
      </c>
    </row>
    <row r="875" spans="2:5" x14ac:dyDescent="0.2">
      <c r="B875" t="s">
        <v>4992</v>
      </c>
      <c r="C875" s="109"/>
      <c r="D875" s="110" t="s">
        <v>6582</v>
      </c>
      <c r="E875" t="s">
        <v>4993</v>
      </c>
    </row>
    <row r="876" spans="2:5" x14ac:dyDescent="0.2">
      <c r="B876" t="s">
        <v>4994</v>
      </c>
      <c r="C876" s="109"/>
      <c r="D876" s="110" t="s">
        <v>6582</v>
      </c>
      <c r="E876" t="s">
        <v>4995</v>
      </c>
    </row>
    <row r="877" spans="2:5" x14ac:dyDescent="0.2">
      <c r="B877" t="s">
        <v>4996</v>
      </c>
      <c r="C877" s="109"/>
      <c r="D877" s="110" t="s">
        <v>6582</v>
      </c>
      <c r="E877" t="s">
        <v>4997</v>
      </c>
    </row>
    <row r="878" spans="2:5" x14ac:dyDescent="0.2">
      <c r="B878" t="s">
        <v>4998</v>
      </c>
      <c r="C878" s="109"/>
      <c r="D878" s="110" t="s">
        <v>6582</v>
      </c>
      <c r="E878" t="s">
        <v>4999</v>
      </c>
    </row>
    <row r="879" spans="2:5" x14ac:dyDescent="0.2">
      <c r="B879" t="s">
        <v>5000</v>
      </c>
      <c r="C879" s="109"/>
      <c r="D879" s="110" t="s">
        <v>6582</v>
      </c>
      <c r="E879" t="s">
        <v>5001</v>
      </c>
    </row>
    <row r="880" spans="2:5" x14ac:dyDescent="0.2">
      <c r="B880" t="s">
        <v>5002</v>
      </c>
      <c r="C880" s="109"/>
      <c r="D880" s="110" t="s">
        <v>6582</v>
      </c>
      <c r="E880" t="s">
        <v>5003</v>
      </c>
    </row>
    <row r="881" spans="2:5" x14ac:dyDescent="0.2">
      <c r="B881" t="s">
        <v>5004</v>
      </c>
      <c r="C881" s="109"/>
      <c r="D881" s="110" t="s">
        <v>6582</v>
      </c>
      <c r="E881" t="s">
        <v>5005</v>
      </c>
    </row>
    <row r="882" spans="2:5" x14ac:dyDescent="0.2">
      <c r="B882" t="s">
        <v>5006</v>
      </c>
      <c r="C882" s="109"/>
      <c r="D882" s="110" t="s">
        <v>6582</v>
      </c>
      <c r="E882" t="s">
        <v>5007</v>
      </c>
    </row>
    <row r="883" spans="2:5" x14ac:dyDescent="0.2">
      <c r="B883" t="s">
        <v>5008</v>
      </c>
      <c r="C883" s="109"/>
      <c r="D883" s="110" t="s">
        <v>6582</v>
      </c>
      <c r="E883" t="s">
        <v>5009</v>
      </c>
    </row>
    <row r="884" spans="2:5" x14ac:dyDescent="0.2">
      <c r="B884" t="s">
        <v>5010</v>
      </c>
      <c r="C884" s="109"/>
      <c r="D884" s="110" t="s">
        <v>6582</v>
      </c>
      <c r="E884" t="s">
        <v>5011</v>
      </c>
    </row>
    <row r="885" spans="2:5" x14ac:dyDescent="0.2">
      <c r="B885" t="s">
        <v>5012</v>
      </c>
      <c r="C885" s="109"/>
      <c r="D885" s="110" t="s">
        <v>6582</v>
      </c>
      <c r="E885" t="s">
        <v>5013</v>
      </c>
    </row>
    <row r="886" spans="2:5" x14ac:dyDescent="0.2">
      <c r="B886" t="s">
        <v>5014</v>
      </c>
      <c r="C886" s="109"/>
      <c r="D886" s="110" t="s">
        <v>6582</v>
      </c>
      <c r="E886" t="s">
        <v>5015</v>
      </c>
    </row>
    <row r="887" spans="2:5" x14ac:dyDescent="0.2">
      <c r="B887" t="s">
        <v>5016</v>
      </c>
      <c r="C887" s="109"/>
      <c r="D887" s="110" t="s">
        <v>6582</v>
      </c>
      <c r="E887" t="s">
        <v>5017</v>
      </c>
    </row>
    <row r="888" spans="2:5" x14ac:dyDescent="0.2">
      <c r="B888" t="s">
        <v>3485</v>
      </c>
      <c r="C888" s="109"/>
      <c r="D888" s="110" t="s">
        <v>6580</v>
      </c>
      <c r="E888" t="s">
        <v>5018</v>
      </c>
    </row>
    <row r="889" spans="2:5" x14ac:dyDescent="0.2">
      <c r="B889" t="s">
        <v>5019</v>
      </c>
      <c r="C889" s="109"/>
      <c r="D889" s="110" t="s">
        <v>6582</v>
      </c>
      <c r="E889" t="s">
        <v>5020</v>
      </c>
    </row>
    <row r="890" spans="2:5" x14ac:dyDescent="0.2">
      <c r="B890" t="s">
        <v>5021</v>
      </c>
      <c r="C890" s="109"/>
      <c r="D890" s="110" t="s">
        <v>6582</v>
      </c>
      <c r="E890" t="s">
        <v>5022</v>
      </c>
    </row>
    <row r="891" spans="2:5" x14ac:dyDescent="0.2">
      <c r="B891" t="s">
        <v>5023</v>
      </c>
      <c r="C891" s="109"/>
      <c r="D891" s="110" t="s">
        <v>6582</v>
      </c>
      <c r="E891" t="s">
        <v>5024</v>
      </c>
    </row>
    <row r="892" spans="2:5" x14ac:dyDescent="0.2">
      <c r="B892" t="s">
        <v>5025</v>
      </c>
      <c r="C892" s="109"/>
      <c r="D892" s="110" t="s">
        <v>6582</v>
      </c>
      <c r="E892" t="s">
        <v>5026</v>
      </c>
    </row>
    <row r="893" spans="2:5" x14ac:dyDescent="0.2">
      <c r="B893" t="s">
        <v>5027</v>
      </c>
      <c r="C893" s="109"/>
      <c r="D893" s="110" t="s">
        <v>6582</v>
      </c>
      <c r="E893" t="s">
        <v>5028</v>
      </c>
    </row>
    <row r="894" spans="2:5" x14ac:dyDescent="0.2">
      <c r="B894" t="s">
        <v>3484</v>
      </c>
      <c r="C894" s="109"/>
      <c r="D894" s="110" t="s">
        <v>6580</v>
      </c>
      <c r="E894" t="s">
        <v>5029</v>
      </c>
    </row>
    <row r="895" spans="2:5" x14ac:dyDescent="0.2">
      <c r="B895" t="s">
        <v>3578</v>
      </c>
      <c r="C895" s="109"/>
      <c r="D895" s="110" t="s">
        <v>6580</v>
      </c>
      <c r="E895" t="s">
        <v>5030</v>
      </c>
    </row>
    <row r="896" spans="2:5" x14ac:dyDescent="0.2">
      <c r="B896" t="s">
        <v>5031</v>
      </c>
      <c r="C896" s="109"/>
      <c r="D896" s="110" t="s">
        <v>6582</v>
      </c>
      <c r="E896" t="s">
        <v>5032</v>
      </c>
    </row>
    <row r="897" spans="2:5" x14ac:dyDescent="0.2">
      <c r="B897" t="s">
        <v>3483</v>
      </c>
      <c r="C897" s="109"/>
      <c r="D897" s="110" t="s">
        <v>6580</v>
      </c>
      <c r="E897" t="s">
        <v>5033</v>
      </c>
    </row>
    <row r="898" spans="2:5" x14ac:dyDescent="0.2">
      <c r="B898" t="s">
        <v>5034</v>
      </c>
      <c r="C898" s="109"/>
      <c r="D898" s="110" t="s">
        <v>6582</v>
      </c>
      <c r="E898" t="s">
        <v>5035</v>
      </c>
    </row>
    <row r="899" spans="2:5" x14ac:dyDescent="0.2">
      <c r="B899" t="s">
        <v>5036</v>
      </c>
      <c r="C899" s="109"/>
      <c r="D899" s="110" t="s">
        <v>6582</v>
      </c>
      <c r="E899" t="s">
        <v>5037</v>
      </c>
    </row>
    <row r="900" spans="2:5" x14ac:dyDescent="0.2">
      <c r="B900" t="s">
        <v>5038</v>
      </c>
      <c r="C900" s="109"/>
      <c r="D900" s="110" t="s">
        <v>6582</v>
      </c>
      <c r="E900" t="s">
        <v>5039</v>
      </c>
    </row>
    <row r="901" spans="2:5" x14ac:dyDescent="0.2">
      <c r="B901" t="s">
        <v>5040</v>
      </c>
      <c r="C901" s="109"/>
      <c r="D901" s="110" t="s">
        <v>6582</v>
      </c>
      <c r="E901" t="s">
        <v>5041</v>
      </c>
    </row>
    <row r="902" spans="2:5" x14ac:dyDescent="0.2">
      <c r="B902" t="s">
        <v>5042</v>
      </c>
      <c r="C902" s="109"/>
      <c r="D902" s="110" t="s">
        <v>6582</v>
      </c>
      <c r="E902" t="s">
        <v>5043</v>
      </c>
    </row>
    <row r="903" spans="2:5" x14ac:dyDescent="0.2">
      <c r="B903" t="s">
        <v>5044</v>
      </c>
      <c r="C903" s="109"/>
      <c r="D903" s="110" t="s">
        <v>6582</v>
      </c>
      <c r="E903" t="s">
        <v>5043</v>
      </c>
    </row>
    <row r="904" spans="2:5" x14ac:dyDescent="0.2">
      <c r="B904" t="s">
        <v>5045</v>
      </c>
      <c r="C904" s="109"/>
      <c r="D904" s="110" t="s">
        <v>6582</v>
      </c>
      <c r="E904" t="s">
        <v>5046</v>
      </c>
    </row>
    <row r="905" spans="2:5" x14ac:dyDescent="0.2">
      <c r="B905" t="s">
        <v>3510</v>
      </c>
      <c r="C905" s="109"/>
      <c r="D905" s="110" t="s">
        <v>6580</v>
      </c>
      <c r="E905" t="s">
        <v>5047</v>
      </c>
    </row>
    <row r="906" spans="2:5" x14ac:dyDescent="0.2">
      <c r="B906" t="s">
        <v>5048</v>
      </c>
      <c r="C906" s="109"/>
      <c r="D906" s="110" t="s">
        <v>6582</v>
      </c>
      <c r="E906" t="s">
        <v>5049</v>
      </c>
    </row>
    <row r="907" spans="2:5" x14ac:dyDescent="0.2">
      <c r="B907" t="s">
        <v>5050</v>
      </c>
      <c r="C907" s="109"/>
      <c r="D907" s="110" t="s">
        <v>6582</v>
      </c>
      <c r="E907" t="s">
        <v>5051</v>
      </c>
    </row>
    <row r="908" spans="2:5" x14ac:dyDescent="0.2">
      <c r="B908" t="s">
        <v>3514</v>
      </c>
      <c r="C908" s="109"/>
      <c r="D908" s="110" t="s">
        <v>6580</v>
      </c>
      <c r="E908" t="s">
        <v>5052</v>
      </c>
    </row>
    <row r="909" spans="2:5" x14ac:dyDescent="0.2">
      <c r="B909" t="s">
        <v>5053</v>
      </c>
      <c r="C909" s="109"/>
      <c r="D909" s="110" t="s">
        <v>6582</v>
      </c>
      <c r="E909" t="s">
        <v>5054</v>
      </c>
    </row>
    <row r="910" spans="2:5" x14ac:dyDescent="0.2">
      <c r="B910" t="s">
        <v>5055</v>
      </c>
      <c r="C910" s="109"/>
      <c r="D910" s="110" t="s">
        <v>6582</v>
      </c>
      <c r="E910" t="s">
        <v>5056</v>
      </c>
    </row>
    <row r="911" spans="2:5" x14ac:dyDescent="0.2">
      <c r="B911" t="s">
        <v>3511</v>
      </c>
      <c r="C911" s="109"/>
      <c r="D911" s="110" t="s">
        <v>6580</v>
      </c>
      <c r="E911" t="s">
        <v>5057</v>
      </c>
    </row>
    <row r="912" spans="2:5" x14ac:dyDescent="0.2">
      <c r="B912" t="s">
        <v>5058</v>
      </c>
      <c r="C912" s="109"/>
      <c r="D912" s="110" t="s">
        <v>6582</v>
      </c>
      <c r="E912" t="s">
        <v>5059</v>
      </c>
    </row>
    <row r="913" spans="2:5" x14ac:dyDescent="0.2">
      <c r="B913" t="s">
        <v>5060</v>
      </c>
      <c r="C913" s="109"/>
      <c r="D913" s="110" t="s">
        <v>6582</v>
      </c>
      <c r="E913" t="s">
        <v>5061</v>
      </c>
    </row>
    <row r="914" spans="2:5" x14ac:dyDescent="0.2">
      <c r="B914" t="s">
        <v>3513</v>
      </c>
      <c r="C914" s="109"/>
      <c r="D914" s="110" t="s">
        <v>6580</v>
      </c>
      <c r="E914" t="s">
        <v>5062</v>
      </c>
    </row>
    <row r="915" spans="2:5" x14ac:dyDescent="0.2">
      <c r="B915" t="s">
        <v>5063</v>
      </c>
      <c r="C915" s="109"/>
      <c r="D915" s="110" t="s">
        <v>6582</v>
      </c>
      <c r="E915" t="s">
        <v>5064</v>
      </c>
    </row>
    <row r="916" spans="2:5" x14ac:dyDescent="0.2">
      <c r="B916" t="s">
        <v>5065</v>
      </c>
      <c r="C916" s="109"/>
      <c r="D916" s="110" t="s">
        <v>6582</v>
      </c>
      <c r="E916" t="s">
        <v>5066</v>
      </c>
    </row>
    <row r="917" spans="2:5" x14ac:dyDescent="0.2">
      <c r="B917" t="s">
        <v>3512</v>
      </c>
      <c r="C917" s="109"/>
      <c r="D917" s="110" t="s">
        <v>6580</v>
      </c>
      <c r="E917" t="s">
        <v>5067</v>
      </c>
    </row>
    <row r="918" spans="2:5" x14ac:dyDescent="0.2">
      <c r="B918" t="s">
        <v>5068</v>
      </c>
      <c r="C918" s="109"/>
      <c r="D918" s="110" t="s">
        <v>6582</v>
      </c>
      <c r="E918" t="s">
        <v>5069</v>
      </c>
    </row>
    <row r="919" spans="2:5" x14ac:dyDescent="0.2">
      <c r="B919" t="s">
        <v>5070</v>
      </c>
      <c r="C919" s="109"/>
      <c r="D919" s="110" t="s">
        <v>6582</v>
      </c>
      <c r="E919" t="s">
        <v>5071</v>
      </c>
    </row>
    <row r="920" spans="2:5" x14ac:dyDescent="0.2">
      <c r="B920" t="s">
        <v>5072</v>
      </c>
      <c r="C920" s="109"/>
      <c r="D920" s="110" t="s">
        <v>6582</v>
      </c>
      <c r="E920" t="s">
        <v>5073</v>
      </c>
    </row>
    <row r="921" spans="2:5" x14ac:dyDescent="0.2">
      <c r="B921" t="s">
        <v>3509</v>
      </c>
      <c r="C921" s="109"/>
      <c r="D921" s="110" t="s">
        <v>6580</v>
      </c>
      <c r="E921" t="s">
        <v>5074</v>
      </c>
    </row>
    <row r="922" spans="2:5" x14ac:dyDescent="0.2">
      <c r="B922" t="s">
        <v>5075</v>
      </c>
      <c r="C922" s="109"/>
      <c r="D922" s="110" t="s">
        <v>6582</v>
      </c>
      <c r="E922" t="s">
        <v>5074</v>
      </c>
    </row>
    <row r="923" spans="2:5" x14ac:dyDescent="0.2">
      <c r="B923" t="s">
        <v>5076</v>
      </c>
      <c r="C923" s="109"/>
      <c r="D923" s="110" t="s">
        <v>6582</v>
      </c>
      <c r="E923" t="s">
        <v>5077</v>
      </c>
    </row>
    <row r="924" spans="2:5" x14ac:dyDescent="0.2">
      <c r="B924" t="s">
        <v>5078</v>
      </c>
      <c r="C924" s="109"/>
      <c r="D924" s="110" t="s">
        <v>6582</v>
      </c>
      <c r="E924" t="s">
        <v>5079</v>
      </c>
    </row>
    <row r="925" spans="2:5" x14ac:dyDescent="0.2">
      <c r="B925" t="s">
        <v>5080</v>
      </c>
      <c r="C925" s="109"/>
      <c r="D925" s="110" t="s">
        <v>6582</v>
      </c>
      <c r="E925" t="s">
        <v>5081</v>
      </c>
    </row>
    <row r="926" spans="2:5" x14ac:dyDescent="0.2">
      <c r="B926" t="s">
        <v>5082</v>
      </c>
      <c r="C926" s="109"/>
      <c r="D926" s="110" t="s">
        <v>6582</v>
      </c>
      <c r="E926" t="s">
        <v>5083</v>
      </c>
    </row>
    <row r="927" spans="2:5" x14ac:dyDescent="0.2">
      <c r="B927" t="s">
        <v>5084</v>
      </c>
      <c r="C927" s="109"/>
      <c r="D927" s="110" t="s">
        <v>6582</v>
      </c>
      <c r="E927" t="s">
        <v>5085</v>
      </c>
    </row>
    <row r="928" spans="2:5" x14ac:dyDescent="0.2">
      <c r="B928" t="s">
        <v>5086</v>
      </c>
      <c r="C928" s="109"/>
      <c r="D928" s="110" t="s">
        <v>6582</v>
      </c>
      <c r="E928" t="s">
        <v>5087</v>
      </c>
    </row>
    <row r="929" spans="2:5" x14ac:dyDescent="0.2">
      <c r="B929" t="s">
        <v>5088</v>
      </c>
      <c r="C929" s="109"/>
      <c r="D929" s="110" t="s">
        <v>6582</v>
      </c>
      <c r="E929" t="s">
        <v>5089</v>
      </c>
    </row>
    <row r="930" spans="2:5" x14ac:dyDescent="0.2">
      <c r="B930" t="s">
        <v>5090</v>
      </c>
      <c r="C930" s="109"/>
      <c r="D930" s="110" t="s">
        <v>6582</v>
      </c>
      <c r="E930" t="s">
        <v>5091</v>
      </c>
    </row>
    <row r="931" spans="2:5" x14ac:dyDescent="0.2">
      <c r="B931" t="s">
        <v>5092</v>
      </c>
      <c r="C931" s="109"/>
      <c r="D931" s="110" t="s">
        <v>6582</v>
      </c>
      <c r="E931" t="s">
        <v>5093</v>
      </c>
    </row>
    <row r="932" spans="2:5" x14ac:dyDescent="0.2">
      <c r="B932" t="s">
        <v>5094</v>
      </c>
      <c r="C932" s="109"/>
      <c r="D932" s="110" t="s">
        <v>6582</v>
      </c>
      <c r="E932" t="s">
        <v>5095</v>
      </c>
    </row>
    <row r="933" spans="2:5" x14ac:dyDescent="0.2">
      <c r="B933" t="s">
        <v>5096</v>
      </c>
      <c r="C933" s="109"/>
      <c r="D933" s="110" t="s">
        <v>6582</v>
      </c>
      <c r="E933" t="s">
        <v>5097</v>
      </c>
    </row>
    <row r="934" spans="2:5" x14ac:dyDescent="0.2">
      <c r="B934" t="s">
        <v>5098</v>
      </c>
      <c r="C934" s="109"/>
      <c r="D934" s="110" t="s">
        <v>6582</v>
      </c>
      <c r="E934" t="s">
        <v>5099</v>
      </c>
    </row>
    <row r="935" spans="2:5" x14ac:dyDescent="0.2">
      <c r="B935" t="s">
        <v>5100</v>
      </c>
      <c r="C935" s="109"/>
      <c r="D935" s="110" t="s">
        <v>6582</v>
      </c>
      <c r="E935" t="s">
        <v>5101</v>
      </c>
    </row>
    <row r="936" spans="2:5" x14ac:dyDescent="0.2">
      <c r="B936" t="s">
        <v>5102</v>
      </c>
      <c r="C936" s="109"/>
      <c r="D936" s="110" t="s">
        <v>6582</v>
      </c>
      <c r="E936" t="s">
        <v>5103</v>
      </c>
    </row>
    <row r="937" spans="2:5" x14ac:dyDescent="0.2">
      <c r="B937" t="s">
        <v>5104</v>
      </c>
      <c r="C937" s="109"/>
      <c r="D937" s="110" t="s">
        <v>6582</v>
      </c>
      <c r="E937" t="s">
        <v>5105</v>
      </c>
    </row>
    <row r="938" spans="2:5" x14ac:dyDescent="0.2">
      <c r="B938" t="s">
        <v>5106</v>
      </c>
      <c r="C938" s="109"/>
      <c r="D938" s="110" t="s">
        <v>6582</v>
      </c>
      <c r="E938" t="s">
        <v>5107</v>
      </c>
    </row>
    <row r="939" spans="2:5" x14ac:dyDescent="0.2">
      <c r="B939" t="s">
        <v>5108</v>
      </c>
      <c r="C939" s="109"/>
      <c r="D939" s="110" t="s">
        <v>6582</v>
      </c>
      <c r="E939" t="s">
        <v>5109</v>
      </c>
    </row>
    <row r="940" spans="2:5" x14ac:dyDescent="0.2">
      <c r="B940" t="s">
        <v>5110</v>
      </c>
      <c r="C940" s="109"/>
      <c r="D940" s="110" t="s">
        <v>6582</v>
      </c>
      <c r="E940" t="s">
        <v>5111</v>
      </c>
    </row>
    <row r="941" spans="2:5" x14ac:dyDescent="0.2">
      <c r="B941" t="s">
        <v>5112</v>
      </c>
      <c r="C941" s="109"/>
      <c r="D941" s="110" t="s">
        <v>6582</v>
      </c>
      <c r="E941" t="s">
        <v>5113</v>
      </c>
    </row>
    <row r="942" spans="2:5" x14ac:dyDescent="0.2">
      <c r="B942" t="s">
        <v>5114</v>
      </c>
      <c r="C942" s="109"/>
      <c r="D942" s="110" t="s">
        <v>6582</v>
      </c>
      <c r="E942" t="s">
        <v>5115</v>
      </c>
    </row>
    <row r="943" spans="2:5" x14ac:dyDescent="0.2">
      <c r="B943" t="s">
        <v>5116</v>
      </c>
      <c r="C943" s="109"/>
      <c r="D943" s="110" t="s">
        <v>6582</v>
      </c>
      <c r="E943" t="s">
        <v>5117</v>
      </c>
    </row>
    <row r="944" spans="2:5" x14ac:dyDescent="0.2">
      <c r="B944" t="s">
        <v>5118</v>
      </c>
      <c r="C944" s="109"/>
      <c r="D944" s="110" t="s">
        <v>6582</v>
      </c>
      <c r="E944" t="s">
        <v>5119</v>
      </c>
    </row>
    <row r="945" spans="2:5" x14ac:dyDescent="0.2">
      <c r="B945" t="s">
        <v>5120</v>
      </c>
      <c r="C945" s="109"/>
      <c r="D945" s="110" t="s">
        <v>6582</v>
      </c>
      <c r="E945" t="s">
        <v>5121</v>
      </c>
    </row>
    <row r="946" spans="2:5" x14ac:dyDescent="0.2">
      <c r="B946" t="s">
        <v>5122</v>
      </c>
      <c r="C946" s="109"/>
      <c r="D946" s="110" t="s">
        <v>6582</v>
      </c>
      <c r="E946" t="s">
        <v>5123</v>
      </c>
    </row>
    <row r="947" spans="2:5" x14ac:dyDescent="0.2">
      <c r="B947" t="s">
        <v>5124</v>
      </c>
      <c r="C947" s="109"/>
      <c r="D947" s="110" t="s">
        <v>6582</v>
      </c>
      <c r="E947" t="s">
        <v>5125</v>
      </c>
    </row>
    <row r="948" spans="2:5" x14ac:dyDescent="0.2">
      <c r="B948" t="s">
        <v>5126</v>
      </c>
      <c r="C948" s="109"/>
      <c r="D948" s="110" t="s">
        <v>6582</v>
      </c>
      <c r="E948" t="s">
        <v>5127</v>
      </c>
    </row>
    <row r="949" spans="2:5" x14ac:dyDescent="0.2">
      <c r="B949" t="s">
        <v>5128</v>
      </c>
      <c r="C949" s="109"/>
      <c r="D949" s="110" t="s">
        <v>6582</v>
      </c>
      <c r="E949" t="s">
        <v>5129</v>
      </c>
    </row>
    <row r="950" spans="2:5" x14ac:dyDescent="0.2">
      <c r="B950" t="s">
        <v>3515</v>
      </c>
      <c r="C950" s="109"/>
      <c r="D950" s="110" t="s">
        <v>6580</v>
      </c>
      <c r="E950" t="s">
        <v>5130</v>
      </c>
    </row>
    <row r="951" spans="2:5" x14ac:dyDescent="0.2">
      <c r="B951" t="s">
        <v>5131</v>
      </c>
      <c r="C951" s="109"/>
      <c r="D951" s="110" t="s">
        <v>6582</v>
      </c>
      <c r="E951" t="s">
        <v>5132</v>
      </c>
    </row>
    <row r="952" spans="2:5" x14ac:dyDescent="0.2">
      <c r="B952" t="s">
        <v>5133</v>
      </c>
      <c r="C952" s="109"/>
      <c r="D952" s="110" t="s">
        <v>6582</v>
      </c>
      <c r="E952" t="s">
        <v>5134</v>
      </c>
    </row>
    <row r="953" spans="2:5" ht="17" customHeight="1" x14ac:dyDescent="0.2">
      <c r="B953" t="s">
        <v>5135</v>
      </c>
      <c r="C953" s="109"/>
      <c r="D953" s="110" t="s">
        <v>6582</v>
      </c>
      <c r="E953" t="s">
        <v>5136</v>
      </c>
    </row>
    <row r="954" spans="2:5" x14ac:dyDescent="0.2">
      <c r="B954" t="s">
        <v>5137</v>
      </c>
      <c r="C954" s="109"/>
      <c r="D954" s="110" t="s">
        <v>6582</v>
      </c>
      <c r="E954" t="s">
        <v>5138</v>
      </c>
    </row>
    <row r="955" spans="2:5" x14ac:dyDescent="0.2">
      <c r="B955" t="s">
        <v>3545</v>
      </c>
      <c r="C955" s="109"/>
      <c r="D955" s="110" t="s">
        <v>6580</v>
      </c>
      <c r="E955" t="s">
        <v>5139</v>
      </c>
    </row>
    <row r="956" spans="2:5" x14ac:dyDescent="0.2">
      <c r="B956" t="s">
        <v>3523</v>
      </c>
      <c r="C956" s="109"/>
      <c r="D956" s="110" t="s">
        <v>6580</v>
      </c>
      <c r="E956" t="s">
        <v>5140</v>
      </c>
    </row>
    <row r="957" spans="2:5" x14ac:dyDescent="0.2">
      <c r="B957" t="s">
        <v>3525</v>
      </c>
      <c r="C957" s="109"/>
      <c r="D957" s="110" t="s">
        <v>6580</v>
      </c>
      <c r="E957" t="s">
        <v>5141</v>
      </c>
    </row>
    <row r="958" spans="2:5" x14ac:dyDescent="0.2">
      <c r="B958" t="s">
        <v>3516</v>
      </c>
      <c r="C958" s="109"/>
      <c r="D958" s="110" t="s">
        <v>6580</v>
      </c>
      <c r="E958" t="s">
        <v>5142</v>
      </c>
    </row>
    <row r="959" spans="2:5" x14ac:dyDescent="0.2">
      <c r="B959" t="s">
        <v>5143</v>
      </c>
      <c r="C959" s="109"/>
      <c r="D959" s="110" t="s">
        <v>6582</v>
      </c>
      <c r="E959" t="s">
        <v>5144</v>
      </c>
    </row>
    <row r="960" spans="2:5" x14ac:dyDescent="0.2">
      <c r="B960" t="s">
        <v>3538</v>
      </c>
      <c r="C960" s="109"/>
      <c r="D960" s="110" t="s">
        <v>6580</v>
      </c>
      <c r="E960" t="s">
        <v>5145</v>
      </c>
    </row>
    <row r="961" spans="2:5" x14ac:dyDescent="0.2">
      <c r="B961" t="s">
        <v>3532</v>
      </c>
      <c r="C961" s="109"/>
      <c r="D961" s="110" t="s">
        <v>6580</v>
      </c>
      <c r="E961" t="s">
        <v>5146</v>
      </c>
    </row>
    <row r="962" spans="2:5" x14ac:dyDescent="0.2">
      <c r="B962" t="s">
        <v>5147</v>
      </c>
      <c r="C962" s="109"/>
      <c r="D962" s="110" t="s">
        <v>6582</v>
      </c>
      <c r="E962" t="s">
        <v>5148</v>
      </c>
    </row>
    <row r="963" spans="2:5" x14ac:dyDescent="0.2">
      <c r="B963" t="s">
        <v>5149</v>
      </c>
      <c r="C963" s="109"/>
      <c r="D963" s="110" t="s">
        <v>6582</v>
      </c>
      <c r="E963" t="s">
        <v>5150</v>
      </c>
    </row>
    <row r="964" spans="2:5" x14ac:dyDescent="0.2">
      <c r="B964" t="s">
        <v>5151</v>
      </c>
      <c r="C964" s="109"/>
      <c r="D964" s="110" t="s">
        <v>6582</v>
      </c>
      <c r="E964" t="s">
        <v>5152</v>
      </c>
    </row>
    <row r="965" spans="2:5" x14ac:dyDescent="0.2">
      <c r="B965" t="s">
        <v>5153</v>
      </c>
      <c r="C965" s="109"/>
      <c r="D965" s="110" t="s">
        <v>6582</v>
      </c>
      <c r="E965" t="s">
        <v>5154</v>
      </c>
    </row>
    <row r="966" spans="2:5" x14ac:dyDescent="0.2">
      <c r="B966" t="s">
        <v>5155</v>
      </c>
      <c r="C966" s="109"/>
      <c r="D966" s="110" t="s">
        <v>6582</v>
      </c>
      <c r="E966" t="s">
        <v>5156</v>
      </c>
    </row>
    <row r="967" spans="2:5" x14ac:dyDescent="0.2">
      <c r="B967" t="s">
        <v>3547</v>
      </c>
      <c r="C967" s="109"/>
      <c r="D967" s="110" t="s">
        <v>6580</v>
      </c>
      <c r="E967" t="s">
        <v>5157</v>
      </c>
    </row>
    <row r="968" spans="2:5" x14ac:dyDescent="0.2">
      <c r="B968" t="s">
        <v>5158</v>
      </c>
      <c r="C968" s="109"/>
      <c r="D968" s="110" t="s">
        <v>6582</v>
      </c>
      <c r="E968" t="s">
        <v>5159</v>
      </c>
    </row>
    <row r="969" spans="2:5" x14ac:dyDescent="0.2">
      <c r="B969" t="s">
        <v>3550</v>
      </c>
      <c r="C969" s="109"/>
      <c r="D969" s="110" t="s">
        <v>6580</v>
      </c>
      <c r="E969" t="s">
        <v>5160</v>
      </c>
    </row>
    <row r="970" spans="2:5" x14ac:dyDescent="0.2">
      <c r="B970" t="s">
        <v>3544</v>
      </c>
      <c r="C970" s="109"/>
      <c r="D970" s="110" t="s">
        <v>6580</v>
      </c>
      <c r="E970" t="s">
        <v>5161</v>
      </c>
    </row>
    <row r="971" spans="2:5" x14ac:dyDescent="0.2">
      <c r="B971" t="s">
        <v>3546</v>
      </c>
      <c r="C971" s="109"/>
      <c r="D971" s="110" t="s">
        <v>6580</v>
      </c>
      <c r="E971" t="s">
        <v>5162</v>
      </c>
    </row>
    <row r="972" spans="2:5" x14ac:dyDescent="0.2">
      <c r="B972" t="s">
        <v>3531</v>
      </c>
      <c r="C972" s="109"/>
      <c r="D972" s="110" t="s">
        <v>6580</v>
      </c>
      <c r="E972" t="s">
        <v>5163</v>
      </c>
    </row>
    <row r="973" spans="2:5" x14ac:dyDescent="0.2">
      <c r="B973" t="s">
        <v>3522</v>
      </c>
      <c r="C973" s="109"/>
      <c r="D973" s="110" t="s">
        <v>6580</v>
      </c>
      <c r="E973" t="s">
        <v>5164</v>
      </c>
    </row>
    <row r="974" spans="2:5" x14ac:dyDescent="0.2">
      <c r="B974" t="s">
        <v>3517</v>
      </c>
      <c r="C974" s="109"/>
      <c r="D974" s="110" t="s">
        <v>6580</v>
      </c>
      <c r="E974" t="s">
        <v>5165</v>
      </c>
    </row>
    <row r="975" spans="2:5" x14ac:dyDescent="0.2">
      <c r="B975" t="s">
        <v>3542</v>
      </c>
      <c r="C975" s="109"/>
      <c r="D975" s="110" t="s">
        <v>6580</v>
      </c>
      <c r="E975" t="s">
        <v>5166</v>
      </c>
    </row>
    <row r="976" spans="2:5" x14ac:dyDescent="0.2">
      <c r="B976" t="s">
        <v>3539</v>
      </c>
      <c r="C976" s="109"/>
      <c r="D976" s="110" t="s">
        <v>6580</v>
      </c>
      <c r="E976" t="s">
        <v>5167</v>
      </c>
    </row>
    <row r="977" spans="2:5" x14ac:dyDescent="0.2">
      <c r="B977" t="s">
        <v>3533</v>
      </c>
      <c r="C977" s="109"/>
      <c r="D977" s="110" t="s">
        <v>6580</v>
      </c>
      <c r="E977" t="s">
        <v>5168</v>
      </c>
    </row>
    <row r="978" spans="2:5" x14ac:dyDescent="0.2">
      <c r="B978" t="s">
        <v>3549</v>
      </c>
      <c r="C978" s="109"/>
      <c r="D978" s="110" t="s">
        <v>6580</v>
      </c>
      <c r="E978" t="s">
        <v>5169</v>
      </c>
    </row>
    <row r="979" spans="2:5" x14ac:dyDescent="0.2">
      <c r="B979" t="s">
        <v>3518</v>
      </c>
      <c r="C979" s="109"/>
      <c r="D979" s="110" t="s">
        <v>6580</v>
      </c>
      <c r="E979" t="s">
        <v>5170</v>
      </c>
    </row>
    <row r="980" spans="2:5" x14ac:dyDescent="0.2">
      <c r="B980" t="s">
        <v>3524</v>
      </c>
      <c r="C980" s="109"/>
      <c r="D980" s="110" t="s">
        <v>6580</v>
      </c>
      <c r="E980" t="s">
        <v>5171</v>
      </c>
    </row>
    <row r="981" spans="2:5" x14ac:dyDescent="0.2">
      <c r="B981" t="s">
        <v>3519</v>
      </c>
      <c r="C981" s="109"/>
      <c r="D981" s="110" t="s">
        <v>6580</v>
      </c>
      <c r="E981" t="s">
        <v>5172</v>
      </c>
    </row>
    <row r="982" spans="2:5" x14ac:dyDescent="0.2">
      <c r="B982" t="s">
        <v>3520</v>
      </c>
      <c r="C982" s="109"/>
      <c r="D982" s="110" t="s">
        <v>6580</v>
      </c>
      <c r="E982" t="s">
        <v>5173</v>
      </c>
    </row>
    <row r="983" spans="2:5" x14ac:dyDescent="0.2">
      <c r="B983" t="s">
        <v>3548</v>
      </c>
      <c r="C983" s="109"/>
      <c r="D983" s="110" t="s">
        <v>6580</v>
      </c>
      <c r="E983" t="s">
        <v>5174</v>
      </c>
    </row>
    <row r="984" spans="2:5" x14ac:dyDescent="0.2">
      <c r="B984" t="s">
        <v>3543</v>
      </c>
      <c r="C984" s="109"/>
      <c r="D984" s="110" t="s">
        <v>6580</v>
      </c>
      <c r="E984" t="s">
        <v>5175</v>
      </c>
    </row>
    <row r="985" spans="2:5" x14ac:dyDescent="0.2">
      <c r="B985" t="s">
        <v>3551</v>
      </c>
      <c r="C985" s="109"/>
      <c r="D985" s="110" t="s">
        <v>6580</v>
      </c>
      <c r="E985" t="s">
        <v>5176</v>
      </c>
    </row>
    <row r="986" spans="2:5" x14ac:dyDescent="0.2">
      <c r="B986" t="s">
        <v>3552</v>
      </c>
      <c r="C986" s="109"/>
      <c r="D986" s="110" t="s">
        <v>6580</v>
      </c>
      <c r="E986" t="s">
        <v>5177</v>
      </c>
    </row>
    <row r="987" spans="2:5" x14ac:dyDescent="0.2">
      <c r="B987" t="s">
        <v>3553</v>
      </c>
      <c r="C987" s="109"/>
      <c r="D987" s="110" t="s">
        <v>6580</v>
      </c>
      <c r="E987" t="s">
        <v>5178</v>
      </c>
    </row>
    <row r="988" spans="2:5" x14ac:dyDescent="0.2">
      <c r="B988" t="s">
        <v>3521</v>
      </c>
      <c r="C988" s="109"/>
      <c r="D988" s="110" t="s">
        <v>6580</v>
      </c>
      <c r="E988" t="s">
        <v>5179</v>
      </c>
    </row>
    <row r="989" spans="2:5" x14ac:dyDescent="0.2">
      <c r="B989" t="s">
        <v>3529</v>
      </c>
      <c r="C989" s="109"/>
      <c r="D989" s="110" t="s">
        <v>6580</v>
      </c>
      <c r="E989" t="s">
        <v>5180</v>
      </c>
    </row>
    <row r="990" spans="2:5" x14ac:dyDescent="0.2">
      <c r="B990" t="s">
        <v>3528</v>
      </c>
      <c r="C990" s="109"/>
      <c r="D990" s="110" t="s">
        <v>6580</v>
      </c>
      <c r="E990" t="s">
        <v>5181</v>
      </c>
    </row>
    <row r="991" spans="2:5" x14ac:dyDescent="0.2">
      <c r="B991" t="s">
        <v>3530</v>
      </c>
      <c r="C991" s="109"/>
      <c r="D991" s="110" t="s">
        <v>6580</v>
      </c>
      <c r="E991" t="s">
        <v>5182</v>
      </c>
    </row>
    <row r="992" spans="2:5" x14ac:dyDescent="0.2">
      <c r="B992" t="s">
        <v>3534</v>
      </c>
      <c r="C992" s="109"/>
      <c r="D992" s="110" t="s">
        <v>6580</v>
      </c>
      <c r="E992" t="s">
        <v>5183</v>
      </c>
    </row>
    <row r="993" spans="2:5" x14ac:dyDescent="0.2">
      <c r="B993" t="s">
        <v>3536</v>
      </c>
      <c r="C993" s="109"/>
      <c r="D993" s="110" t="s">
        <v>6580</v>
      </c>
      <c r="E993" t="s">
        <v>5184</v>
      </c>
    </row>
    <row r="994" spans="2:5" x14ac:dyDescent="0.2">
      <c r="B994" t="s">
        <v>3535</v>
      </c>
      <c r="C994" s="109"/>
      <c r="D994" s="110" t="s">
        <v>6580</v>
      </c>
      <c r="E994" t="s">
        <v>5185</v>
      </c>
    </row>
    <row r="995" spans="2:5" x14ac:dyDescent="0.2">
      <c r="B995" t="s">
        <v>3537</v>
      </c>
      <c r="C995" s="109"/>
      <c r="D995" s="110" t="s">
        <v>6580</v>
      </c>
      <c r="E995" t="s">
        <v>5186</v>
      </c>
    </row>
    <row r="996" spans="2:5" x14ac:dyDescent="0.2">
      <c r="B996" t="s">
        <v>5187</v>
      </c>
      <c r="C996" s="109"/>
      <c r="D996" s="110" t="s">
        <v>6582</v>
      </c>
      <c r="E996" t="s">
        <v>5188</v>
      </c>
    </row>
    <row r="997" spans="2:5" x14ac:dyDescent="0.2">
      <c r="B997" t="s">
        <v>5189</v>
      </c>
      <c r="C997" s="109"/>
      <c r="D997" s="110" t="s">
        <v>6582</v>
      </c>
      <c r="E997" t="s">
        <v>5190</v>
      </c>
    </row>
    <row r="998" spans="2:5" x14ac:dyDescent="0.2">
      <c r="B998" t="s">
        <v>3527</v>
      </c>
      <c r="C998" s="109"/>
      <c r="D998" s="110" t="s">
        <v>6580</v>
      </c>
      <c r="E998" t="s">
        <v>5191</v>
      </c>
    </row>
    <row r="999" spans="2:5" x14ac:dyDescent="0.2">
      <c r="B999" t="s">
        <v>3526</v>
      </c>
      <c r="C999" s="109"/>
      <c r="D999" s="110" t="s">
        <v>6580</v>
      </c>
      <c r="E999" t="s">
        <v>5192</v>
      </c>
    </row>
    <row r="1000" spans="2:5" x14ac:dyDescent="0.2">
      <c r="B1000" t="s">
        <v>5193</v>
      </c>
      <c r="C1000" s="109"/>
      <c r="D1000" s="110" t="s">
        <v>6582</v>
      </c>
      <c r="E1000" t="s">
        <v>5194</v>
      </c>
    </row>
    <row r="1001" spans="2:5" x14ac:dyDescent="0.2">
      <c r="B1001" t="s">
        <v>3540</v>
      </c>
      <c r="C1001" s="109"/>
      <c r="D1001" s="110" t="s">
        <v>6580</v>
      </c>
      <c r="E1001" t="s">
        <v>5195</v>
      </c>
    </row>
    <row r="1002" spans="2:5" x14ac:dyDescent="0.2">
      <c r="B1002" t="s">
        <v>3541</v>
      </c>
      <c r="C1002" s="109"/>
      <c r="D1002" s="110" t="s">
        <v>6580</v>
      </c>
      <c r="E1002" t="s">
        <v>5196</v>
      </c>
    </row>
    <row r="1003" spans="2:5" x14ac:dyDescent="0.2">
      <c r="B1003" t="s">
        <v>5197</v>
      </c>
      <c r="C1003" s="109"/>
      <c r="D1003" s="110" t="s">
        <v>6582</v>
      </c>
      <c r="E1003" t="s">
        <v>5198</v>
      </c>
    </row>
    <row r="1004" spans="2:5" x14ac:dyDescent="0.2">
      <c r="B1004" t="s">
        <v>5199</v>
      </c>
      <c r="C1004" s="109"/>
      <c r="D1004" s="110" t="s">
        <v>6582</v>
      </c>
      <c r="E1004" t="s">
        <v>5200</v>
      </c>
    </row>
    <row r="1005" spans="2:5" x14ac:dyDescent="0.2">
      <c r="B1005" t="s">
        <v>5201</v>
      </c>
      <c r="C1005" s="109"/>
      <c r="D1005" s="110" t="s">
        <v>6582</v>
      </c>
      <c r="E1005" t="s">
        <v>5202</v>
      </c>
    </row>
    <row r="1006" spans="2:5" x14ac:dyDescent="0.2">
      <c r="B1006" t="s">
        <v>5203</v>
      </c>
      <c r="C1006" s="109"/>
      <c r="D1006" s="110" t="s">
        <v>6582</v>
      </c>
      <c r="E1006" t="s">
        <v>5204</v>
      </c>
    </row>
    <row r="1007" spans="2:5" x14ac:dyDescent="0.2">
      <c r="B1007" t="s">
        <v>3555</v>
      </c>
      <c r="C1007" s="109"/>
      <c r="D1007" s="110" t="s">
        <v>6580</v>
      </c>
      <c r="E1007" t="s">
        <v>5205</v>
      </c>
    </row>
    <row r="1008" spans="2:5" x14ac:dyDescent="0.2">
      <c r="B1008" t="s">
        <v>3567</v>
      </c>
      <c r="C1008" s="109"/>
      <c r="D1008" s="110" t="s">
        <v>6580</v>
      </c>
      <c r="E1008" t="s">
        <v>5206</v>
      </c>
    </row>
    <row r="1009" spans="2:5" x14ac:dyDescent="0.2">
      <c r="B1009" t="s">
        <v>3565</v>
      </c>
      <c r="C1009" s="109"/>
      <c r="D1009" s="110" t="s">
        <v>6580</v>
      </c>
      <c r="E1009" t="s">
        <v>5207</v>
      </c>
    </row>
    <row r="1010" spans="2:5" x14ac:dyDescent="0.2">
      <c r="B1010" t="s">
        <v>3562</v>
      </c>
      <c r="C1010" s="109"/>
      <c r="D1010" s="110" t="s">
        <v>6580</v>
      </c>
      <c r="E1010" t="s">
        <v>5208</v>
      </c>
    </row>
    <row r="1011" spans="2:5" x14ac:dyDescent="0.2">
      <c r="B1011" t="s">
        <v>3558</v>
      </c>
      <c r="C1011" s="109"/>
      <c r="D1011" s="110" t="s">
        <v>6580</v>
      </c>
      <c r="E1011" t="s">
        <v>5209</v>
      </c>
    </row>
    <row r="1012" spans="2:5" x14ac:dyDescent="0.2">
      <c r="B1012" t="s">
        <v>3569</v>
      </c>
      <c r="C1012" s="109"/>
      <c r="D1012" s="110" t="s">
        <v>6580</v>
      </c>
      <c r="E1012" t="s">
        <v>5210</v>
      </c>
    </row>
    <row r="1013" spans="2:5" x14ac:dyDescent="0.2">
      <c r="B1013" t="s">
        <v>3556</v>
      </c>
      <c r="C1013" s="109"/>
      <c r="D1013" s="110" t="s">
        <v>6580</v>
      </c>
      <c r="E1013" t="s">
        <v>5211</v>
      </c>
    </row>
    <row r="1014" spans="2:5" x14ac:dyDescent="0.2">
      <c r="B1014" t="s">
        <v>3560</v>
      </c>
      <c r="C1014" s="109"/>
      <c r="D1014" s="110" t="s">
        <v>6580</v>
      </c>
      <c r="E1014" t="s">
        <v>5212</v>
      </c>
    </row>
    <row r="1015" spans="2:5" x14ac:dyDescent="0.2">
      <c r="B1015" t="s">
        <v>3568</v>
      </c>
      <c r="C1015" s="109"/>
      <c r="D1015" s="110" t="s">
        <v>6580</v>
      </c>
      <c r="E1015" t="s">
        <v>5213</v>
      </c>
    </row>
    <row r="1016" spans="2:5" x14ac:dyDescent="0.2">
      <c r="B1016" t="s">
        <v>3564</v>
      </c>
      <c r="C1016" s="109"/>
      <c r="D1016" s="110" t="s">
        <v>6580</v>
      </c>
      <c r="E1016" t="s">
        <v>5214</v>
      </c>
    </row>
    <row r="1017" spans="2:5" x14ac:dyDescent="0.2">
      <c r="B1017" t="s">
        <v>5215</v>
      </c>
      <c r="C1017" s="109"/>
      <c r="D1017" s="110" t="s">
        <v>6582</v>
      </c>
      <c r="E1017" t="s">
        <v>5216</v>
      </c>
    </row>
    <row r="1018" spans="2:5" x14ac:dyDescent="0.2">
      <c r="B1018" t="s">
        <v>3554</v>
      </c>
      <c r="C1018" s="109"/>
      <c r="D1018" s="110" t="s">
        <v>6580</v>
      </c>
      <c r="E1018" t="s">
        <v>5217</v>
      </c>
    </row>
    <row r="1019" spans="2:5" x14ac:dyDescent="0.2">
      <c r="B1019" t="s">
        <v>5218</v>
      </c>
      <c r="C1019" s="109"/>
      <c r="D1019" s="110" t="s">
        <v>6582</v>
      </c>
      <c r="E1019" t="s">
        <v>5219</v>
      </c>
    </row>
    <row r="1020" spans="2:5" x14ac:dyDescent="0.2">
      <c r="B1020" t="s">
        <v>3563</v>
      </c>
      <c r="C1020" s="109"/>
      <c r="D1020" s="110" t="s">
        <v>6580</v>
      </c>
      <c r="E1020" t="s">
        <v>5220</v>
      </c>
    </row>
    <row r="1021" spans="2:5" x14ac:dyDescent="0.2">
      <c r="B1021" t="s">
        <v>3561</v>
      </c>
      <c r="C1021" s="109"/>
      <c r="D1021" s="110" t="s">
        <v>6580</v>
      </c>
      <c r="E1021" t="s">
        <v>5221</v>
      </c>
    </row>
    <row r="1022" spans="2:5" x14ac:dyDescent="0.2">
      <c r="B1022" t="s">
        <v>3559</v>
      </c>
      <c r="C1022" s="109"/>
      <c r="D1022" s="110" t="s">
        <v>6580</v>
      </c>
      <c r="E1022" t="s">
        <v>5222</v>
      </c>
    </row>
    <row r="1023" spans="2:5" x14ac:dyDescent="0.2">
      <c r="B1023" t="s">
        <v>5223</v>
      </c>
      <c r="C1023" s="109"/>
      <c r="D1023" s="110" t="s">
        <v>6582</v>
      </c>
      <c r="E1023" t="s">
        <v>5224</v>
      </c>
    </row>
    <row r="1024" spans="2:5" x14ac:dyDescent="0.2">
      <c r="B1024" t="s">
        <v>3557</v>
      </c>
      <c r="C1024" s="109"/>
      <c r="D1024" s="110" t="s">
        <v>6580</v>
      </c>
      <c r="E1024" t="s">
        <v>5225</v>
      </c>
    </row>
    <row r="1025" spans="2:5" x14ac:dyDescent="0.2">
      <c r="B1025" t="s">
        <v>3566</v>
      </c>
      <c r="C1025" s="109"/>
      <c r="D1025" s="110" t="s">
        <v>6580</v>
      </c>
      <c r="E1025" t="s">
        <v>5226</v>
      </c>
    </row>
    <row r="1026" spans="2:5" x14ac:dyDescent="0.2">
      <c r="B1026" t="s">
        <v>5227</v>
      </c>
      <c r="C1026" s="109"/>
      <c r="D1026" s="110" t="s">
        <v>6582</v>
      </c>
      <c r="E1026" t="s">
        <v>5228</v>
      </c>
    </row>
    <row r="1027" spans="2:5" x14ac:dyDescent="0.2">
      <c r="B1027" t="s">
        <v>5229</v>
      </c>
      <c r="C1027" s="109"/>
      <c r="D1027" s="110" t="s">
        <v>6582</v>
      </c>
      <c r="E1027" t="s">
        <v>5230</v>
      </c>
    </row>
    <row r="1028" spans="2:5" x14ac:dyDescent="0.2">
      <c r="B1028" t="s">
        <v>5231</v>
      </c>
      <c r="C1028" s="109"/>
      <c r="D1028" s="110" t="s">
        <v>6582</v>
      </c>
      <c r="E1028" t="s">
        <v>5232</v>
      </c>
    </row>
    <row r="1029" spans="2:5" x14ac:dyDescent="0.2">
      <c r="B1029" t="s">
        <v>5233</v>
      </c>
      <c r="C1029" s="109"/>
      <c r="D1029" s="110" t="s">
        <v>6582</v>
      </c>
      <c r="E1029" t="s">
        <v>5234</v>
      </c>
    </row>
    <row r="1030" spans="2:5" x14ac:dyDescent="0.2">
      <c r="B1030" t="s">
        <v>5235</v>
      </c>
      <c r="C1030" s="109"/>
      <c r="D1030" s="110" t="s">
        <v>6582</v>
      </c>
      <c r="E1030" t="s">
        <v>5236</v>
      </c>
    </row>
    <row r="1031" spans="2:5" x14ac:dyDescent="0.2">
      <c r="B1031" t="s">
        <v>5237</v>
      </c>
      <c r="C1031" s="109"/>
      <c r="D1031" s="110" t="s">
        <v>6582</v>
      </c>
      <c r="E1031" t="s">
        <v>5238</v>
      </c>
    </row>
    <row r="1032" spans="2:5" x14ac:dyDescent="0.2">
      <c r="B1032" t="s">
        <v>5239</v>
      </c>
      <c r="C1032" s="109"/>
      <c r="D1032" s="110" t="s">
        <v>6582</v>
      </c>
      <c r="E1032" t="s">
        <v>5240</v>
      </c>
    </row>
    <row r="1033" spans="2:5" x14ac:dyDescent="0.2">
      <c r="B1033" t="s">
        <v>3570</v>
      </c>
      <c r="C1033" s="109"/>
      <c r="D1033" s="110" t="s">
        <v>6580</v>
      </c>
      <c r="E1033" t="s">
        <v>5241</v>
      </c>
    </row>
    <row r="1034" spans="2:5" x14ac:dyDescent="0.2">
      <c r="B1034" t="s">
        <v>5242</v>
      </c>
      <c r="C1034" s="109"/>
      <c r="D1034" s="110" t="s">
        <v>6582</v>
      </c>
      <c r="E1034" t="s">
        <v>5243</v>
      </c>
    </row>
    <row r="1035" spans="2:5" x14ac:dyDescent="0.2">
      <c r="B1035" t="s">
        <v>5244</v>
      </c>
      <c r="C1035" s="109"/>
      <c r="D1035" s="110" t="s">
        <v>6582</v>
      </c>
      <c r="E1035" t="s">
        <v>5245</v>
      </c>
    </row>
    <row r="1036" spans="2:5" x14ac:dyDescent="0.2">
      <c r="B1036" t="s">
        <v>5246</v>
      </c>
      <c r="C1036" s="109"/>
      <c r="D1036" s="110" t="s">
        <v>6582</v>
      </c>
      <c r="E1036" t="s">
        <v>5247</v>
      </c>
    </row>
    <row r="1037" spans="2:5" x14ac:dyDescent="0.2">
      <c r="B1037" t="s">
        <v>5248</v>
      </c>
      <c r="C1037" s="109"/>
      <c r="D1037" s="110" t="s">
        <v>6582</v>
      </c>
      <c r="E1037" t="s">
        <v>5249</v>
      </c>
    </row>
    <row r="1038" spans="2:5" x14ac:dyDescent="0.2">
      <c r="B1038" t="s">
        <v>5250</v>
      </c>
      <c r="C1038" s="109"/>
      <c r="D1038" s="110" t="s">
        <v>6582</v>
      </c>
      <c r="E1038" t="s">
        <v>5251</v>
      </c>
    </row>
    <row r="1039" spans="2:5" x14ac:dyDescent="0.2">
      <c r="B1039" t="s">
        <v>3571</v>
      </c>
      <c r="C1039" s="109"/>
      <c r="D1039" s="110" t="s">
        <v>6580</v>
      </c>
      <c r="E1039" t="s">
        <v>5252</v>
      </c>
    </row>
    <row r="1040" spans="2:5" x14ac:dyDescent="0.2">
      <c r="B1040" t="s">
        <v>5253</v>
      </c>
      <c r="C1040" s="109"/>
      <c r="D1040" s="110" t="s">
        <v>6582</v>
      </c>
      <c r="E1040" t="s">
        <v>5254</v>
      </c>
    </row>
    <row r="1041" spans="2:5" x14ac:dyDescent="0.2">
      <c r="B1041" t="s">
        <v>3489</v>
      </c>
      <c r="C1041" s="109"/>
      <c r="D1041" s="110" t="s">
        <v>6580</v>
      </c>
      <c r="E1041" t="s">
        <v>5255</v>
      </c>
    </row>
    <row r="1042" spans="2:5" x14ac:dyDescent="0.2">
      <c r="B1042" t="s">
        <v>5256</v>
      </c>
      <c r="C1042" s="109"/>
      <c r="D1042" s="110" t="s">
        <v>6582</v>
      </c>
      <c r="E1042" t="s">
        <v>5257</v>
      </c>
    </row>
    <row r="1043" spans="2:5" x14ac:dyDescent="0.2">
      <c r="B1043" t="s">
        <v>3488</v>
      </c>
      <c r="C1043" s="109"/>
      <c r="D1043" s="110" t="s">
        <v>6580</v>
      </c>
      <c r="E1043" t="s">
        <v>5258</v>
      </c>
    </row>
    <row r="1044" spans="2:5" x14ac:dyDescent="0.2">
      <c r="B1044" t="s">
        <v>5259</v>
      </c>
      <c r="C1044" s="109"/>
      <c r="D1044" s="110" t="s">
        <v>6582</v>
      </c>
      <c r="E1044" t="s">
        <v>5260</v>
      </c>
    </row>
    <row r="1045" spans="2:5" x14ac:dyDescent="0.2">
      <c r="B1045" t="s">
        <v>5261</v>
      </c>
      <c r="C1045" s="109"/>
      <c r="D1045" s="110" t="s">
        <v>6582</v>
      </c>
      <c r="E1045" t="s">
        <v>5262</v>
      </c>
    </row>
    <row r="1046" spans="2:5" x14ac:dyDescent="0.2">
      <c r="B1046" t="s">
        <v>3579</v>
      </c>
      <c r="C1046" s="109"/>
      <c r="D1046" s="110" t="s">
        <v>6580</v>
      </c>
      <c r="E1046" t="s">
        <v>5263</v>
      </c>
    </row>
    <row r="1047" spans="2:5" x14ac:dyDescent="0.2">
      <c r="B1047" t="s">
        <v>5264</v>
      </c>
      <c r="C1047" s="109"/>
      <c r="D1047" s="110" t="s">
        <v>6582</v>
      </c>
      <c r="E1047" t="s">
        <v>5265</v>
      </c>
    </row>
    <row r="1048" spans="2:5" x14ac:dyDescent="0.2">
      <c r="B1048" t="s">
        <v>5266</v>
      </c>
      <c r="C1048" s="109"/>
      <c r="D1048" s="110" t="s">
        <v>6582</v>
      </c>
      <c r="E1048" t="s">
        <v>5267</v>
      </c>
    </row>
    <row r="1049" spans="2:5" x14ac:dyDescent="0.2">
      <c r="B1049" t="s">
        <v>5268</v>
      </c>
      <c r="C1049" s="109"/>
      <c r="D1049" s="110" t="s">
        <v>6582</v>
      </c>
      <c r="E1049" t="s">
        <v>5269</v>
      </c>
    </row>
    <row r="1050" spans="2:5" x14ac:dyDescent="0.2">
      <c r="B1050" t="s">
        <v>5270</v>
      </c>
      <c r="C1050" s="109"/>
      <c r="D1050" s="110" t="s">
        <v>6582</v>
      </c>
      <c r="E1050" t="s">
        <v>5271</v>
      </c>
    </row>
    <row r="1051" spans="2:5" x14ac:dyDescent="0.2">
      <c r="B1051" t="s">
        <v>5272</v>
      </c>
      <c r="C1051" s="109"/>
      <c r="D1051" s="110" t="s">
        <v>6582</v>
      </c>
      <c r="E1051" t="s">
        <v>5273</v>
      </c>
    </row>
    <row r="1052" spans="2:5" x14ac:dyDescent="0.2">
      <c r="B1052" t="s">
        <v>5274</v>
      </c>
      <c r="C1052" s="109"/>
      <c r="D1052" s="110" t="s">
        <v>6582</v>
      </c>
      <c r="E1052" t="s">
        <v>5275</v>
      </c>
    </row>
    <row r="1053" spans="2:5" x14ac:dyDescent="0.2">
      <c r="B1053" t="s">
        <v>5276</v>
      </c>
      <c r="C1053" s="109"/>
      <c r="D1053" s="110" t="s">
        <v>6582</v>
      </c>
      <c r="E1053" t="s">
        <v>5277</v>
      </c>
    </row>
    <row r="1054" spans="2:5" x14ac:dyDescent="0.2">
      <c r="B1054" t="s">
        <v>5278</v>
      </c>
      <c r="C1054" s="109"/>
      <c r="D1054" s="110" t="s">
        <v>6582</v>
      </c>
      <c r="E1054" t="s">
        <v>5279</v>
      </c>
    </row>
    <row r="1055" spans="2:5" x14ac:dyDescent="0.2">
      <c r="B1055" t="s">
        <v>5280</v>
      </c>
      <c r="C1055" s="109"/>
      <c r="D1055" s="110" t="s">
        <v>6582</v>
      </c>
      <c r="E1055" t="s">
        <v>5281</v>
      </c>
    </row>
    <row r="1056" spans="2:5" x14ac:dyDescent="0.2">
      <c r="B1056" t="s">
        <v>5282</v>
      </c>
      <c r="C1056" s="109"/>
      <c r="D1056" s="110" t="s">
        <v>6582</v>
      </c>
      <c r="E1056" t="s">
        <v>5283</v>
      </c>
    </row>
    <row r="1057" spans="2:5" x14ac:dyDescent="0.2">
      <c r="B1057" t="s">
        <v>5284</v>
      </c>
      <c r="C1057" s="109"/>
      <c r="D1057" s="110" t="s">
        <v>6582</v>
      </c>
      <c r="E1057" t="s">
        <v>5285</v>
      </c>
    </row>
    <row r="1058" spans="2:5" x14ac:dyDescent="0.2">
      <c r="B1058" t="s">
        <v>5286</v>
      </c>
      <c r="C1058" s="109"/>
      <c r="D1058" s="110" t="s">
        <v>6582</v>
      </c>
      <c r="E1058" t="s">
        <v>5287</v>
      </c>
    </row>
    <row r="1059" spans="2:5" x14ac:dyDescent="0.2">
      <c r="B1059" t="s">
        <v>5288</v>
      </c>
      <c r="C1059" s="109"/>
      <c r="D1059" s="110" t="s">
        <v>6582</v>
      </c>
      <c r="E1059" t="s">
        <v>5289</v>
      </c>
    </row>
    <row r="1060" spans="2:5" x14ac:dyDescent="0.2">
      <c r="B1060" t="s">
        <v>5290</v>
      </c>
      <c r="C1060" s="109"/>
      <c r="D1060" s="110" t="s">
        <v>6582</v>
      </c>
      <c r="E1060" t="s">
        <v>5291</v>
      </c>
    </row>
    <row r="1061" spans="2:5" x14ac:dyDescent="0.2">
      <c r="B1061" t="s">
        <v>5292</v>
      </c>
      <c r="C1061" s="109"/>
      <c r="D1061" s="110" t="s">
        <v>6582</v>
      </c>
      <c r="E1061" t="s">
        <v>5293</v>
      </c>
    </row>
    <row r="1062" spans="2:5" x14ac:dyDescent="0.2">
      <c r="B1062" t="s">
        <v>5294</v>
      </c>
      <c r="C1062" s="109"/>
      <c r="D1062" s="110" t="s">
        <v>6582</v>
      </c>
      <c r="E1062" t="s">
        <v>5295</v>
      </c>
    </row>
    <row r="1063" spans="2:5" x14ac:dyDescent="0.2">
      <c r="B1063" t="s">
        <v>3486</v>
      </c>
      <c r="C1063" s="109"/>
      <c r="D1063" s="110" t="s">
        <v>6580</v>
      </c>
      <c r="E1063" t="s">
        <v>5296</v>
      </c>
    </row>
    <row r="1064" spans="2:5" x14ac:dyDescent="0.2">
      <c r="B1064" t="s">
        <v>5297</v>
      </c>
      <c r="C1064" s="109"/>
      <c r="D1064" s="110" t="s">
        <v>6582</v>
      </c>
      <c r="E1064" t="s">
        <v>5298</v>
      </c>
    </row>
    <row r="1065" spans="2:5" x14ac:dyDescent="0.2">
      <c r="B1065" t="s">
        <v>5299</v>
      </c>
      <c r="C1065" s="109"/>
      <c r="D1065" s="110" t="s">
        <v>6582</v>
      </c>
      <c r="E1065" t="s">
        <v>5300</v>
      </c>
    </row>
    <row r="1066" spans="2:5" x14ac:dyDescent="0.2">
      <c r="B1066" t="s">
        <v>5301</v>
      </c>
      <c r="C1066" s="109"/>
      <c r="D1066" s="110" t="s">
        <v>6582</v>
      </c>
      <c r="E1066" t="s">
        <v>5302</v>
      </c>
    </row>
    <row r="1067" spans="2:5" x14ac:dyDescent="0.2">
      <c r="B1067" t="s">
        <v>5303</v>
      </c>
      <c r="C1067" s="109"/>
      <c r="D1067" s="110" t="s">
        <v>6582</v>
      </c>
      <c r="E1067" t="s">
        <v>5304</v>
      </c>
    </row>
    <row r="1068" spans="2:5" x14ac:dyDescent="0.2">
      <c r="B1068" t="s">
        <v>5305</v>
      </c>
      <c r="C1068" s="109"/>
      <c r="D1068" s="110" t="s">
        <v>6582</v>
      </c>
      <c r="E1068" t="s">
        <v>5306</v>
      </c>
    </row>
    <row r="1069" spans="2:5" x14ac:dyDescent="0.2">
      <c r="B1069" t="s">
        <v>5307</v>
      </c>
      <c r="C1069" s="109"/>
      <c r="D1069" s="110" t="s">
        <v>6582</v>
      </c>
      <c r="E1069" t="s">
        <v>5308</v>
      </c>
    </row>
    <row r="1070" spans="2:5" x14ac:dyDescent="0.2">
      <c r="B1070" t="s">
        <v>3487</v>
      </c>
      <c r="C1070" s="109"/>
      <c r="D1070" s="110" t="s">
        <v>6580</v>
      </c>
      <c r="E1070" t="s">
        <v>5309</v>
      </c>
    </row>
    <row r="1071" spans="2:5" x14ac:dyDescent="0.2">
      <c r="B1071" t="s">
        <v>5310</v>
      </c>
      <c r="C1071" s="109"/>
      <c r="D1071" s="110" t="s">
        <v>6582</v>
      </c>
      <c r="E1071" t="s">
        <v>5311</v>
      </c>
    </row>
    <row r="1072" spans="2:5" x14ac:dyDescent="0.2">
      <c r="B1072" t="s">
        <v>5312</v>
      </c>
      <c r="C1072" s="109"/>
      <c r="D1072" s="110" t="s">
        <v>6582</v>
      </c>
      <c r="E1072" t="s">
        <v>5313</v>
      </c>
    </row>
    <row r="1073" spans="2:5" x14ac:dyDescent="0.2">
      <c r="B1073" t="s">
        <v>5314</v>
      </c>
      <c r="C1073" s="109"/>
      <c r="D1073" s="110" t="s">
        <v>6582</v>
      </c>
      <c r="E1073" t="s">
        <v>5315</v>
      </c>
    </row>
    <row r="1074" spans="2:5" x14ac:dyDescent="0.2">
      <c r="B1074" t="s">
        <v>3491</v>
      </c>
      <c r="C1074" s="109"/>
      <c r="D1074" s="110" t="s">
        <v>6580</v>
      </c>
      <c r="E1074" t="s">
        <v>5316</v>
      </c>
    </row>
    <row r="1075" spans="2:5" x14ac:dyDescent="0.2">
      <c r="B1075" t="s">
        <v>5317</v>
      </c>
      <c r="C1075" s="109"/>
      <c r="D1075" s="110" t="s">
        <v>6582</v>
      </c>
      <c r="E1075" t="s">
        <v>5318</v>
      </c>
    </row>
    <row r="1076" spans="2:5" x14ac:dyDescent="0.2">
      <c r="B1076" t="s">
        <v>5319</v>
      </c>
      <c r="C1076" s="109"/>
      <c r="D1076" s="110" t="s">
        <v>6582</v>
      </c>
      <c r="E1076" t="s">
        <v>5320</v>
      </c>
    </row>
    <row r="1077" spans="2:5" x14ac:dyDescent="0.2">
      <c r="B1077" t="s">
        <v>5321</v>
      </c>
      <c r="C1077" s="109"/>
      <c r="D1077" s="110" t="s">
        <v>6582</v>
      </c>
      <c r="E1077" t="s">
        <v>5322</v>
      </c>
    </row>
    <row r="1078" spans="2:5" x14ac:dyDescent="0.2">
      <c r="B1078" t="s">
        <v>3490</v>
      </c>
      <c r="C1078" s="109"/>
      <c r="D1078" s="110" t="s">
        <v>6580</v>
      </c>
      <c r="E1078" t="s">
        <v>5323</v>
      </c>
    </row>
    <row r="1079" spans="2:5" x14ac:dyDescent="0.2">
      <c r="B1079" t="s">
        <v>5324</v>
      </c>
      <c r="C1079" s="109"/>
      <c r="D1079" s="110" t="s">
        <v>6582</v>
      </c>
      <c r="E1079" t="s">
        <v>5325</v>
      </c>
    </row>
    <row r="1080" spans="2:5" x14ac:dyDescent="0.2">
      <c r="B1080" t="s">
        <v>5326</v>
      </c>
      <c r="C1080" s="109"/>
      <c r="D1080" s="110" t="s">
        <v>6582</v>
      </c>
      <c r="E1080" t="s">
        <v>5327</v>
      </c>
    </row>
    <row r="1081" spans="2:5" x14ac:dyDescent="0.2">
      <c r="B1081" t="s">
        <v>5328</v>
      </c>
      <c r="C1081" s="109"/>
      <c r="D1081" s="110" t="s">
        <v>6582</v>
      </c>
      <c r="E1081" t="s">
        <v>5329</v>
      </c>
    </row>
    <row r="1082" spans="2:5" x14ac:dyDescent="0.2">
      <c r="B1082" t="s">
        <v>5330</v>
      </c>
      <c r="C1082" s="109"/>
      <c r="D1082" s="110" t="s">
        <v>6582</v>
      </c>
      <c r="E1082" t="s">
        <v>5331</v>
      </c>
    </row>
    <row r="1083" spans="2:5" x14ac:dyDescent="0.2">
      <c r="B1083" t="s">
        <v>5332</v>
      </c>
      <c r="C1083" s="109"/>
      <c r="D1083" s="110" t="s">
        <v>6582</v>
      </c>
      <c r="E1083" t="s">
        <v>5333</v>
      </c>
    </row>
    <row r="1084" spans="2:5" x14ac:dyDescent="0.2">
      <c r="B1084" t="s">
        <v>5334</v>
      </c>
      <c r="C1084" s="109"/>
      <c r="D1084" s="110" t="s">
        <v>6582</v>
      </c>
      <c r="E1084" t="s">
        <v>5335</v>
      </c>
    </row>
    <row r="1085" spans="2:5" x14ac:dyDescent="0.2">
      <c r="B1085" t="s">
        <v>5336</v>
      </c>
      <c r="C1085" s="109"/>
      <c r="D1085" s="110" t="s">
        <v>6582</v>
      </c>
      <c r="E1085" t="s">
        <v>5337</v>
      </c>
    </row>
    <row r="1086" spans="2:5" x14ac:dyDescent="0.2">
      <c r="B1086" t="s">
        <v>5338</v>
      </c>
      <c r="C1086" s="109"/>
      <c r="D1086" s="110" t="s">
        <v>6582</v>
      </c>
      <c r="E1086" t="s">
        <v>5339</v>
      </c>
    </row>
    <row r="1087" spans="2:5" x14ac:dyDescent="0.2">
      <c r="B1087" t="s">
        <v>5340</v>
      </c>
      <c r="C1087" s="109"/>
      <c r="D1087" s="110" t="s">
        <v>6582</v>
      </c>
      <c r="E1087" t="s">
        <v>5341</v>
      </c>
    </row>
    <row r="1088" spans="2:5" x14ac:dyDescent="0.2">
      <c r="B1088" t="s">
        <v>5342</v>
      </c>
      <c r="C1088" s="109"/>
      <c r="D1088" s="110" t="s">
        <v>6582</v>
      </c>
      <c r="E1088" t="s">
        <v>5343</v>
      </c>
    </row>
    <row r="1089" spans="2:5" x14ac:dyDescent="0.2">
      <c r="B1089" t="s">
        <v>3572</v>
      </c>
      <c r="C1089" s="109"/>
      <c r="D1089" s="110" t="s">
        <v>6580</v>
      </c>
      <c r="E1089" t="s">
        <v>5344</v>
      </c>
    </row>
    <row r="1090" spans="2:5" x14ac:dyDescent="0.2">
      <c r="B1090" t="s">
        <v>5345</v>
      </c>
      <c r="C1090" s="109"/>
      <c r="D1090" s="110" t="s">
        <v>6582</v>
      </c>
      <c r="E1090" t="s">
        <v>5346</v>
      </c>
    </row>
    <row r="1091" spans="2:5" x14ac:dyDescent="0.2">
      <c r="B1091" t="s">
        <v>5347</v>
      </c>
      <c r="C1091" s="109"/>
      <c r="D1091" s="110" t="s">
        <v>6582</v>
      </c>
      <c r="E1091" t="s">
        <v>5348</v>
      </c>
    </row>
    <row r="1092" spans="2:5" x14ac:dyDescent="0.2">
      <c r="B1092" t="s">
        <v>3573</v>
      </c>
      <c r="C1092" s="109"/>
      <c r="D1092" s="110" t="s">
        <v>6580</v>
      </c>
      <c r="E1092" t="s">
        <v>5349</v>
      </c>
    </row>
    <row r="1093" spans="2:5" x14ac:dyDescent="0.2">
      <c r="B1093" t="s">
        <v>5350</v>
      </c>
      <c r="C1093" s="109"/>
      <c r="D1093" s="110" t="s">
        <v>6582</v>
      </c>
      <c r="E1093" t="s">
        <v>5351</v>
      </c>
    </row>
    <row r="1094" spans="2:5" x14ac:dyDescent="0.2">
      <c r="B1094" t="s">
        <v>5352</v>
      </c>
      <c r="C1094" s="109"/>
      <c r="D1094" s="110" t="s">
        <v>6582</v>
      </c>
      <c r="E1094" t="s">
        <v>5353</v>
      </c>
    </row>
    <row r="1095" spans="2:5" x14ac:dyDescent="0.2">
      <c r="B1095" t="s">
        <v>5354</v>
      </c>
      <c r="C1095" s="109"/>
      <c r="D1095" s="110" t="s">
        <v>6582</v>
      </c>
      <c r="E1095" t="s">
        <v>5355</v>
      </c>
    </row>
    <row r="1096" spans="2:5" x14ac:dyDescent="0.2">
      <c r="B1096" t="s">
        <v>5356</v>
      </c>
      <c r="C1096" s="109"/>
      <c r="D1096" s="110" t="s">
        <v>6582</v>
      </c>
      <c r="E1096" t="s">
        <v>5357</v>
      </c>
    </row>
    <row r="1097" spans="2:5" x14ac:dyDescent="0.2">
      <c r="B1097" t="s">
        <v>5358</v>
      </c>
      <c r="C1097" s="109"/>
      <c r="D1097" s="110" t="s">
        <v>6582</v>
      </c>
      <c r="E1097" t="s">
        <v>5359</v>
      </c>
    </row>
    <row r="1098" spans="2:5" x14ac:dyDescent="0.2">
      <c r="B1098" t="s">
        <v>5360</v>
      </c>
      <c r="C1098" s="109"/>
      <c r="D1098" s="110" t="s">
        <v>6582</v>
      </c>
      <c r="E1098" t="s">
        <v>5361</v>
      </c>
    </row>
    <row r="1099" spans="2:5" x14ac:dyDescent="0.2">
      <c r="B1099" t="s">
        <v>5362</v>
      </c>
      <c r="C1099" s="109"/>
      <c r="D1099" s="110" t="s">
        <v>6582</v>
      </c>
      <c r="E1099" t="s">
        <v>5363</v>
      </c>
    </row>
    <row r="1100" spans="2:5" x14ac:dyDescent="0.2">
      <c r="B1100" t="s">
        <v>5364</v>
      </c>
      <c r="C1100" s="109"/>
      <c r="D1100" s="110" t="s">
        <v>6582</v>
      </c>
      <c r="E1100" t="s">
        <v>5365</v>
      </c>
    </row>
    <row r="1101" spans="2:5" x14ac:dyDescent="0.2">
      <c r="B1101" t="s">
        <v>5366</v>
      </c>
      <c r="C1101" s="109"/>
      <c r="D1101" s="110" t="s">
        <v>6582</v>
      </c>
      <c r="E1101" t="s">
        <v>5367</v>
      </c>
    </row>
    <row r="1102" spans="2:5" x14ac:dyDescent="0.2">
      <c r="B1102" t="s">
        <v>5368</v>
      </c>
      <c r="C1102" s="109"/>
      <c r="D1102" s="110" t="s">
        <v>6582</v>
      </c>
      <c r="E1102" t="s">
        <v>5369</v>
      </c>
    </row>
    <row r="1103" spans="2:5" x14ac:dyDescent="0.2">
      <c r="B1103" t="s">
        <v>5370</v>
      </c>
      <c r="C1103" s="109"/>
      <c r="D1103" s="110" t="s">
        <v>6582</v>
      </c>
      <c r="E1103" t="s">
        <v>5371</v>
      </c>
    </row>
    <row r="1104" spans="2:5" x14ac:dyDescent="0.2">
      <c r="B1104" t="s">
        <v>5372</v>
      </c>
      <c r="C1104" s="109"/>
      <c r="D1104" s="110" t="s">
        <v>6582</v>
      </c>
      <c r="E1104" t="s">
        <v>5373</v>
      </c>
    </row>
    <row r="1105" spans="2:5" x14ac:dyDescent="0.2">
      <c r="B1105" t="s">
        <v>5374</v>
      </c>
      <c r="C1105" s="109"/>
      <c r="D1105" s="110" t="s">
        <v>6582</v>
      </c>
      <c r="E1105" t="s">
        <v>5375</v>
      </c>
    </row>
    <row r="1106" spans="2:5" x14ac:dyDescent="0.2">
      <c r="B1106" t="s">
        <v>3574</v>
      </c>
      <c r="C1106" s="109"/>
      <c r="D1106" s="110" t="s">
        <v>6580</v>
      </c>
      <c r="E1106" t="s">
        <v>5376</v>
      </c>
    </row>
    <row r="1107" spans="2:5" x14ac:dyDescent="0.2">
      <c r="B1107" t="s">
        <v>5377</v>
      </c>
      <c r="C1107" s="109"/>
      <c r="D1107" s="110" t="s">
        <v>6582</v>
      </c>
      <c r="E1107" t="s">
        <v>5378</v>
      </c>
    </row>
    <row r="1108" spans="2:5" x14ac:dyDescent="0.2">
      <c r="B1108" t="s">
        <v>5379</v>
      </c>
      <c r="C1108" s="109"/>
      <c r="D1108" s="110" t="s">
        <v>6582</v>
      </c>
      <c r="E1108" t="s">
        <v>5380</v>
      </c>
    </row>
    <row r="1109" spans="2:5" x14ac:dyDescent="0.2">
      <c r="B1109" t="s">
        <v>5381</v>
      </c>
      <c r="C1109" s="109"/>
      <c r="D1109" s="110" t="s">
        <v>6582</v>
      </c>
      <c r="E1109" t="s">
        <v>5382</v>
      </c>
    </row>
    <row r="1110" spans="2:5" x14ac:dyDescent="0.2">
      <c r="B1110" t="s">
        <v>5383</v>
      </c>
      <c r="C1110" s="109"/>
      <c r="D1110" s="110" t="s">
        <v>6582</v>
      </c>
      <c r="E1110" t="s">
        <v>5384</v>
      </c>
    </row>
    <row r="1111" spans="2:5" x14ac:dyDescent="0.2">
      <c r="B1111" t="s">
        <v>5385</v>
      </c>
      <c r="C1111" s="109"/>
      <c r="D1111" s="110" t="s">
        <v>6582</v>
      </c>
      <c r="E1111" t="s">
        <v>5386</v>
      </c>
    </row>
    <row r="1112" spans="2:5" x14ac:dyDescent="0.2">
      <c r="B1112" t="s">
        <v>5387</v>
      </c>
      <c r="C1112" s="109"/>
      <c r="D1112" s="110" t="s">
        <v>6582</v>
      </c>
      <c r="E1112" t="s">
        <v>5388</v>
      </c>
    </row>
    <row r="1113" spans="2:5" x14ac:dyDescent="0.2">
      <c r="B1113" t="s">
        <v>3576</v>
      </c>
      <c r="C1113" s="109"/>
      <c r="D1113" s="110" t="s">
        <v>6580</v>
      </c>
      <c r="E1113" t="s">
        <v>5389</v>
      </c>
    </row>
    <row r="1114" spans="2:5" x14ac:dyDescent="0.2">
      <c r="B1114" t="s">
        <v>3581</v>
      </c>
      <c r="C1114" s="109"/>
      <c r="D1114" s="110" t="s">
        <v>6580</v>
      </c>
      <c r="E1114" t="s">
        <v>5390</v>
      </c>
    </row>
    <row r="1115" spans="2:5" x14ac:dyDescent="0.2">
      <c r="B1115" t="s">
        <v>5391</v>
      </c>
      <c r="C1115" s="109"/>
      <c r="D1115" s="110" t="s">
        <v>6582</v>
      </c>
      <c r="E1115" t="s">
        <v>5392</v>
      </c>
    </row>
    <row r="1116" spans="2:5" x14ac:dyDescent="0.2">
      <c r="B1116" t="s">
        <v>5393</v>
      </c>
      <c r="C1116" s="109"/>
      <c r="D1116" s="110" t="s">
        <v>6582</v>
      </c>
      <c r="E1116" t="s">
        <v>5394</v>
      </c>
    </row>
    <row r="1117" spans="2:5" x14ac:dyDescent="0.2">
      <c r="B1117" t="s">
        <v>3575</v>
      </c>
      <c r="C1117" s="109"/>
      <c r="D1117" s="110" t="s">
        <v>6580</v>
      </c>
      <c r="E1117" t="s">
        <v>5395</v>
      </c>
    </row>
    <row r="1118" spans="2:5" x14ac:dyDescent="0.2">
      <c r="B1118" t="s">
        <v>3582</v>
      </c>
      <c r="C1118" s="109"/>
      <c r="D1118" s="110" t="s">
        <v>6580</v>
      </c>
      <c r="E1118" t="s">
        <v>5396</v>
      </c>
    </row>
    <row r="1119" spans="2:5" x14ac:dyDescent="0.2">
      <c r="B1119" t="s">
        <v>5397</v>
      </c>
      <c r="C1119" s="109"/>
      <c r="D1119" s="110" t="s">
        <v>6582</v>
      </c>
      <c r="E1119" t="s">
        <v>5398</v>
      </c>
    </row>
    <row r="1120" spans="2:5" x14ac:dyDescent="0.2">
      <c r="B1120" t="s">
        <v>5399</v>
      </c>
      <c r="C1120" s="109"/>
      <c r="D1120" s="110" t="s">
        <v>6582</v>
      </c>
      <c r="E1120" t="s">
        <v>5400</v>
      </c>
    </row>
    <row r="1121" spans="2:5" x14ac:dyDescent="0.2">
      <c r="B1121" t="s">
        <v>5401</v>
      </c>
      <c r="C1121" s="109"/>
      <c r="D1121" s="110" t="s">
        <v>6582</v>
      </c>
      <c r="E1121" t="s">
        <v>5402</v>
      </c>
    </row>
    <row r="1122" spans="2:5" x14ac:dyDescent="0.2">
      <c r="B1122" t="s">
        <v>5403</v>
      </c>
      <c r="C1122" s="109"/>
      <c r="D1122" s="110" t="s">
        <v>6582</v>
      </c>
      <c r="E1122" t="s">
        <v>5404</v>
      </c>
    </row>
    <row r="1123" spans="2:5" x14ac:dyDescent="0.2">
      <c r="B1123" t="s">
        <v>5405</v>
      </c>
      <c r="C1123" s="109"/>
      <c r="D1123" s="110" t="s">
        <v>6582</v>
      </c>
      <c r="E1123" t="s">
        <v>5406</v>
      </c>
    </row>
    <row r="1124" spans="2:5" x14ac:dyDescent="0.2">
      <c r="B1124" t="s">
        <v>5407</v>
      </c>
      <c r="C1124" s="109"/>
      <c r="D1124" s="110" t="s">
        <v>6582</v>
      </c>
      <c r="E1124" t="s">
        <v>5408</v>
      </c>
    </row>
    <row r="1125" spans="2:5" x14ac:dyDescent="0.2">
      <c r="B1125" t="s">
        <v>5409</v>
      </c>
      <c r="C1125" s="109"/>
      <c r="D1125" s="110" t="s">
        <v>6582</v>
      </c>
      <c r="E1125" t="s">
        <v>5410</v>
      </c>
    </row>
    <row r="1126" spans="2:5" x14ac:dyDescent="0.2">
      <c r="B1126" t="s">
        <v>5411</v>
      </c>
      <c r="C1126" s="109"/>
      <c r="D1126" s="110" t="s">
        <v>6582</v>
      </c>
      <c r="E1126" t="s">
        <v>5412</v>
      </c>
    </row>
    <row r="1127" spans="2:5" x14ac:dyDescent="0.2">
      <c r="B1127" t="s">
        <v>5413</v>
      </c>
      <c r="C1127" s="109"/>
      <c r="D1127" s="110" t="s">
        <v>6582</v>
      </c>
      <c r="E1127" t="s">
        <v>5414</v>
      </c>
    </row>
    <row r="1128" spans="2:5" x14ac:dyDescent="0.2">
      <c r="B1128" t="s">
        <v>5415</v>
      </c>
      <c r="C1128" s="109"/>
      <c r="D1128" s="110" t="s">
        <v>6582</v>
      </c>
      <c r="E1128" t="s">
        <v>5414</v>
      </c>
    </row>
    <row r="1129" spans="2:5" x14ac:dyDescent="0.2">
      <c r="B1129" t="s">
        <v>3577</v>
      </c>
      <c r="C1129" s="109"/>
      <c r="D1129" s="110" t="s">
        <v>6580</v>
      </c>
      <c r="E1129" t="s">
        <v>5416</v>
      </c>
    </row>
    <row r="1130" spans="2:5" x14ac:dyDescent="0.2">
      <c r="B1130" t="s">
        <v>5417</v>
      </c>
      <c r="C1130" s="109"/>
      <c r="D1130" s="110" t="s">
        <v>6582</v>
      </c>
      <c r="E1130" t="s">
        <v>5416</v>
      </c>
    </row>
    <row r="1131" spans="2:5" x14ac:dyDescent="0.2">
      <c r="B1131" t="s">
        <v>5418</v>
      </c>
      <c r="C1131" s="109"/>
      <c r="D1131" s="110" t="s">
        <v>6582</v>
      </c>
      <c r="E1131" t="s">
        <v>5419</v>
      </c>
    </row>
    <row r="1132" spans="2:5" x14ac:dyDescent="0.2">
      <c r="B1132" t="s">
        <v>5420</v>
      </c>
      <c r="C1132" s="109"/>
      <c r="D1132" s="110" t="s">
        <v>6582</v>
      </c>
      <c r="E1132" t="s">
        <v>5419</v>
      </c>
    </row>
    <row r="1133" spans="2:5" x14ac:dyDescent="0.2">
      <c r="B1133" t="s">
        <v>5421</v>
      </c>
      <c r="C1133" s="109"/>
      <c r="D1133" s="110" t="s">
        <v>6582</v>
      </c>
      <c r="E1133" t="s">
        <v>5422</v>
      </c>
    </row>
    <row r="1134" spans="2:5" x14ac:dyDescent="0.2">
      <c r="B1134" t="s">
        <v>5423</v>
      </c>
      <c r="C1134" s="109"/>
      <c r="D1134" s="110" t="s">
        <v>6582</v>
      </c>
      <c r="E1134" t="s">
        <v>5424</v>
      </c>
    </row>
    <row r="1135" spans="2:5" x14ac:dyDescent="0.2">
      <c r="B1135" t="s">
        <v>5425</v>
      </c>
      <c r="C1135" s="109"/>
      <c r="D1135" s="110" t="s">
        <v>6582</v>
      </c>
      <c r="E1135" t="s">
        <v>5426</v>
      </c>
    </row>
    <row r="1136" spans="2:5" x14ac:dyDescent="0.2">
      <c r="B1136" t="s">
        <v>5427</v>
      </c>
      <c r="C1136" s="109"/>
      <c r="D1136" s="110" t="s">
        <v>6582</v>
      </c>
      <c r="E1136" t="s">
        <v>5428</v>
      </c>
    </row>
    <row r="1137" spans="2:5" x14ac:dyDescent="0.2">
      <c r="B1137" t="s">
        <v>5429</v>
      </c>
      <c r="C1137" s="109"/>
      <c r="D1137" s="110" t="s">
        <v>6582</v>
      </c>
      <c r="E1137" t="s">
        <v>5430</v>
      </c>
    </row>
    <row r="1138" spans="2:5" x14ac:dyDescent="0.2">
      <c r="B1138" t="s">
        <v>5431</v>
      </c>
      <c r="C1138" s="109"/>
      <c r="D1138" s="110" t="s">
        <v>6582</v>
      </c>
      <c r="E1138" t="s">
        <v>5432</v>
      </c>
    </row>
    <row r="1139" spans="2:5" x14ac:dyDescent="0.2">
      <c r="B1139" t="s">
        <v>5433</v>
      </c>
      <c r="C1139" s="109"/>
      <c r="D1139" s="110" t="s">
        <v>6582</v>
      </c>
      <c r="E1139" t="s">
        <v>5434</v>
      </c>
    </row>
    <row r="1140" spans="2:5" x14ac:dyDescent="0.2">
      <c r="B1140" t="s">
        <v>5435</v>
      </c>
      <c r="C1140" s="109"/>
      <c r="D1140" s="110" t="s">
        <v>6582</v>
      </c>
      <c r="E1140" t="s">
        <v>5436</v>
      </c>
    </row>
    <row r="1141" spans="2:5" x14ac:dyDescent="0.2">
      <c r="B1141" t="s">
        <v>5437</v>
      </c>
      <c r="C1141" s="109"/>
      <c r="D1141" s="110" t="s">
        <v>6582</v>
      </c>
      <c r="E1141" t="s">
        <v>5438</v>
      </c>
    </row>
    <row r="1142" spans="2:5" x14ac:dyDescent="0.2">
      <c r="B1142" t="s">
        <v>5439</v>
      </c>
      <c r="C1142" s="109"/>
      <c r="D1142" s="110" t="s">
        <v>6582</v>
      </c>
      <c r="E1142" t="s">
        <v>5440</v>
      </c>
    </row>
    <row r="1143" spans="2:5" x14ac:dyDescent="0.2">
      <c r="B1143" t="s">
        <v>5441</v>
      </c>
      <c r="C1143" s="109"/>
      <c r="D1143" s="110" t="s">
        <v>6582</v>
      </c>
      <c r="E1143" t="s">
        <v>5442</v>
      </c>
    </row>
    <row r="1144" spans="2:5" x14ac:dyDescent="0.2">
      <c r="B1144" t="s">
        <v>3496</v>
      </c>
      <c r="C1144" s="109"/>
      <c r="D1144" s="110" t="s">
        <v>6580</v>
      </c>
      <c r="E1144" t="s">
        <v>5443</v>
      </c>
    </row>
    <row r="1145" spans="2:5" x14ac:dyDescent="0.2">
      <c r="B1145" t="s">
        <v>3493</v>
      </c>
      <c r="C1145" s="109"/>
      <c r="D1145" s="110" t="s">
        <v>6580</v>
      </c>
      <c r="E1145" t="s">
        <v>5444</v>
      </c>
    </row>
    <row r="1146" spans="2:5" x14ac:dyDescent="0.2">
      <c r="B1146" t="s">
        <v>5445</v>
      </c>
      <c r="C1146" s="109"/>
      <c r="D1146" s="110" t="s">
        <v>6582</v>
      </c>
      <c r="E1146" t="s">
        <v>5446</v>
      </c>
    </row>
    <row r="1147" spans="2:5" x14ac:dyDescent="0.2">
      <c r="B1147" t="s">
        <v>5447</v>
      </c>
      <c r="C1147" s="109"/>
      <c r="D1147" s="110" t="s">
        <v>6582</v>
      </c>
      <c r="E1147" t="s">
        <v>5448</v>
      </c>
    </row>
    <row r="1148" spans="2:5" x14ac:dyDescent="0.2">
      <c r="B1148" t="s">
        <v>5449</v>
      </c>
      <c r="C1148" s="109"/>
      <c r="D1148" s="110" t="s">
        <v>6582</v>
      </c>
      <c r="E1148" t="s">
        <v>5450</v>
      </c>
    </row>
    <row r="1149" spans="2:5" x14ac:dyDescent="0.2">
      <c r="B1149" t="s">
        <v>5451</v>
      </c>
      <c r="C1149" s="109"/>
      <c r="D1149" s="110" t="s">
        <v>6582</v>
      </c>
      <c r="E1149" t="s">
        <v>5452</v>
      </c>
    </row>
    <row r="1150" spans="2:5" x14ac:dyDescent="0.2">
      <c r="B1150" t="s">
        <v>5453</v>
      </c>
      <c r="C1150" s="109"/>
      <c r="D1150" s="110" t="s">
        <v>6582</v>
      </c>
      <c r="E1150" t="s">
        <v>5454</v>
      </c>
    </row>
    <row r="1151" spans="2:5" x14ac:dyDescent="0.2">
      <c r="B1151" t="s">
        <v>5455</v>
      </c>
      <c r="C1151" s="109"/>
      <c r="D1151" s="110" t="s">
        <v>6582</v>
      </c>
      <c r="E1151" t="s">
        <v>5456</v>
      </c>
    </row>
    <row r="1152" spans="2:5" x14ac:dyDescent="0.2">
      <c r="B1152" t="s">
        <v>3494</v>
      </c>
      <c r="C1152" s="109"/>
      <c r="D1152" s="110" t="s">
        <v>6580</v>
      </c>
      <c r="E1152" t="s">
        <v>5457</v>
      </c>
    </row>
    <row r="1153" spans="2:5" x14ac:dyDescent="0.2">
      <c r="B1153" t="s">
        <v>3495</v>
      </c>
      <c r="C1153" s="109"/>
      <c r="D1153" s="110" t="s">
        <v>6580</v>
      </c>
      <c r="E1153" t="s">
        <v>5458</v>
      </c>
    </row>
    <row r="1154" spans="2:5" x14ac:dyDescent="0.2">
      <c r="B1154" t="s">
        <v>3497</v>
      </c>
      <c r="C1154" s="109"/>
      <c r="D1154" s="110" t="s">
        <v>6580</v>
      </c>
      <c r="E1154" t="s">
        <v>5459</v>
      </c>
    </row>
    <row r="1155" spans="2:5" x14ac:dyDescent="0.2">
      <c r="B1155" t="s">
        <v>3492</v>
      </c>
      <c r="C1155" s="109"/>
      <c r="D1155" s="110" t="s">
        <v>6580</v>
      </c>
      <c r="E1155" t="s">
        <v>5460</v>
      </c>
    </row>
    <row r="1156" spans="2:5" x14ac:dyDescent="0.2">
      <c r="B1156" t="s">
        <v>5461</v>
      </c>
      <c r="C1156" s="109"/>
      <c r="D1156" s="110" t="s">
        <v>6582</v>
      </c>
      <c r="E1156" t="s">
        <v>5462</v>
      </c>
    </row>
    <row r="1157" spans="2:5" x14ac:dyDescent="0.2">
      <c r="B1157" t="s">
        <v>5463</v>
      </c>
      <c r="C1157" s="109"/>
      <c r="D1157" s="110" t="s">
        <v>6582</v>
      </c>
      <c r="E1157" t="s">
        <v>5464</v>
      </c>
    </row>
    <row r="1158" spans="2:5" x14ac:dyDescent="0.2">
      <c r="B1158" t="s">
        <v>3500</v>
      </c>
      <c r="C1158" s="109"/>
      <c r="D1158" s="110" t="s">
        <v>6580</v>
      </c>
      <c r="E1158" t="s">
        <v>5465</v>
      </c>
    </row>
    <row r="1159" spans="2:5" x14ac:dyDescent="0.2">
      <c r="B1159" t="s">
        <v>5466</v>
      </c>
      <c r="C1159" s="109"/>
      <c r="D1159" s="110" t="s">
        <v>6582</v>
      </c>
      <c r="E1159" t="s">
        <v>5467</v>
      </c>
    </row>
    <row r="1160" spans="2:5" x14ac:dyDescent="0.2">
      <c r="B1160" t="s">
        <v>5468</v>
      </c>
      <c r="C1160" s="109"/>
      <c r="D1160" s="110" t="s">
        <v>6582</v>
      </c>
      <c r="E1160" t="s">
        <v>5469</v>
      </c>
    </row>
    <row r="1161" spans="2:5" x14ac:dyDescent="0.2">
      <c r="B1161" t="s">
        <v>5470</v>
      </c>
      <c r="C1161" s="109"/>
      <c r="D1161" s="110" t="s">
        <v>6582</v>
      </c>
      <c r="E1161" t="s">
        <v>5471</v>
      </c>
    </row>
    <row r="1162" spans="2:5" x14ac:dyDescent="0.2">
      <c r="B1162" t="s">
        <v>5472</v>
      </c>
      <c r="C1162" s="109"/>
      <c r="D1162" s="110" t="s">
        <v>6582</v>
      </c>
      <c r="E1162" t="s">
        <v>5473</v>
      </c>
    </row>
    <row r="1163" spans="2:5" x14ac:dyDescent="0.2">
      <c r="B1163" t="s">
        <v>5474</v>
      </c>
      <c r="C1163" s="109"/>
      <c r="D1163" s="110" t="s">
        <v>6582</v>
      </c>
      <c r="E1163" t="s">
        <v>5475</v>
      </c>
    </row>
    <row r="1164" spans="2:5" x14ac:dyDescent="0.2">
      <c r="B1164" t="s">
        <v>3498</v>
      </c>
      <c r="C1164" s="109"/>
      <c r="D1164" s="110" t="s">
        <v>6580</v>
      </c>
      <c r="E1164" t="s">
        <v>5476</v>
      </c>
    </row>
    <row r="1165" spans="2:5" x14ac:dyDescent="0.2">
      <c r="B1165" t="s">
        <v>5477</v>
      </c>
      <c r="C1165" s="109"/>
      <c r="D1165" s="110" t="s">
        <v>6582</v>
      </c>
      <c r="E1165" t="s">
        <v>5478</v>
      </c>
    </row>
    <row r="1166" spans="2:5" x14ac:dyDescent="0.2">
      <c r="B1166" t="s">
        <v>5479</v>
      </c>
      <c r="C1166" s="109"/>
      <c r="D1166" s="110" t="s">
        <v>6582</v>
      </c>
      <c r="E1166" t="s">
        <v>5480</v>
      </c>
    </row>
    <row r="1167" spans="2:5" x14ac:dyDescent="0.2">
      <c r="B1167" t="s">
        <v>5481</v>
      </c>
      <c r="C1167" s="109"/>
      <c r="D1167" s="110" t="s">
        <v>6582</v>
      </c>
      <c r="E1167" t="s">
        <v>5482</v>
      </c>
    </row>
    <row r="1168" spans="2:5" x14ac:dyDescent="0.2">
      <c r="B1168" t="s">
        <v>3499</v>
      </c>
      <c r="C1168" s="109"/>
      <c r="D1168" s="110" t="s">
        <v>6580</v>
      </c>
      <c r="E1168" t="s">
        <v>5483</v>
      </c>
    </row>
    <row r="1169" spans="2:5" x14ac:dyDescent="0.2">
      <c r="B1169" t="s">
        <v>5484</v>
      </c>
      <c r="C1169" s="109"/>
      <c r="D1169" s="110" t="s">
        <v>6582</v>
      </c>
      <c r="E1169" t="s">
        <v>5485</v>
      </c>
    </row>
    <row r="1170" spans="2:5" x14ac:dyDescent="0.2">
      <c r="B1170" t="s">
        <v>5486</v>
      </c>
      <c r="C1170" s="109"/>
      <c r="D1170" s="110" t="s">
        <v>6582</v>
      </c>
      <c r="E1170" t="s">
        <v>5487</v>
      </c>
    </row>
    <row r="1171" spans="2:5" x14ac:dyDescent="0.2">
      <c r="B1171" t="s">
        <v>5488</v>
      </c>
      <c r="C1171" s="109"/>
      <c r="D1171" s="110" t="s">
        <v>6582</v>
      </c>
      <c r="E1171" t="s">
        <v>5489</v>
      </c>
    </row>
    <row r="1172" spans="2:5" x14ac:dyDescent="0.2">
      <c r="B1172" t="s">
        <v>3506</v>
      </c>
      <c r="C1172" s="109"/>
      <c r="D1172" s="110" t="s">
        <v>6580</v>
      </c>
      <c r="E1172" t="s">
        <v>5490</v>
      </c>
    </row>
    <row r="1173" spans="2:5" x14ac:dyDescent="0.2">
      <c r="B1173" t="s">
        <v>3507</v>
      </c>
      <c r="C1173" s="109"/>
      <c r="D1173" s="110" t="s">
        <v>6580</v>
      </c>
      <c r="E1173" t="s">
        <v>5491</v>
      </c>
    </row>
    <row r="1174" spans="2:5" x14ac:dyDescent="0.2">
      <c r="B1174" t="s">
        <v>3508</v>
      </c>
      <c r="C1174" s="109"/>
      <c r="D1174" s="110" t="s">
        <v>6580</v>
      </c>
      <c r="E1174" t="s">
        <v>5492</v>
      </c>
    </row>
    <row r="1175" spans="2:5" x14ac:dyDescent="0.2">
      <c r="B1175" t="s">
        <v>5493</v>
      </c>
      <c r="C1175" s="109"/>
      <c r="D1175" s="110" t="s">
        <v>6582</v>
      </c>
      <c r="E1175" t="s">
        <v>5494</v>
      </c>
    </row>
    <row r="1176" spans="2:5" x14ac:dyDescent="0.2">
      <c r="B1176" t="s">
        <v>3502</v>
      </c>
      <c r="C1176" s="109"/>
      <c r="D1176" s="110" t="s">
        <v>6580</v>
      </c>
      <c r="E1176" t="s">
        <v>5495</v>
      </c>
    </row>
    <row r="1177" spans="2:5" x14ac:dyDescent="0.2">
      <c r="B1177" t="s">
        <v>5496</v>
      </c>
      <c r="C1177" s="109"/>
      <c r="D1177" s="110" t="s">
        <v>6582</v>
      </c>
      <c r="E1177" t="s">
        <v>5497</v>
      </c>
    </row>
    <row r="1178" spans="2:5" x14ac:dyDescent="0.2">
      <c r="B1178" t="s">
        <v>3505</v>
      </c>
      <c r="C1178" s="109"/>
      <c r="D1178" s="110" t="s">
        <v>6580</v>
      </c>
      <c r="E1178" t="s">
        <v>5498</v>
      </c>
    </row>
    <row r="1179" spans="2:5" x14ac:dyDescent="0.2">
      <c r="B1179" t="s">
        <v>5499</v>
      </c>
      <c r="C1179" s="109"/>
      <c r="D1179" s="110" t="s">
        <v>6582</v>
      </c>
      <c r="E1179" t="s">
        <v>5500</v>
      </c>
    </row>
    <row r="1180" spans="2:5" x14ac:dyDescent="0.2">
      <c r="B1180" t="s">
        <v>3503</v>
      </c>
      <c r="C1180" s="109"/>
      <c r="D1180" s="110" t="s">
        <v>6580</v>
      </c>
      <c r="E1180" t="s">
        <v>5501</v>
      </c>
    </row>
    <row r="1181" spans="2:5" x14ac:dyDescent="0.2">
      <c r="B1181" t="s">
        <v>5502</v>
      </c>
      <c r="C1181" s="109"/>
      <c r="D1181" s="110" t="s">
        <v>6582</v>
      </c>
      <c r="E1181" t="s">
        <v>5503</v>
      </c>
    </row>
    <row r="1182" spans="2:5" x14ac:dyDescent="0.2">
      <c r="B1182" t="s">
        <v>3504</v>
      </c>
      <c r="C1182" s="109"/>
      <c r="D1182" s="110" t="s">
        <v>6580</v>
      </c>
      <c r="E1182" t="s">
        <v>5504</v>
      </c>
    </row>
    <row r="1183" spans="2:5" x14ac:dyDescent="0.2">
      <c r="B1183" t="s">
        <v>5505</v>
      </c>
      <c r="C1183" s="109"/>
      <c r="D1183" s="110" t="s">
        <v>6582</v>
      </c>
      <c r="E1183" t="s">
        <v>5506</v>
      </c>
    </row>
    <row r="1184" spans="2:5" x14ac:dyDescent="0.2">
      <c r="B1184" t="s">
        <v>3501</v>
      </c>
      <c r="C1184" s="109"/>
      <c r="D1184" s="110" t="s">
        <v>6580</v>
      </c>
      <c r="E1184" t="s">
        <v>5507</v>
      </c>
    </row>
    <row r="1185" spans="2:5" x14ac:dyDescent="0.2">
      <c r="B1185" t="s">
        <v>720</v>
      </c>
      <c r="C1185" s="109"/>
      <c r="D1185" s="110" t="s">
        <v>6582</v>
      </c>
      <c r="E1185" t="s">
        <v>5508</v>
      </c>
    </row>
    <row r="1186" spans="2:5" x14ac:dyDescent="0.2">
      <c r="B1186" t="s">
        <v>721</v>
      </c>
      <c r="C1186" s="109"/>
      <c r="D1186" s="110" t="s">
        <v>6582</v>
      </c>
      <c r="E1186" t="s">
        <v>5509</v>
      </c>
    </row>
    <row r="1187" spans="2:5" x14ac:dyDescent="0.2">
      <c r="B1187" t="s">
        <v>722</v>
      </c>
      <c r="C1187" s="109"/>
      <c r="D1187" s="110" t="s">
        <v>6582</v>
      </c>
      <c r="E1187" t="s">
        <v>5510</v>
      </c>
    </row>
    <row r="1188" spans="2:5" x14ac:dyDescent="0.2">
      <c r="B1188" t="s">
        <v>723</v>
      </c>
      <c r="C1188" s="109"/>
      <c r="D1188" s="110" t="s">
        <v>6582</v>
      </c>
      <c r="E1188" t="s">
        <v>5511</v>
      </c>
    </row>
    <row r="1189" spans="2:5" x14ac:dyDescent="0.2">
      <c r="B1189" t="s">
        <v>724</v>
      </c>
      <c r="C1189" s="109"/>
      <c r="D1189" s="110" t="s">
        <v>6582</v>
      </c>
      <c r="E1189" t="s">
        <v>5512</v>
      </c>
    </row>
    <row r="1190" spans="2:5" x14ac:dyDescent="0.2">
      <c r="B1190" t="s">
        <v>725</v>
      </c>
      <c r="C1190" s="109"/>
      <c r="D1190" s="110" t="s">
        <v>6580</v>
      </c>
      <c r="E1190" t="s">
        <v>5513</v>
      </c>
    </row>
    <row r="1191" spans="2:5" x14ac:dyDescent="0.2">
      <c r="B1191" t="s">
        <v>324</v>
      </c>
      <c r="C1191" s="109"/>
      <c r="D1191" s="110" t="s">
        <v>6580</v>
      </c>
      <c r="E1191" t="s">
        <v>5514</v>
      </c>
    </row>
    <row r="1192" spans="2:5" x14ac:dyDescent="0.2">
      <c r="B1192" t="s">
        <v>5515</v>
      </c>
      <c r="C1192" s="109"/>
      <c r="D1192" s="110" t="s">
        <v>6582</v>
      </c>
      <c r="E1192" t="s">
        <v>5516</v>
      </c>
    </row>
    <row r="1193" spans="2:5" x14ac:dyDescent="0.2">
      <c r="B1193" t="s">
        <v>739</v>
      </c>
      <c r="C1193" s="109"/>
      <c r="D1193" s="110" t="s">
        <v>6580</v>
      </c>
      <c r="E1193" t="s">
        <v>5517</v>
      </c>
    </row>
    <row r="1194" spans="2:5" x14ac:dyDescent="0.2">
      <c r="B1194" t="s">
        <v>741</v>
      </c>
      <c r="C1194" s="109"/>
      <c r="D1194" s="110" t="s">
        <v>6580</v>
      </c>
      <c r="E1194" t="s">
        <v>5518</v>
      </c>
    </row>
    <row r="1195" spans="2:5" x14ac:dyDescent="0.2">
      <c r="B1195" t="s">
        <v>743</v>
      </c>
      <c r="C1195" s="109"/>
      <c r="D1195" s="110" t="s">
        <v>6580</v>
      </c>
      <c r="E1195" t="s">
        <v>5519</v>
      </c>
    </row>
    <row r="1196" spans="2:5" x14ac:dyDescent="0.2">
      <c r="B1196" t="s">
        <v>5520</v>
      </c>
      <c r="C1196" s="109"/>
      <c r="D1196" s="110" t="s">
        <v>6582</v>
      </c>
      <c r="E1196" t="s">
        <v>5521</v>
      </c>
    </row>
    <row r="1197" spans="2:5" x14ac:dyDescent="0.2">
      <c r="B1197" t="s">
        <v>5522</v>
      </c>
      <c r="C1197" s="109"/>
      <c r="D1197" s="110" t="s">
        <v>6582</v>
      </c>
      <c r="E1197" t="s">
        <v>5523</v>
      </c>
    </row>
    <row r="1198" spans="2:5" x14ac:dyDescent="0.2">
      <c r="B1198" t="s">
        <v>5524</v>
      </c>
      <c r="C1198" s="109"/>
      <c r="D1198" s="110" t="s">
        <v>6582</v>
      </c>
      <c r="E1198" t="s">
        <v>5525</v>
      </c>
    </row>
    <row r="1199" spans="2:5" x14ac:dyDescent="0.2">
      <c r="B1199" t="s">
        <v>5526</v>
      </c>
      <c r="C1199" s="109"/>
      <c r="D1199" s="110" t="s">
        <v>6582</v>
      </c>
      <c r="E1199" t="s">
        <v>5527</v>
      </c>
    </row>
    <row r="1200" spans="2:5" x14ac:dyDescent="0.2">
      <c r="B1200" t="s">
        <v>5528</v>
      </c>
      <c r="C1200" s="109"/>
      <c r="D1200" s="110" t="s">
        <v>6582</v>
      </c>
      <c r="E1200" t="s">
        <v>5529</v>
      </c>
    </row>
    <row r="1201" spans="2:5" x14ac:dyDescent="0.2">
      <c r="B1201" t="s">
        <v>749</v>
      </c>
      <c r="C1201" s="109"/>
      <c r="D1201" s="110" t="s">
        <v>6580</v>
      </c>
      <c r="E1201" t="s">
        <v>5530</v>
      </c>
    </row>
    <row r="1202" spans="2:5" x14ac:dyDescent="0.2">
      <c r="B1202" t="s">
        <v>3409</v>
      </c>
      <c r="C1202" s="109"/>
      <c r="D1202" s="110" t="s">
        <v>6580</v>
      </c>
      <c r="E1202" t="s">
        <v>5531</v>
      </c>
    </row>
    <row r="1203" spans="2:5" x14ac:dyDescent="0.2">
      <c r="B1203" t="s">
        <v>728</v>
      </c>
      <c r="C1203" s="109"/>
      <c r="D1203" s="110" t="s">
        <v>6580</v>
      </c>
      <c r="E1203" t="s">
        <v>5532</v>
      </c>
    </row>
    <row r="1204" spans="2:5" x14ac:dyDescent="0.2">
      <c r="B1204" t="s">
        <v>5533</v>
      </c>
      <c r="C1204" s="109"/>
      <c r="D1204" s="110" t="s">
        <v>6582</v>
      </c>
      <c r="E1204" t="s">
        <v>5534</v>
      </c>
    </row>
    <row r="1205" spans="2:5" x14ac:dyDescent="0.2">
      <c r="B1205" t="s">
        <v>3410</v>
      </c>
      <c r="C1205" s="109"/>
      <c r="D1205" s="110" t="s">
        <v>6580</v>
      </c>
      <c r="E1205" t="s">
        <v>5535</v>
      </c>
    </row>
    <row r="1206" spans="2:5" x14ac:dyDescent="0.2">
      <c r="B1206" t="s">
        <v>5536</v>
      </c>
      <c r="C1206" s="109"/>
      <c r="D1206" s="110" t="s">
        <v>6582</v>
      </c>
      <c r="E1206" t="s">
        <v>5537</v>
      </c>
    </row>
    <row r="1207" spans="2:5" x14ac:dyDescent="0.2">
      <c r="B1207" t="s">
        <v>732</v>
      </c>
      <c r="C1207" s="109"/>
      <c r="D1207" s="110" t="s">
        <v>6580</v>
      </c>
      <c r="E1207" t="s">
        <v>5538</v>
      </c>
    </row>
    <row r="1208" spans="2:5" x14ac:dyDescent="0.2">
      <c r="B1208" t="s">
        <v>735</v>
      </c>
      <c r="C1208" s="109"/>
      <c r="D1208" s="110" t="s">
        <v>6580</v>
      </c>
      <c r="E1208" t="s">
        <v>5539</v>
      </c>
    </row>
    <row r="1209" spans="2:5" x14ac:dyDescent="0.2">
      <c r="B1209" t="s">
        <v>737</v>
      </c>
      <c r="C1209" s="109"/>
      <c r="D1209" s="110" t="s">
        <v>6580</v>
      </c>
      <c r="E1209" t="s">
        <v>5540</v>
      </c>
    </row>
    <row r="1210" spans="2:5" x14ac:dyDescent="0.2">
      <c r="B1210" t="s">
        <v>1995</v>
      </c>
      <c r="C1210" s="109"/>
      <c r="D1210" s="110" t="s">
        <v>6580</v>
      </c>
      <c r="E1210" t="s">
        <v>5541</v>
      </c>
    </row>
    <row r="1211" spans="2:5" x14ac:dyDescent="0.2">
      <c r="B1211" t="s">
        <v>236</v>
      </c>
      <c r="C1211" s="109"/>
      <c r="D1211" s="110" t="s">
        <v>6580</v>
      </c>
      <c r="E1211" t="s">
        <v>5542</v>
      </c>
    </row>
    <row r="1212" spans="2:5" x14ac:dyDescent="0.2">
      <c r="B1212" t="s">
        <v>235</v>
      </c>
      <c r="C1212" s="109"/>
      <c r="D1212" s="110" t="s">
        <v>6580</v>
      </c>
      <c r="E1212" t="s">
        <v>5543</v>
      </c>
    </row>
    <row r="1213" spans="2:5" x14ac:dyDescent="0.2">
      <c r="B1213" t="s">
        <v>237</v>
      </c>
      <c r="C1213" s="109"/>
      <c r="D1213" s="110" t="s">
        <v>6580</v>
      </c>
      <c r="E1213" t="s">
        <v>5544</v>
      </c>
    </row>
    <row r="1214" spans="2:5" x14ac:dyDescent="0.2">
      <c r="B1214" t="s">
        <v>726</v>
      </c>
      <c r="C1214" s="109"/>
      <c r="D1214" s="110" t="s">
        <v>6580</v>
      </c>
      <c r="E1214" t="s">
        <v>5545</v>
      </c>
    </row>
    <row r="1215" spans="2:5" x14ac:dyDescent="0.2">
      <c r="B1215" t="s">
        <v>738</v>
      </c>
      <c r="C1215" s="109"/>
      <c r="D1215" s="110" t="s">
        <v>6580</v>
      </c>
      <c r="E1215" t="s">
        <v>5546</v>
      </c>
    </row>
    <row r="1216" spans="2:5" x14ac:dyDescent="0.2">
      <c r="B1216" t="s">
        <v>245</v>
      </c>
      <c r="C1216" s="109"/>
      <c r="D1216" s="110" t="s">
        <v>6580</v>
      </c>
      <c r="E1216" t="s">
        <v>5547</v>
      </c>
    </row>
    <row r="1217" spans="2:5" x14ac:dyDescent="0.2">
      <c r="B1217" t="s">
        <v>740</v>
      </c>
      <c r="C1217" s="109"/>
      <c r="D1217" s="110" t="s">
        <v>6580</v>
      </c>
      <c r="E1217" t="s">
        <v>5548</v>
      </c>
    </row>
    <row r="1218" spans="2:5" x14ac:dyDescent="0.2">
      <c r="B1218" t="s">
        <v>246</v>
      </c>
      <c r="C1218" s="109"/>
      <c r="D1218" s="110" t="s">
        <v>6580</v>
      </c>
      <c r="E1218" t="s">
        <v>5549</v>
      </c>
    </row>
    <row r="1219" spans="2:5" x14ac:dyDescent="0.2">
      <c r="B1219" t="s">
        <v>742</v>
      </c>
      <c r="C1219" s="109"/>
      <c r="D1219" s="110" t="s">
        <v>6580</v>
      </c>
      <c r="E1219" t="s">
        <v>5550</v>
      </c>
    </row>
    <row r="1220" spans="2:5" x14ac:dyDescent="0.2">
      <c r="B1220" t="s">
        <v>247</v>
      </c>
      <c r="C1220" s="109"/>
      <c r="D1220" s="110" t="s">
        <v>6580</v>
      </c>
      <c r="E1220" t="s">
        <v>5551</v>
      </c>
    </row>
    <row r="1221" spans="2:5" x14ac:dyDescent="0.2">
      <c r="B1221" t="s">
        <v>744</v>
      </c>
      <c r="C1221" s="109"/>
      <c r="D1221" s="110" t="s">
        <v>6580</v>
      </c>
      <c r="E1221" t="s">
        <v>5552</v>
      </c>
    </row>
    <row r="1222" spans="2:5" x14ac:dyDescent="0.2">
      <c r="B1222" t="s">
        <v>248</v>
      </c>
      <c r="C1222" s="109"/>
      <c r="D1222" s="110" t="s">
        <v>6582</v>
      </c>
      <c r="E1222" t="s">
        <v>5553</v>
      </c>
    </row>
    <row r="1223" spans="2:5" x14ac:dyDescent="0.2">
      <c r="B1223" t="s">
        <v>745</v>
      </c>
      <c r="C1223" s="109"/>
      <c r="D1223" s="110" t="s">
        <v>6580</v>
      </c>
      <c r="E1223" t="s">
        <v>5554</v>
      </c>
    </row>
    <row r="1224" spans="2:5" x14ac:dyDescent="0.2">
      <c r="B1224" t="s">
        <v>249</v>
      </c>
      <c r="C1224" s="109"/>
      <c r="D1224" s="110" t="s">
        <v>6582</v>
      </c>
      <c r="E1224" t="s">
        <v>5555</v>
      </c>
    </row>
    <row r="1225" spans="2:5" x14ac:dyDescent="0.2">
      <c r="B1225" t="s">
        <v>746</v>
      </c>
      <c r="C1225" s="109"/>
      <c r="D1225" s="110" t="s">
        <v>6580</v>
      </c>
      <c r="E1225" t="s">
        <v>5556</v>
      </c>
    </row>
    <row r="1226" spans="2:5" x14ac:dyDescent="0.2">
      <c r="B1226" t="s">
        <v>250</v>
      </c>
      <c r="C1226" s="109"/>
      <c r="D1226" s="110" t="s">
        <v>6582</v>
      </c>
      <c r="E1226" t="s">
        <v>5557</v>
      </c>
    </row>
    <row r="1227" spans="2:5" x14ac:dyDescent="0.2">
      <c r="B1227" t="s">
        <v>5558</v>
      </c>
      <c r="C1227" s="109"/>
      <c r="D1227" s="110" t="s">
        <v>6582</v>
      </c>
      <c r="E1227" t="s">
        <v>5559</v>
      </c>
    </row>
    <row r="1228" spans="2:5" x14ac:dyDescent="0.2">
      <c r="B1228" t="s">
        <v>747</v>
      </c>
      <c r="C1228" s="109"/>
      <c r="D1228" s="110" t="s">
        <v>6580</v>
      </c>
      <c r="E1228" t="s">
        <v>5560</v>
      </c>
    </row>
    <row r="1229" spans="2:5" x14ac:dyDescent="0.2">
      <c r="B1229" t="s">
        <v>251</v>
      </c>
      <c r="C1229" s="109"/>
      <c r="D1229" s="110" t="s">
        <v>6582</v>
      </c>
      <c r="E1229" t="s">
        <v>5561</v>
      </c>
    </row>
    <row r="1230" spans="2:5" x14ac:dyDescent="0.2">
      <c r="B1230" t="s">
        <v>748</v>
      </c>
      <c r="C1230" s="109"/>
      <c r="D1230" s="110" t="s">
        <v>6580</v>
      </c>
      <c r="E1230" t="s">
        <v>5562</v>
      </c>
    </row>
    <row r="1231" spans="2:5" x14ac:dyDescent="0.2">
      <c r="B1231" t="s">
        <v>252</v>
      </c>
      <c r="C1231" s="109"/>
      <c r="D1231" s="110" t="s">
        <v>6580</v>
      </c>
      <c r="E1231" t="s">
        <v>5563</v>
      </c>
    </row>
    <row r="1232" spans="2:5" x14ac:dyDescent="0.2">
      <c r="B1232" t="s">
        <v>750</v>
      </c>
      <c r="C1232" s="109"/>
      <c r="D1232" s="110" t="s">
        <v>6580</v>
      </c>
      <c r="E1232" t="s">
        <v>5564</v>
      </c>
    </row>
    <row r="1233" spans="2:5" x14ac:dyDescent="0.2">
      <c r="B1233" t="s">
        <v>253</v>
      </c>
      <c r="C1233" s="109"/>
      <c r="D1233" s="110" t="s">
        <v>6580</v>
      </c>
      <c r="E1233" t="s">
        <v>5565</v>
      </c>
    </row>
    <row r="1234" spans="2:5" x14ac:dyDescent="0.2">
      <c r="B1234" t="s">
        <v>238</v>
      </c>
      <c r="C1234" s="109"/>
      <c r="D1234" s="110" t="s">
        <v>6582</v>
      </c>
      <c r="E1234" t="s">
        <v>5566</v>
      </c>
    </row>
    <row r="1235" spans="2:5" x14ac:dyDescent="0.2">
      <c r="B1235" t="s">
        <v>727</v>
      </c>
      <c r="C1235" s="109"/>
      <c r="D1235" s="110" t="s">
        <v>6580</v>
      </c>
      <c r="E1235" t="s">
        <v>5567</v>
      </c>
    </row>
    <row r="1236" spans="2:5" x14ac:dyDescent="0.2">
      <c r="B1236" t="s">
        <v>751</v>
      </c>
      <c r="C1236" s="109"/>
      <c r="D1236" s="110" t="s">
        <v>6580</v>
      </c>
      <c r="E1236" t="s">
        <v>5568</v>
      </c>
    </row>
    <row r="1237" spans="2:5" x14ac:dyDescent="0.2">
      <c r="B1237" t="s">
        <v>254</v>
      </c>
      <c r="C1237" s="109"/>
      <c r="D1237" s="110" t="s">
        <v>6582</v>
      </c>
      <c r="E1237" t="s">
        <v>5569</v>
      </c>
    </row>
    <row r="1238" spans="2:5" x14ac:dyDescent="0.2">
      <c r="B1238" t="s">
        <v>752</v>
      </c>
      <c r="C1238" s="109"/>
      <c r="D1238" s="110" t="s">
        <v>6580</v>
      </c>
      <c r="E1238" t="s">
        <v>5570</v>
      </c>
    </row>
    <row r="1239" spans="2:5" x14ac:dyDescent="0.2">
      <c r="B1239" t="s">
        <v>255</v>
      </c>
      <c r="C1239" s="109"/>
      <c r="D1239" s="110" t="s">
        <v>6580</v>
      </c>
      <c r="E1239" t="s">
        <v>5571</v>
      </c>
    </row>
    <row r="1240" spans="2:5" x14ac:dyDescent="0.2">
      <c r="B1240" t="s">
        <v>239</v>
      </c>
      <c r="C1240" s="109"/>
      <c r="D1240" s="110" t="s">
        <v>6580</v>
      </c>
      <c r="E1240" t="s">
        <v>5572</v>
      </c>
    </row>
    <row r="1241" spans="2:5" x14ac:dyDescent="0.2">
      <c r="B1241" t="s">
        <v>729</v>
      </c>
      <c r="C1241" s="109"/>
      <c r="D1241" s="110" t="s">
        <v>6580</v>
      </c>
      <c r="E1241" t="s">
        <v>5573</v>
      </c>
    </row>
    <row r="1242" spans="2:5" x14ac:dyDescent="0.2">
      <c r="B1242" t="s">
        <v>240</v>
      </c>
      <c r="C1242" s="109"/>
      <c r="D1242" s="110" t="s">
        <v>6582</v>
      </c>
      <c r="E1242" t="s">
        <v>5574</v>
      </c>
    </row>
    <row r="1243" spans="2:5" x14ac:dyDescent="0.2">
      <c r="B1243" t="s">
        <v>730</v>
      </c>
      <c r="C1243" s="109"/>
      <c r="D1243" s="110" t="s">
        <v>6580</v>
      </c>
      <c r="E1243" t="s">
        <v>5575</v>
      </c>
    </row>
    <row r="1244" spans="2:5" x14ac:dyDescent="0.2">
      <c r="B1244" t="s">
        <v>3408</v>
      </c>
      <c r="C1244" s="109"/>
      <c r="D1244" s="110" t="s">
        <v>6580</v>
      </c>
      <c r="E1244" t="s">
        <v>5576</v>
      </c>
    </row>
    <row r="1245" spans="2:5" x14ac:dyDescent="0.2">
      <c r="B1245" t="s">
        <v>241</v>
      </c>
      <c r="C1245" s="109"/>
      <c r="D1245" s="110" t="s">
        <v>6582</v>
      </c>
      <c r="E1245" t="s">
        <v>5577</v>
      </c>
    </row>
    <row r="1246" spans="2:5" x14ac:dyDescent="0.2">
      <c r="B1246" t="s">
        <v>731</v>
      </c>
      <c r="C1246" s="109"/>
      <c r="D1246" s="110" t="s">
        <v>6580</v>
      </c>
      <c r="E1246" t="s">
        <v>5578</v>
      </c>
    </row>
    <row r="1247" spans="2:5" x14ac:dyDescent="0.2">
      <c r="B1247" t="s">
        <v>242</v>
      </c>
      <c r="C1247" s="109"/>
      <c r="D1247" s="110" t="s">
        <v>6580</v>
      </c>
      <c r="E1247" t="s">
        <v>5579</v>
      </c>
    </row>
    <row r="1248" spans="2:5" x14ac:dyDescent="0.2">
      <c r="B1248" t="s">
        <v>733</v>
      </c>
      <c r="C1248" s="109"/>
      <c r="D1248" s="110" t="s">
        <v>6580</v>
      </c>
      <c r="E1248" t="s">
        <v>5580</v>
      </c>
    </row>
    <row r="1249" spans="2:5" x14ac:dyDescent="0.2">
      <c r="B1249" t="s">
        <v>734</v>
      </c>
      <c r="C1249" s="109"/>
      <c r="D1249" s="110" t="s">
        <v>6580</v>
      </c>
      <c r="E1249" t="s">
        <v>5581</v>
      </c>
    </row>
    <row r="1250" spans="2:5" x14ac:dyDescent="0.2">
      <c r="B1250" t="s">
        <v>243</v>
      </c>
      <c r="C1250" s="109"/>
      <c r="D1250" s="110" t="s">
        <v>6580</v>
      </c>
      <c r="E1250" t="s">
        <v>5582</v>
      </c>
    </row>
    <row r="1251" spans="2:5" x14ac:dyDescent="0.2">
      <c r="B1251" t="s">
        <v>736</v>
      </c>
      <c r="C1251" s="109"/>
      <c r="D1251" s="110" t="s">
        <v>6580</v>
      </c>
      <c r="E1251" t="s">
        <v>5583</v>
      </c>
    </row>
    <row r="1252" spans="2:5" x14ac:dyDescent="0.2">
      <c r="B1252" t="s">
        <v>244</v>
      </c>
      <c r="C1252" s="109"/>
      <c r="D1252" s="110" t="s">
        <v>6580</v>
      </c>
      <c r="E1252" t="s">
        <v>5584</v>
      </c>
    </row>
    <row r="1253" spans="2:5" x14ac:dyDescent="0.2">
      <c r="B1253" t="s">
        <v>308</v>
      </c>
      <c r="C1253" s="109"/>
      <c r="D1253" s="110" t="s">
        <v>6580</v>
      </c>
      <c r="E1253" t="s">
        <v>5585</v>
      </c>
    </row>
    <row r="1254" spans="2:5" x14ac:dyDescent="0.2">
      <c r="B1254" t="s">
        <v>310</v>
      </c>
      <c r="C1254" s="109"/>
      <c r="D1254" s="110" t="s">
        <v>6580</v>
      </c>
      <c r="E1254" t="s">
        <v>5586</v>
      </c>
    </row>
    <row r="1255" spans="2:5" x14ac:dyDescent="0.2">
      <c r="B1255" t="s">
        <v>309</v>
      </c>
      <c r="C1255" s="109"/>
      <c r="D1255" s="110" t="s">
        <v>6580</v>
      </c>
      <c r="E1255" t="s">
        <v>5587</v>
      </c>
    </row>
    <row r="1256" spans="2:5" x14ac:dyDescent="0.2">
      <c r="B1256" t="s">
        <v>311</v>
      </c>
      <c r="C1256" s="109"/>
      <c r="D1256" s="110" t="s">
        <v>6580</v>
      </c>
      <c r="E1256" t="s">
        <v>5588</v>
      </c>
    </row>
    <row r="1257" spans="2:5" x14ac:dyDescent="0.2">
      <c r="B1257" t="s">
        <v>260</v>
      </c>
      <c r="C1257" s="109"/>
      <c r="D1257" s="110" t="s">
        <v>6580</v>
      </c>
      <c r="E1257" t="s">
        <v>5589</v>
      </c>
    </row>
    <row r="1258" spans="2:5" x14ac:dyDescent="0.2">
      <c r="B1258" t="s">
        <v>257</v>
      </c>
      <c r="C1258" s="109"/>
      <c r="D1258" s="110" t="s">
        <v>6580</v>
      </c>
      <c r="E1258" t="s">
        <v>5590</v>
      </c>
    </row>
    <row r="1259" spans="2:5" x14ac:dyDescent="0.2">
      <c r="B1259" t="s">
        <v>256</v>
      </c>
      <c r="C1259" s="109"/>
      <c r="D1259" s="110" t="s">
        <v>6580</v>
      </c>
      <c r="E1259" t="s">
        <v>5591</v>
      </c>
    </row>
    <row r="1260" spans="2:5" x14ac:dyDescent="0.2">
      <c r="B1260" t="s">
        <v>259</v>
      </c>
      <c r="C1260" s="109"/>
      <c r="D1260" s="110" t="s">
        <v>6580</v>
      </c>
      <c r="E1260" t="s">
        <v>5592</v>
      </c>
    </row>
    <row r="1261" spans="2:5" x14ac:dyDescent="0.2">
      <c r="B1261" t="s">
        <v>258</v>
      </c>
      <c r="C1261" s="109"/>
      <c r="D1261" s="110" t="s">
        <v>6580</v>
      </c>
      <c r="E1261" t="s">
        <v>5593</v>
      </c>
    </row>
    <row r="1262" spans="2:5" x14ac:dyDescent="0.2">
      <c r="B1262" t="s">
        <v>263</v>
      </c>
      <c r="C1262" s="109"/>
      <c r="D1262" s="110" t="s">
        <v>6580</v>
      </c>
      <c r="E1262" t="s">
        <v>5594</v>
      </c>
    </row>
    <row r="1263" spans="2:5" x14ac:dyDescent="0.2">
      <c r="B1263" t="s">
        <v>264</v>
      </c>
      <c r="C1263" s="109"/>
      <c r="D1263" s="110" t="s">
        <v>6580</v>
      </c>
      <c r="E1263" t="s">
        <v>5595</v>
      </c>
    </row>
    <row r="1264" spans="2:5" x14ac:dyDescent="0.2">
      <c r="B1264" t="s">
        <v>265</v>
      </c>
      <c r="C1264" s="109"/>
      <c r="D1264" s="110" t="s">
        <v>6580</v>
      </c>
      <c r="E1264" t="s">
        <v>5596</v>
      </c>
    </row>
    <row r="1265" spans="2:5" x14ac:dyDescent="0.2">
      <c r="B1265" t="s">
        <v>266</v>
      </c>
      <c r="C1265" s="109"/>
      <c r="D1265" s="110" t="s">
        <v>6580</v>
      </c>
      <c r="E1265" t="s">
        <v>5597</v>
      </c>
    </row>
    <row r="1266" spans="2:5" x14ac:dyDescent="0.2">
      <c r="B1266" t="s">
        <v>267</v>
      </c>
      <c r="C1266" s="109"/>
      <c r="D1266" s="110" t="s">
        <v>6580</v>
      </c>
      <c r="E1266" t="s">
        <v>5598</v>
      </c>
    </row>
    <row r="1267" spans="2:5" x14ac:dyDescent="0.2">
      <c r="B1267" t="s">
        <v>268</v>
      </c>
      <c r="C1267" s="109"/>
      <c r="D1267" s="110" t="s">
        <v>6580</v>
      </c>
      <c r="E1267" t="s">
        <v>5599</v>
      </c>
    </row>
    <row r="1268" spans="2:5" x14ac:dyDescent="0.2">
      <c r="B1268" t="s">
        <v>269</v>
      </c>
      <c r="C1268" s="109"/>
      <c r="D1268" s="110" t="s">
        <v>6580</v>
      </c>
      <c r="E1268" t="s">
        <v>5600</v>
      </c>
    </row>
    <row r="1269" spans="2:5" x14ac:dyDescent="0.2">
      <c r="B1269" t="s">
        <v>270</v>
      </c>
      <c r="C1269" s="109"/>
      <c r="D1269" s="110" t="s">
        <v>6580</v>
      </c>
      <c r="E1269" t="s">
        <v>5601</v>
      </c>
    </row>
    <row r="1270" spans="2:5" x14ac:dyDescent="0.2">
      <c r="B1270" t="s">
        <v>271</v>
      </c>
      <c r="C1270" s="109"/>
      <c r="D1270" s="110" t="s">
        <v>6580</v>
      </c>
      <c r="E1270" t="s">
        <v>5602</v>
      </c>
    </row>
    <row r="1271" spans="2:5" x14ac:dyDescent="0.2">
      <c r="B1271" t="s">
        <v>272</v>
      </c>
      <c r="C1271" s="109"/>
      <c r="D1271" s="110" t="s">
        <v>6580</v>
      </c>
      <c r="E1271" t="s">
        <v>5603</v>
      </c>
    </row>
    <row r="1272" spans="2:5" x14ac:dyDescent="0.2">
      <c r="B1272" t="s">
        <v>273</v>
      </c>
      <c r="C1272" s="109"/>
      <c r="D1272" s="110" t="s">
        <v>6580</v>
      </c>
      <c r="E1272" t="s">
        <v>5604</v>
      </c>
    </row>
    <row r="1273" spans="2:5" x14ac:dyDescent="0.2">
      <c r="B1273" t="s">
        <v>274</v>
      </c>
      <c r="C1273" s="109"/>
      <c r="D1273" s="110" t="s">
        <v>6580</v>
      </c>
      <c r="E1273" t="s">
        <v>5605</v>
      </c>
    </row>
    <row r="1274" spans="2:5" x14ac:dyDescent="0.2">
      <c r="B1274" t="s">
        <v>275</v>
      </c>
      <c r="C1274" s="109"/>
      <c r="D1274" s="110" t="s">
        <v>6580</v>
      </c>
      <c r="E1274" t="s">
        <v>5606</v>
      </c>
    </row>
    <row r="1275" spans="2:5" x14ac:dyDescent="0.2">
      <c r="B1275" t="s">
        <v>276</v>
      </c>
      <c r="C1275" s="109"/>
      <c r="D1275" s="110" t="s">
        <v>6580</v>
      </c>
      <c r="E1275" t="s">
        <v>5607</v>
      </c>
    </row>
    <row r="1276" spans="2:5" x14ac:dyDescent="0.2">
      <c r="B1276" t="s">
        <v>277</v>
      </c>
      <c r="C1276" s="109"/>
      <c r="D1276" s="110" t="s">
        <v>6580</v>
      </c>
      <c r="E1276" t="s">
        <v>5608</v>
      </c>
    </row>
    <row r="1277" spans="2:5" x14ac:dyDescent="0.2">
      <c r="B1277" t="s">
        <v>278</v>
      </c>
      <c r="C1277" s="109"/>
      <c r="D1277" s="110" t="s">
        <v>6580</v>
      </c>
      <c r="E1277" t="s">
        <v>5609</v>
      </c>
    </row>
    <row r="1278" spans="2:5" x14ac:dyDescent="0.2">
      <c r="B1278" t="s">
        <v>279</v>
      </c>
      <c r="C1278" s="109"/>
      <c r="D1278" s="110" t="s">
        <v>6580</v>
      </c>
      <c r="E1278" t="s">
        <v>5610</v>
      </c>
    </row>
    <row r="1279" spans="2:5" x14ac:dyDescent="0.2">
      <c r="B1279" t="s">
        <v>280</v>
      </c>
      <c r="C1279" s="109"/>
      <c r="D1279" s="110" t="s">
        <v>6580</v>
      </c>
      <c r="E1279" t="s">
        <v>5611</v>
      </c>
    </row>
    <row r="1280" spans="2:5" x14ac:dyDescent="0.2">
      <c r="B1280" t="s">
        <v>261</v>
      </c>
      <c r="C1280" s="109"/>
      <c r="D1280" s="110" t="s">
        <v>6580</v>
      </c>
      <c r="E1280" t="s">
        <v>5612</v>
      </c>
    </row>
    <row r="1281" spans="2:5" x14ac:dyDescent="0.2">
      <c r="B1281" t="s">
        <v>262</v>
      </c>
      <c r="C1281" s="109"/>
      <c r="D1281" s="110" t="s">
        <v>6580</v>
      </c>
      <c r="E1281" t="s">
        <v>5613</v>
      </c>
    </row>
  </sheetData>
  <conditionalFormatting sqref="D35:D36">
    <cfRule type="duplicateValues" dxfId="43" priority="21"/>
  </conditionalFormatting>
  <conditionalFormatting sqref="D824">
    <cfRule type="duplicateValues" dxfId="42" priority="20"/>
  </conditionalFormatting>
  <conditionalFormatting sqref="D826">
    <cfRule type="duplicateValues" dxfId="41" priority="19"/>
  </conditionalFormatting>
  <conditionalFormatting sqref="D825">
    <cfRule type="duplicateValues" dxfId="40" priority="18"/>
  </conditionalFormatting>
  <conditionalFormatting sqref="D827">
    <cfRule type="duplicateValues" dxfId="39" priority="17"/>
  </conditionalFormatting>
  <conditionalFormatting sqref="D828">
    <cfRule type="duplicateValues" dxfId="38" priority="16"/>
  </conditionalFormatting>
  <conditionalFormatting sqref="D829">
    <cfRule type="duplicateValues" dxfId="37" priority="15"/>
  </conditionalFormatting>
  <conditionalFormatting sqref="D830:D831">
    <cfRule type="duplicateValues" dxfId="36" priority="14"/>
  </conditionalFormatting>
  <conditionalFormatting sqref="D833">
    <cfRule type="duplicateValues" dxfId="35" priority="13"/>
  </conditionalFormatting>
  <conditionalFormatting sqref="D834">
    <cfRule type="duplicateValues" dxfId="34" priority="12"/>
  </conditionalFormatting>
  <conditionalFormatting sqref="D835">
    <cfRule type="duplicateValues" dxfId="33" priority="11"/>
  </conditionalFormatting>
  <conditionalFormatting sqref="D837:D838">
    <cfRule type="duplicateValues" dxfId="32" priority="10"/>
  </conditionalFormatting>
  <conditionalFormatting sqref="D850">
    <cfRule type="duplicateValues" dxfId="31" priority="9"/>
  </conditionalFormatting>
  <conditionalFormatting sqref="D851:D857">
    <cfRule type="duplicateValues" dxfId="30" priority="8"/>
  </conditionalFormatting>
  <conditionalFormatting sqref="D858">
    <cfRule type="duplicateValues" dxfId="29" priority="7"/>
  </conditionalFormatting>
  <conditionalFormatting sqref="D859">
    <cfRule type="duplicateValues" dxfId="28" priority="6"/>
  </conditionalFormatting>
  <conditionalFormatting sqref="D845:D849">
    <cfRule type="duplicateValues" dxfId="27" priority="5"/>
  </conditionalFormatting>
  <conditionalFormatting sqref="D844">
    <cfRule type="duplicateValues" dxfId="26" priority="4"/>
  </conditionalFormatting>
  <conditionalFormatting sqref="D839 D841:D843">
    <cfRule type="duplicateValues" dxfId="25" priority="24"/>
  </conditionalFormatting>
  <conditionalFormatting sqref="D840">
    <cfRule type="duplicateValues" dxfId="24" priority="2"/>
  </conditionalFormatting>
  <conditionalFormatting sqref="D836">
    <cfRule type="duplicateValues" dxfId="23" priority="1"/>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A90AF-4A60-B74E-BCA5-B400B73806F9}">
  <dimension ref="A1:O141"/>
  <sheetViews>
    <sheetView showGridLines="0" topLeftCell="C8" workbookViewId="0">
      <selection activeCell="H36" sqref="C36:H39"/>
    </sheetView>
  </sheetViews>
  <sheetFormatPr baseColWidth="10" defaultRowHeight="16" x14ac:dyDescent="0.2"/>
  <cols>
    <col min="2" max="2" width="19.83203125" style="5" customWidth="1"/>
    <col min="3" max="3" width="91.1640625" style="5" customWidth="1"/>
    <col min="4" max="4" width="27" style="5" customWidth="1"/>
    <col min="5" max="5" width="10.83203125" style="5" customWidth="1"/>
    <col min="6" max="6" width="11" style="5" customWidth="1"/>
    <col min="7" max="7" width="11.5" style="6" customWidth="1"/>
    <col min="8" max="8" width="13" style="6" customWidth="1"/>
    <col min="9" max="9" width="13.33203125" style="6" customWidth="1"/>
    <col min="10" max="10" width="19.83203125" style="5" customWidth="1"/>
    <col min="11" max="11" width="10.83203125" style="5"/>
  </cols>
  <sheetData>
    <row r="1" spans="1:11" x14ac:dyDescent="0.2">
      <c r="F1" s="5">
        <f>SUM(F5:F137)</f>
        <v>1687</v>
      </c>
    </row>
    <row r="2" spans="1:11" x14ac:dyDescent="0.2">
      <c r="B2" s="53" t="s">
        <v>8531</v>
      </c>
      <c r="E2"/>
      <c r="F2"/>
    </row>
    <row r="3" spans="1:11" s="3" customFormat="1" ht="52" customHeight="1" x14ac:dyDescent="0.2">
      <c r="B3" s="38" t="s">
        <v>0</v>
      </c>
      <c r="C3" s="38" t="s">
        <v>1</v>
      </c>
      <c r="D3" s="38"/>
      <c r="E3" s="38" t="s">
        <v>2</v>
      </c>
      <c r="F3" s="38" t="s">
        <v>3</v>
      </c>
      <c r="G3" s="39" t="s">
        <v>4</v>
      </c>
      <c r="H3" s="39" t="s">
        <v>5</v>
      </c>
      <c r="I3" s="39" t="s">
        <v>6</v>
      </c>
      <c r="J3" s="38" t="s">
        <v>56</v>
      </c>
      <c r="K3" s="4"/>
    </row>
    <row r="4" spans="1:11" x14ac:dyDescent="0.2">
      <c r="B4" s="5" t="s">
        <v>7</v>
      </c>
      <c r="C4" s="5" t="s">
        <v>1848</v>
      </c>
      <c r="D4" s="5" t="s">
        <v>1849</v>
      </c>
    </row>
    <row r="5" spans="1:11" x14ac:dyDescent="0.2">
      <c r="C5" s="5" t="s">
        <v>51</v>
      </c>
      <c r="E5" s="5">
        <v>317</v>
      </c>
      <c r="F5" s="5">
        <v>12</v>
      </c>
      <c r="G5" s="6">
        <f>12/317</f>
        <v>3.7854889589905363E-2</v>
      </c>
      <c r="H5" s="6">
        <f>(317-12-95-30-34)/317</f>
        <v>0.4605678233438486</v>
      </c>
      <c r="I5" s="6">
        <f>(95+34+30)/317</f>
        <v>0.50157728706624605</v>
      </c>
      <c r="J5" s="5" t="s">
        <v>1978</v>
      </c>
    </row>
    <row r="6" spans="1:11" x14ac:dyDescent="0.2">
      <c r="C6" s="7" t="s">
        <v>10</v>
      </c>
      <c r="D6" s="7"/>
      <c r="E6" s="5">
        <v>11</v>
      </c>
      <c r="F6" s="5">
        <v>4</v>
      </c>
      <c r="G6" s="6">
        <f>4/11</f>
        <v>0.36363636363636365</v>
      </c>
      <c r="H6" s="6">
        <f>5/11</f>
        <v>0.45454545454545453</v>
      </c>
      <c r="I6" s="6">
        <f>2/11</f>
        <v>0.18181818181818182</v>
      </c>
      <c r="J6" s="5" t="s">
        <v>1979</v>
      </c>
    </row>
    <row r="7" spans="1:11" x14ac:dyDescent="0.2">
      <c r="C7" s="5" t="s">
        <v>9</v>
      </c>
      <c r="E7" s="5">
        <f>14+8</f>
        <v>22</v>
      </c>
      <c r="F7" s="5">
        <f>8</f>
        <v>8</v>
      </c>
      <c r="G7" s="6">
        <f>8/22</f>
        <v>0.36363636363636365</v>
      </c>
      <c r="H7" s="6">
        <f>1/22</f>
        <v>4.5454545454545456E-2</v>
      </c>
      <c r="I7" s="6">
        <f>13/22</f>
        <v>0.59090909090909094</v>
      </c>
    </row>
    <row r="8" spans="1:11" x14ac:dyDescent="0.2">
      <c r="C8" s="5" t="s">
        <v>1850</v>
      </c>
      <c r="D8" s="5" t="s">
        <v>1851</v>
      </c>
    </row>
    <row r="9" spans="1:11" x14ac:dyDescent="0.2">
      <c r="C9" s="5" t="s">
        <v>1852</v>
      </c>
      <c r="E9" s="5">
        <v>9</v>
      </c>
      <c r="F9" s="5">
        <v>9</v>
      </c>
      <c r="G9" s="6">
        <f>9/9</f>
        <v>1</v>
      </c>
      <c r="H9" s="6">
        <v>0</v>
      </c>
      <c r="I9" s="6">
        <v>0</v>
      </c>
      <c r="J9" s="5" t="s">
        <v>57</v>
      </c>
    </row>
    <row r="10" spans="1:11" ht="16" customHeight="1" x14ac:dyDescent="0.2">
      <c r="A10" s="62"/>
      <c r="B10" s="62"/>
      <c r="C10" s="7" t="s">
        <v>13</v>
      </c>
      <c r="D10" s="7"/>
      <c r="E10" s="5">
        <v>9</v>
      </c>
      <c r="F10" s="5">
        <v>2</v>
      </c>
      <c r="G10" s="6">
        <f>2/9</f>
        <v>0.22222222222222221</v>
      </c>
      <c r="H10" s="6">
        <f>7/9</f>
        <v>0.77777777777777779</v>
      </c>
      <c r="I10" s="6">
        <v>0</v>
      </c>
    </row>
    <row r="11" spans="1:11" x14ac:dyDescent="0.2">
      <c r="A11" s="62"/>
      <c r="B11" s="62"/>
      <c r="C11" s="7" t="s">
        <v>38</v>
      </c>
      <c r="D11" s="7"/>
      <c r="E11" s="5">
        <v>16</v>
      </c>
      <c r="F11" s="5">
        <v>16</v>
      </c>
      <c r="G11" s="6">
        <f>16/16</f>
        <v>1</v>
      </c>
      <c r="H11" s="6">
        <f>0</f>
        <v>0</v>
      </c>
      <c r="I11" s="6">
        <v>0</v>
      </c>
    </row>
    <row r="12" spans="1:11" x14ac:dyDescent="0.2">
      <c r="A12" s="62"/>
      <c r="B12" s="62"/>
      <c r="C12" s="7" t="s">
        <v>39</v>
      </c>
      <c r="D12" s="7"/>
      <c r="E12" s="5">
        <v>16</v>
      </c>
      <c r="F12" s="5">
        <v>16</v>
      </c>
      <c r="G12" s="6">
        <f>16/16</f>
        <v>1</v>
      </c>
      <c r="H12" s="6">
        <v>0</v>
      </c>
      <c r="I12" s="6">
        <v>0</v>
      </c>
    </row>
    <row r="13" spans="1:11" x14ac:dyDescent="0.2">
      <c r="A13" s="62"/>
      <c r="B13" s="62"/>
      <c r="C13" s="7" t="s">
        <v>40</v>
      </c>
      <c r="D13" s="7" t="s">
        <v>1853</v>
      </c>
    </row>
    <row r="14" spans="1:11" x14ac:dyDescent="0.2">
      <c r="A14" s="62"/>
      <c r="B14" s="62"/>
      <c r="C14" s="7" t="s">
        <v>14</v>
      </c>
      <c r="D14" s="7"/>
      <c r="E14" s="5">
        <f>12+6</f>
        <v>18</v>
      </c>
      <c r="F14" s="5">
        <v>0</v>
      </c>
      <c r="G14" s="6">
        <f>0</f>
        <v>0</v>
      </c>
      <c r="H14" s="6">
        <f>15/18</f>
        <v>0.83333333333333337</v>
      </c>
      <c r="I14" s="6">
        <f>3/18</f>
        <v>0.16666666666666666</v>
      </c>
    </row>
    <row r="15" spans="1:11" x14ac:dyDescent="0.2">
      <c r="A15" s="62"/>
      <c r="B15" s="62"/>
      <c r="C15" s="7" t="s">
        <v>17</v>
      </c>
      <c r="D15" s="7"/>
      <c r="E15" s="5">
        <v>14</v>
      </c>
      <c r="F15" s="5">
        <v>0</v>
      </c>
      <c r="G15" s="6">
        <f>0</f>
        <v>0</v>
      </c>
      <c r="H15" s="6">
        <v>1</v>
      </c>
      <c r="I15" s="6">
        <v>0</v>
      </c>
    </row>
    <row r="16" spans="1:11" x14ac:dyDescent="0.2">
      <c r="C16" s="7" t="s">
        <v>18</v>
      </c>
      <c r="D16" s="7"/>
      <c r="E16" s="5">
        <v>18</v>
      </c>
      <c r="F16" s="5">
        <v>0</v>
      </c>
      <c r="G16" s="6">
        <f>0</f>
        <v>0</v>
      </c>
      <c r="H16" s="6">
        <v>1</v>
      </c>
      <c r="I16" s="6">
        <v>0</v>
      </c>
    </row>
    <row r="17" spans="3:10" x14ac:dyDescent="0.2">
      <c r="C17" s="7" t="s">
        <v>41</v>
      </c>
      <c r="D17" s="7"/>
      <c r="E17" s="5">
        <f>7+6</f>
        <v>13</v>
      </c>
      <c r="F17" s="5">
        <f>7+2</f>
        <v>9</v>
      </c>
      <c r="G17" s="6">
        <f>9/13</f>
        <v>0.69230769230769229</v>
      </c>
      <c r="H17" s="6">
        <v>0</v>
      </c>
      <c r="I17" s="6">
        <f>4/13</f>
        <v>0.30769230769230771</v>
      </c>
    </row>
    <row r="18" spans="3:10" x14ac:dyDescent="0.2">
      <c r="C18" s="7" t="s">
        <v>42</v>
      </c>
      <c r="D18" s="7" t="s">
        <v>1855</v>
      </c>
      <c r="J18" s="6"/>
    </row>
    <row r="19" spans="3:10" x14ac:dyDescent="0.2">
      <c r="C19" s="7" t="s">
        <v>11</v>
      </c>
      <c r="D19" s="7"/>
      <c r="E19" s="5">
        <v>12</v>
      </c>
      <c r="F19" s="5">
        <v>0</v>
      </c>
      <c r="G19" s="6">
        <f>0</f>
        <v>0</v>
      </c>
      <c r="H19" s="6">
        <v>1</v>
      </c>
      <c r="I19" s="6">
        <v>0</v>
      </c>
    </row>
    <row r="20" spans="3:10" x14ac:dyDescent="0.2">
      <c r="C20" s="7" t="s">
        <v>15</v>
      </c>
      <c r="D20" s="7"/>
      <c r="E20" s="5">
        <f>9+6</f>
        <v>15</v>
      </c>
      <c r="F20" s="5">
        <v>0</v>
      </c>
      <c r="G20" s="6">
        <f>0</f>
        <v>0</v>
      </c>
      <c r="H20" s="6">
        <f>12/15</f>
        <v>0.8</v>
      </c>
      <c r="I20" s="6">
        <f>3/15</f>
        <v>0.2</v>
      </c>
    </row>
    <row r="21" spans="3:10" x14ac:dyDescent="0.2">
      <c r="C21" s="7" t="s">
        <v>19</v>
      </c>
      <c r="D21" s="7"/>
      <c r="E21" s="5">
        <v>10</v>
      </c>
      <c r="F21" s="5">
        <v>0</v>
      </c>
      <c r="G21" s="6">
        <f>0</f>
        <v>0</v>
      </c>
      <c r="H21" s="6">
        <v>1</v>
      </c>
      <c r="I21" s="6">
        <v>0</v>
      </c>
    </row>
    <row r="22" spans="3:10" x14ac:dyDescent="0.2">
      <c r="C22" s="7" t="s">
        <v>41</v>
      </c>
      <c r="D22" s="7"/>
      <c r="E22" s="5">
        <v>18</v>
      </c>
      <c r="F22" s="5">
        <v>6</v>
      </c>
      <c r="G22" s="6">
        <f>6/18</f>
        <v>0.33333333333333331</v>
      </c>
      <c r="H22" s="6">
        <f>2/18</f>
        <v>0.1111111111111111</v>
      </c>
      <c r="I22" s="6">
        <f>10/18</f>
        <v>0.55555555555555558</v>
      </c>
    </row>
    <row r="23" spans="3:10" x14ac:dyDescent="0.2">
      <c r="C23" s="7" t="s">
        <v>1856</v>
      </c>
      <c r="D23" s="7" t="s">
        <v>1857</v>
      </c>
    </row>
    <row r="24" spans="3:10" x14ac:dyDescent="0.2">
      <c r="C24" s="7" t="s">
        <v>12</v>
      </c>
      <c r="D24" s="7"/>
      <c r="E24" s="5">
        <v>8</v>
      </c>
      <c r="F24" s="5">
        <v>0</v>
      </c>
      <c r="G24" s="6">
        <f>0</f>
        <v>0</v>
      </c>
      <c r="H24" s="6">
        <v>1</v>
      </c>
      <c r="I24" s="6">
        <v>0</v>
      </c>
    </row>
    <row r="25" spans="3:10" x14ac:dyDescent="0.2">
      <c r="C25" s="7" t="s">
        <v>16</v>
      </c>
      <c r="D25" s="7"/>
      <c r="E25" s="5">
        <f>11+2</f>
        <v>13</v>
      </c>
      <c r="F25" s="5">
        <v>0</v>
      </c>
      <c r="G25" s="6">
        <f>0</f>
        <v>0</v>
      </c>
      <c r="H25" s="6">
        <f>12/13</f>
        <v>0.92307692307692313</v>
      </c>
      <c r="I25" s="6">
        <f>1/13</f>
        <v>7.6923076923076927E-2</v>
      </c>
    </row>
    <row r="26" spans="3:10" x14ac:dyDescent="0.2">
      <c r="C26" s="7" t="s">
        <v>20</v>
      </c>
      <c r="D26" s="7"/>
      <c r="E26" s="5">
        <v>18</v>
      </c>
      <c r="F26" s="5">
        <v>0</v>
      </c>
      <c r="G26" s="6">
        <f>0</f>
        <v>0</v>
      </c>
      <c r="H26" s="6">
        <v>1</v>
      </c>
      <c r="I26" s="6">
        <v>0</v>
      </c>
    </row>
    <row r="27" spans="3:10" x14ac:dyDescent="0.2">
      <c r="C27" s="7" t="s">
        <v>41</v>
      </c>
      <c r="D27" s="7"/>
      <c r="E27" s="5">
        <f>6+6</f>
        <v>12</v>
      </c>
      <c r="F27" s="5">
        <f>6+2</f>
        <v>8</v>
      </c>
      <c r="G27" s="6">
        <f>8/12</f>
        <v>0.66666666666666663</v>
      </c>
      <c r="H27" s="6">
        <v>0</v>
      </c>
      <c r="I27" s="6">
        <f>4/12</f>
        <v>0.33333333333333331</v>
      </c>
    </row>
    <row r="28" spans="3:10" x14ac:dyDescent="0.2">
      <c r="C28" s="7" t="s">
        <v>21</v>
      </c>
      <c r="D28" s="7"/>
      <c r="E28" s="5">
        <v>18</v>
      </c>
      <c r="F28" s="5">
        <v>0</v>
      </c>
      <c r="G28" s="6">
        <v>0</v>
      </c>
      <c r="H28" s="6">
        <v>1</v>
      </c>
      <c r="I28" s="6">
        <v>0</v>
      </c>
    </row>
    <row r="29" spans="3:10" x14ac:dyDescent="0.2">
      <c r="C29" s="7" t="s">
        <v>22</v>
      </c>
      <c r="D29" s="7" t="s">
        <v>1770</v>
      </c>
      <c r="E29" s="5">
        <v>9</v>
      </c>
      <c r="F29" s="5">
        <v>0</v>
      </c>
      <c r="G29" s="6">
        <f>0</f>
        <v>0</v>
      </c>
      <c r="H29" s="6">
        <f>4/9</f>
        <v>0.44444444444444442</v>
      </c>
      <c r="I29" s="6">
        <f>5/9</f>
        <v>0.55555555555555558</v>
      </c>
    </row>
    <row r="30" spans="3:10" x14ac:dyDescent="0.2">
      <c r="C30" s="7" t="s">
        <v>23</v>
      </c>
      <c r="D30" s="25" t="s">
        <v>1771</v>
      </c>
      <c r="E30" s="5">
        <v>21</v>
      </c>
      <c r="F30" s="5">
        <v>0</v>
      </c>
      <c r="G30" s="6">
        <v>0</v>
      </c>
      <c r="H30" s="6">
        <f>6/21</f>
        <v>0.2857142857142857</v>
      </c>
      <c r="I30" s="6">
        <f>15/21</f>
        <v>0.7142857142857143</v>
      </c>
    </row>
    <row r="31" spans="3:10" x14ac:dyDescent="0.2">
      <c r="C31" s="7" t="s">
        <v>24</v>
      </c>
      <c r="D31" s="25" t="s">
        <v>1772</v>
      </c>
      <c r="E31" s="5">
        <v>90</v>
      </c>
      <c r="F31" s="5">
        <v>0</v>
      </c>
      <c r="G31" s="6">
        <v>0</v>
      </c>
      <c r="H31" s="6">
        <f>10/90</f>
        <v>0.1111111111111111</v>
      </c>
      <c r="I31" s="6">
        <f>80/90</f>
        <v>0.88888888888888884</v>
      </c>
    </row>
    <row r="32" spans="3:10" x14ac:dyDescent="0.2">
      <c r="C32" s="7" t="s">
        <v>25</v>
      </c>
      <c r="D32" s="25" t="s">
        <v>1773</v>
      </c>
      <c r="E32" s="5">
        <v>24</v>
      </c>
      <c r="F32" s="5">
        <v>0</v>
      </c>
      <c r="G32" s="6">
        <v>0</v>
      </c>
      <c r="H32" s="6">
        <f>20/24</f>
        <v>0.83333333333333337</v>
      </c>
      <c r="I32" s="6">
        <f>4/24</f>
        <v>0.16666666666666666</v>
      </c>
    </row>
    <row r="33" spans="2:10" x14ac:dyDescent="0.2">
      <c r="C33" s="7" t="s">
        <v>1854</v>
      </c>
      <c r="D33" s="25" t="s">
        <v>1774</v>
      </c>
      <c r="E33" s="5">
        <v>10</v>
      </c>
      <c r="F33" s="5">
        <v>7</v>
      </c>
      <c r="G33" s="6">
        <f>7/10</f>
        <v>0.7</v>
      </c>
      <c r="H33" s="6">
        <f>3/10</f>
        <v>0.3</v>
      </c>
      <c r="I33" s="6">
        <f>0</f>
        <v>0</v>
      </c>
      <c r="J33" s="5" t="s">
        <v>60</v>
      </c>
    </row>
    <row r="34" spans="2:10" x14ac:dyDescent="0.2">
      <c r="C34" s="7" t="s">
        <v>43</v>
      </c>
      <c r="D34" s="25" t="s">
        <v>1858</v>
      </c>
      <c r="E34" s="5">
        <f>15</f>
        <v>15</v>
      </c>
      <c r="F34" s="5">
        <v>13</v>
      </c>
      <c r="G34" s="6">
        <f>13/15</f>
        <v>0.8666666666666667</v>
      </c>
      <c r="H34" s="6">
        <v>0</v>
      </c>
      <c r="I34" s="6">
        <f>2/15</f>
        <v>0.13333333333333333</v>
      </c>
    </row>
    <row r="35" spans="2:10" x14ac:dyDescent="0.2">
      <c r="C35" s="7" t="s">
        <v>26</v>
      </c>
      <c r="D35" s="25" t="s">
        <v>1775</v>
      </c>
      <c r="E35" s="5">
        <v>13</v>
      </c>
      <c r="F35" s="5">
        <f>9</f>
        <v>9</v>
      </c>
      <c r="G35" s="6">
        <f>9/13</f>
        <v>0.69230769230769229</v>
      </c>
      <c r="H35" s="6">
        <f>4/13</f>
        <v>0.30769230769230771</v>
      </c>
      <c r="I35" s="6">
        <f>0</f>
        <v>0</v>
      </c>
      <c r="J35" s="8"/>
    </row>
    <row r="36" spans="2:10" x14ac:dyDescent="0.2">
      <c r="C36" s="153"/>
      <c r="D36" s="153"/>
      <c r="E36" s="154"/>
      <c r="F36" s="154"/>
      <c r="G36" s="155"/>
      <c r="H36" s="155"/>
      <c r="J36" s="8"/>
    </row>
    <row r="37" spans="2:10" x14ac:dyDescent="0.2">
      <c r="B37" s="5" t="s">
        <v>55</v>
      </c>
      <c r="C37" s="156" t="s">
        <v>1776</v>
      </c>
      <c r="D37" s="157" t="s">
        <v>1777</v>
      </c>
      <c r="E37" s="154">
        <v>44</v>
      </c>
      <c r="F37" s="158">
        <v>30</v>
      </c>
      <c r="G37" s="159">
        <f>30/44</f>
        <v>0.68181818181818177</v>
      </c>
      <c r="H37" s="159">
        <f>(44-30-6)/44</f>
        <v>0.18181818181818182</v>
      </c>
      <c r="I37" s="12">
        <f>6/44</f>
        <v>0.13636363636363635</v>
      </c>
      <c r="J37" s="5" t="s">
        <v>3184</v>
      </c>
    </row>
    <row r="38" spans="2:10" x14ac:dyDescent="0.2">
      <c r="C38" s="156" t="s">
        <v>1778</v>
      </c>
      <c r="D38" s="157" t="s">
        <v>1779</v>
      </c>
      <c r="E38" s="154">
        <v>195</v>
      </c>
      <c r="F38" s="158">
        <v>74</v>
      </c>
      <c r="G38" s="159">
        <f>74/195</f>
        <v>0.37948717948717947</v>
      </c>
      <c r="H38" s="159">
        <f>(195-74-25)/195</f>
        <v>0.49230769230769234</v>
      </c>
      <c r="I38" s="12">
        <f>25/195</f>
        <v>0.12820512820512819</v>
      </c>
      <c r="J38" s="5" t="s">
        <v>3183</v>
      </c>
    </row>
    <row r="39" spans="2:10" x14ac:dyDescent="0.2">
      <c r="C39" s="154"/>
      <c r="D39" s="154"/>
      <c r="E39" s="154"/>
      <c r="F39" s="154"/>
      <c r="G39" s="159"/>
      <c r="H39" s="159"/>
      <c r="I39" s="12"/>
    </row>
    <row r="40" spans="2:10" x14ac:dyDescent="0.2">
      <c r="B40" s="5" t="s">
        <v>47</v>
      </c>
      <c r="C40" s="1" t="s">
        <v>1859</v>
      </c>
      <c r="D40" s="1" t="s">
        <v>1860</v>
      </c>
      <c r="E40" s="1">
        <v>149</v>
      </c>
      <c r="F40" s="1">
        <v>26</v>
      </c>
      <c r="G40" s="2">
        <f>26/149</f>
        <v>0.17449664429530201</v>
      </c>
      <c r="H40" s="2">
        <f>11/149</f>
        <v>7.3825503355704702E-2</v>
      </c>
      <c r="I40" s="2">
        <f>112/149</f>
        <v>0.75167785234899331</v>
      </c>
      <c r="J40" s="6" t="s">
        <v>1999</v>
      </c>
    </row>
    <row r="41" spans="2:10" x14ac:dyDescent="0.2">
      <c r="I41" s="11"/>
    </row>
    <row r="42" spans="2:10" x14ac:dyDescent="0.2">
      <c r="B42" s="5" t="s">
        <v>27</v>
      </c>
      <c r="C42" s="25" t="s">
        <v>1782</v>
      </c>
      <c r="D42" s="25" t="s">
        <v>1783</v>
      </c>
      <c r="E42" s="5">
        <v>97</v>
      </c>
      <c r="F42" s="5">
        <v>6</v>
      </c>
      <c r="G42" s="6">
        <f>6/97</f>
        <v>6.1855670103092786E-2</v>
      </c>
      <c r="H42" s="6">
        <v>0</v>
      </c>
      <c r="I42" s="6">
        <f>91/97</f>
        <v>0.93814432989690721</v>
      </c>
      <c r="J42" s="5" t="s">
        <v>63</v>
      </c>
    </row>
    <row r="43" spans="2:10" x14ac:dyDescent="0.2">
      <c r="C43" s="32" t="s">
        <v>28</v>
      </c>
      <c r="D43" s="32" t="s">
        <v>1784</v>
      </c>
      <c r="E43" s="5">
        <v>50</v>
      </c>
      <c r="F43" s="5">
        <v>1</v>
      </c>
      <c r="G43" s="10">
        <f>1/50</f>
        <v>0.02</v>
      </c>
      <c r="H43" s="11">
        <v>0</v>
      </c>
      <c r="I43" s="10">
        <f>49/50</f>
        <v>0.98</v>
      </c>
      <c r="J43" s="5" t="s">
        <v>64</v>
      </c>
    </row>
    <row r="44" spans="2:10" x14ac:dyDescent="0.2">
      <c r="C44" s="32" t="s">
        <v>1785</v>
      </c>
      <c r="D44" s="32" t="s">
        <v>1786</v>
      </c>
      <c r="E44" s="5">
        <v>25</v>
      </c>
      <c r="F44" s="5">
        <v>1</v>
      </c>
      <c r="G44" s="6">
        <f>1/25</f>
        <v>0.04</v>
      </c>
      <c r="H44" s="6">
        <v>0</v>
      </c>
      <c r="I44" s="6">
        <f>24/25</f>
        <v>0.96</v>
      </c>
      <c r="J44" s="5" t="s">
        <v>65</v>
      </c>
    </row>
    <row r="45" spans="2:10" x14ac:dyDescent="0.2">
      <c r="C45" s="9"/>
      <c r="D45" s="9"/>
    </row>
    <row r="46" spans="2:10" x14ac:dyDescent="0.2">
      <c r="B46" s="5" t="s">
        <v>44</v>
      </c>
      <c r="C46" s="32" t="s">
        <v>1788</v>
      </c>
      <c r="D46" s="32" t="s">
        <v>1789</v>
      </c>
      <c r="E46" s="5">
        <v>7</v>
      </c>
      <c r="F46" s="5">
        <v>4</v>
      </c>
      <c r="G46" s="6">
        <f>4/7</f>
        <v>0.5714285714285714</v>
      </c>
      <c r="H46" s="6">
        <f>0</f>
        <v>0</v>
      </c>
      <c r="I46" s="6">
        <f>3/7</f>
        <v>0.42857142857142855</v>
      </c>
    </row>
    <row r="47" spans="2:10" x14ac:dyDescent="0.2">
      <c r="C47" s="32" t="s">
        <v>1790</v>
      </c>
      <c r="D47" s="32" t="s">
        <v>1791</v>
      </c>
      <c r="E47" s="5">
        <v>7</v>
      </c>
      <c r="F47" s="5">
        <v>4</v>
      </c>
      <c r="G47" s="6">
        <f>4/7</f>
        <v>0.5714285714285714</v>
      </c>
      <c r="H47" s="6">
        <f>0</f>
        <v>0</v>
      </c>
      <c r="I47" s="6">
        <f>3/7</f>
        <v>0.42857142857142855</v>
      </c>
    </row>
    <row r="48" spans="2:10" x14ac:dyDescent="0.2">
      <c r="C48" s="32" t="s">
        <v>67</v>
      </c>
      <c r="D48" s="32" t="s">
        <v>1792</v>
      </c>
      <c r="E48" s="5">
        <v>692</v>
      </c>
      <c r="F48" s="5">
        <v>98</v>
      </c>
      <c r="G48" s="6">
        <f>98/692</f>
        <v>0.1416184971098266</v>
      </c>
      <c r="H48" s="6">
        <f>29/692</f>
        <v>4.1907514450867052E-2</v>
      </c>
      <c r="I48" s="6">
        <f>(692-98-29)/692</f>
        <v>0.81647398843930641</v>
      </c>
      <c r="J48" s="5" t="s">
        <v>1967</v>
      </c>
    </row>
    <row r="49" spans="3:10" x14ac:dyDescent="0.2">
      <c r="C49" s="32" t="s">
        <v>1793</v>
      </c>
      <c r="D49" s="32" t="s">
        <v>1794</v>
      </c>
      <c r="E49" s="5">
        <f>23</f>
        <v>23</v>
      </c>
      <c r="F49" s="5">
        <f>15</f>
        <v>15</v>
      </c>
      <c r="G49" s="6">
        <f>15/23</f>
        <v>0.65217391304347827</v>
      </c>
      <c r="H49" s="6">
        <v>0</v>
      </c>
      <c r="I49" s="6">
        <f>8/23</f>
        <v>0.34782608695652173</v>
      </c>
    </row>
    <row r="50" spans="3:10" x14ac:dyDescent="0.2">
      <c r="C50" s="32" t="s">
        <v>1797</v>
      </c>
      <c r="D50" s="32" t="s">
        <v>1798</v>
      </c>
      <c r="E50" s="5">
        <f>54+18</f>
        <v>72</v>
      </c>
      <c r="F50" s="5">
        <v>60</v>
      </c>
      <c r="G50" s="6">
        <f>60/72</f>
        <v>0.83333333333333337</v>
      </c>
      <c r="H50" s="6">
        <v>0</v>
      </c>
      <c r="I50" s="6">
        <f>12/(54+18)</f>
        <v>0.16666666666666666</v>
      </c>
    </row>
    <row r="51" spans="3:10" x14ac:dyDescent="0.2">
      <c r="C51" s="32" t="s">
        <v>1799</v>
      </c>
      <c r="D51" s="32" t="s">
        <v>1800</v>
      </c>
      <c r="E51" s="5">
        <f>14</f>
        <v>14</v>
      </c>
      <c r="F51" s="5">
        <f>10</f>
        <v>10</v>
      </c>
      <c r="G51" s="6">
        <f>10/14</f>
        <v>0.7142857142857143</v>
      </c>
      <c r="H51" s="6">
        <v>0</v>
      </c>
      <c r="I51" s="6">
        <f>4/14</f>
        <v>0.2857142857142857</v>
      </c>
    </row>
    <row r="52" spans="3:10" x14ac:dyDescent="0.2">
      <c r="C52" s="32" t="s">
        <v>1801</v>
      </c>
      <c r="D52" s="32" t="s">
        <v>1804</v>
      </c>
      <c r="E52" s="5">
        <f>6</f>
        <v>6</v>
      </c>
      <c r="F52" s="5">
        <f>4</f>
        <v>4</v>
      </c>
      <c r="G52" s="6">
        <f>4/6</f>
        <v>0.66666666666666663</v>
      </c>
      <c r="H52" s="6">
        <v>0</v>
      </c>
      <c r="I52" s="6">
        <f>2/6</f>
        <v>0.33333333333333331</v>
      </c>
    </row>
    <row r="53" spans="3:10" x14ac:dyDescent="0.2">
      <c r="C53" s="32" t="s">
        <v>1802</v>
      </c>
      <c r="D53" s="32" t="s">
        <v>1803</v>
      </c>
      <c r="E53" s="5">
        <v>1</v>
      </c>
      <c r="F53" s="5">
        <v>1</v>
      </c>
      <c r="G53" s="6">
        <f>1/1</f>
        <v>1</v>
      </c>
      <c r="H53" s="6">
        <v>0</v>
      </c>
      <c r="I53" s="6">
        <v>0</v>
      </c>
    </row>
    <row r="54" spans="3:10" x14ac:dyDescent="0.2">
      <c r="C54" s="32" t="s">
        <v>1805</v>
      </c>
      <c r="D54" s="32" t="s">
        <v>1806</v>
      </c>
      <c r="E54" s="5">
        <f>8</f>
        <v>8</v>
      </c>
      <c r="F54" s="5">
        <f>6</f>
        <v>6</v>
      </c>
      <c r="G54" s="6">
        <f>6/8</f>
        <v>0.75</v>
      </c>
      <c r="H54" s="6">
        <v>0</v>
      </c>
      <c r="I54" s="6">
        <f>2/8</f>
        <v>0.25</v>
      </c>
    </row>
    <row r="55" spans="3:10" x14ac:dyDescent="0.2">
      <c r="C55" s="9" t="s">
        <v>1861</v>
      </c>
      <c r="D55" s="9" t="s">
        <v>1862</v>
      </c>
      <c r="E55" s="5">
        <f>14</f>
        <v>14</v>
      </c>
      <c r="F55" s="5">
        <v>11</v>
      </c>
      <c r="G55" s="6">
        <f>11/14</f>
        <v>0.7857142857142857</v>
      </c>
      <c r="H55" s="6">
        <f>1/14</f>
        <v>7.1428571428571425E-2</v>
      </c>
      <c r="I55" s="6">
        <f>2/14</f>
        <v>0.14285714285714285</v>
      </c>
    </row>
    <row r="56" spans="3:10" x14ac:dyDescent="0.2">
      <c r="C56" s="9" t="s">
        <v>1863</v>
      </c>
      <c r="D56" s="9" t="s">
        <v>1864</v>
      </c>
      <c r="E56" s="5">
        <f>12</f>
        <v>12</v>
      </c>
      <c r="F56" s="5">
        <f>8</f>
        <v>8</v>
      </c>
      <c r="G56" s="6">
        <f>8/12</f>
        <v>0.66666666666666663</v>
      </c>
      <c r="H56" s="6">
        <v>0</v>
      </c>
      <c r="I56" s="6">
        <f>4/12</f>
        <v>0.33333333333333331</v>
      </c>
    </row>
    <row r="57" spans="3:10" x14ac:dyDescent="0.2">
      <c r="C57" s="9" t="s">
        <v>1865</v>
      </c>
      <c r="D57" s="9" t="s">
        <v>1866</v>
      </c>
      <c r="E57" s="5">
        <f>9</f>
        <v>9</v>
      </c>
      <c r="F57" s="5">
        <v>7</v>
      </c>
      <c r="G57" s="6">
        <f>7/9</f>
        <v>0.77777777777777779</v>
      </c>
      <c r="H57" s="6">
        <v>0</v>
      </c>
      <c r="I57" s="6">
        <f>2/9</f>
        <v>0.22222222222222221</v>
      </c>
      <c r="J57" s="5" t="s">
        <v>73</v>
      </c>
    </row>
    <row r="58" spans="3:10" x14ac:dyDescent="0.2">
      <c r="C58" s="9" t="s">
        <v>1867</v>
      </c>
      <c r="D58" s="9" t="s">
        <v>1868</v>
      </c>
      <c r="E58" s="5">
        <v>7</v>
      </c>
      <c r="F58" s="5">
        <v>7</v>
      </c>
      <c r="G58" s="6">
        <f>7/7</f>
        <v>1</v>
      </c>
      <c r="H58" s="6">
        <v>0</v>
      </c>
      <c r="I58" s="6">
        <v>0</v>
      </c>
      <c r="J58" s="5" t="s">
        <v>74</v>
      </c>
    </row>
    <row r="59" spans="3:10" x14ac:dyDescent="0.2">
      <c r="C59" s="9" t="s">
        <v>1869</v>
      </c>
      <c r="D59" s="9" t="s">
        <v>1870</v>
      </c>
      <c r="E59" s="5">
        <v>2</v>
      </c>
      <c r="F59" s="5">
        <v>2</v>
      </c>
      <c r="G59" s="6">
        <f>2/2</f>
        <v>1</v>
      </c>
      <c r="H59" s="6">
        <v>0</v>
      </c>
      <c r="I59" s="6">
        <v>0</v>
      </c>
    </row>
    <row r="60" spans="3:10" x14ac:dyDescent="0.2">
      <c r="C60" s="9" t="s">
        <v>1871</v>
      </c>
      <c r="D60" s="9" t="s">
        <v>1872</v>
      </c>
      <c r="E60" s="5">
        <f>15</f>
        <v>15</v>
      </c>
      <c r="F60" s="5">
        <f>13</f>
        <v>13</v>
      </c>
      <c r="G60" s="6">
        <f>13/15</f>
        <v>0.8666666666666667</v>
      </c>
      <c r="H60" s="6">
        <v>0</v>
      </c>
      <c r="I60" s="6">
        <f>2/15</f>
        <v>0.13333333333333333</v>
      </c>
    </row>
    <row r="61" spans="3:10" x14ac:dyDescent="0.2">
      <c r="C61" s="1" t="s">
        <v>1873</v>
      </c>
      <c r="D61" s="1" t="s">
        <v>1874</v>
      </c>
      <c r="E61" s="1">
        <f>134+18</f>
        <v>152</v>
      </c>
      <c r="F61" s="1">
        <f>81</f>
        <v>81</v>
      </c>
      <c r="G61" s="2">
        <f>81/152</f>
        <v>0.53289473684210531</v>
      </c>
      <c r="H61" s="2">
        <f>(152-81-13)/152</f>
        <v>0.38157894736842107</v>
      </c>
      <c r="I61" s="2">
        <f>(1+12)/152</f>
        <v>8.5526315789473686E-2</v>
      </c>
      <c r="J61" s="5" t="s">
        <v>1968</v>
      </c>
    </row>
    <row r="62" spans="3:10" x14ac:dyDescent="0.2">
      <c r="C62" s="1" t="s">
        <v>1875</v>
      </c>
      <c r="D62" s="1" t="s">
        <v>1876</v>
      </c>
      <c r="E62" s="1">
        <f>129+18</f>
        <v>147</v>
      </c>
      <c r="F62" s="1">
        <v>80</v>
      </c>
      <c r="G62" s="2">
        <f>80/147</f>
        <v>0.54421768707482998</v>
      </c>
      <c r="H62" s="2">
        <f>(147-12-80)/147</f>
        <v>0.37414965986394561</v>
      </c>
      <c r="I62" s="2">
        <f>12/147</f>
        <v>8.1632653061224483E-2</v>
      </c>
      <c r="J62" s="5" t="s">
        <v>1968</v>
      </c>
    </row>
    <row r="63" spans="3:10" x14ac:dyDescent="0.2">
      <c r="C63" s="1" t="s">
        <v>1877</v>
      </c>
      <c r="D63" s="1" t="s">
        <v>1878</v>
      </c>
      <c r="E63" s="1">
        <v>10</v>
      </c>
      <c r="F63" s="1">
        <v>4</v>
      </c>
      <c r="G63" s="2">
        <f>4/10</f>
        <v>0.4</v>
      </c>
      <c r="H63" s="2">
        <f>6/10</f>
        <v>0.6</v>
      </c>
      <c r="I63" s="2">
        <v>0</v>
      </c>
    </row>
    <row r="64" spans="3:10" x14ac:dyDescent="0.2">
      <c r="C64" s="1" t="s">
        <v>46</v>
      </c>
      <c r="D64" s="1" t="s">
        <v>1956</v>
      </c>
      <c r="E64" s="1">
        <v>36</v>
      </c>
      <c r="F64" s="1">
        <v>24</v>
      </c>
      <c r="G64" s="2">
        <v>0.66669999999999996</v>
      </c>
      <c r="H64" s="2">
        <v>0</v>
      </c>
      <c r="I64" s="2">
        <v>0.33329999999999999</v>
      </c>
    </row>
    <row r="65" spans="2:10" x14ac:dyDescent="0.2">
      <c r="C65" s="1" t="s">
        <v>1959</v>
      </c>
      <c r="D65" s="1" t="s">
        <v>1960</v>
      </c>
      <c r="E65" s="1">
        <v>59</v>
      </c>
      <c r="F65" s="1">
        <v>0</v>
      </c>
      <c r="G65" s="2">
        <v>0</v>
      </c>
      <c r="H65" s="2">
        <v>0</v>
      </c>
      <c r="I65" s="2">
        <v>1</v>
      </c>
    </row>
    <row r="66" spans="2:10" x14ac:dyDescent="0.2">
      <c r="C66" s="1"/>
      <c r="D66" s="2"/>
      <c r="E66" s="1"/>
      <c r="F66" s="1"/>
      <c r="G66" s="2"/>
      <c r="H66" s="2"/>
      <c r="I66" s="2"/>
    </row>
    <row r="67" spans="2:10" x14ac:dyDescent="0.2">
      <c r="B67" s="5" t="s">
        <v>36</v>
      </c>
      <c r="C67" t="s">
        <v>3178</v>
      </c>
      <c r="D67" s="91" t="s">
        <v>3177</v>
      </c>
      <c r="E67" s="5">
        <v>464</v>
      </c>
      <c r="F67" s="5">
        <v>3</v>
      </c>
      <c r="G67" s="6">
        <f>3/464</f>
        <v>6.4655172413793103E-3</v>
      </c>
      <c r="H67" s="6">
        <v>0</v>
      </c>
      <c r="I67" s="6">
        <f>461/464</f>
        <v>0.99353448275862066</v>
      </c>
      <c r="J67" s="92" t="s">
        <v>3179</v>
      </c>
    </row>
    <row r="68" spans="2:10" x14ac:dyDescent="0.2">
      <c r="C68" t="s">
        <v>1821</v>
      </c>
      <c r="D68" t="s">
        <v>1822</v>
      </c>
      <c r="E68" s="5">
        <v>16</v>
      </c>
      <c r="F68" s="5">
        <v>3</v>
      </c>
      <c r="G68" s="6">
        <f>3/16</f>
        <v>0.1875</v>
      </c>
      <c r="H68" s="6">
        <v>0</v>
      </c>
      <c r="I68" s="6">
        <f>13/16</f>
        <v>0.8125</v>
      </c>
      <c r="J68" s="5" t="s">
        <v>75</v>
      </c>
    </row>
    <row r="69" spans="2:10" x14ac:dyDescent="0.2">
      <c r="C69" t="s">
        <v>1817</v>
      </c>
      <c r="D69" s="32" t="s">
        <v>1818</v>
      </c>
      <c r="E69" s="5">
        <v>30</v>
      </c>
      <c r="F69" s="5">
        <v>14</v>
      </c>
      <c r="G69" s="6">
        <f>14/30</f>
        <v>0.46666666666666667</v>
      </c>
      <c r="H69" s="6">
        <f>2/30</f>
        <v>6.6666666666666666E-2</v>
      </c>
      <c r="I69" s="6">
        <f>14/30</f>
        <v>0.46666666666666667</v>
      </c>
      <c r="J69" s="5" t="s">
        <v>76</v>
      </c>
    </row>
    <row r="70" spans="2:10" x14ac:dyDescent="0.2">
      <c r="C70" t="s">
        <v>1815</v>
      </c>
      <c r="D70" t="s">
        <v>1816</v>
      </c>
      <c r="E70" s="5">
        <f>29+12</f>
        <v>41</v>
      </c>
      <c r="F70" s="5">
        <f>14</f>
        <v>14</v>
      </c>
      <c r="G70" s="6">
        <f>14/(29+12)</f>
        <v>0.34146341463414637</v>
      </c>
      <c r="H70" s="6">
        <f>10/(29+12)</f>
        <v>0.24390243902439024</v>
      </c>
      <c r="I70" s="6">
        <f>17/(29+12)</f>
        <v>0.41463414634146339</v>
      </c>
      <c r="J70" s="5" t="s">
        <v>77</v>
      </c>
    </row>
    <row r="71" spans="2:10" x14ac:dyDescent="0.2">
      <c r="C71" s="5" t="s">
        <v>1879</v>
      </c>
      <c r="D71" s="5" t="s">
        <v>1880</v>
      </c>
      <c r="E71" s="5">
        <f>71+23</f>
        <v>94</v>
      </c>
      <c r="F71" s="5">
        <v>26</v>
      </c>
      <c r="G71" s="6">
        <f>26/94</f>
        <v>0.27659574468085107</v>
      </c>
      <c r="H71" s="6">
        <f>(94-26-10)/94</f>
        <v>0.61702127659574468</v>
      </c>
      <c r="I71" s="6">
        <f>10/94</f>
        <v>0.10638297872340426</v>
      </c>
      <c r="J71" s="5" t="s">
        <v>78</v>
      </c>
    </row>
    <row r="72" spans="2:10" x14ac:dyDescent="0.2">
      <c r="C72" s="5" t="s">
        <v>48</v>
      </c>
      <c r="D72" s="5" t="s">
        <v>1881</v>
      </c>
      <c r="E72" s="5">
        <v>59</v>
      </c>
      <c r="F72" s="5">
        <v>26</v>
      </c>
      <c r="G72" s="6">
        <f>26/59</f>
        <v>0.44067796610169491</v>
      </c>
      <c r="H72" s="6">
        <f>(59-28)/59</f>
        <v>0.52542372881355937</v>
      </c>
      <c r="I72" s="6">
        <f>2/E72</f>
        <v>3.3898305084745763E-2</v>
      </c>
      <c r="J72" s="6"/>
    </row>
    <row r="73" spans="2:10" x14ac:dyDescent="0.2">
      <c r="C73" s="5" t="s">
        <v>1882</v>
      </c>
      <c r="D73" s="5" t="s">
        <v>1883</v>
      </c>
      <c r="E73" s="5">
        <v>13</v>
      </c>
      <c r="F73" s="5">
        <v>3</v>
      </c>
      <c r="G73" s="6">
        <f>3/13</f>
        <v>0.23076923076923078</v>
      </c>
      <c r="H73" s="6">
        <v>0</v>
      </c>
      <c r="I73" s="6">
        <f>10/13</f>
        <v>0.76923076923076927</v>
      </c>
      <c r="J73" s="5" t="s">
        <v>2000</v>
      </c>
    </row>
    <row r="74" spans="2:10" x14ac:dyDescent="0.2">
      <c r="C74" s="5" t="s">
        <v>1884</v>
      </c>
      <c r="D74" s="5" t="s">
        <v>1885</v>
      </c>
      <c r="E74" s="5">
        <v>82</v>
      </c>
      <c r="F74" s="5">
        <v>18</v>
      </c>
      <c r="G74" s="6">
        <f>18/82</f>
        <v>0.21951219512195122</v>
      </c>
      <c r="H74" s="6">
        <v>0</v>
      </c>
      <c r="I74" s="6">
        <f>64/82</f>
        <v>0.78048780487804881</v>
      </c>
      <c r="J74" s="60" t="s">
        <v>3176</v>
      </c>
    </row>
    <row r="75" spans="2:10" x14ac:dyDescent="0.2">
      <c r="C75" s="5" t="s">
        <v>1886</v>
      </c>
      <c r="D75" s="5" t="s">
        <v>1887</v>
      </c>
      <c r="E75" s="5">
        <v>156</v>
      </c>
      <c r="F75" s="5">
        <v>4</v>
      </c>
      <c r="G75" s="6">
        <f>4/156</f>
        <v>2.564102564102564E-2</v>
      </c>
      <c r="H75" s="6">
        <f>1/156</f>
        <v>6.41025641025641E-3</v>
      </c>
      <c r="I75" s="6">
        <f>151/156</f>
        <v>0.96794871794871795</v>
      </c>
      <c r="J75" s="5" t="s">
        <v>3182</v>
      </c>
    </row>
    <row r="76" spans="2:10" x14ac:dyDescent="0.2">
      <c r="C76" s="93" t="s">
        <v>1888</v>
      </c>
      <c r="D76" s="93" t="s">
        <v>1889</v>
      </c>
      <c r="E76" s="93">
        <v>3</v>
      </c>
      <c r="F76" s="93">
        <v>3</v>
      </c>
      <c r="G76" s="94">
        <v>1</v>
      </c>
      <c r="H76" s="94">
        <v>0</v>
      </c>
      <c r="I76" s="94">
        <v>0</v>
      </c>
    </row>
    <row r="77" spans="2:10" x14ac:dyDescent="0.2">
      <c r="C77" s="26" t="s">
        <v>1890</v>
      </c>
      <c r="D77" s="26" t="s">
        <v>1891</v>
      </c>
      <c r="E77" s="26">
        <v>359</v>
      </c>
      <c r="F77" s="26">
        <v>5</v>
      </c>
      <c r="G77" s="27">
        <f>5/E77</f>
        <v>1.3927576601671309E-2</v>
      </c>
      <c r="H77" s="27">
        <f>(359-29)/359</f>
        <v>0.91922005571030641</v>
      </c>
      <c r="I77" s="27">
        <f>24/359</f>
        <v>6.6852367688022288E-2</v>
      </c>
      <c r="J77" s="6"/>
    </row>
    <row r="78" spans="2:10" x14ac:dyDescent="0.2">
      <c r="C78" s="5" t="s">
        <v>1892</v>
      </c>
      <c r="D78" s="5" t="s">
        <v>1893</v>
      </c>
      <c r="E78" s="5">
        <v>39</v>
      </c>
      <c r="F78" s="5">
        <v>2</v>
      </c>
      <c r="G78" s="6">
        <f t="shared" ref="G78:G81" si="0">F78/E78</f>
        <v>5.128205128205128E-2</v>
      </c>
      <c r="H78" s="6">
        <f>37/39</f>
        <v>0.94871794871794868</v>
      </c>
      <c r="I78" s="6">
        <v>0</v>
      </c>
    </row>
    <row r="79" spans="2:10" x14ac:dyDescent="0.2">
      <c r="C79" s="33" t="s">
        <v>1811</v>
      </c>
      <c r="D79" s="33" t="s">
        <v>1812</v>
      </c>
      <c r="E79" s="13">
        <v>47</v>
      </c>
      <c r="F79" s="13">
        <v>30</v>
      </c>
      <c r="G79" s="14">
        <f t="shared" si="0"/>
        <v>0.63829787234042556</v>
      </c>
      <c r="H79" s="14">
        <f>3/47</f>
        <v>6.3829787234042548E-2</v>
      </c>
      <c r="I79" s="14">
        <f>14/47</f>
        <v>0.2978723404255319</v>
      </c>
    </row>
    <row r="80" spans="2:10" x14ac:dyDescent="0.2">
      <c r="C80" s="60" t="s">
        <v>49</v>
      </c>
      <c r="D80" s="60" t="s">
        <v>3180</v>
      </c>
      <c r="E80" s="5">
        <v>46</v>
      </c>
      <c r="F80" s="5">
        <v>5</v>
      </c>
      <c r="G80" s="6">
        <f t="shared" si="0"/>
        <v>0.10869565217391304</v>
      </c>
      <c r="H80" s="6">
        <v>0</v>
      </c>
      <c r="I80" s="6">
        <f>41/46</f>
        <v>0.89130434782608692</v>
      </c>
      <c r="J80" s="92" t="s">
        <v>3181</v>
      </c>
    </row>
    <row r="81" spans="2:11" x14ac:dyDescent="0.2">
      <c r="C81" s="5" t="s">
        <v>1941</v>
      </c>
      <c r="D81" s="5" t="s">
        <v>1942</v>
      </c>
      <c r="E81" s="5">
        <v>205</v>
      </c>
      <c r="F81" s="5">
        <v>7</v>
      </c>
      <c r="G81" s="6">
        <f t="shared" si="0"/>
        <v>3.4146341463414637E-2</v>
      </c>
      <c r="H81" s="6">
        <v>0</v>
      </c>
      <c r="I81" s="6">
        <f>198/205</f>
        <v>0.96585365853658534</v>
      </c>
    </row>
    <row r="82" spans="2:11" x14ac:dyDescent="0.2">
      <c r="C82" s="1" t="s">
        <v>1945</v>
      </c>
      <c r="D82" s="1" t="s">
        <v>1946</v>
      </c>
      <c r="E82" s="1">
        <v>19</v>
      </c>
      <c r="F82" s="1">
        <v>10</v>
      </c>
      <c r="G82" s="2">
        <v>0.52629999999999999</v>
      </c>
      <c r="H82" s="2">
        <v>0.26319999999999999</v>
      </c>
      <c r="I82" s="2">
        <v>0.21049999999999999</v>
      </c>
    </row>
    <row r="83" spans="2:11" x14ac:dyDescent="0.2">
      <c r="C83" s="1" t="s">
        <v>1943</v>
      </c>
      <c r="D83" s="1" t="s">
        <v>1944</v>
      </c>
      <c r="E83" s="1">
        <v>34</v>
      </c>
      <c r="F83" s="1">
        <v>26</v>
      </c>
      <c r="G83" s="2">
        <v>0.76470000000000005</v>
      </c>
      <c r="H83" s="2">
        <v>0.1176</v>
      </c>
      <c r="I83" s="2">
        <v>0.1176</v>
      </c>
    </row>
    <row r="84" spans="2:11" x14ac:dyDescent="0.2">
      <c r="E84" s="1"/>
      <c r="F84" s="1"/>
    </row>
    <row r="85" spans="2:11" x14ac:dyDescent="0.2">
      <c r="B85" s="5" t="s">
        <v>53</v>
      </c>
      <c r="C85" s="33" t="s">
        <v>1823</v>
      </c>
      <c r="D85" s="33" t="s">
        <v>1824</v>
      </c>
      <c r="E85" s="1">
        <v>218</v>
      </c>
      <c r="F85" s="1">
        <v>140</v>
      </c>
      <c r="G85" s="2">
        <f>140/218</f>
        <v>0.64220183486238536</v>
      </c>
      <c r="H85" s="2">
        <f>14/218</f>
        <v>6.4220183486238536E-2</v>
      </c>
      <c r="I85" s="2">
        <f>64/218</f>
        <v>0.29357798165137616</v>
      </c>
    </row>
    <row r="86" spans="2:11" x14ac:dyDescent="0.2">
      <c r="C86" s="1" t="s">
        <v>1947</v>
      </c>
      <c r="D86" s="1" t="s">
        <v>3185</v>
      </c>
      <c r="E86" s="1">
        <v>65</v>
      </c>
      <c r="F86" s="1">
        <v>18</v>
      </c>
      <c r="G86" s="2">
        <f>18/65</f>
        <v>0.27692307692307694</v>
      </c>
      <c r="H86" s="2">
        <v>0</v>
      </c>
      <c r="I86" s="2">
        <f>(65-18)/65</f>
        <v>0.72307692307692306</v>
      </c>
      <c r="J86"/>
      <c r="K86"/>
    </row>
    <row r="87" spans="2:11" x14ac:dyDescent="0.2">
      <c r="C87" s="1"/>
      <c r="D87" s="1"/>
      <c r="E87" s="1"/>
      <c r="F87" s="1"/>
      <c r="G87" s="2"/>
      <c r="H87" s="2"/>
      <c r="I87" s="2"/>
    </row>
    <row r="88" spans="2:11" x14ac:dyDescent="0.2">
      <c r="B88" s="5" t="s">
        <v>54</v>
      </c>
      <c r="C88" t="s">
        <v>1833</v>
      </c>
      <c r="D88" s="33" t="s">
        <v>2227</v>
      </c>
      <c r="E88" s="1">
        <v>103</v>
      </c>
      <c r="F88" s="1">
        <v>39</v>
      </c>
      <c r="G88" s="2">
        <f>39/103</f>
        <v>0.37864077669902912</v>
      </c>
      <c r="H88" s="2">
        <f>45/103</f>
        <v>0.43689320388349512</v>
      </c>
      <c r="I88" s="2">
        <f>19/103</f>
        <v>0.18446601941747573</v>
      </c>
      <c r="J88" s="5" t="s">
        <v>2229</v>
      </c>
    </row>
    <row r="89" spans="2:11" x14ac:dyDescent="0.2">
      <c r="C89" s="33" t="s">
        <v>1831</v>
      </c>
      <c r="D89" s="33" t="s">
        <v>1832</v>
      </c>
      <c r="E89" s="1">
        <v>60</v>
      </c>
      <c r="F89" s="1">
        <v>7</v>
      </c>
      <c r="G89" s="2">
        <f>7/60</f>
        <v>0.11666666666666667</v>
      </c>
      <c r="H89" s="6">
        <f>9/60</f>
        <v>0.15</v>
      </c>
      <c r="I89" s="2">
        <f>44/60</f>
        <v>0.73333333333333328</v>
      </c>
      <c r="J89" t="s">
        <v>2228</v>
      </c>
      <c r="K89"/>
    </row>
    <row r="90" spans="2:11" x14ac:dyDescent="0.2">
      <c r="B90" s="5">
        <f>SUM(F90:F125)</f>
        <v>210</v>
      </c>
      <c r="C90" s="33" t="s">
        <v>6642</v>
      </c>
      <c r="D90" t="s">
        <v>1830</v>
      </c>
      <c r="E90">
        <v>950</v>
      </c>
      <c r="F90" s="1">
        <v>5</v>
      </c>
      <c r="G90" s="2">
        <f>5/950</f>
        <v>5.263157894736842E-3</v>
      </c>
      <c r="H90" s="6">
        <f>945/950</f>
        <v>0.99473684210526314</v>
      </c>
      <c r="I90" s="2">
        <v>0</v>
      </c>
      <c r="J90"/>
      <c r="K90"/>
    </row>
    <row r="91" spans="2:11" x14ac:dyDescent="0.2">
      <c r="C91" s="33" t="s">
        <v>6644</v>
      </c>
      <c r="D91" t="s">
        <v>6587</v>
      </c>
      <c r="E91" s="1">
        <v>54</v>
      </c>
      <c r="F91" s="1">
        <v>0</v>
      </c>
      <c r="G91" s="2">
        <v>0</v>
      </c>
      <c r="H91" s="6">
        <v>1</v>
      </c>
      <c r="I91" s="2">
        <v>0</v>
      </c>
      <c r="J91"/>
      <c r="K91"/>
    </row>
    <row r="92" spans="2:11" x14ac:dyDescent="0.2">
      <c r="C92" s="33" t="s">
        <v>6645</v>
      </c>
      <c r="D92" t="s">
        <v>6588</v>
      </c>
      <c r="E92" s="1">
        <v>90</v>
      </c>
      <c r="F92" s="1">
        <f>4</f>
        <v>4</v>
      </c>
      <c r="G92" s="2">
        <f>4/90</f>
        <v>4.4444444444444446E-2</v>
      </c>
      <c r="H92" s="6">
        <f>86/90</f>
        <v>0.9555555555555556</v>
      </c>
      <c r="I92" s="2">
        <v>0</v>
      </c>
      <c r="J92" t="s">
        <v>6362</v>
      </c>
      <c r="K92"/>
    </row>
    <row r="93" spans="2:11" x14ac:dyDescent="0.2">
      <c r="C93" s="33" t="s">
        <v>6646</v>
      </c>
      <c r="D93" t="s">
        <v>6589</v>
      </c>
      <c r="E93" s="1">
        <v>139</v>
      </c>
      <c r="F93" s="1">
        <v>2</v>
      </c>
      <c r="G93" s="2">
        <f>2/139</f>
        <v>1.4388489208633094E-2</v>
      </c>
      <c r="H93" s="6">
        <f>137/139</f>
        <v>0.98561151079136688</v>
      </c>
      <c r="I93" s="2">
        <v>0</v>
      </c>
      <c r="J93"/>
      <c r="K93"/>
    </row>
    <row r="94" spans="2:11" x14ac:dyDescent="0.2">
      <c r="C94" s="33" t="s">
        <v>6647</v>
      </c>
      <c r="D94" t="s">
        <v>6590</v>
      </c>
      <c r="E94" s="1">
        <v>11</v>
      </c>
      <c r="F94" s="1">
        <v>0</v>
      </c>
      <c r="G94" s="2">
        <v>0</v>
      </c>
      <c r="H94" s="6">
        <v>1</v>
      </c>
      <c r="I94" s="2">
        <v>0</v>
      </c>
      <c r="J94"/>
      <c r="K94"/>
    </row>
    <row r="95" spans="2:11" x14ac:dyDescent="0.2">
      <c r="C95" s="33" t="s">
        <v>6648</v>
      </c>
      <c r="D95" t="s">
        <v>6591</v>
      </c>
      <c r="E95" s="1">
        <v>91</v>
      </c>
      <c r="F95" s="1">
        <v>4</v>
      </c>
      <c r="G95" s="2">
        <f>4/91</f>
        <v>4.3956043956043959E-2</v>
      </c>
      <c r="H95" s="2">
        <f>87/91</f>
        <v>0.95604395604395609</v>
      </c>
      <c r="I95" s="6">
        <v>0</v>
      </c>
      <c r="J95" t="s">
        <v>6387</v>
      </c>
      <c r="K95"/>
    </row>
    <row r="96" spans="2:11" x14ac:dyDescent="0.2">
      <c r="C96" s="33" t="s">
        <v>6649</v>
      </c>
      <c r="D96" t="s">
        <v>6592</v>
      </c>
      <c r="E96" s="1">
        <v>441</v>
      </c>
      <c r="F96" s="1">
        <v>0</v>
      </c>
      <c r="G96" s="2">
        <v>0</v>
      </c>
      <c r="H96" s="6">
        <v>1</v>
      </c>
      <c r="I96" s="2">
        <v>0</v>
      </c>
      <c r="J96"/>
      <c r="K96"/>
    </row>
    <row r="97" spans="3:11" x14ac:dyDescent="0.2">
      <c r="C97" s="33" t="s">
        <v>6650</v>
      </c>
      <c r="D97" t="s">
        <v>6593</v>
      </c>
      <c r="E97" s="1">
        <v>88</v>
      </c>
      <c r="F97" s="1">
        <v>2</v>
      </c>
      <c r="G97" s="2">
        <f>2/88</f>
        <v>2.2727272727272728E-2</v>
      </c>
      <c r="H97" s="6">
        <f>85/88</f>
        <v>0.96590909090909094</v>
      </c>
      <c r="I97" s="2">
        <f>1/88</f>
        <v>1.1363636363636364E-2</v>
      </c>
      <c r="J97" t="s">
        <v>6333</v>
      </c>
      <c r="K97"/>
    </row>
    <row r="98" spans="3:11" x14ac:dyDescent="0.2">
      <c r="C98" s="33" t="s">
        <v>6651</v>
      </c>
      <c r="D98" t="s">
        <v>6594</v>
      </c>
      <c r="E98" s="1">
        <v>54</v>
      </c>
      <c r="F98" s="1">
        <v>1</v>
      </c>
      <c r="G98" s="2">
        <f>1/54</f>
        <v>1.8518518518518517E-2</v>
      </c>
      <c r="H98" s="6">
        <f>53/54</f>
        <v>0.98148148148148151</v>
      </c>
      <c r="I98" s="2">
        <v>0</v>
      </c>
      <c r="J98"/>
      <c r="K98"/>
    </row>
    <row r="99" spans="3:11" x14ac:dyDescent="0.2">
      <c r="C99" s="33" t="s">
        <v>6652</v>
      </c>
      <c r="D99" t="s">
        <v>6595</v>
      </c>
      <c r="E99" s="1">
        <v>5</v>
      </c>
      <c r="F99" s="1">
        <v>2</v>
      </c>
      <c r="G99" s="2">
        <f>2/5</f>
        <v>0.4</v>
      </c>
      <c r="H99" s="6">
        <f>3/5</f>
        <v>0.6</v>
      </c>
      <c r="I99" s="2">
        <v>0</v>
      </c>
      <c r="J99" t="s">
        <v>6506</v>
      </c>
      <c r="K99"/>
    </row>
    <row r="100" spans="3:11" x14ac:dyDescent="0.2">
      <c r="C100" s="33" t="s">
        <v>6653</v>
      </c>
      <c r="D100" t="s">
        <v>6596</v>
      </c>
      <c r="E100" s="1">
        <v>56</v>
      </c>
      <c r="F100" s="1">
        <v>1</v>
      </c>
      <c r="G100" s="2">
        <f>1/56</f>
        <v>1.7857142857142856E-2</v>
      </c>
      <c r="H100" s="6">
        <f>55/56</f>
        <v>0.9821428571428571</v>
      </c>
      <c r="I100" s="2">
        <v>0</v>
      </c>
      <c r="J100"/>
      <c r="K100"/>
    </row>
    <row r="101" spans="3:11" x14ac:dyDescent="0.2">
      <c r="C101" s="33" t="s">
        <v>6654</v>
      </c>
      <c r="D101" t="s">
        <v>6597</v>
      </c>
      <c r="E101" s="1">
        <v>39</v>
      </c>
      <c r="F101" s="1">
        <v>0</v>
      </c>
      <c r="G101" s="2">
        <v>0</v>
      </c>
      <c r="H101" s="6">
        <v>1</v>
      </c>
      <c r="I101" s="2">
        <v>0</v>
      </c>
      <c r="J101"/>
      <c r="K101"/>
    </row>
    <row r="102" spans="3:11" x14ac:dyDescent="0.2">
      <c r="C102" s="121" t="s">
        <v>6620</v>
      </c>
      <c r="D102" t="s">
        <v>6598</v>
      </c>
      <c r="E102" s="1">
        <v>93</v>
      </c>
      <c r="F102" s="1">
        <f>34</f>
        <v>34</v>
      </c>
      <c r="G102" s="2">
        <f>34/93</f>
        <v>0.36559139784946237</v>
      </c>
      <c r="H102" s="6">
        <f>59/93</f>
        <v>0.63440860215053763</v>
      </c>
      <c r="I102" s="2">
        <v>0</v>
      </c>
      <c r="J102"/>
      <c r="K102"/>
    </row>
    <row r="103" spans="3:11" x14ac:dyDescent="0.2">
      <c r="C103" s="33" t="s">
        <v>6621</v>
      </c>
      <c r="D103" t="s">
        <v>6599</v>
      </c>
      <c r="E103">
        <v>40</v>
      </c>
      <c r="F103" s="1">
        <v>0</v>
      </c>
      <c r="G103" s="2">
        <v>0</v>
      </c>
      <c r="H103" s="6">
        <v>1</v>
      </c>
      <c r="I103" s="2">
        <v>0</v>
      </c>
      <c r="J103"/>
      <c r="K103"/>
    </row>
    <row r="104" spans="3:11" x14ac:dyDescent="0.2">
      <c r="C104" s="33" t="s">
        <v>6622</v>
      </c>
      <c r="D104" t="s">
        <v>6600</v>
      </c>
      <c r="E104" s="1">
        <v>54</v>
      </c>
      <c r="F104" s="1">
        <v>0</v>
      </c>
      <c r="G104" s="2">
        <v>0</v>
      </c>
      <c r="H104" s="6">
        <v>1</v>
      </c>
      <c r="I104" s="2">
        <v>0</v>
      </c>
      <c r="J104"/>
      <c r="K104"/>
    </row>
    <row r="105" spans="3:11" x14ac:dyDescent="0.2">
      <c r="C105" s="33" t="s">
        <v>6623</v>
      </c>
      <c r="D105" t="s">
        <v>6601</v>
      </c>
      <c r="E105" s="1">
        <v>20</v>
      </c>
      <c r="F105" s="1">
        <v>4</v>
      </c>
      <c r="G105" s="2">
        <f>4/20</f>
        <v>0.2</v>
      </c>
      <c r="H105" s="6">
        <f>16/20</f>
        <v>0.8</v>
      </c>
      <c r="I105" s="2">
        <v>0</v>
      </c>
      <c r="J105"/>
      <c r="K105"/>
    </row>
    <row r="106" spans="3:11" x14ac:dyDescent="0.2">
      <c r="C106" s="121" t="s">
        <v>6624</v>
      </c>
      <c r="D106" t="s">
        <v>6602</v>
      </c>
      <c r="E106" s="1">
        <v>90</v>
      </c>
      <c r="F106" s="1">
        <v>7</v>
      </c>
      <c r="G106" s="2">
        <f>7/90</f>
        <v>7.7777777777777779E-2</v>
      </c>
      <c r="H106" s="6">
        <f>83/90</f>
        <v>0.92222222222222228</v>
      </c>
      <c r="I106" s="2">
        <v>0</v>
      </c>
      <c r="J106" t="s">
        <v>6656</v>
      </c>
      <c r="K106"/>
    </row>
    <row r="107" spans="3:11" x14ac:dyDescent="0.2">
      <c r="C107" s="33" t="s">
        <v>6625</v>
      </c>
      <c r="D107" t="s">
        <v>6603</v>
      </c>
      <c r="E107" s="1">
        <v>11</v>
      </c>
      <c r="F107" s="1">
        <v>0</v>
      </c>
      <c r="G107" s="2">
        <v>0</v>
      </c>
      <c r="H107" s="6">
        <v>1</v>
      </c>
      <c r="I107" s="2">
        <v>0</v>
      </c>
      <c r="J107"/>
      <c r="K107"/>
    </row>
    <row r="108" spans="3:11" x14ac:dyDescent="0.2">
      <c r="C108" s="33" t="s">
        <v>6626</v>
      </c>
      <c r="D108" t="s">
        <v>6604</v>
      </c>
      <c r="E108" s="1">
        <v>91</v>
      </c>
      <c r="F108" s="1">
        <v>4</v>
      </c>
      <c r="G108" s="2">
        <f>4/91</f>
        <v>4.3956043956043959E-2</v>
      </c>
      <c r="H108" s="6">
        <f>87/91</f>
        <v>0.95604395604395609</v>
      </c>
      <c r="I108" s="2">
        <v>0</v>
      </c>
      <c r="J108" t="s">
        <v>6392</v>
      </c>
      <c r="K108"/>
    </row>
    <row r="109" spans="3:11" x14ac:dyDescent="0.2">
      <c r="C109" s="33" t="s">
        <v>6627</v>
      </c>
      <c r="D109" t="s">
        <v>6605</v>
      </c>
      <c r="E109">
        <v>441</v>
      </c>
      <c r="F109" s="122">
        <v>0</v>
      </c>
      <c r="G109" s="2">
        <v>0</v>
      </c>
      <c r="H109" s="6">
        <v>1</v>
      </c>
      <c r="I109" s="2">
        <v>0</v>
      </c>
      <c r="J109"/>
      <c r="K109"/>
    </row>
    <row r="110" spans="3:11" x14ac:dyDescent="0.2">
      <c r="C110" s="33" t="s">
        <v>6628</v>
      </c>
      <c r="D110" t="s">
        <v>6606</v>
      </c>
      <c r="E110">
        <v>88</v>
      </c>
      <c r="F110" s="122">
        <v>3</v>
      </c>
      <c r="G110" s="2">
        <f>3/88</f>
        <v>3.4090909090909088E-2</v>
      </c>
      <c r="H110" s="6">
        <f>85/88</f>
        <v>0.96590909090909094</v>
      </c>
      <c r="I110" s="2">
        <v>0</v>
      </c>
      <c r="J110" t="s">
        <v>6657</v>
      </c>
      <c r="K110"/>
    </row>
    <row r="111" spans="3:11" x14ac:dyDescent="0.2">
      <c r="C111" s="33" t="s">
        <v>6629</v>
      </c>
      <c r="D111" t="s">
        <v>6607</v>
      </c>
      <c r="E111">
        <v>54</v>
      </c>
      <c r="F111" s="122">
        <v>4</v>
      </c>
      <c r="G111" s="2">
        <f>F111/E111</f>
        <v>7.407407407407407E-2</v>
      </c>
      <c r="H111" s="123">
        <f>50/54</f>
        <v>0.92592592592592593</v>
      </c>
      <c r="I111" s="2">
        <v>0</v>
      </c>
      <c r="J111" t="s">
        <v>6343</v>
      </c>
      <c r="K111"/>
    </row>
    <row r="112" spans="3:11" x14ac:dyDescent="0.2">
      <c r="C112" s="33" t="s">
        <v>6630</v>
      </c>
      <c r="D112" t="s">
        <v>6608</v>
      </c>
      <c r="E112">
        <v>8</v>
      </c>
      <c r="F112" s="122">
        <v>0</v>
      </c>
      <c r="G112" s="2">
        <f t="shared" ref="G112:G124" si="1">F112/E112</f>
        <v>0</v>
      </c>
      <c r="H112" s="123">
        <v>1</v>
      </c>
      <c r="I112" s="2">
        <v>0</v>
      </c>
      <c r="J112"/>
      <c r="K112"/>
    </row>
    <row r="113" spans="3:11" x14ac:dyDescent="0.2">
      <c r="C113" s="33" t="s">
        <v>6631</v>
      </c>
      <c r="D113" t="s">
        <v>6609</v>
      </c>
      <c r="E113">
        <v>35</v>
      </c>
      <c r="F113" s="122">
        <v>17</v>
      </c>
      <c r="G113" s="2">
        <f t="shared" si="1"/>
        <v>0.48571428571428571</v>
      </c>
      <c r="H113" s="123">
        <v>0.51428571428571423</v>
      </c>
      <c r="I113" s="2">
        <v>0</v>
      </c>
      <c r="J113" t="s">
        <v>6655</v>
      </c>
      <c r="K113"/>
    </row>
    <row r="114" spans="3:11" x14ac:dyDescent="0.2">
      <c r="C114" s="33" t="s">
        <v>6632</v>
      </c>
      <c r="D114" t="s">
        <v>6610</v>
      </c>
      <c r="E114">
        <v>40</v>
      </c>
      <c r="F114" s="122">
        <v>0</v>
      </c>
      <c r="G114" s="2">
        <f t="shared" si="1"/>
        <v>0</v>
      </c>
      <c r="H114" s="123">
        <v>1</v>
      </c>
      <c r="I114" s="2">
        <v>0</v>
      </c>
      <c r="J114"/>
      <c r="K114"/>
    </row>
    <row r="115" spans="3:11" x14ac:dyDescent="0.2">
      <c r="C115" s="33" t="s">
        <v>6633</v>
      </c>
      <c r="D115" t="s">
        <v>6611</v>
      </c>
      <c r="E115">
        <v>83</v>
      </c>
      <c r="F115" s="122">
        <v>0</v>
      </c>
      <c r="G115" s="2">
        <f t="shared" si="1"/>
        <v>0</v>
      </c>
      <c r="H115" s="123">
        <v>1</v>
      </c>
      <c r="I115" s="2">
        <v>0</v>
      </c>
      <c r="J115"/>
      <c r="K115"/>
    </row>
    <row r="116" spans="3:11" x14ac:dyDescent="0.2">
      <c r="C116" s="33" t="s">
        <v>6634</v>
      </c>
      <c r="D116" t="s">
        <v>6612</v>
      </c>
      <c r="E116">
        <v>40</v>
      </c>
      <c r="F116" s="122">
        <v>4</v>
      </c>
      <c r="G116" s="2">
        <f t="shared" si="1"/>
        <v>0.1</v>
      </c>
      <c r="H116" s="123">
        <v>0.9</v>
      </c>
      <c r="I116" s="2">
        <v>0</v>
      </c>
      <c r="J116" t="s">
        <v>6324</v>
      </c>
      <c r="K116"/>
    </row>
    <row r="117" spans="3:11" x14ac:dyDescent="0.2">
      <c r="C117" s="33" t="s">
        <v>6635</v>
      </c>
      <c r="D117" t="s">
        <v>6613</v>
      </c>
      <c r="E117">
        <v>10</v>
      </c>
      <c r="F117" s="122">
        <v>2</v>
      </c>
      <c r="G117" s="2">
        <f t="shared" si="1"/>
        <v>0.2</v>
      </c>
      <c r="H117" s="123">
        <v>0.8</v>
      </c>
      <c r="I117" s="2">
        <v>0</v>
      </c>
      <c r="J117" t="s">
        <v>6504</v>
      </c>
      <c r="K117"/>
    </row>
    <row r="118" spans="3:11" x14ac:dyDescent="0.2">
      <c r="C118" s="33" t="s">
        <v>6636</v>
      </c>
      <c r="D118" t="s">
        <v>6614</v>
      </c>
      <c r="E118">
        <v>112</v>
      </c>
      <c r="F118" s="122">
        <v>0</v>
      </c>
      <c r="G118" s="2">
        <f t="shared" si="1"/>
        <v>0</v>
      </c>
      <c r="H118" s="123">
        <v>1</v>
      </c>
      <c r="I118" s="2">
        <v>0</v>
      </c>
      <c r="J118"/>
      <c r="K118"/>
    </row>
    <row r="119" spans="3:11" x14ac:dyDescent="0.2">
      <c r="C119" s="33" t="s">
        <v>6637</v>
      </c>
      <c r="D119" t="s">
        <v>6615</v>
      </c>
      <c r="E119">
        <v>48</v>
      </c>
      <c r="F119" s="122">
        <v>10</v>
      </c>
      <c r="G119" s="2">
        <f t="shared" si="1"/>
        <v>0.20833333333333334</v>
      </c>
      <c r="H119" s="123">
        <f>38/48</f>
        <v>0.79166666666666663</v>
      </c>
      <c r="I119" s="2">
        <v>0</v>
      </c>
      <c r="J119" t="s">
        <v>6658</v>
      </c>
      <c r="K119"/>
    </row>
    <row r="120" spans="3:11" x14ac:dyDescent="0.2">
      <c r="C120" s="33" t="s">
        <v>6638</v>
      </c>
      <c r="D120" t="s">
        <v>6616</v>
      </c>
      <c r="E120">
        <v>39</v>
      </c>
      <c r="F120" s="122">
        <v>0</v>
      </c>
      <c r="G120" s="2">
        <f t="shared" si="1"/>
        <v>0</v>
      </c>
      <c r="H120" s="123">
        <v>1</v>
      </c>
      <c r="I120" s="2">
        <v>0</v>
      </c>
      <c r="J120"/>
      <c r="K120"/>
    </row>
    <row r="121" spans="3:11" x14ac:dyDescent="0.2">
      <c r="C121" s="33" t="s">
        <v>6639</v>
      </c>
      <c r="D121" t="s">
        <v>6617</v>
      </c>
      <c r="E121">
        <v>12</v>
      </c>
      <c r="F121" s="122">
        <v>0</v>
      </c>
      <c r="G121" s="2">
        <f t="shared" si="1"/>
        <v>0</v>
      </c>
      <c r="H121" s="123">
        <v>1</v>
      </c>
      <c r="I121" s="2">
        <v>0</v>
      </c>
      <c r="J121"/>
      <c r="K121"/>
    </row>
    <row r="122" spans="3:11" x14ac:dyDescent="0.2">
      <c r="C122" s="33" t="s">
        <v>1948</v>
      </c>
      <c r="D122" t="s">
        <v>1949</v>
      </c>
      <c r="E122">
        <v>17</v>
      </c>
      <c r="F122" s="122">
        <v>1</v>
      </c>
      <c r="G122" s="2">
        <f t="shared" si="1"/>
        <v>5.8823529411764705E-2</v>
      </c>
      <c r="H122" s="123">
        <v>0.94117647058823528</v>
      </c>
      <c r="I122" s="2">
        <v>0</v>
      </c>
      <c r="J122"/>
      <c r="K122"/>
    </row>
    <row r="123" spans="3:11" x14ac:dyDescent="0.2">
      <c r="C123" s="33" t="s">
        <v>6643</v>
      </c>
      <c r="D123" t="s">
        <v>1828</v>
      </c>
      <c r="E123">
        <v>951</v>
      </c>
      <c r="F123" s="122">
        <v>95</v>
      </c>
      <c r="G123" s="2">
        <f t="shared" si="1"/>
        <v>9.9894847528916933E-2</v>
      </c>
      <c r="H123" s="123">
        <v>0.90010515247108303</v>
      </c>
      <c r="I123" s="2">
        <v>0</v>
      </c>
      <c r="J123"/>
      <c r="K123"/>
    </row>
    <row r="124" spans="3:11" x14ac:dyDescent="0.2">
      <c r="C124" s="33" t="s">
        <v>6640</v>
      </c>
      <c r="D124" t="s">
        <v>6618</v>
      </c>
      <c r="E124">
        <v>84</v>
      </c>
      <c r="F124" s="122">
        <v>0</v>
      </c>
      <c r="G124" s="2">
        <f t="shared" si="1"/>
        <v>0</v>
      </c>
      <c r="H124" s="123">
        <v>1</v>
      </c>
      <c r="I124" s="2">
        <v>0</v>
      </c>
      <c r="J124"/>
      <c r="K124"/>
    </row>
    <row r="125" spans="3:11" x14ac:dyDescent="0.2">
      <c r="C125" s="33" t="s">
        <v>6641</v>
      </c>
      <c r="D125" s="33" t="s">
        <v>6619</v>
      </c>
      <c r="E125" s="1">
        <v>274</v>
      </c>
      <c r="F125" s="122">
        <v>4</v>
      </c>
      <c r="G125" s="2">
        <f>4/274</f>
        <v>1.4598540145985401E-2</v>
      </c>
      <c r="H125" s="123">
        <f>270/274</f>
        <v>0.98540145985401462</v>
      </c>
      <c r="I125" s="2">
        <v>0</v>
      </c>
      <c r="J125"/>
      <c r="K125"/>
    </row>
    <row r="126" spans="3:11" x14ac:dyDescent="0.2">
      <c r="C126" s="33" t="s">
        <v>1835</v>
      </c>
      <c r="D126" s="33" t="s">
        <v>1836</v>
      </c>
      <c r="E126" s="1">
        <v>76</v>
      </c>
      <c r="F126" s="1">
        <v>44</v>
      </c>
      <c r="G126" s="2">
        <f>44/76</f>
        <v>0.57894736842105265</v>
      </c>
      <c r="H126" s="2">
        <f>(76-9-44)/76</f>
        <v>0.30263157894736842</v>
      </c>
      <c r="I126" s="2">
        <f>9/76</f>
        <v>0.11842105263157894</v>
      </c>
    </row>
    <row r="127" spans="3:11" x14ac:dyDescent="0.2">
      <c r="C127" s="33" t="s">
        <v>1837</v>
      </c>
      <c r="D127" s="33" t="s">
        <v>1838</v>
      </c>
      <c r="E127" s="1">
        <v>201</v>
      </c>
      <c r="F127" s="1">
        <v>118</v>
      </c>
      <c r="G127" s="2">
        <f>118/201</f>
        <v>0.58706467661691542</v>
      </c>
      <c r="H127" s="2">
        <f>21/201</f>
        <v>0.1044776119402985</v>
      </c>
      <c r="I127" s="2">
        <f>62/201</f>
        <v>0.30845771144278605</v>
      </c>
    </row>
    <row r="128" spans="3:11" x14ac:dyDescent="0.2">
      <c r="C128" s="33" t="s">
        <v>1839</v>
      </c>
      <c r="D128" s="33" t="s">
        <v>1998</v>
      </c>
      <c r="E128" s="1">
        <v>46</v>
      </c>
      <c r="F128" s="1">
        <v>22</v>
      </c>
      <c r="G128" s="2">
        <f>22/46</f>
        <v>0.47826086956521741</v>
      </c>
      <c r="H128" s="2">
        <v>0</v>
      </c>
      <c r="I128" s="2">
        <f>(46-22)/46</f>
        <v>0.52173913043478259</v>
      </c>
      <c r="J128" s="6"/>
    </row>
    <row r="129" spans="2:15" x14ac:dyDescent="0.2">
      <c r="C129" s="1" t="s">
        <v>45</v>
      </c>
      <c r="D129" s="1" t="s">
        <v>1951</v>
      </c>
      <c r="E129" s="1">
        <v>47</v>
      </c>
      <c r="F129" s="1">
        <v>23</v>
      </c>
      <c r="G129" s="2">
        <v>0.4894</v>
      </c>
      <c r="H129" s="2">
        <v>0</v>
      </c>
      <c r="I129" s="2">
        <v>0.51060000000000005</v>
      </c>
      <c r="J129" s="33"/>
    </row>
    <row r="130" spans="2:15" x14ac:dyDescent="0.2">
      <c r="C130" s="33" t="s">
        <v>1840</v>
      </c>
      <c r="D130" s="33" t="s">
        <v>1841</v>
      </c>
      <c r="E130" s="1">
        <v>13</v>
      </c>
      <c r="F130" s="1">
        <v>10</v>
      </c>
      <c r="G130" s="2">
        <v>0.76919999999999999</v>
      </c>
      <c r="H130" s="2">
        <v>7.6899999999999996E-2</v>
      </c>
      <c r="I130" s="2">
        <v>0.15379999999999999</v>
      </c>
    </row>
    <row r="131" spans="2:15" x14ac:dyDescent="0.2">
      <c r="C131" s="33" t="s">
        <v>1842</v>
      </c>
      <c r="D131" s="33" t="s">
        <v>1843</v>
      </c>
      <c r="E131" s="1">
        <v>6</v>
      </c>
      <c r="F131" s="1">
        <v>4</v>
      </c>
      <c r="G131" s="2">
        <v>0.66669999999999996</v>
      </c>
      <c r="H131" s="2">
        <v>0.33329999999999999</v>
      </c>
      <c r="I131" s="2">
        <v>0</v>
      </c>
    </row>
    <row r="132" spans="2:15" x14ac:dyDescent="0.2">
      <c r="C132" s="33" t="s">
        <v>1844</v>
      </c>
      <c r="D132" s="33" t="s">
        <v>1845</v>
      </c>
      <c r="E132" s="1">
        <v>35</v>
      </c>
      <c r="F132" s="1">
        <v>25</v>
      </c>
      <c r="G132" s="2">
        <v>0.71430000000000005</v>
      </c>
      <c r="H132" s="2">
        <v>0</v>
      </c>
      <c r="I132" s="2">
        <v>0.28570000000000001</v>
      </c>
    </row>
    <row r="133" spans="2:15" x14ac:dyDescent="0.2">
      <c r="C133" s="33" t="s">
        <v>1846</v>
      </c>
      <c r="D133" s="33" t="s">
        <v>1847</v>
      </c>
      <c r="E133" s="1">
        <v>41</v>
      </c>
      <c r="F133" s="1">
        <v>27</v>
      </c>
      <c r="G133" s="2">
        <v>0.65849999999999997</v>
      </c>
      <c r="H133" s="2">
        <v>0</v>
      </c>
      <c r="I133" s="2">
        <v>0.34150000000000003</v>
      </c>
    </row>
    <row r="134" spans="2:15" x14ac:dyDescent="0.2">
      <c r="C134" s="1" t="s">
        <v>1952</v>
      </c>
      <c r="D134" s="1" t="s">
        <v>1953</v>
      </c>
      <c r="E134" s="1">
        <v>10</v>
      </c>
      <c r="F134" s="1">
        <v>8</v>
      </c>
      <c r="G134" s="2">
        <v>0.8</v>
      </c>
      <c r="H134" s="2">
        <v>0</v>
      </c>
      <c r="I134" s="2">
        <v>0.2</v>
      </c>
    </row>
    <row r="135" spans="2:15" x14ac:dyDescent="0.2">
      <c r="C135" s="1" t="s">
        <v>1954</v>
      </c>
      <c r="D135" s="1" t="s">
        <v>1955</v>
      </c>
      <c r="E135" s="1">
        <v>12</v>
      </c>
      <c r="F135" s="1">
        <v>10</v>
      </c>
      <c r="G135" s="2">
        <v>0.83330000000000004</v>
      </c>
      <c r="H135" s="2">
        <v>0</v>
      </c>
      <c r="I135" s="2">
        <v>0.16669999999999999</v>
      </c>
    </row>
    <row r="136" spans="2:15" x14ac:dyDescent="0.2">
      <c r="C136" s="1" t="s">
        <v>1957</v>
      </c>
      <c r="D136" s="1" t="s">
        <v>1958</v>
      </c>
      <c r="E136" s="1">
        <v>101</v>
      </c>
      <c r="F136" s="1">
        <v>75</v>
      </c>
      <c r="G136" s="2">
        <v>0.74260000000000004</v>
      </c>
      <c r="H136" s="2">
        <v>0</v>
      </c>
      <c r="I136" s="2">
        <v>0.25740000000000002</v>
      </c>
    </row>
    <row r="137" spans="2:15" x14ac:dyDescent="0.2">
      <c r="B137" s="40"/>
      <c r="C137" s="41" t="s">
        <v>1961</v>
      </c>
      <c r="D137" s="41" t="s">
        <v>1962</v>
      </c>
      <c r="E137" s="41">
        <v>13</v>
      </c>
      <c r="F137" s="41">
        <v>12</v>
      </c>
      <c r="G137" s="42">
        <v>0.92310000000000003</v>
      </c>
      <c r="H137" s="42">
        <v>0</v>
      </c>
      <c r="I137" s="42">
        <v>7.6899999999999996E-2</v>
      </c>
      <c r="J137" s="40"/>
      <c r="K137" s="40"/>
      <c r="L137" s="21"/>
      <c r="M137" s="21"/>
      <c r="N137" s="21"/>
      <c r="O137" s="21"/>
    </row>
    <row r="138" spans="2:15" ht="51" customHeight="1" x14ac:dyDescent="0.2">
      <c r="B138" s="135" t="s">
        <v>1760</v>
      </c>
      <c r="C138" s="135"/>
      <c r="D138" s="135"/>
      <c r="E138" s="135"/>
      <c r="F138" s="135"/>
      <c r="G138" s="135"/>
      <c r="H138" s="135"/>
      <c r="I138" s="135"/>
      <c r="J138" s="135"/>
      <c r="K138" s="135"/>
      <c r="L138" s="135"/>
      <c r="M138" s="135"/>
      <c r="N138" s="135"/>
      <c r="O138" s="135"/>
    </row>
    <row r="141" spans="2:15" x14ac:dyDescent="0.2">
      <c r="C141" s="60"/>
      <c r="D141" s="61"/>
      <c r="J141"/>
    </row>
  </sheetData>
  <mergeCells count="1">
    <mergeCell ref="B138:O138"/>
  </mergeCells>
  <hyperlinks>
    <hyperlink ref="C102" r:id="rId1" display="https://nda.nih.gov/data_structure.html?short_name=attn_deficit_hyperactiv_p01" xr:uid="{EA391343-1D3C-CA41-AC52-4E679289861D}"/>
    <hyperlink ref="C106" r:id="rId2" display="https://nda.nih.gov/data_structure.html?short_name=bipolar_disorders_p01" xr:uid="{7C3B5860-D6F0-014E-A52E-A618F714161D}"/>
  </hyperlinks>
  <pageMargins left="0.7" right="0.7" top="0.75" bottom="0.75" header="0.3" footer="0.3"/>
  <pageSetup orientation="portrait" horizontalDpi="0" verticalDpi="0"/>
  <ignoredErrors>
    <ignoredError sqref="I34 H69"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B25DC-FF5F-7042-A664-2158933F187A}">
  <dimension ref="B1:J1706"/>
  <sheetViews>
    <sheetView showGridLines="0" topLeftCell="A1311" zoomScaleNormal="100" workbookViewId="0">
      <selection activeCell="A180" sqref="A180:XFD180"/>
    </sheetView>
  </sheetViews>
  <sheetFormatPr baseColWidth="10" defaultRowHeight="16" x14ac:dyDescent="0.2"/>
  <cols>
    <col min="2" max="2" width="39.5" customWidth="1"/>
    <col min="3" max="3" width="71.1640625" customWidth="1"/>
    <col min="4" max="4" width="22.6640625" style="69" customWidth="1"/>
    <col min="5" max="5" width="255.6640625" style="3" customWidth="1"/>
  </cols>
  <sheetData>
    <row r="1" spans="2:10" x14ac:dyDescent="0.2">
      <c r="D1"/>
    </row>
    <row r="2" spans="2:10" x14ac:dyDescent="0.2">
      <c r="B2" s="53" t="s">
        <v>8532</v>
      </c>
      <c r="D2"/>
      <c r="E2"/>
      <c r="H2" s="24"/>
      <c r="I2" s="24"/>
      <c r="J2" s="24"/>
    </row>
    <row r="3" spans="2:10" x14ac:dyDescent="0.2">
      <c r="D3"/>
    </row>
    <row r="4" spans="2:10" ht="17" x14ac:dyDescent="0.2">
      <c r="B4" s="111" t="s">
        <v>3884</v>
      </c>
      <c r="C4" s="112" t="s">
        <v>3885</v>
      </c>
      <c r="D4" s="118" t="s">
        <v>6579</v>
      </c>
      <c r="E4" s="113" t="s">
        <v>5618</v>
      </c>
    </row>
    <row r="5" spans="2:10" x14ac:dyDescent="0.2">
      <c r="B5" s="114" t="s">
        <v>5619</v>
      </c>
      <c r="C5" s="51"/>
      <c r="D5" s="69" t="s">
        <v>6580</v>
      </c>
      <c r="E5" s="115"/>
    </row>
    <row r="6" spans="2:10" x14ac:dyDescent="0.2">
      <c r="B6" s="65" t="s">
        <v>105</v>
      </c>
      <c r="D6" s="69" t="s">
        <v>6580</v>
      </c>
      <c r="E6" s="69" t="s">
        <v>3898</v>
      </c>
    </row>
    <row r="7" spans="2:10" x14ac:dyDescent="0.2">
      <c r="B7" s="65" t="s">
        <v>106</v>
      </c>
      <c r="D7" s="69" t="s">
        <v>6580</v>
      </c>
      <c r="E7" s="69" t="s">
        <v>3893</v>
      </c>
    </row>
    <row r="8" spans="2:10" x14ac:dyDescent="0.2">
      <c r="B8" s="65" t="s">
        <v>109</v>
      </c>
      <c r="D8" s="69" t="s">
        <v>6580</v>
      </c>
      <c r="E8" s="69" t="s">
        <v>3896</v>
      </c>
    </row>
    <row r="9" spans="2:10" x14ac:dyDescent="0.2">
      <c r="B9" s="65" t="s">
        <v>110</v>
      </c>
      <c r="D9" s="69" t="s">
        <v>6580</v>
      </c>
      <c r="E9" s="69" t="s">
        <v>3897</v>
      </c>
    </row>
    <row r="10" spans="2:10" x14ac:dyDescent="0.2">
      <c r="B10" s="65" t="s">
        <v>111</v>
      </c>
      <c r="D10" s="69" t="s">
        <v>6580</v>
      </c>
      <c r="E10" s="69" t="s">
        <v>3899</v>
      </c>
    </row>
    <row r="11" spans="2:10" x14ac:dyDescent="0.2">
      <c r="B11" s="65" t="s">
        <v>113</v>
      </c>
      <c r="D11" s="69" t="s">
        <v>6580</v>
      </c>
      <c r="E11" s="69" t="s">
        <v>3892</v>
      </c>
    </row>
    <row r="12" spans="2:10" x14ac:dyDescent="0.2">
      <c r="B12" s="65" t="s">
        <v>117</v>
      </c>
      <c r="D12" s="69" t="s">
        <v>6580</v>
      </c>
      <c r="E12" s="69" t="s">
        <v>3901</v>
      </c>
    </row>
    <row r="13" spans="2:10" x14ac:dyDescent="0.2">
      <c r="B13" s="65" t="s">
        <v>115</v>
      </c>
      <c r="D13" s="69" t="s">
        <v>6580</v>
      </c>
      <c r="E13" s="69" t="s">
        <v>3890</v>
      </c>
    </row>
    <row r="14" spans="2:10" x14ac:dyDescent="0.2">
      <c r="B14" s="116" t="s">
        <v>2231</v>
      </c>
      <c r="E14" s="69"/>
    </row>
    <row r="15" spans="2:10" x14ac:dyDescent="0.2">
      <c r="B15" s="65" t="s">
        <v>233</v>
      </c>
      <c r="D15" s="69" t="s">
        <v>6580</v>
      </c>
      <c r="E15" s="69" t="s">
        <v>3907</v>
      </c>
    </row>
    <row r="16" spans="2:10" x14ac:dyDescent="0.2">
      <c r="B16" s="65" t="s">
        <v>234</v>
      </c>
      <c r="D16" s="69" t="s">
        <v>6580</v>
      </c>
      <c r="E16" s="69" t="s">
        <v>3908</v>
      </c>
    </row>
    <row r="17" spans="2:5" x14ac:dyDescent="0.2">
      <c r="B17" s="65" t="s">
        <v>3194</v>
      </c>
      <c r="C17" t="s">
        <v>5652</v>
      </c>
      <c r="D17" s="69" t="s">
        <v>222</v>
      </c>
      <c r="E17" s="100" t="s">
        <v>3903</v>
      </c>
    </row>
    <row r="18" spans="2:5" x14ac:dyDescent="0.2">
      <c r="B18" s="65" t="s">
        <v>3268</v>
      </c>
      <c r="C18" t="s">
        <v>5711</v>
      </c>
      <c r="D18" s="69" t="s">
        <v>1993</v>
      </c>
      <c r="E18" s="100" t="s">
        <v>5712</v>
      </c>
    </row>
    <row r="19" spans="2:5" x14ac:dyDescent="0.2">
      <c r="B19" s="65" t="s">
        <v>3198</v>
      </c>
      <c r="C19" t="s">
        <v>5713</v>
      </c>
      <c r="D19" s="69" t="s">
        <v>1994</v>
      </c>
      <c r="E19" s="100" t="s">
        <v>5714</v>
      </c>
    </row>
    <row r="20" spans="2:5" x14ac:dyDescent="0.2">
      <c r="B20" s="65" t="s">
        <v>3193</v>
      </c>
      <c r="C20" t="s">
        <v>5651</v>
      </c>
      <c r="D20" s="69" t="s">
        <v>6582</v>
      </c>
      <c r="E20" s="100" t="s">
        <v>6583</v>
      </c>
    </row>
    <row r="21" spans="2:5" x14ac:dyDescent="0.2">
      <c r="B21" s="65" t="s">
        <v>3260</v>
      </c>
      <c r="C21" t="s">
        <v>5653</v>
      </c>
      <c r="D21" s="69" t="s">
        <v>230</v>
      </c>
      <c r="E21" s="100" t="s">
        <v>5654</v>
      </c>
    </row>
    <row r="22" spans="2:5" x14ac:dyDescent="0.2">
      <c r="B22" s="65" t="s">
        <v>3261</v>
      </c>
      <c r="C22" t="s">
        <v>5655</v>
      </c>
      <c r="D22" s="69" t="s">
        <v>231</v>
      </c>
      <c r="E22" s="100" t="s">
        <v>5656</v>
      </c>
    </row>
    <row r="23" spans="2:5" x14ac:dyDescent="0.2">
      <c r="B23" s="65" t="s">
        <v>3262</v>
      </c>
      <c r="C23" t="s">
        <v>5657</v>
      </c>
      <c r="D23" s="69" t="s">
        <v>6582</v>
      </c>
      <c r="E23" s="100" t="s">
        <v>5658</v>
      </c>
    </row>
    <row r="24" spans="2:5" x14ac:dyDescent="0.2">
      <c r="B24" s="65" t="s">
        <v>3195</v>
      </c>
      <c r="C24" t="s">
        <v>5659</v>
      </c>
      <c r="D24" s="69" t="s">
        <v>232</v>
      </c>
      <c r="E24" s="100" t="s">
        <v>5660</v>
      </c>
    </row>
    <row r="25" spans="2:5" x14ac:dyDescent="0.2">
      <c r="B25" s="65" t="s">
        <v>3263</v>
      </c>
      <c r="C25" t="s">
        <v>5661</v>
      </c>
      <c r="D25" s="69" t="s">
        <v>6582</v>
      </c>
      <c r="E25" s="100" t="s">
        <v>5662</v>
      </c>
    </row>
    <row r="26" spans="2:5" x14ac:dyDescent="0.2">
      <c r="B26" s="65" t="s">
        <v>3197</v>
      </c>
      <c r="C26" t="s">
        <v>5670</v>
      </c>
      <c r="D26" s="69" t="s">
        <v>223</v>
      </c>
      <c r="E26" s="100" t="s">
        <v>5671</v>
      </c>
    </row>
    <row r="27" spans="2:5" x14ac:dyDescent="0.2">
      <c r="B27" s="65" t="s">
        <v>3265</v>
      </c>
      <c r="C27" t="s">
        <v>5686</v>
      </c>
      <c r="D27" s="69" t="s">
        <v>224</v>
      </c>
      <c r="E27" s="100" t="s">
        <v>5687</v>
      </c>
    </row>
    <row r="28" spans="2:5" x14ac:dyDescent="0.2">
      <c r="B28" s="65" t="s">
        <v>3253</v>
      </c>
      <c r="C28" t="s">
        <v>5620</v>
      </c>
      <c r="D28" t="s">
        <v>6582</v>
      </c>
      <c r="E28" s="100" t="s">
        <v>6584</v>
      </c>
    </row>
    <row r="29" spans="2:5" x14ac:dyDescent="0.2">
      <c r="B29" s="65" t="s">
        <v>3254</v>
      </c>
      <c r="C29" t="s">
        <v>5631</v>
      </c>
      <c r="D29" s="69" t="s">
        <v>225</v>
      </c>
      <c r="E29" s="100" t="s">
        <v>5632</v>
      </c>
    </row>
    <row r="30" spans="2:5" x14ac:dyDescent="0.2">
      <c r="B30" s="65" t="s">
        <v>3255</v>
      </c>
      <c r="C30" t="s">
        <v>5634</v>
      </c>
      <c r="D30" t="s">
        <v>226</v>
      </c>
      <c r="E30" s="100" t="s">
        <v>5635</v>
      </c>
    </row>
    <row r="31" spans="2:5" x14ac:dyDescent="0.2">
      <c r="B31" s="65" t="s">
        <v>3256</v>
      </c>
      <c r="C31" t="s">
        <v>5636</v>
      </c>
      <c r="D31" t="s">
        <v>6582</v>
      </c>
      <c r="E31" s="100" t="s">
        <v>5637</v>
      </c>
    </row>
    <row r="32" spans="2:5" x14ac:dyDescent="0.2">
      <c r="B32" s="65" t="s">
        <v>3258</v>
      </c>
      <c r="C32" t="s">
        <v>5645</v>
      </c>
      <c r="D32" t="s">
        <v>227</v>
      </c>
      <c r="E32" s="100" t="s">
        <v>5646</v>
      </c>
    </row>
    <row r="33" spans="2:5" x14ac:dyDescent="0.2">
      <c r="B33" s="65" t="s">
        <v>5638</v>
      </c>
      <c r="C33" t="s">
        <v>5639</v>
      </c>
      <c r="D33" t="s">
        <v>1992</v>
      </c>
      <c r="E33" s="100" t="s">
        <v>5640</v>
      </c>
    </row>
    <row r="34" spans="2:5" x14ac:dyDescent="0.2">
      <c r="B34" s="65" t="s">
        <v>3192</v>
      </c>
      <c r="C34" t="s">
        <v>5647</v>
      </c>
      <c r="D34" t="s">
        <v>228</v>
      </c>
      <c r="E34" s="100" t="s">
        <v>5648</v>
      </c>
    </row>
    <row r="35" spans="2:5" x14ac:dyDescent="0.2">
      <c r="B35" s="65" t="s">
        <v>3257</v>
      </c>
      <c r="C35" t="s">
        <v>5641</v>
      </c>
      <c r="D35" t="s">
        <v>6582</v>
      </c>
      <c r="E35" s="100" t="s">
        <v>5642</v>
      </c>
    </row>
    <row r="36" spans="2:5" x14ac:dyDescent="0.2">
      <c r="B36" s="65" t="s">
        <v>3259</v>
      </c>
      <c r="C36" t="s">
        <v>5649</v>
      </c>
      <c r="D36" t="s">
        <v>229</v>
      </c>
      <c r="E36" s="100" t="s">
        <v>5650</v>
      </c>
    </row>
    <row r="37" spans="2:5" x14ac:dyDescent="0.2">
      <c r="B37" s="65" t="s">
        <v>1130</v>
      </c>
      <c r="D37" t="s">
        <v>6582</v>
      </c>
      <c r="E37" s="69" t="s">
        <v>5715</v>
      </c>
    </row>
    <row r="38" spans="2:5" x14ac:dyDescent="0.2">
      <c r="B38" s="65" t="s">
        <v>1131</v>
      </c>
      <c r="D38" s="69" t="s">
        <v>6582</v>
      </c>
      <c r="E38" s="69" t="s">
        <v>5716</v>
      </c>
    </row>
    <row r="39" spans="2:5" x14ac:dyDescent="0.2">
      <c r="B39" s="65" t="s">
        <v>3421</v>
      </c>
      <c r="D39" t="s">
        <v>6582</v>
      </c>
      <c r="E39" s="100" t="s">
        <v>5733</v>
      </c>
    </row>
    <row r="40" spans="2:5" x14ac:dyDescent="0.2">
      <c r="B40" s="65" t="s">
        <v>3422</v>
      </c>
      <c r="D40" t="s">
        <v>6582</v>
      </c>
      <c r="E40" s="100" t="s">
        <v>5734</v>
      </c>
    </row>
    <row r="41" spans="2:5" x14ac:dyDescent="0.2">
      <c r="B41" s="65" t="s">
        <v>3423</v>
      </c>
      <c r="D41" t="s">
        <v>6582</v>
      </c>
      <c r="E41" s="100" t="s">
        <v>5735</v>
      </c>
    </row>
    <row r="42" spans="2:5" x14ac:dyDescent="0.2">
      <c r="B42" s="65" t="s">
        <v>3424</v>
      </c>
      <c r="D42" s="69" t="s">
        <v>6582</v>
      </c>
      <c r="E42" s="100" t="s">
        <v>5736</v>
      </c>
    </row>
    <row r="43" spans="2:5" x14ac:dyDescent="0.2">
      <c r="B43" s="65" t="s">
        <v>3425</v>
      </c>
      <c r="D43" t="s">
        <v>6582</v>
      </c>
      <c r="E43" s="100" t="s">
        <v>5737</v>
      </c>
    </row>
    <row r="44" spans="2:5" x14ac:dyDescent="0.2">
      <c r="B44" s="65" t="s">
        <v>3426</v>
      </c>
      <c r="D44" s="69" t="s">
        <v>6582</v>
      </c>
      <c r="E44" s="100" t="s">
        <v>5738</v>
      </c>
    </row>
    <row r="45" spans="2:5" x14ac:dyDescent="0.2">
      <c r="B45" s="65" t="s">
        <v>1514</v>
      </c>
      <c r="D45" t="s">
        <v>6582</v>
      </c>
      <c r="E45" s="69" t="s">
        <v>5739</v>
      </c>
    </row>
    <row r="46" spans="2:5" x14ac:dyDescent="0.2">
      <c r="B46" s="65" t="s">
        <v>1515</v>
      </c>
      <c r="D46" s="69" t="s">
        <v>6582</v>
      </c>
      <c r="E46" s="69" t="s">
        <v>5725</v>
      </c>
    </row>
    <row r="47" spans="2:5" x14ac:dyDescent="0.2">
      <c r="B47" s="65" t="s">
        <v>1132</v>
      </c>
      <c r="D47" s="69" t="s">
        <v>6582</v>
      </c>
      <c r="E47" s="69" t="s">
        <v>5717</v>
      </c>
    </row>
    <row r="48" spans="2:5" x14ac:dyDescent="0.2">
      <c r="B48" s="65" t="s">
        <v>1133</v>
      </c>
      <c r="D48" s="69" t="s">
        <v>6582</v>
      </c>
      <c r="E48" s="69" t="s">
        <v>5718</v>
      </c>
    </row>
    <row r="49" spans="2:5" x14ac:dyDescent="0.2">
      <c r="B49" s="65" t="s">
        <v>1134</v>
      </c>
      <c r="D49" s="69" t="s">
        <v>6582</v>
      </c>
      <c r="E49" s="69" t="s">
        <v>5719</v>
      </c>
    </row>
    <row r="50" spans="2:5" x14ac:dyDescent="0.2">
      <c r="B50" s="65" t="s">
        <v>1014</v>
      </c>
      <c r="D50" s="69" t="s">
        <v>6582</v>
      </c>
      <c r="E50" s="69" t="s">
        <v>5675</v>
      </c>
    </row>
    <row r="51" spans="2:5" x14ac:dyDescent="0.2">
      <c r="B51" s="65" t="s">
        <v>1440</v>
      </c>
      <c r="D51" t="s">
        <v>6582</v>
      </c>
      <c r="E51" s="69" t="s">
        <v>5740</v>
      </c>
    </row>
    <row r="52" spans="2:5" x14ac:dyDescent="0.2">
      <c r="B52" s="65" t="s">
        <v>1006</v>
      </c>
      <c r="D52" s="69" t="s">
        <v>6582</v>
      </c>
      <c r="E52" s="69" t="s">
        <v>5665</v>
      </c>
    </row>
    <row r="53" spans="2:5" x14ac:dyDescent="0.2">
      <c r="B53" s="65" t="s">
        <v>1007</v>
      </c>
      <c r="D53" s="69" t="s">
        <v>6582</v>
      </c>
      <c r="E53" s="69" t="s">
        <v>5666</v>
      </c>
    </row>
    <row r="54" spans="2:5" x14ac:dyDescent="0.2">
      <c r="B54" s="65" t="s">
        <v>1008</v>
      </c>
      <c r="D54" s="69" t="s">
        <v>6582</v>
      </c>
      <c r="E54" s="69" t="s">
        <v>5667</v>
      </c>
    </row>
    <row r="55" spans="2:5" x14ac:dyDescent="0.2">
      <c r="B55" s="65" t="s">
        <v>1009</v>
      </c>
      <c r="D55" s="69" t="s">
        <v>6582</v>
      </c>
      <c r="E55" s="69" t="s">
        <v>5668</v>
      </c>
    </row>
    <row r="56" spans="2:5" x14ac:dyDescent="0.2">
      <c r="B56" s="65" t="s">
        <v>1010</v>
      </c>
      <c r="D56" s="69" t="s">
        <v>6582</v>
      </c>
      <c r="E56" s="69" t="s">
        <v>5669</v>
      </c>
    </row>
    <row r="57" spans="2:5" x14ac:dyDescent="0.2">
      <c r="B57" s="65" t="s">
        <v>1011</v>
      </c>
      <c r="D57" s="69" t="s">
        <v>6582</v>
      </c>
      <c r="E57" s="69" t="s">
        <v>5672</v>
      </c>
    </row>
    <row r="58" spans="2:5" x14ac:dyDescent="0.2">
      <c r="B58" s="65" t="s">
        <v>1012</v>
      </c>
      <c r="D58" s="69" t="s">
        <v>6582</v>
      </c>
      <c r="E58" s="69" t="s">
        <v>5673</v>
      </c>
    </row>
    <row r="59" spans="2:5" x14ac:dyDescent="0.2">
      <c r="B59" s="65" t="s">
        <v>1013</v>
      </c>
      <c r="D59" s="69" t="s">
        <v>6582</v>
      </c>
      <c r="E59" s="69" t="s">
        <v>5674</v>
      </c>
    </row>
    <row r="60" spans="2:5" x14ac:dyDescent="0.2">
      <c r="B60" s="65" t="s">
        <v>1135</v>
      </c>
      <c r="D60" s="69" t="s">
        <v>6582</v>
      </c>
      <c r="E60" s="69" t="s">
        <v>5720</v>
      </c>
    </row>
    <row r="61" spans="2:5" x14ac:dyDescent="0.2">
      <c r="B61" s="65" t="s">
        <v>1136</v>
      </c>
      <c r="D61" s="69" t="s">
        <v>6582</v>
      </c>
      <c r="E61" s="69" t="s">
        <v>5721</v>
      </c>
    </row>
    <row r="62" spans="2:5" x14ac:dyDescent="0.2">
      <c r="B62" s="65" t="s">
        <v>1137</v>
      </c>
      <c r="D62" s="69" t="s">
        <v>6582</v>
      </c>
      <c r="E62" s="69" t="s">
        <v>5722</v>
      </c>
    </row>
    <row r="63" spans="2:5" x14ac:dyDescent="0.2">
      <c r="B63" s="65" t="s">
        <v>1138</v>
      </c>
      <c r="D63" s="69" t="s">
        <v>6582</v>
      </c>
      <c r="E63" s="69" t="s">
        <v>5723</v>
      </c>
    </row>
    <row r="64" spans="2:5" x14ac:dyDescent="0.2">
      <c r="B64" s="65" t="s">
        <v>1139</v>
      </c>
      <c r="D64" s="69" t="s">
        <v>6582</v>
      </c>
      <c r="E64" s="69" t="s">
        <v>5724</v>
      </c>
    </row>
    <row r="65" spans="2:5" x14ac:dyDescent="0.2">
      <c r="B65" s="65" t="s">
        <v>1140</v>
      </c>
      <c r="D65" s="69" t="s">
        <v>6582</v>
      </c>
      <c r="E65" s="69" t="s">
        <v>5707</v>
      </c>
    </row>
    <row r="66" spans="2:5" x14ac:dyDescent="0.2">
      <c r="B66" s="65" t="s">
        <v>1141</v>
      </c>
      <c r="D66" t="s">
        <v>6582</v>
      </c>
      <c r="E66" s="69" t="s">
        <v>5708</v>
      </c>
    </row>
    <row r="67" spans="2:5" x14ac:dyDescent="0.2">
      <c r="B67" s="65" t="s">
        <v>1142</v>
      </c>
      <c r="D67" s="69" t="s">
        <v>6582</v>
      </c>
      <c r="E67" s="69" t="s">
        <v>5709</v>
      </c>
    </row>
    <row r="68" spans="2:5" x14ac:dyDescent="0.2">
      <c r="B68" s="65" t="s">
        <v>1143</v>
      </c>
      <c r="D68" s="69" t="s">
        <v>6582</v>
      </c>
      <c r="E68" s="69" t="s">
        <v>5710</v>
      </c>
    </row>
    <row r="69" spans="2:5" x14ac:dyDescent="0.2">
      <c r="B69" s="65" t="s">
        <v>3415</v>
      </c>
      <c r="D69" s="69" t="s">
        <v>6582</v>
      </c>
      <c r="E69" s="100" t="s">
        <v>5727</v>
      </c>
    </row>
    <row r="70" spans="2:5" x14ac:dyDescent="0.2">
      <c r="B70" s="65" t="s">
        <v>3416</v>
      </c>
      <c r="D70" s="69" t="s">
        <v>6582</v>
      </c>
      <c r="E70" s="100" t="s">
        <v>5728</v>
      </c>
    </row>
    <row r="71" spans="2:5" x14ac:dyDescent="0.2">
      <c r="B71" s="65" t="s">
        <v>3417</v>
      </c>
      <c r="D71" s="69" t="s">
        <v>6582</v>
      </c>
      <c r="E71" s="100" t="s">
        <v>5729</v>
      </c>
    </row>
    <row r="72" spans="2:5" x14ac:dyDescent="0.2">
      <c r="B72" s="65" t="s">
        <v>3418</v>
      </c>
      <c r="D72" s="69" t="s">
        <v>6582</v>
      </c>
      <c r="E72" s="100" t="s">
        <v>5730</v>
      </c>
    </row>
    <row r="73" spans="2:5" x14ac:dyDescent="0.2">
      <c r="B73" s="65" t="s">
        <v>3419</v>
      </c>
      <c r="D73" s="69" t="s">
        <v>6582</v>
      </c>
      <c r="E73" s="100" t="s">
        <v>5731</v>
      </c>
    </row>
    <row r="74" spans="2:5" x14ac:dyDescent="0.2">
      <c r="B74" s="65" t="s">
        <v>3420</v>
      </c>
      <c r="D74" s="69" t="s">
        <v>6582</v>
      </c>
      <c r="E74" s="100" t="s">
        <v>5732</v>
      </c>
    </row>
    <row r="75" spans="2:5" x14ac:dyDescent="0.2">
      <c r="B75" s="65" t="s">
        <v>3414</v>
      </c>
      <c r="D75" s="69" t="s">
        <v>6582</v>
      </c>
      <c r="E75" s="100" t="s">
        <v>5726</v>
      </c>
    </row>
    <row r="76" spans="2:5" x14ac:dyDescent="0.2">
      <c r="B76" s="65" t="s">
        <v>1442</v>
      </c>
      <c r="D76" s="69" t="s">
        <v>6582</v>
      </c>
      <c r="E76" s="69" t="s">
        <v>5742</v>
      </c>
    </row>
    <row r="77" spans="2:5" x14ac:dyDescent="0.2">
      <c r="B77" s="65" t="s">
        <v>1015</v>
      </c>
      <c r="D77" s="69" t="s">
        <v>6582</v>
      </c>
      <c r="E77" s="69" t="s">
        <v>5676</v>
      </c>
    </row>
    <row r="78" spans="2:5" x14ac:dyDescent="0.2">
      <c r="B78" s="65" t="s">
        <v>1024</v>
      </c>
      <c r="D78" s="69" t="s">
        <v>6582</v>
      </c>
      <c r="E78" s="69" t="s">
        <v>5688</v>
      </c>
    </row>
    <row r="79" spans="2:5" x14ac:dyDescent="0.2">
      <c r="B79" s="65" t="s">
        <v>1025</v>
      </c>
      <c r="D79" s="69" t="s">
        <v>6582</v>
      </c>
      <c r="E79" s="69" t="s">
        <v>5689</v>
      </c>
    </row>
    <row r="80" spans="2:5" x14ac:dyDescent="0.2">
      <c r="B80" s="65" t="s">
        <v>1016</v>
      </c>
      <c r="D80" s="69" t="s">
        <v>6582</v>
      </c>
      <c r="E80" s="69" t="s">
        <v>5677</v>
      </c>
    </row>
    <row r="81" spans="2:5" x14ac:dyDescent="0.2">
      <c r="B81" s="65" t="s">
        <v>3264</v>
      </c>
      <c r="D81" s="69" t="s">
        <v>6582</v>
      </c>
      <c r="E81" s="100" t="s">
        <v>5683</v>
      </c>
    </row>
    <row r="82" spans="2:5" x14ac:dyDescent="0.2">
      <c r="B82" s="65" t="s">
        <v>1022</v>
      </c>
      <c r="D82" s="69" t="s">
        <v>6582</v>
      </c>
      <c r="E82" s="69" t="s">
        <v>5684</v>
      </c>
    </row>
    <row r="83" spans="2:5" x14ac:dyDescent="0.2">
      <c r="B83" s="65" t="s">
        <v>1023</v>
      </c>
      <c r="D83" s="69" t="s">
        <v>6582</v>
      </c>
      <c r="E83" s="69" t="s">
        <v>5685</v>
      </c>
    </row>
    <row r="84" spans="2:5" x14ac:dyDescent="0.2">
      <c r="B84" s="65" t="s">
        <v>1020</v>
      </c>
      <c r="D84" s="69" t="s">
        <v>6582</v>
      </c>
      <c r="E84" s="69" t="s">
        <v>5681</v>
      </c>
    </row>
    <row r="85" spans="2:5" x14ac:dyDescent="0.2">
      <c r="B85" s="65" t="s">
        <v>1021</v>
      </c>
      <c r="D85" s="69" t="s">
        <v>6582</v>
      </c>
      <c r="E85" s="69" t="s">
        <v>5682</v>
      </c>
    </row>
    <row r="86" spans="2:5" x14ac:dyDescent="0.2">
      <c r="B86" s="65" t="s">
        <v>1017</v>
      </c>
      <c r="D86" s="69" t="s">
        <v>6582</v>
      </c>
      <c r="E86" s="69" t="s">
        <v>5678</v>
      </c>
    </row>
    <row r="87" spans="2:5" x14ac:dyDescent="0.2">
      <c r="B87" s="65" t="s">
        <v>3266</v>
      </c>
      <c r="C87" t="s">
        <v>5690</v>
      </c>
      <c r="D87" t="s">
        <v>6582</v>
      </c>
      <c r="E87" s="100" t="s">
        <v>5691</v>
      </c>
    </row>
    <row r="88" spans="2:5" x14ac:dyDescent="0.2">
      <c r="B88" s="65" t="s">
        <v>1018</v>
      </c>
      <c r="D88" t="s">
        <v>6582</v>
      </c>
      <c r="E88" s="69" t="s">
        <v>5679</v>
      </c>
    </row>
    <row r="89" spans="2:5" x14ac:dyDescent="0.2">
      <c r="B89" s="65" t="s">
        <v>1019</v>
      </c>
      <c r="D89" s="69" t="s">
        <v>6582</v>
      </c>
      <c r="E89" s="69" t="s">
        <v>5680</v>
      </c>
    </row>
    <row r="90" spans="2:5" x14ac:dyDescent="0.2">
      <c r="B90" s="65" t="s">
        <v>1026</v>
      </c>
      <c r="D90" s="69" t="s">
        <v>6582</v>
      </c>
      <c r="E90" s="69" t="s">
        <v>5692</v>
      </c>
    </row>
    <row r="91" spans="2:5" x14ac:dyDescent="0.2">
      <c r="B91" s="65" t="s">
        <v>1027</v>
      </c>
      <c r="D91" s="69" t="s">
        <v>6582</v>
      </c>
      <c r="E91" s="69" t="s">
        <v>5693</v>
      </c>
    </row>
    <row r="92" spans="2:5" x14ac:dyDescent="0.2">
      <c r="B92" s="65" t="s">
        <v>1028</v>
      </c>
      <c r="D92" s="69" t="s">
        <v>6582</v>
      </c>
      <c r="E92" s="69" t="s">
        <v>5694</v>
      </c>
    </row>
    <row r="93" spans="2:5" x14ac:dyDescent="0.2">
      <c r="B93" s="65" t="s">
        <v>1029</v>
      </c>
      <c r="D93" s="69" t="s">
        <v>6582</v>
      </c>
      <c r="E93" s="69" t="s">
        <v>5695</v>
      </c>
    </row>
    <row r="94" spans="2:5" x14ac:dyDescent="0.2">
      <c r="B94" s="65" t="s">
        <v>1030</v>
      </c>
      <c r="D94" s="69" t="s">
        <v>6582</v>
      </c>
      <c r="E94" s="69" t="s">
        <v>5696</v>
      </c>
    </row>
    <row r="95" spans="2:5" x14ac:dyDescent="0.2">
      <c r="B95" s="65" t="s">
        <v>1031</v>
      </c>
      <c r="D95" s="69" t="s">
        <v>6582</v>
      </c>
      <c r="E95" s="69" t="s">
        <v>5697</v>
      </c>
    </row>
    <row r="96" spans="2:5" x14ac:dyDescent="0.2">
      <c r="B96" s="65" t="s">
        <v>1443</v>
      </c>
      <c r="D96" s="69" t="s">
        <v>6582</v>
      </c>
      <c r="E96" s="69" t="s">
        <v>5743</v>
      </c>
    </row>
    <row r="97" spans="2:5" x14ac:dyDescent="0.2">
      <c r="B97" s="65" t="s">
        <v>1045</v>
      </c>
      <c r="D97" s="69" t="s">
        <v>6582</v>
      </c>
      <c r="E97" s="69" t="s">
        <v>5628</v>
      </c>
    </row>
    <row r="98" spans="2:5" x14ac:dyDescent="0.2">
      <c r="B98" s="65" t="s">
        <v>1046</v>
      </c>
      <c r="D98" s="69" t="s">
        <v>6582</v>
      </c>
      <c r="E98" s="69" t="s">
        <v>5629</v>
      </c>
    </row>
    <row r="99" spans="2:5" x14ac:dyDescent="0.2">
      <c r="B99" s="65" t="s">
        <v>1047</v>
      </c>
      <c r="D99" s="69" t="s">
        <v>6582</v>
      </c>
      <c r="E99" s="69" t="s">
        <v>5630</v>
      </c>
    </row>
    <row r="100" spans="2:5" x14ac:dyDescent="0.2">
      <c r="B100" s="65" t="s">
        <v>1048</v>
      </c>
      <c r="D100" s="69" t="s">
        <v>6582</v>
      </c>
      <c r="E100" s="100" t="s">
        <v>5633</v>
      </c>
    </row>
    <row r="101" spans="2:5" x14ac:dyDescent="0.2">
      <c r="B101" s="65" t="s">
        <v>3584</v>
      </c>
      <c r="C101" t="s">
        <v>6578</v>
      </c>
      <c r="D101" s="69" t="s">
        <v>6582</v>
      </c>
      <c r="E101" s="100" t="s">
        <v>5747</v>
      </c>
    </row>
    <row r="102" spans="2:5" x14ac:dyDescent="0.2">
      <c r="B102" s="65" t="s">
        <v>1973</v>
      </c>
      <c r="C102" t="s">
        <v>6578</v>
      </c>
      <c r="D102" s="69" t="s">
        <v>6582</v>
      </c>
      <c r="E102" s="69" t="s">
        <v>5744</v>
      </c>
    </row>
    <row r="103" spans="2:5" x14ac:dyDescent="0.2">
      <c r="B103" s="65" t="s">
        <v>1974</v>
      </c>
      <c r="C103" t="s">
        <v>6578</v>
      </c>
      <c r="D103" s="69" t="s">
        <v>6582</v>
      </c>
      <c r="E103" s="69" t="s">
        <v>5746</v>
      </c>
    </row>
    <row r="104" spans="2:5" x14ac:dyDescent="0.2">
      <c r="B104" s="65" t="s">
        <v>3583</v>
      </c>
      <c r="C104" t="s">
        <v>6578</v>
      </c>
      <c r="D104" s="69" t="s">
        <v>6582</v>
      </c>
      <c r="E104" s="100" t="s">
        <v>5745</v>
      </c>
    </row>
    <row r="105" spans="2:5" x14ac:dyDescent="0.2">
      <c r="B105" s="65" t="s">
        <v>1038</v>
      </c>
      <c r="D105" s="69" t="s">
        <v>6582</v>
      </c>
      <c r="E105" s="69" t="s">
        <v>5621</v>
      </c>
    </row>
    <row r="106" spans="2:5" x14ac:dyDescent="0.2">
      <c r="B106" s="65" t="s">
        <v>1039</v>
      </c>
      <c r="D106" s="69" t="s">
        <v>6582</v>
      </c>
      <c r="E106" s="69" t="s">
        <v>5622</v>
      </c>
    </row>
    <row r="107" spans="2:5" x14ac:dyDescent="0.2">
      <c r="B107" s="65" t="s">
        <v>1040</v>
      </c>
      <c r="D107" s="69" t="s">
        <v>6582</v>
      </c>
      <c r="E107" s="69" t="s">
        <v>5623</v>
      </c>
    </row>
    <row r="108" spans="2:5" x14ac:dyDescent="0.2">
      <c r="B108" s="65" t="s">
        <v>1041</v>
      </c>
      <c r="D108" s="69" t="s">
        <v>6582</v>
      </c>
      <c r="E108" s="69" t="s">
        <v>5624</v>
      </c>
    </row>
    <row r="109" spans="2:5" x14ac:dyDescent="0.2">
      <c r="B109" s="65" t="s">
        <v>1042</v>
      </c>
      <c r="D109" s="69" t="s">
        <v>6582</v>
      </c>
      <c r="E109" s="69" t="s">
        <v>5625</v>
      </c>
    </row>
    <row r="110" spans="2:5" x14ac:dyDescent="0.2">
      <c r="B110" s="65" t="s">
        <v>1043</v>
      </c>
      <c r="D110" s="69" t="s">
        <v>6582</v>
      </c>
      <c r="E110" s="69" t="s">
        <v>5626</v>
      </c>
    </row>
    <row r="111" spans="2:5" x14ac:dyDescent="0.2">
      <c r="B111" s="65" t="s">
        <v>1044</v>
      </c>
      <c r="D111" s="69" t="s">
        <v>6582</v>
      </c>
      <c r="E111" s="69" t="s">
        <v>5627</v>
      </c>
    </row>
    <row r="112" spans="2:5" ht="16" customHeight="1" x14ac:dyDescent="0.2">
      <c r="B112" s="65" t="s">
        <v>1441</v>
      </c>
      <c r="D112" s="69" t="s">
        <v>6582</v>
      </c>
      <c r="E112" s="69" t="s">
        <v>5741</v>
      </c>
    </row>
    <row r="113" spans="2:5" x14ac:dyDescent="0.2">
      <c r="B113" s="65" t="s">
        <v>1032</v>
      </c>
      <c r="D113" s="69" t="s">
        <v>6582</v>
      </c>
      <c r="E113" s="69" t="s">
        <v>5698</v>
      </c>
    </row>
    <row r="114" spans="2:5" x14ac:dyDescent="0.2">
      <c r="B114" s="65" t="s">
        <v>1033</v>
      </c>
      <c r="D114" s="69" t="s">
        <v>6582</v>
      </c>
      <c r="E114" s="69" t="s">
        <v>5699</v>
      </c>
    </row>
    <row r="115" spans="2:5" x14ac:dyDescent="0.2">
      <c r="B115" s="65" t="s">
        <v>1034</v>
      </c>
      <c r="D115" s="69" t="s">
        <v>6582</v>
      </c>
      <c r="E115" s="69" t="s">
        <v>5700</v>
      </c>
    </row>
    <row r="116" spans="2:5" x14ac:dyDescent="0.2">
      <c r="B116" s="65" t="s">
        <v>1035</v>
      </c>
      <c r="D116" s="69" t="s">
        <v>6582</v>
      </c>
      <c r="E116" s="69" t="s">
        <v>5701</v>
      </c>
    </row>
    <row r="117" spans="2:5" x14ac:dyDescent="0.2">
      <c r="B117" s="65" t="s">
        <v>1036</v>
      </c>
      <c r="D117" s="69" t="s">
        <v>6582</v>
      </c>
      <c r="E117" s="69" t="s">
        <v>5702</v>
      </c>
    </row>
    <row r="118" spans="2:5" x14ac:dyDescent="0.2">
      <c r="B118" s="65" t="s">
        <v>1037</v>
      </c>
      <c r="D118" s="69" t="s">
        <v>6582</v>
      </c>
      <c r="E118" s="69" t="s">
        <v>5703</v>
      </c>
    </row>
    <row r="119" spans="2:5" x14ac:dyDescent="0.2">
      <c r="B119" s="65" t="s">
        <v>5704</v>
      </c>
      <c r="C119" t="s">
        <v>5705</v>
      </c>
      <c r="D119" s="69" t="s">
        <v>6582</v>
      </c>
      <c r="E119" s="100" t="s">
        <v>5706</v>
      </c>
    </row>
    <row r="120" spans="2:5" x14ac:dyDescent="0.2">
      <c r="B120" s="65" t="s">
        <v>3191</v>
      </c>
      <c r="C120" t="s">
        <v>5643</v>
      </c>
      <c r="D120" s="69" t="s">
        <v>313</v>
      </c>
      <c r="E120" s="100" t="s">
        <v>5644</v>
      </c>
    </row>
    <row r="121" spans="2:5" x14ac:dyDescent="0.2">
      <c r="B121" s="65" t="s">
        <v>3196</v>
      </c>
      <c r="C121" t="s">
        <v>5663</v>
      </c>
      <c r="D121" s="69" t="s">
        <v>314</v>
      </c>
      <c r="E121" s="100" t="s">
        <v>5664</v>
      </c>
    </row>
    <row r="122" spans="2:5" x14ac:dyDescent="0.2">
      <c r="B122" s="116" t="s">
        <v>2232</v>
      </c>
      <c r="E122" s="100"/>
    </row>
    <row r="123" spans="2:5" x14ac:dyDescent="0.2">
      <c r="B123" s="65" t="s">
        <v>1446</v>
      </c>
      <c r="D123" s="69" t="s">
        <v>3920</v>
      </c>
      <c r="E123" s="69" t="s">
        <v>5760</v>
      </c>
    </row>
    <row r="124" spans="2:5" x14ac:dyDescent="0.2">
      <c r="B124" s="65" t="s">
        <v>1055</v>
      </c>
      <c r="D124" t="s">
        <v>3922</v>
      </c>
      <c r="E124" s="69" t="s">
        <v>5751</v>
      </c>
    </row>
    <row r="125" spans="2:5" x14ac:dyDescent="0.2">
      <c r="B125" s="65" t="s">
        <v>1049</v>
      </c>
      <c r="D125" t="s">
        <v>6582</v>
      </c>
      <c r="E125" s="69" t="s">
        <v>5748</v>
      </c>
    </row>
    <row r="126" spans="2:5" x14ac:dyDescent="0.2">
      <c r="B126" s="65" t="s">
        <v>1447</v>
      </c>
      <c r="D126" t="s">
        <v>3926</v>
      </c>
      <c r="E126" s="69" t="s">
        <v>5761</v>
      </c>
    </row>
    <row r="127" spans="2:5" x14ac:dyDescent="0.2">
      <c r="B127" s="65" t="s">
        <v>1448</v>
      </c>
      <c r="D127" t="s">
        <v>3930</v>
      </c>
      <c r="E127" s="69" t="s">
        <v>5762</v>
      </c>
    </row>
    <row r="128" spans="2:5" x14ac:dyDescent="0.2">
      <c r="B128" s="65" t="s">
        <v>3429</v>
      </c>
      <c r="D128" t="s">
        <v>3932</v>
      </c>
      <c r="E128" s="100" t="s">
        <v>5763</v>
      </c>
    </row>
    <row r="129" spans="2:5" x14ac:dyDescent="0.2">
      <c r="B129" s="65" t="s">
        <v>1449</v>
      </c>
      <c r="D129" t="s">
        <v>3934</v>
      </c>
      <c r="E129" s="69" t="s">
        <v>5764</v>
      </c>
    </row>
    <row r="130" spans="2:5" x14ac:dyDescent="0.2">
      <c r="B130" s="65" t="s">
        <v>1450</v>
      </c>
      <c r="D130" t="s">
        <v>3936</v>
      </c>
      <c r="E130" s="69" t="s">
        <v>5765</v>
      </c>
    </row>
    <row r="131" spans="2:5" x14ac:dyDescent="0.2">
      <c r="B131" s="65" t="s">
        <v>1453</v>
      </c>
      <c r="D131" t="s">
        <v>6582</v>
      </c>
      <c r="E131" s="69" t="s">
        <v>5768</v>
      </c>
    </row>
    <row r="132" spans="2:5" x14ac:dyDescent="0.2">
      <c r="B132" s="65" t="s">
        <v>1454</v>
      </c>
      <c r="D132" t="s">
        <v>6582</v>
      </c>
      <c r="E132" s="69" t="s">
        <v>5769</v>
      </c>
    </row>
    <row r="133" spans="2:5" x14ac:dyDescent="0.2">
      <c r="B133" s="65" t="s">
        <v>1455</v>
      </c>
      <c r="D133" t="s">
        <v>6582</v>
      </c>
      <c r="E133" s="69" t="s">
        <v>5770</v>
      </c>
    </row>
    <row r="134" spans="2:5" x14ac:dyDescent="0.2">
      <c r="B134" s="65" t="s">
        <v>3430</v>
      </c>
      <c r="D134" t="s">
        <v>6582</v>
      </c>
      <c r="E134" s="100" t="s">
        <v>5771</v>
      </c>
    </row>
    <row r="135" spans="2:5" x14ac:dyDescent="0.2">
      <c r="B135" s="65" t="s">
        <v>1050</v>
      </c>
      <c r="D135" t="s">
        <v>3940</v>
      </c>
      <c r="E135" s="69" t="s">
        <v>3941</v>
      </c>
    </row>
    <row r="136" spans="2:5" x14ac:dyDescent="0.2">
      <c r="B136" s="65" t="s">
        <v>1051</v>
      </c>
      <c r="D136" t="s">
        <v>3942</v>
      </c>
      <c r="E136" s="69" t="s">
        <v>5755</v>
      </c>
    </row>
    <row r="137" spans="2:5" x14ac:dyDescent="0.2">
      <c r="B137" s="65" t="s">
        <v>3427</v>
      </c>
      <c r="D137" t="s">
        <v>758</v>
      </c>
      <c r="E137" s="100" t="s">
        <v>5757</v>
      </c>
    </row>
    <row r="138" spans="2:5" x14ac:dyDescent="0.2">
      <c r="B138" s="65" t="s">
        <v>1052</v>
      </c>
      <c r="D138" t="s">
        <v>3944</v>
      </c>
      <c r="E138" s="69" t="s">
        <v>5749</v>
      </c>
    </row>
    <row r="139" spans="2:5" x14ac:dyDescent="0.2">
      <c r="B139" s="65" t="s">
        <v>1445</v>
      </c>
      <c r="D139" t="s">
        <v>3948</v>
      </c>
      <c r="E139" s="69" t="s">
        <v>5758</v>
      </c>
    </row>
    <row r="140" spans="2:5" x14ac:dyDescent="0.2">
      <c r="B140" s="65" t="s">
        <v>1444</v>
      </c>
      <c r="D140" t="s">
        <v>3950</v>
      </c>
      <c r="E140" s="69" t="s">
        <v>3951</v>
      </c>
    </row>
    <row r="141" spans="2:5" x14ac:dyDescent="0.2">
      <c r="B141" s="65" t="s">
        <v>1053</v>
      </c>
      <c r="D141" t="s">
        <v>3956</v>
      </c>
      <c r="E141" s="69" t="s">
        <v>5756</v>
      </c>
    </row>
    <row r="142" spans="2:5" x14ac:dyDescent="0.2">
      <c r="B142" s="65" t="s">
        <v>3428</v>
      </c>
      <c r="D142" t="s">
        <v>757</v>
      </c>
      <c r="E142" s="100" t="s">
        <v>5759</v>
      </c>
    </row>
    <row r="143" spans="2:5" x14ac:dyDescent="0.2">
      <c r="B143" s="65" t="s">
        <v>1054</v>
      </c>
      <c r="D143" t="s">
        <v>3958</v>
      </c>
      <c r="E143" s="69" t="s">
        <v>5750</v>
      </c>
    </row>
    <row r="144" spans="2:5" x14ac:dyDescent="0.2">
      <c r="B144" s="65" t="s">
        <v>1174</v>
      </c>
      <c r="D144" t="s">
        <v>613</v>
      </c>
      <c r="E144" s="69" t="s">
        <v>5752</v>
      </c>
    </row>
    <row r="145" spans="2:5" x14ac:dyDescent="0.2">
      <c r="B145" s="65" t="s">
        <v>1056</v>
      </c>
      <c r="D145" s="69" t="s">
        <v>1996</v>
      </c>
      <c r="E145" s="69" t="s">
        <v>5753</v>
      </c>
    </row>
    <row r="146" spans="2:5" x14ac:dyDescent="0.2">
      <c r="B146" s="65" t="s">
        <v>1057</v>
      </c>
      <c r="D146" s="69" t="s">
        <v>1997</v>
      </c>
      <c r="E146" s="69" t="s">
        <v>5754</v>
      </c>
    </row>
    <row r="147" spans="2:5" x14ac:dyDescent="0.2">
      <c r="B147" s="65" t="s">
        <v>1451</v>
      </c>
      <c r="D147" s="69" t="s">
        <v>3964</v>
      </c>
      <c r="E147" s="69" t="s">
        <v>5766</v>
      </c>
    </row>
    <row r="148" spans="2:5" x14ac:dyDescent="0.2">
      <c r="B148" s="65" t="s">
        <v>1452</v>
      </c>
      <c r="D148" s="69" t="s">
        <v>3966</v>
      </c>
      <c r="E148" s="69" t="s">
        <v>5767</v>
      </c>
    </row>
    <row r="149" spans="2:5" x14ac:dyDescent="0.2">
      <c r="B149" s="116" t="s">
        <v>2248</v>
      </c>
      <c r="C149" s="51"/>
      <c r="D149" s="70"/>
      <c r="E149" s="117"/>
    </row>
    <row r="150" spans="2:5" x14ac:dyDescent="0.2">
      <c r="B150" s="65" t="s">
        <v>851</v>
      </c>
      <c r="D150" s="69" t="s">
        <v>6582</v>
      </c>
      <c r="E150" s="69" t="s">
        <v>5851</v>
      </c>
    </row>
    <row r="151" spans="2:5" x14ac:dyDescent="0.2">
      <c r="B151" s="65" t="s">
        <v>850</v>
      </c>
      <c r="D151" s="69" t="s">
        <v>6582</v>
      </c>
      <c r="E151" s="69" t="s">
        <v>5850</v>
      </c>
    </row>
    <row r="152" spans="2:5" x14ac:dyDescent="0.2">
      <c r="B152" s="65" t="s">
        <v>831</v>
      </c>
      <c r="D152" s="69" t="s">
        <v>6582</v>
      </c>
      <c r="E152" s="69" t="s">
        <v>5829</v>
      </c>
    </row>
    <row r="153" spans="2:5" x14ac:dyDescent="0.2">
      <c r="B153" s="65" t="s">
        <v>832</v>
      </c>
      <c r="D153" s="69" t="s">
        <v>6582</v>
      </c>
      <c r="E153" s="69" t="s">
        <v>5830</v>
      </c>
    </row>
    <row r="154" spans="2:5" x14ac:dyDescent="0.2">
      <c r="B154" s="65" t="s">
        <v>833</v>
      </c>
      <c r="D154" s="69" t="s">
        <v>6582</v>
      </c>
      <c r="E154" s="69" t="s">
        <v>5831</v>
      </c>
    </row>
    <row r="155" spans="2:5" x14ac:dyDescent="0.2">
      <c r="B155" s="65" t="s">
        <v>834</v>
      </c>
      <c r="D155" s="69" t="s">
        <v>6582</v>
      </c>
      <c r="E155" s="69" t="s">
        <v>5832</v>
      </c>
    </row>
    <row r="156" spans="2:5" x14ac:dyDescent="0.2">
      <c r="B156" s="65" t="s">
        <v>835</v>
      </c>
      <c r="D156" s="69" t="s">
        <v>6582</v>
      </c>
      <c r="E156" s="69" t="s">
        <v>5833</v>
      </c>
    </row>
    <row r="157" spans="2:5" x14ac:dyDescent="0.2">
      <c r="B157" s="65" t="s">
        <v>836</v>
      </c>
      <c r="D157" s="69" t="s">
        <v>6582</v>
      </c>
      <c r="E157" s="69" t="s">
        <v>5834</v>
      </c>
    </row>
    <row r="158" spans="2:5" x14ac:dyDescent="0.2">
      <c r="B158" s="65" t="s">
        <v>837</v>
      </c>
      <c r="D158" s="69" t="s">
        <v>6582</v>
      </c>
      <c r="E158" s="69" t="s">
        <v>5835</v>
      </c>
    </row>
    <row r="159" spans="2:5" x14ac:dyDescent="0.2">
      <c r="B159" s="65" t="s">
        <v>766</v>
      </c>
      <c r="D159" s="69" t="s">
        <v>6582</v>
      </c>
      <c r="E159" s="69" t="s">
        <v>5772</v>
      </c>
    </row>
    <row r="160" spans="2:5" x14ac:dyDescent="0.2">
      <c r="B160" s="65" t="s">
        <v>767</v>
      </c>
      <c r="D160" s="69" t="s">
        <v>6582</v>
      </c>
      <c r="E160" s="69" t="s">
        <v>5773</v>
      </c>
    </row>
    <row r="161" spans="2:5" x14ac:dyDescent="0.2">
      <c r="B161" s="65" t="s">
        <v>768</v>
      </c>
      <c r="D161" s="69" t="s">
        <v>6582</v>
      </c>
      <c r="E161" s="69" t="s">
        <v>5774</v>
      </c>
    </row>
    <row r="162" spans="2:5" x14ac:dyDescent="0.2">
      <c r="B162" s="65" t="s">
        <v>769</v>
      </c>
      <c r="D162" s="69" t="s">
        <v>6582</v>
      </c>
      <c r="E162" s="69" t="s">
        <v>5775</v>
      </c>
    </row>
    <row r="163" spans="2:5" x14ac:dyDescent="0.2">
      <c r="B163" s="65" t="s">
        <v>770</v>
      </c>
      <c r="D163" s="69" t="s">
        <v>6582</v>
      </c>
      <c r="E163" s="69" t="s">
        <v>5776</v>
      </c>
    </row>
    <row r="164" spans="2:5" x14ac:dyDescent="0.2">
      <c r="B164" s="65" t="s">
        <v>771</v>
      </c>
      <c r="D164" s="69" t="s">
        <v>6582</v>
      </c>
      <c r="E164" s="69" t="s">
        <v>5777</v>
      </c>
    </row>
    <row r="165" spans="2:5" x14ac:dyDescent="0.2">
      <c r="B165" s="65" t="s">
        <v>1314</v>
      </c>
      <c r="D165" s="69" t="s">
        <v>6582</v>
      </c>
      <c r="E165" s="69" t="s">
        <v>5861</v>
      </c>
    </row>
    <row r="166" spans="2:5" x14ac:dyDescent="0.2">
      <c r="B166" s="65" t="s">
        <v>3399</v>
      </c>
      <c r="C166" t="s">
        <v>6585</v>
      </c>
      <c r="D166" s="69" t="s">
        <v>3971</v>
      </c>
      <c r="E166" s="69" t="s">
        <v>3972</v>
      </c>
    </row>
    <row r="167" spans="2:5" x14ac:dyDescent="0.2">
      <c r="B167" s="65" t="s">
        <v>824</v>
      </c>
      <c r="D167" s="69" t="s">
        <v>3973</v>
      </c>
      <c r="E167" s="69" t="s">
        <v>3974</v>
      </c>
    </row>
    <row r="168" spans="2:5" x14ac:dyDescent="0.2">
      <c r="B168" s="65" t="s">
        <v>849</v>
      </c>
      <c r="D168" s="69" t="s">
        <v>6582</v>
      </c>
      <c r="E168" s="69" t="s">
        <v>5849</v>
      </c>
    </row>
    <row r="169" spans="2:5" x14ac:dyDescent="0.2">
      <c r="B169" s="65" t="s">
        <v>852</v>
      </c>
      <c r="D169" s="69" t="s">
        <v>6582</v>
      </c>
      <c r="E169" s="69" t="s">
        <v>5852</v>
      </c>
    </row>
    <row r="170" spans="2:5" x14ac:dyDescent="0.2">
      <c r="B170" s="65" t="s">
        <v>772</v>
      </c>
      <c r="D170" s="69" t="s">
        <v>6582</v>
      </c>
      <c r="E170" s="69" t="s">
        <v>5778</v>
      </c>
    </row>
    <row r="171" spans="2:5" x14ac:dyDescent="0.2">
      <c r="B171" s="65" t="s">
        <v>773</v>
      </c>
      <c r="D171" s="69" t="s">
        <v>6582</v>
      </c>
      <c r="E171" s="69" t="s">
        <v>5779</v>
      </c>
    </row>
    <row r="172" spans="2:5" x14ac:dyDescent="0.2">
      <c r="B172" s="65" t="s">
        <v>774</v>
      </c>
      <c r="D172" s="69" t="s">
        <v>6582</v>
      </c>
      <c r="E172" s="69" t="s">
        <v>5780</v>
      </c>
    </row>
    <row r="173" spans="2:5" x14ac:dyDescent="0.2">
      <c r="B173" s="65" t="s">
        <v>775</v>
      </c>
      <c r="D173" s="69" t="s">
        <v>6582</v>
      </c>
      <c r="E173" s="69" t="s">
        <v>5781</v>
      </c>
    </row>
    <row r="174" spans="2:5" x14ac:dyDescent="0.2">
      <c r="B174" s="65" t="s">
        <v>776</v>
      </c>
      <c r="D174" s="69" t="s">
        <v>6582</v>
      </c>
      <c r="E174" s="69" t="s">
        <v>5782</v>
      </c>
    </row>
    <row r="175" spans="2:5" x14ac:dyDescent="0.2">
      <c r="B175" s="65" t="s">
        <v>777</v>
      </c>
      <c r="D175" s="69" t="s">
        <v>6582</v>
      </c>
      <c r="E175" s="69" t="s">
        <v>5783</v>
      </c>
    </row>
    <row r="176" spans="2:5" x14ac:dyDescent="0.2">
      <c r="B176" s="65" t="s">
        <v>698</v>
      </c>
      <c r="D176" s="69" t="s">
        <v>6580</v>
      </c>
      <c r="E176" s="69" t="s">
        <v>3975</v>
      </c>
    </row>
    <row r="177" spans="2:5" x14ac:dyDescent="0.2">
      <c r="B177" s="65" t="s">
        <v>102</v>
      </c>
      <c r="D177" s="69" t="s">
        <v>6580</v>
      </c>
      <c r="E177" s="69" t="s">
        <v>3976</v>
      </c>
    </row>
    <row r="178" spans="2:5" x14ac:dyDescent="0.2">
      <c r="B178" s="65" t="s">
        <v>699</v>
      </c>
      <c r="D178" t="s">
        <v>6580</v>
      </c>
      <c r="E178" s="69" t="s">
        <v>3977</v>
      </c>
    </row>
    <row r="179" spans="2:5" x14ac:dyDescent="0.2">
      <c r="B179" s="65" t="s">
        <v>700</v>
      </c>
      <c r="D179" s="69" t="s">
        <v>6580</v>
      </c>
      <c r="E179" s="69" t="s">
        <v>3978</v>
      </c>
    </row>
    <row r="180" spans="2:5" x14ac:dyDescent="0.2">
      <c r="B180" s="65" t="s">
        <v>103</v>
      </c>
      <c r="D180" t="s">
        <v>6580</v>
      </c>
      <c r="E180" s="69" t="s">
        <v>3976</v>
      </c>
    </row>
    <row r="181" spans="2:5" x14ac:dyDescent="0.2">
      <c r="B181" s="65" t="s">
        <v>701</v>
      </c>
      <c r="D181" t="s">
        <v>6580</v>
      </c>
      <c r="E181" s="69" t="s">
        <v>3980</v>
      </c>
    </row>
    <row r="182" spans="2:5" x14ac:dyDescent="0.2">
      <c r="B182" s="65" t="s">
        <v>104</v>
      </c>
      <c r="D182" s="69" t="s">
        <v>6580</v>
      </c>
      <c r="E182" s="69" t="s">
        <v>3981</v>
      </c>
    </row>
    <row r="183" spans="2:5" x14ac:dyDescent="0.2">
      <c r="B183" s="65" t="s">
        <v>796</v>
      </c>
      <c r="D183" t="s">
        <v>87</v>
      </c>
      <c r="E183" s="69" t="s">
        <v>3983</v>
      </c>
    </row>
    <row r="184" spans="2:5" x14ac:dyDescent="0.2">
      <c r="B184" s="65" t="s">
        <v>797</v>
      </c>
      <c r="D184" t="s">
        <v>88</v>
      </c>
      <c r="E184" s="69" t="s">
        <v>3984</v>
      </c>
    </row>
    <row r="185" spans="2:5" x14ac:dyDescent="0.2">
      <c r="B185" s="65" t="s">
        <v>798</v>
      </c>
      <c r="D185" s="69" t="s">
        <v>6582</v>
      </c>
      <c r="E185" s="69" t="s">
        <v>5802</v>
      </c>
    </row>
    <row r="186" spans="2:5" x14ac:dyDescent="0.2">
      <c r="B186" s="65" t="s">
        <v>799</v>
      </c>
      <c r="D186" t="s">
        <v>89</v>
      </c>
      <c r="E186" s="69" t="s">
        <v>3985</v>
      </c>
    </row>
    <row r="187" spans="2:5" x14ac:dyDescent="0.2">
      <c r="B187" s="65" t="s">
        <v>800</v>
      </c>
      <c r="D187" t="s">
        <v>90</v>
      </c>
      <c r="E187" s="69" t="s">
        <v>3986</v>
      </c>
    </row>
    <row r="188" spans="2:5" x14ac:dyDescent="0.2">
      <c r="B188" s="65" t="s">
        <v>801</v>
      </c>
      <c r="D188" s="69" t="s">
        <v>6582</v>
      </c>
      <c r="E188" s="69" t="s">
        <v>5803</v>
      </c>
    </row>
    <row r="189" spans="2:5" x14ac:dyDescent="0.2">
      <c r="B189" s="65" t="s">
        <v>802</v>
      </c>
      <c r="D189" s="69" t="s">
        <v>91</v>
      </c>
      <c r="E189" s="69" t="s">
        <v>3987</v>
      </c>
    </row>
    <row r="190" spans="2:5" x14ac:dyDescent="0.2">
      <c r="B190" s="65" t="s">
        <v>803</v>
      </c>
      <c r="D190" s="69" t="s">
        <v>92</v>
      </c>
      <c r="E190" s="69" t="s">
        <v>3988</v>
      </c>
    </row>
    <row r="191" spans="2:5" x14ac:dyDescent="0.2">
      <c r="B191" s="65" t="s">
        <v>804</v>
      </c>
      <c r="D191" s="69" t="s">
        <v>6582</v>
      </c>
      <c r="E191" s="69" t="s">
        <v>5804</v>
      </c>
    </row>
    <row r="192" spans="2:5" x14ac:dyDescent="0.2">
      <c r="B192" s="65" t="s">
        <v>794</v>
      </c>
      <c r="D192" s="69" t="s">
        <v>86</v>
      </c>
      <c r="E192" s="69" t="s">
        <v>5800</v>
      </c>
    </row>
    <row r="193" spans="2:5" x14ac:dyDescent="0.2">
      <c r="B193" s="65" t="s">
        <v>795</v>
      </c>
      <c r="D193" s="69" t="s">
        <v>6582</v>
      </c>
      <c r="E193" s="69" t="s">
        <v>5801</v>
      </c>
    </row>
    <row r="194" spans="2:5" x14ac:dyDescent="0.2">
      <c r="B194" s="65" t="s">
        <v>805</v>
      </c>
      <c r="D194" s="69" t="s">
        <v>6582</v>
      </c>
      <c r="E194" s="69" t="s">
        <v>5805</v>
      </c>
    </row>
    <row r="195" spans="2:5" x14ac:dyDescent="0.2">
      <c r="B195" s="65" t="s">
        <v>814</v>
      </c>
      <c r="D195" s="69" t="s">
        <v>6582</v>
      </c>
      <c r="E195" s="69" t="s">
        <v>5814</v>
      </c>
    </row>
    <row r="196" spans="2:5" x14ac:dyDescent="0.2">
      <c r="B196" s="65" t="s">
        <v>815</v>
      </c>
      <c r="D196" s="69" t="s">
        <v>6582</v>
      </c>
      <c r="E196" s="69" t="s">
        <v>5815</v>
      </c>
    </row>
    <row r="197" spans="2:5" x14ac:dyDescent="0.2">
      <c r="B197" s="65" t="s">
        <v>816</v>
      </c>
      <c r="D197" s="69" t="s">
        <v>6582</v>
      </c>
      <c r="E197" s="69" t="s">
        <v>5816</v>
      </c>
    </row>
    <row r="198" spans="2:5" x14ac:dyDescent="0.2">
      <c r="B198" s="65" t="s">
        <v>817</v>
      </c>
      <c r="D198" s="69" t="s">
        <v>6582</v>
      </c>
      <c r="E198" s="69" t="s">
        <v>5817</v>
      </c>
    </row>
    <row r="199" spans="2:5" x14ac:dyDescent="0.2">
      <c r="B199" s="65" t="s">
        <v>818</v>
      </c>
      <c r="D199" s="69" t="s">
        <v>6582</v>
      </c>
      <c r="E199" s="69" t="s">
        <v>5818</v>
      </c>
    </row>
    <row r="200" spans="2:5" x14ac:dyDescent="0.2">
      <c r="B200" s="65" t="s">
        <v>819</v>
      </c>
      <c r="D200" s="69" t="s">
        <v>6582</v>
      </c>
      <c r="E200" s="69" t="s">
        <v>5819</v>
      </c>
    </row>
    <row r="201" spans="2:5" x14ac:dyDescent="0.2">
      <c r="B201" s="65" t="s">
        <v>820</v>
      </c>
      <c r="D201" s="69" t="s">
        <v>6582</v>
      </c>
      <c r="E201" s="69" t="s">
        <v>5820</v>
      </c>
    </row>
    <row r="202" spans="2:5" x14ac:dyDescent="0.2">
      <c r="B202" s="65" t="s">
        <v>806</v>
      </c>
      <c r="D202" s="69" t="s">
        <v>6582</v>
      </c>
      <c r="E202" s="69" t="s">
        <v>5806</v>
      </c>
    </row>
    <row r="203" spans="2:5" x14ac:dyDescent="0.2">
      <c r="B203" s="65" t="s">
        <v>807</v>
      </c>
      <c r="D203" s="69" t="s">
        <v>6582</v>
      </c>
      <c r="E203" s="69" t="s">
        <v>5807</v>
      </c>
    </row>
    <row r="204" spans="2:5" x14ac:dyDescent="0.2">
      <c r="B204" s="65" t="s">
        <v>808</v>
      </c>
      <c r="D204" s="69" t="s">
        <v>6582</v>
      </c>
      <c r="E204" s="69" t="s">
        <v>5808</v>
      </c>
    </row>
    <row r="205" spans="2:5" x14ac:dyDescent="0.2">
      <c r="B205" s="65" t="s">
        <v>809</v>
      </c>
      <c r="D205" t="s">
        <v>6582</v>
      </c>
      <c r="E205" s="69" t="s">
        <v>5809</v>
      </c>
    </row>
    <row r="206" spans="2:5" x14ac:dyDescent="0.2">
      <c r="B206" s="65" t="s">
        <v>810</v>
      </c>
      <c r="D206" t="s">
        <v>6582</v>
      </c>
      <c r="E206" s="69" t="s">
        <v>5810</v>
      </c>
    </row>
    <row r="207" spans="2:5" x14ac:dyDescent="0.2">
      <c r="B207" s="65" t="s">
        <v>811</v>
      </c>
      <c r="D207" t="s">
        <v>6582</v>
      </c>
      <c r="E207" s="69" t="s">
        <v>5811</v>
      </c>
    </row>
    <row r="208" spans="2:5" x14ac:dyDescent="0.2">
      <c r="B208" s="65" t="s">
        <v>812</v>
      </c>
      <c r="D208" t="s">
        <v>6582</v>
      </c>
      <c r="E208" s="69" t="s">
        <v>5812</v>
      </c>
    </row>
    <row r="209" spans="2:5" x14ac:dyDescent="0.2">
      <c r="B209" s="65" t="s">
        <v>813</v>
      </c>
      <c r="D209" t="s">
        <v>6582</v>
      </c>
      <c r="E209" s="69" t="s">
        <v>5813</v>
      </c>
    </row>
    <row r="210" spans="2:5" x14ac:dyDescent="0.2">
      <c r="B210" s="65" t="s">
        <v>778</v>
      </c>
      <c r="D210" t="s">
        <v>6582</v>
      </c>
      <c r="E210" s="69" t="s">
        <v>5784</v>
      </c>
    </row>
    <row r="211" spans="2:5" x14ac:dyDescent="0.2">
      <c r="B211" s="65" t="s">
        <v>779</v>
      </c>
      <c r="D211" t="s">
        <v>6582</v>
      </c>
      <c r="E211" s="69" t="s">
        <v>5785</v>
      </c>
    </row>
    <row r="212" spans="2:5" x14ac:dyDescent="0.2">
      <c r="B212" s="65" t="s">
        <v>780</v>
      </c>
      <c r="D212" t="s">
        <v>6582</v>
      </c>
      <c r="E212" s="69" t="s">
        <v>5786</v>
      </c>
    </row>
    <row r="213" spans="2:5" x14ac:dyDescent="0.2">
      <c r="B213" s="65" t="s">
        <v>781</v>
      </c>
      <c r="D213" t="s">
        <v>6582</v>
      </c>
      <c r="E213" s="69" t="s">
        <v>5787</v>
      </c>
    </row>
    <row r="214" spans="2:5" x14ac:dyDescent="0.2">
      <c r="B214" s="65" t="s">
        <v>782</v>
      </c>
      <c r="D214" t="s">
        <v>6582</v>
      </c>
      <c r="E214" s="69" t="s">
        <v>5788</v>
      </c>
    </row>
    <row r="215" spans="2:5" x14ac:dyDescent="0.2">
      <c r="B215" s="65" t="s">
        <v>783</v>
      </c>
      <c r="D215" s="69" t="s">
        <v>6582</v>
      </c>
      <c r="E215" s="69" t="s">
        <v>5789</v>
      </c>
    </row>
    <row r="216" spans="2:5" x14ac:dyDescent="0.2">
      <c r="B216" s="65" t="s">
        <v>784</v>
      </c>
      <c r="D216" s="69" t="s">
        <v>6582</v>
      </c>
      <c r="E216" s="69" t="s">
        <v>5790</v>
      </c>
    </row>
    <row r="217" spans="2:5" x14ac:dyDescent="0.2">
      <c r="B217" s="65" t="s">
        <v>785</v>
      </c>
      <c r="D217" s="69" t="s">
        <v>6582</v>
      </c>
      <c r="E217" s="69" t="s">
        <v>5791</v>
      </c>
    </row>
    <row r="218" spans="2:5" x14ac:dyDescent="0.2">
      <c r="B218" s="65" t="s">
        <v>786</v>
      </c>
      <c r="D218" s="69" t="s">
        <v>6582</v>
      </c>
      <c r="E218" s="69" t="s">
        <v>5792</v>
      </c>
    </row>
    <row r="219" spans="2:5" x14ac:dyDescent="0.2">
      <c r="B219" s="65" t="s">
        <v>787</v>
      </c>
      <c r="D219" s="69" t="s">
        <v>6582</v>
      </c>
      <c r="E219" s="69" t="s">
        <v>5793</v>
      </c>
    </row>
    <row r="220" spans="2:5" x14ac:dyDescent="0.2">
      <c r="B220" s="65" t="s">
        <v>788</v>
      </c>
      <c r="D220" s="69" t="s">
        <v>6582</v>
      </c>
      <c r="E220" s="69" t="s">
        <v>5794</v>
      </c>
    </row>
    <row r="221" spans="2:5" x14ac:dyDescent="0.2">
      <c r="B221" s="65" t="s">
        <v>789</v>
      </c>
      <c r="D221" s="69" t="s">
        <v>6582</v>
      </c>
      <c r="E221" s="69" t="s">
        <v>5795</v>
      </c>
    </row>
    <row r="222" spans="2:5" x14ac:dyDescent="0.2">
      <c r="B222" s="65" t="s">
        <v>790</v>
      </c>
      <c r="D222" s="69" t="s">
        <v>6582</v>
      </c>
      <c r="E222" s="69" t="s">
        <v>5796</v>
      </c>
    </row>
    <row r="223" spans="2:5" x14ac:dyDescent="0.2">
      <c r="B223" s="65" t="s">
        <v>791</v>
      </c>
      <c r="D223" s="69" t="s">
        <v>6582</v>
      </c>
      <c r="E223" s="69" t="s">
        <v>5797</v>
      </c>
    </row>
    <row r="224" spans="2:5" x14ac:dyDescent="0.2">
      <c r="B224" s="65" t="s">
        <v>792</v>
      </c>
      <c r="D224" s="69" t="s">
        <v>6582</v>
      </c>
      <c r="E224" s="69" t="s">
        <v>5798</v>
      </c>
    </row>
    <row r="225" spans="2:5" x14ac:dyDescent="0.2">
      <c r="B225" s="65" t="s">
        <v>793</v>
      </c>
      <c r="D225" s="69" t="s">
        <v>6582</v>
      </c>
      <c r="E225" s="69" t="s">
        <v>5799</v>
      </c>
    </row>
    <row r="226" spans="2:5" x14ac:dyDescent="0.2">
      <c r="B226" s="65" t="s">
        <v>825</v>
      </c>
      <c r="D226" s="69" t="s">
        <v>1981</v>
      </c>
      <c r="E226" s="69" t="s">
        <v>5824</v>
      </c>
    </row>
    <row r="227" spans="2:5" x14ac:dyDescent="0.2">
      <c r="B227" s="65" t="s">
        <v>826</v>
      </c>
      <c r="D227" s="69" t="s">
        <v>1982</v>
      </c>
      <c r="E227" s="69" t="s">
        <v>5825</v>
      </c>
    </row>
    <row r="228" spans="2:5" x14ac:dyDescent="0.2">
      <c r="B228" s="65" t="s">
        <v>827</v>
      </c>
      <c r="D228" s="69" t="s">
        <v>1983</v>
      </c>
      <c r="E228" s="69" t="s">
        <v>3992</v>
      </c>
    </row>
    <row r="229" spans="2:5" x14ac:dyDescent="0.2">
      <c r="B229" s="65" t="s">
        <v>828</v>
      </c>
      <c r="D229" s="69" t="s">
        <v>1984</v>
      </c>
      <c r="E229" s="69" t="s">
        <v>5826</v>
      </c>
    </row>
    <row r="230" spans="2:5" x14ac:dyDescent="0.2">
      <c r="B230" s="65" t="s">
        <v>829</v>
      </c>
      <c r="D230" s="69" t="s">
        <v>1985</v>
      </c>
      <c r="E230" s="69" t="s">
        <v>5827</v>
      </c>
    </row>
    <row r="231" spans="2:5" x14ac:dyDescent="0.2">
      <c r="B231" s="65" t="s">
        <v>830</v>
      </c>
      <c r="D231" s="69" t="s">
        <v>1986</v>
      </c>
      <c r="E231" s="69" t="s">
        <v>5828</v>
      </c>
    </row>
    <row r="232" spans="2:5" x14ac:dyDescent="0.2">
      <c r="B232" s="65" t="s">
        <v>821</v>
      </c>
      <c r="D232" s="69" t="s">
        <v>1989</v>
      </c>
      <c r="E232" s="69" t="s">
        <v>5823</v>
      </c>
    </row>
    <row r="233" spans="2:5" x14ac:dyDescent="0.2">
      <c r="B233" s="65" t="s">
        <v>838</v>
      </c>
      <c r="D233" s="69" t="s">
        <v>6582</v>
      </c>
      <c r="E233" s="69" t="s">
        <v>5836</v>
      </c>
    </row>
    <row r="234" spans="2:5" x14ac:dyDescent="0.2">
      <c r="B234" s="65" t="s">
        <v>845</v>
      </c>
      <c r="D234" s="69" t="s">
        <v>6582</v>
      </c>
      <c r="E234" s="69" t="s">
        <v>5845</v>
      </c>
    </row>
    <row r="235" spans="2:5" x14ac:dyDescent="0.2">
      <c r="B235" s="65" t="s">
        <v>846</v>
      </c>
      <c r="D235" s="69" t="s">
        <v>6582</v>
      </c>
      <c r="E235" s="69" t="s">
        <v>5846</v>
      </c>
    </row>
    <row r="236" spans="2:5" x14ac:dyDescent="0.2">
      <c r="B236" s="65" t="s">
        <v>847</v>
      </c>
      <c r="D236" s="69" t="s">
        <v>6582</v>
      </c>
      <c r="E236" s="69" t="s">
        <v>5847</v>
      </c>
    </row>
    <row r="237" spans="2:5" x14ac:dyDescent="0.2">
      <c r="B237" s="65" t="s">
        <v>848</v>
      </c>
      <c r="D237" s="69" t="s">
        <v>6582</v>
      </c>
      <c r="E237" s="69" t="s">
        <v>5848</v>
      </c>
    </row>
    <row r="238" spans="2:5" x14ac:dyDescent="0.2">
      <c r="B238" s="65" t="s">
        <v>839</v>
      </c>
      <c r="D238" s="69" t="s">
        <v>6582</v>
      </c>
      <c r="E238" s="69" t="s">
        <v>5837</v>
      </c>
    </row>
    <row r="239" spans="2:5" x14ac:dyDescent="0.2">
      <c r="B239" s="65" t="s">
        <v>840</v>
      </c>
      <c r="D239" s="69" t="s">
        <v>6582</v>
      </c>
      <c r="E239" s="69" t="s">
        <v>5838</v>
      </c>
    </row>
    <row r="240" spans="2:5" x14ac:dyDescent="0.2">
      <c r="B240" s="65" t="s">
        <v>841</v>
      </c>
      <c r="D240" s="69" t="s">
        <v>6582</v>
      </c>
      <c r="E240" s="69" t="s">
        <v>5839</v>
      </c>
    </row>
    <row r="241" spans="2:5" x14ac:dyDescent="0.2">
      <c r="B241" s="65" t="s">
        <v>844</v>
      </c>
      <c r="D241" s="69" t="s">
        <v>6582</v>
      </c>
      <c r="E241" s="69" t="s">
        <v>5844</v>
      </c>
    </row>
    <row r="242" spans="2:5" x14ac:dyDescent="0.2">
      <c r="B242" s="65" t="s">
        <v>3235</v>
      </c>
      <c r="D242" s="69" t="s">
        <v>6582</v>
      </c>
      <c r="E242" s="100" t="s">
        <v>5840</v>
      </c>
    </row>
    <row r="243" spans="2:5" x14ac:dyDescent="0.2">
      <c r="B243" s="65" t="s">
        <v>842</v>
      </c>
      <c r="D243" s="69" t="s">
        <v>6582</v>
      </c>
      <c r="E243" s="69" t="s">
        <v>5841</v>
      </c>
    </row>
    <row r="244" spans="2:5" x14ac:dyDescent="0.2">
      <c r="B244" s="65" t="s">
        <v>843</v>
      </c>
      <c r="D244" s="69" t="s">
        <v>6582</v>
      </c>
      <c r="E244" s="69" t="s">
        <v>5842</v>
      </c>
    </row>
    <row r="245" spans="2:5" x14ac:dyDescent="0.2">
      <c r="B245" s="65" t="s">
        <v>3236</v>
      </c>
      <c r="D245" s="69" t="s">
        <v>6582</v>
      </c>
      <c r="E245" s="100" t="s">
        <v>5843</v>
      </c>
    </row>
    <row r="246" spans="2:5" x14ac:dyDescent="0.2">
      <c r="B246" s="65" t="s">
        <v>822</v>
      </c>
      <c r="D246" s="69" t="s">
        <v>84</v>
      </c>
      <c r="E246" s="69" t="s">
        <v>5821</v>
      </c>
    </row>
    <row r="247" spans="2:5" x14ac:dyDescent="0.2">
      <c r="B247" s="65" t="s">
        <v>823</v>
      </c>
      <c r="D247" s="69" t="s">
        <v>85</v>
      </c>
      <c r="E247" s="69" t="s">
        <v>5822</v>
      </c>
    </row>
    <row r="248" spans="2:5" x14ac:dyDescent="0.2">
      <c r="B248" s="65" t="s">
        <v>93</v>
      </c>
      <c r="D248" s="69" t="s">
        <v>6580</v>
      </c>
      <c r="E248" s="69" t="s">
        <v>3999</v>
      </c>
    </row>
    <row r="249" spans="2:5" x14ac:dyDescent="0.2">
      <c r="B249" s="65" t="s">
        <v>94</v>
      </c>
      <c r="D249" s="69" t="s">
        <v>6580</v>
      </c>
      <c r="E249" s="69" t="s">
        <v>4000</v>
      </c>
    </row>
    <row r="250" spans="2:5" x14ac:dyDescent="0.2">
      <c r="B250" s="65" t="s">
        <v>95</v>
      </c>
      <c r="D250" s="69" t="s">
        <v>6580</v>
      </c>
      <c r="E250" s="69" t="s">
        <v>4001</v>
      </c>
    </row>
    <row r="251" spans="2:5" x14ac:dyDescent="0.2">
      <c r="B251" s="65" t="s">
        <v>96</v>
      </c>
      <c r="D251" t="s">
        <v>6580</v>
      </c>
      <c r="E251" s="69" t="s">
        <v>4002</v>
      </c>
    </row>
    <row r="252" spans="2:5" x14ac:dyDescent="0.2">
      <c r="B252" s="65" t="s">
        <v>97</v>
      </c>
      <c r="D252" s="69" t="s">
        <v>6580</v>
      </c>
      <c r="E252" s="69" t="s">
        <v>4003</v>
      </c>
    </row>
    <row r="253" spans="2:5" x14ac:dyDescent="0.2">
      <c r="B253" s="65" t="s">
        <v>98</v>
      </c>
      <c r="D253" s="69" t="s">
        <v>6580</v>
      </c>
      <c r="E253" s="69" t="s">
        <v>4004</v>
      </c>
    </row>
    <row r="254" spans="2:5" x14ac:dyDescent="0.2">
      <c r="B254" s="65" t="s">
        <v>99</v>
      </c>
      <c r="D254" t="s">
        <v>6580</v>
      </c>
      <c r="E254" s="69" t="s">
        <v>4005</v>
      </c>
    </row>
    <row r="255" spans="2:5" x14ac:dyDescent="0.2">
      <c r="B255" s="65" t="s">
        <v>100</v>
      </c>
      <c r="D255" t="s">
        <v>6580</v>
      </c>
      <c r="E255" s="69" t="s">
        <v>4006</v>
      </c>
    </row>
    <row r="256" spans="2:5" x14ac:dyDescent="0.2">
      <c r="B256" s="65" t="s">
        <v>101</v>
      </c>
      <c r="D256" t="s">
        <v>6580</v>
      </c>
      <c r="E256" t="s">
        <v>4007</v>
      </c>
    </row>
    <row r="257" spans="2:5" x14ac:dyDescent="0.2">
      <c r="B257" s="65" t="s">
        <v>1321</v>
      </c>
      <c r="C257" t="s">
        <v>5870</v>
      </c>
      <c r="D257" s="69" t="s">
        <v>4008</v>
      </c>
      <c r="E257" s="69" t="s">
        <v>5871</v>
      </c>
    </row>
    <row r="258" spans="2:5" x14ac:dyDescent="0.2">
      <c r="B258" s="65" t="s">
        <v>1317</v>
      </c>
      <c r="C258" t="s">
        <v>5864</v>
      </c>
      <c r="D258" t="s">
        <v>6582</v>
      </c>
      <c r="E258" s="69" t="s">
        <v>5865</v>
      </c>
    </row>
    <row r="259" spans="2:5" x14ac:dyDescent="0.2">
      <c r="B259" s="65" t="s">
        <v>1318</v>
      </c>
      <c r="C259" t="s">
        <v>5866</v>
      </c>
      <c r="D259" t="s">
        <v>4010</v>
      </c>
      <c r="E259" s="69" t="s">
        <v>4011</v>
      </c>
    </row>
    <row r="260" spans="2:5" x14ac:dyDescent="0.2">
      <c r="B260" s="65" t="s">
        <v>1310</v>
      </c>
      <c r="C260" t="s">
        <v>5853</v>
      </c>
      <c r="D260" s="69" t="s">
        <v>4012</v>
      </c>
      <c r="E260" s="69" t="s">
        <v>5854</v>
      </c>
    </row>
    <row r="261" spans="2:5" x14ac:dyDescent="0.2">
      <c r="B261" s="65" t="s">
        <v>1311</v>
      </c>
      <c r="C261" t="s">
        <v>5855</v>
      </c>
      <c r="D261" t="s">
        <v>6582</v>
      </c>
      <c r="E261" s="69" t="s">
        <v>5856</v>
      </c>
    </row>
    <row r="262" spans="2:5" x14ac:dyDescent="0.2">
      <c r="B262" s="65" t="s">
        <v>3398</v>
      </c>
      <c r="D262" t="s">
        <v>4014</v>
      </c>
      <c r="E262" s="100" t="s">
        <v>4015</v>
      </c>
    </row>
    <row r="263" spans="2:5" x14ac:dyDescent="0.2">
      <c r="B263" s="65" t="s">
        <v>1312</v>
      </c>
      <c r="C263" t="s">
        <v>5857</v>
      </c>
      <c r="D263" t="s">
        <v>6582</v>
      </c>
      <c r="E263" s="69" t="s">
        <v>5858</v>
      </c>
    </row>
    <row r="264" spans="2:5" x14ac:dyDescent="0.2">
      <c r="B264" s="65" t="s">
        <v>1313</v>
      </c>
      <c r="C264" t="s">
        <v>5859</v>
      </c>
      <c r="D264" t="s">
        <v>4016</v>
      </c>
      <c r="E264" s="69" t="s">
        <v>5860</v>
      </c>
    </row>
    <row r="265" spans="2:5" x14ac:dyDescent="0.2">
      <c r="B265" s="65" t="s">
        <v>1320</v>
      </c>
      <c r="C265" t="s">
        <v>5868</v>
      </c>
      <c r="D265" s="69" t="s">
        <v>4018</v>
      </c>
      <c r="E265" s="69" t="s">
        <v>5869</v>
      </c>
    </row>
    <row r="266" spans="2:5" x14ac:dyDescent="0.2">
      <c r="B266" s="65" t="s">
        <v>1315</v>
      </c>
      <c r="C266" t="s">
        <v>5862</v>
      </c>
      <c r="D266" s="69" t="s">
        <v>4020</v>
      </c>
      <c r="E266" s="69" t="s">
        <v>4021</v>
      </c>
    </row>
    <row r="267" spans="2:5" x14ac:dyDescent="0.2">
      <c r="B267" s="65" t="s">
        <v>1316</v>
      </c>
      <c r="C267" t="s">
        <v>5863</v>
      </c>
      <c r="D267" s="69" t="s">
        <v>4022</v>
      </c>
      <c r="E267" s="69" t="s">
        <v>4023</v>
      </c>
    </row>
    <row r="268" spans="2:5" x14ac:dyDescent="0.2">
      <c r="B268" s="65" t="s">
        <v>1319</v>
      </c>
      <c r="C268" t="s">
        <v>5867</v>
      </c>
      <c r="D268" s="69" t="s">
        <v>4024</v>
      </c>
      <c r="E268" s="69" t="s">
        <v>4025</v>
      </c>
    </row>
    <row r="269" spans="2:5" x14ac:dyDescent="0.2">
      <c r="B269" s="116" t="s">
        <v>5872</v>
      </c>
      <c r="D269" s="69" t="s">
        <v>6582</v>
      </c>
      <c r="E269" s="69"/>
    </row>
    <row r="270" spans="2:5" x14ac:dyDescent="0.2">
      <c r="B270" s="65" t="s">
        <v>886</v>
      </c>
      <c r="D270" s="69" t="s">
        <v>6582</v>
      </c>
      <c r="E270" s="69" t="s">
        <v>5906</v>
      </c>
    </row>
    <row r="271" spans="2:5" x14ac:dyDescent="0.2">
      <c r="B271" s="65" t="s">
        <v>877</v>
      </c>
      <c r="D271" s="69" t="s">
        <v>6582</v>
      </c>
      <c r="E271" s="69" t="s">
        <v>5897</v>
      </c>
    </row>
    <row r="272" spans="2:5" x14ac:dyDescent="0.2">
      <c r="B272" s="65" t="s">
        <v>884</v>
      </c>
      <c r="D272" s="69" t="s">
        <v>6582</v>
      </c>
      <c r="E272" s="69" t="s">
        <v>5904</v>
      </c>
    </row>
    <row r="273" spans="2:5" x14ac:dyDescent="0.2">
      <c r="B273" s="65" t="s">
        <v>885</v>
      </c>
      <c r="D273" s="69" t="s">
        <v>6582</v>
      </c>
      <c r="E273" s="69" t="s">
        <v>5905</v>
      </c>
    </row>
    <row r="274" spans="2:5" x14ac:dyDescent="0.2">
      <c r="B274" s="65" t="s">
        <v>879</v>
      </c>
      <c r="D274" s="69" t="s">
        <v>6582</v>
      </c>
      <c r="E274" s="69" t="s">
        <v>5899</v>
      </c>
    </row>
    <row r="275" spans="2:5" x14ac:dyDescent="0.2">
      <c r="B275" s="65" t="s">
        <v>883</v>
      </c>
      <c r="D275" s="69" t="s">
        <v>6582</v>
      </c>
      <c r="E275" s="69" t="s">
        <v>5903</v>
      </c>
    </row>
    <row r="276" spans="2:5" x14ac:dyDescent="0.2">
      <c r="B276" s="65" t="s">
        <v>878</v>
      </c>
      <c r="D276" s="69" t="s">
        <v>6582</v>
      </c>
      <c r="E276" s="69" t="s">
        <v>5898</v>
      </c>
    </row>
    <row r="277" spans="2:5" x14ac:dyDescent="0.2">
      <c r="B277" s="65" t="s">
        <v>880</v>
      </c>
      <c r="D277" s="69" t="s">
        <v>6582</v>
      </c>
      <c r="E277" s="69" t="s">
        <v>5900</v>
      </c>
    </row>
    <row r="278" spans="2:5" x14ac:dyDescent="0.2">
      <c r="B278" s="65" t="s">
        <v>882</v>
      </c>
      <c r="D278" s="69" t="s">
        <v>6582</v>
      </c>
      <c r="E278" s="69" t="s">
        <v>5902</v>
      </c>
    </row>
    <row r="279" spans="2:5" x14ac:dyDescent="0.2">
      <c r="B279" s="65" t="s">
        <v>881</v>
      </c>
      <c r="D279" s="69" t="s">
        <v>6582</v>
      </c>
      <c r="E279" s="69" t="s">
        <v>5901</v>
      </c>
    </row>
    <row r="280" spans="2:5" x14ac:dyDescent="0.2">
      <c r="B280" s="65" t="s">
        <v>874</v>
      </c>
      <c r="D280" s="69" t="s">
        <v>6582</v>
      </c>
      <c r="E280" s="69" t="s">
        <v>5894</v>
      </c>
    </row>
    <row r="281" spans="2:5" x14ac:dyDescent="0.2">
      <c r="B281" s="65" t="s">
        <v>876</v>
      </c>
      <c r="D281" s="69" t="s">
        <v>6582</v>
      </c>
      <c r="E281" s="69" t="s">
        <v>5896</v>
      </c>
    </row>
    <row r="282" spans="2:5" x14ac:dyDescent="0.2">
      <c r="B282" s="65" t="s">
        <v>875</v>
      </c>
      <c r="D282" s="69" t="s">
        <v>6582</v>
      </c>
      <c r="E282" s="69" t="s">
        <v>5895</v>
      </c>
    </row>
    <row r="283" spans="2:5" x14ac:dyDescent="0.2">
      <c r="B283" s="65" t="s">
        <v>1438</v>
      </c>
      <c r="D283" s="69" t="s">
        <v>6582</v>
      </c>
      <c r="E283" s="69" t="s">
        <v>6074</v>
      </c>
    </row>
    <row r="284" spans="2:5" x14ac:dyDescent="0.2">
      <c r="B284" s="65" t="s">
        <v>1439</v>
      </c>
      <c r="D284" s="69" t="s">
        <v>6582</v>
      </c>
      <c r="E284" s="69" t="s">
        <v>6075</v>
      </c>
    </row>
    <row r="285" spans="2:5" x14ac:dyDescent="0.2">
      <c r="B285" s="65" t="s">
        <v>1005</v>
      </c>
      <c r="D285" s="69" t="s">
        <v>6582</v>
      </c>
      <c r="E285" s="69" t="s">
        <v>5926</v>
      </c>
    </row>
    <row r="286" spans="2:5" x14ac:dyDescent="0.2">
      <c r="B286" s="65" t="s">
        <v>3413</v>
      </c>
      <c r="D286" s="69" t="s">
        <v>6582</v>
      </c>
      <c r="E286" s="100" t="s">
        <v>6076</v>
      </c>
    </row>
    <row r="287" spans="2:5" x14ac:dyDescent="0.2">
      <c r="B287" s="65" t="s">
        <v>867</v>
      </c>
      <c r="D287" s="69" t="s">
        <v>6582</v>
      </c>
      <c r="E287" s="69" t="s">
        <v>5887</v>
      </c>
    </row>
    <row r="288" spans="2:5" x14ac:dyDescent="0.2">
      <c r="B288" s="65" t="s">
        <v>868</v>
      </c>
      <c r="D288" s="69" t="s">
        <v>6582</v>
      </c>
      <c r="E288" s="69" t="s">
        <v>5888</v>
      </c>
    </row>
    <row r="289" spans="2:5" x14ac:dyDescent="0.2">
      <c r="B289" s="65" t="s">
        <v>869</v>
      </c>
      <c r="D289" s="69" t="s">
        <v>6582</v>
      </c>
      <c r="E289" s="69" t="s">
        <v>5889</v>
      </c>
    </row>
    <row r="290" spans="2:5" x14ac:dyDescent="0.2">
      <c r="B290" s="65" t="s">
        <v>870</v>
      </c>
      <c r="D290" s="69" t="s">
        <v>6582</v>
      </c>
      <c r="E290" s="69" t="s">
        <v>5890</v>
      </c>
    </row>
    <row r="291" spans="2:5" x14ac:dyDescent="0.2">
      <c r="B291" s="65" t="s">
        <v>871</v>
      </c>
      <c r="D291" s="69" t="s">
        <v>6582</v>
      </c>
      <c r="E291" s="69" t="s">
        <v>5891</v>
      </c>
    </row>
    <row r="292" spans="2:5" x14ac:dyDescent="0.2">
      <c r="B292" s="65" t="s">
        <v>872</v>
      </c>
      <c r="D292" s="69" t="s">
        <v>6582</v>
      </c>
      <c r="E292" s="69" t="s">
        <v>5892</v>
      </c>
    </row>
    <row r="293" spans="2:5" x14ac:dyDescent="0.2">
      <c r="B293" s="65" t="s">
        <v>873</v>
      </c>
      <c r="D293" s="69" t="s">
        <v>6582</v>
      </c>
      <c r="E293" s="69" t="s">
        <v>5893</v>
      </c>
    </row>
    <row r="294" spans="2:5" x14ac:dyDescent="0.2">
      <c r="B294" s="65" t="s">
        <v>866</v>
      </c>
      <c r="D294" s="69" t="s">
        <v>6582</v>
      </c>
      <c r="E294" s="69" t="s">
        <v>5886</v>
      </c>
    </row>
    <row r="295" spans="2:5" x14ac:dyDescent="0.2">
      <c r="B295" s="65" t="s">
        <v>3401</v>
      </c>
      <c r="D295" s="69" t="s">
        <v>6580</v>
      </c>
      <c r="E295" s="100" t="s">
        <v>6000</v>
      </c>
    </row>
    <row r="296" spans="2:5" x14ac:dyDescent="0.2">
      <c r="B296" s="65" t="s">
        <v>1325</v>
      </c>
      <c r="D296" s="69" t="s">
        <v>6582</v>
      </c>
      <c r="E296" s="69" t="s">
        <v>6001</v>
      </c>
    </row>
    <row r="297" spans="2:5" x14ac:dyDescent="0.2">
      <c r="B297" s="65" t="s">
        <v>1326</v>
      </c>
      <c r="D297" s="69" t="s">
        <v>6582</v>
      </c>
      <c r="E297" s="69" t="s">
        <v>6002</v>
      </c>
    </row>
    <row r="298" spans="2:5" x14ac:dyDescent="0.2">
      <c r="B298" s="65" t="s">
        <v>702</v>
      </c>
      <c r="D298" s="69" t="s">
        <v>6580</v>
      </c>
      <c r="E298" s="69" t="s">
        <v>4040</v>
      </c>
    </row>
    <row r="299" spans="2:5" x14ac:dyDescent="0.2">
      <c r="B299" s="65" t="s">
        <v>703</v>
      </c>
      <c r="D299" s="69" t="s">
        <v>6580</v>
      </c>
      <c r="E299" s="69" t="s">
        <v>4041</v>
      </c>
    </row>
    <row r="300" spans="2:5" x14ac:dyDescent="0.2">
      <c r="B300" s="65" t="s">
        <v>704</v>
      </c>
      <c r="D300" s="69" t="s">
        <v>6580</v>
      </c>
      <c r="E300" s="69" t="s">
        <v>4042</v>
      </c>
    </row>
    <row r="301" spans="2:5" x14ac:dyDescent="0.2">
      <c r="B301" s="65" t="s">
        <v>705</v>
      </c>
      <c r="D301" s="69" t="s">
        <v>6580</v>
      </c>
      <c r="E301" s="69" t="s">
        <v>4043</v>
      </c>
    </row>
    <row r="302" spans="2:5" x14ac:dyDescent="0.2">
      <c r="B302" s="65" t="s">
        <v>706</v>
      </c>
      <c r="D302" s="69" t="s">
        <v>6580</v>
      </c>
      <c r="E302" s="69" t="s">
        <v>4044</v>
      </c>
    </row>
    <row r="303" spans="2:5" x14ac:dyDescent="0.2">
      <c r="B303" s="65" t="s">
        <v>707</v>
      </c>
      <c r="D303" s="69" t="s">
        <v>6580</v>
      </c>
      <c r="E303" s="69" t="s">
        <v>4045</v>
      </c>
    </row>
    <row r="304" spans="2:5" x14ac:dyDescent="0.2">
      <c r="B304" s="65" t="s">
        <v>708</v>
      </c>
      <c r="D304" s="69" t="s">
        <v>6580</v>
      </c>
      <c r="E304" s="69" t="s">
        <v>4046</v>
      </c>
    </row>
    <row r="305" spans="2:5" x14ac:dyDescent="0.2">
      <c r="B305" s="65" t="s">
        <v>709</v>
      </c>
      <c r="D305" s="69" t="s">
        <v>6580</v>
      </c>
      <c r="E305" s="69" t="s">
        <v>4047</v>
      </c>
    </row>
    <row r="306" spans="2:5" x14ac:dyDescent="0.2">
      <c r="B306" s="65" t="s">
        <v>710</v>
      </c>
      <c r="D306" s="69" t="s">
        <v>6580</v>
      </c>
      <c r="E306" s="69" t="s">
        <v>4048</v>
      </c>
    </row>
    <row r="307" spans="2:5" x14ac:dyDescent="0.2">
      <c r="B307" s="65" t="s">
        <v>3402</v>
      </c>
      <c r="D307" s="69" t="s">
        <v>6582</v>
      </c>
      <c r="E307" s="100" t="s">
        <v>4040</v>
      </c>
    </row>
    <row r="308" spans="2:5" x14ac:dyDescent="0.2">
      <c r="B308" s="65" t="s">
        <v>1333</v>
      </c>
      <c r="D308" s="69" t="s">
        <v>6582</v>
      </c>
      <c r="E308" s="69" t="s">
        <v>6005</v>
      </c>
    </row>
    <row r="309" spans="2:5" x14ac:dyDescent="0.2">
      <c r="B309" s="65" t="s">
        <v>1334</v>
      </c>
      <c r="D309" s="69" t="s">
        <v>6582</v>
      </c>
      <c r="E309" s="69" t="s">
        <v>6006</v>
      </c>
    </row>
    <row r="310" spans="2:5" x14ac:dyDescent="0.2">
      <c r="B310" s="65" t="s">
        <v>1335</v>
      </c>
      <c r="D310" s="69" t="s">
        <v>6582</v>
      </c>
      <c r="E310" s="69" t="s">
        <v>6007</v>
      </c>
    </row>
    <row r="311" spans="2:5" x14ac:dyDescent="0.2">
      <c r="B311" s="65" t="s">
        <v>1336</v>
      </c>
      <c r="D311" s="69" t="s">
        <v>6582</v>
      </c>
      <c r="E311" s="69" t="s">
        <v>6008</v>
      </c>
    </row>
    <row r="312" spans="2:5" x14ac:dyDescent="0.2">
      <c r="B312" s="65" t="s">
        <v>1337</v>
      </c>
      <c r="D312" s="69" t="s">
        <v>6582</v>
      </c>
      <c r="E312" s="69" t="s">
        <v>6009</v>
      </c>
    </row>
    <row r="313" spans="2:5" x14ac:dyDescent="0.2">
      <c r="B313" s="65" t="s">
        <v>1338</v>
      </c>
      <c r="D313" s="69" t="s">
        <v>6582</v>
      </c>
      <c r="E313" s="69" t="s">
        <v>6010</v>
      </c>
    </row>
    <row r="314" spans="2:5" x14ac:dyDescent="0.2">
      <c r="B314" s="65" t="s">
        <v>1339</v>
      </c>
      <c r="D314" s="69" t="s">
        <v>6582</v>
      </c>
      <c r="E314" s="69" t="s">
        <v>6011</v>
      </c>
    </row>
    <row r="315" spans="2:5" x14ac:dyDescent="0.2">
      <c r="B315" s="65" t="s">
        <v>1340</v>
      </c>
      <c r="D315" s="69" t="s">
        <v>6582</v>
      </c>
      <c r="E315" s="69" t="s">
        <v>6012</v>
      </c>
    </row>
    <row r="316" spans="2:5" x14ac:dyDescent="0.2">
      <c r="B316" s="65" t="s">
        <v>1341</v>
      </c>
      <c r="D316" s="69" t="s">
        <v>6582</v>
      </c>
      <c r="E316" s="69" t="s">
        <v>6013</v>
      </c>
    </row>
    <row r="317" spans="2:5" x14ac:dyDescent="0.2">
      <c r="B317" s="65" t="s">
        <v>1342</v>
      </c>
      <c r="D317" s="69" t="s">
        <v>6582</v>
      </c>
      <c r="E317" s="69" t="s">
        <v>6014</v>
      </c>
    </row>
    <row r="318" spans="2:5" x14ac:dyDescent="0.2">
      <c r="B318" s="65" t="s">
        <v>1329</v>
      </c>
      <c r="D318" s="69" t="s">
        <v>6582</v>
      </c>
      <c r="E318" s="69" t="s">
        <v>6015</v>
      </c>
    </row>
    <row r="319" spans="2:5" x14ac:dyDescent="0.2">
      <c r="B319" s="65" t="s">
        <v>1343</v>
      </c>
      <c r="D319" s="69" t="s">
        <v>6582</v>
      </c>
      <c r="E319" s="69" t="s">
        <v>6016</v>
      </c>
    </row>
    <row r="320" spans="2:5" x14ac:dyDescent="0.2">
      <c r="B320" s="65" t="s">
        <v>1344</v>
      </c>
      <c r="D320" s="69" t="s">
        <v>6582</v>
      </c>
      <c r="E320" s="69" t="s">
        <v>6017</v>
      </c>
    </row>
    <row r="321" spans="2:5" x14ac:dyDescent="0.2">
      <c r="B321" s="65" t="s">
        <v>1345</v>
      </c>
      <c r="D321" s="69" t="s">
        <v>6582</v>
      </c>
      <c r="E321" s="69" t="s">
        <v>6018</v>
      </c>
    </row>
    <row r="322" spans="2:5" x14ac:dyDescent="0.2">
      <c r="B322" s="65" t="s">
        <v>1346</v>
      </c>
      <c r="D322" s="69" t="s">
        <v>6582</v>
      </c>
      <c r="E322" s="69" t="s">
        <v>6019</v>
      </c>
    </row>
    <row r="323" spans="2:5" x14ac:dyDescent="0.2">
      <c r="B323" s="65" t="s">
        <v>1347</v>
      </c>
      <c r="D323" s="69" t="s">
        <v>6582</v>
      </c>
      <c r="E323" s="69" t="s">
        <v>6020</v>
      </c>
    </row>
    <row r="324" spans="2:5" x14ac:dyDescent="0.2">
      <c r="B324" s="65" t="s">
        <v>1348</v>
      </c>
      <c r="D324" s="69" t="s">
        <v>6582</v>
      </c>
      <c r="E324" s="69" t="s">
        <v>6021</v>
      </c>
    </row>
    <row r="325" spans="2:5" x14ac:dyDescent="0.2">
      <c r="B325" s="65" t="s">
        <v>1349</v>
      </c>
      <c r="D325" s="69" t="s">
        <v>6582</v>
      </c>
      <c r="E325" s="69" t="s">
        <v>6022</v>
      </c>
    </row>
    <row r="326" spans="2:5" x14ac:dyDescent="0.2">
      <c r="B326" s="65" t="s">
        <v>1350</v>
      </c>
      <c r="D326" s="69" t="s">
        <v>6582</v>
      </c>
      <c r="E326" s="69" t="s">
        <v>6023</v>
      </c>
    </row>
    <row r="327" spans="2:5" x14ac:dyDescent="0.2">
      <c r="B327" s="65" t="s">
        <v>1351</v>
      </c>
      <c r="D327" s="69" t="s">
        <v>6582</v>
      </c>
      <c r="E327" s="69" t="s">
        <v>6024</v>
      </c>
    </row>
    <row r="328" spans="2:5" x14ac:dyDescent="0.2">
      <c r="B328" s="65" t="s">
        <v>1352</v>
      </c>
      <c r="D328" s="69" t="s">
        <v>6582</v>
      </c>
      <c r="E328" s="69" t="s">
        <v>6025</v>
      </c>
    </row>
    <row r="329" spans="2:5" x14ac:dyDescent="0.2">
      <c r="B329" s="65" t="s">
        <v>1353</v>
      </c>
      <c r="D329" s="69" t="s">
        <v>6582</v>
      </c>
      <c r="E329" s="69" t="s">
        <v>6026</v>
      </c>
    </row>
    <row r="330" spans="2:5" x14ac:dyDescent="0.2">
      <c r="B330" s="65" t="s">
        <v>1354</v>
      </c>
      <c r="D330" s="69" t="s">
        <v>6582</v>
      </c>
      <c r="E330" s="69" t="s">
        <v>6027</v>
      </c>
    </row>
    <row r="331" spans="2:5" x14ac:dyDescent="0.2">
      <c r="B331" s="65" t="s">
        <v>1355</v>
      </c>
      <c r="D331" s="69" t="s">
        <v>6582</v>
      </c>
      <c r="E331" s="69" t="s">
        <v>6028</v>
      </c>
    </row>
    <row r="332" spans="2:5" x14ac:dyDescent="0.2">
      <c r="B332" s="65" t="s">
        <v>1356</v>
      </c>
      <c r="D332" s="69" t="s">
        <v>6582</v>
      </c>
      <c r="E332" s="69" t="s">
        <v>6029</v>
      </c>
    </row>
    <row r="333" spans="2:5" x14ac:dyDescent="0.2">
      <c r="B333" s="65" t="s">
        <v>1357</v>
      </c>
      <c r="D333" s="69" t="s">
        <v>6582</v>
      </c>
      <c r="E333" s="69" t="s">
        <v>6030</v>
      </c>
    </row>
    <row r="334" spans="2:5" x14ac:dyDescent="0.2">
      <c r="B334" s="65" t="s">
        <v>1330</v>
      </c>
      <c r="D334" s="69" t="s">
        <v>6582</v>
      </c>
      <c r="E334" s="69" t="s">
        <v>6031</v>
      </c>
    </row>
    <row r="335" spans="2:5" x14ac:dyDescent="0.2">
      <c r="B335" s="65" t="s">
        <v>1358</v>
      </c>
      <c r="D335" s="69" t="s">
        <v>6582</v>
      </c>
      <c r="E335" s="69" t="s">
        <v>6032</v>
      </c>
    </row>
    <row r="336" spans="2:5" x14ac:dyDescent="0.2">
      <c r="B336" s="65" t="s">
        <v>1359</v>
      </c>
      <c r="D336" s="69" t="s">
        <v>6582</v>
      </c>
      <c r="E336" s="69" t="s">
        <v>6033</v>
      </c>
    </row>
    <row r="337" spans="2:5" x14ac:dyDescent="0.2">
      <c r="B337" s="65" t="s">
        <v>1360</v>
      </c>
      <c r="D337" s="69" t="s">
        <v>6582</v>
      </c>
      <c r="E337" s="69" t="s">
        <v>6034</v>
      </c>
    </row>
    <row r="338" spans="2:5" x14ac:dyDescent="0.2">
      <c r="B338" s="65" t="s">
        <v>1361</v>
      </c>
      <c r="D338" s="69" t="s">
        <v>6582</v>
      </c>
      <c r="E338" s="69" t="s">
        <v>6034</v>
      </c>
    </row>
    <row r="339" spans="2:5" x14ac:dyDescent="0.2">
      <c r="B339" s="65" t="s">
        <v>1362</v>
      </c>
      <c r="D339" s="69" t="s">
        <v>6582</v>
      </c>
      <c r="E339" s="69" t="s">
        <v>6035</v>
      </c>
    </row>
    <row r="340" spans="2:5" x14ac:dyDescent="0.2">
      <c r="B340" s="65" t="s">
        <v>1363</v>
      </c>
      <c r="D340" s="69" t="s">
        <v>6582</v>
      </c>
      <c r="E340" s="69" t="s">
        <v>6036</v>
      </c>
    </row>
    <row r="341" spans="2:5" x14ac:dyDescent="0.2">
      <c r="B341" s="65" t="s">
        <v>1364</v>
      </c>
      <c r="D341" s="69" t="s">
        <v>6582</v>
      </c>
      <c r="E341" s="69" t="s">
        <v>6037</v>
      </c>
    </row>
    <row r="342" spans="2:5" x14ac:dyDescent="0.2">
      <c r="B342" s="65" t="s">
        <v>1365</v>
      </c>
      <c r="D342" s="69" t="s">
        <v>6582</v>
      </c>
      <c r="E342" s="69" t="s">
        <v>6038</v>
      </c>
    </row>
    <row r="343" spans="2:5" x14ac:dyDescent="0.2">
      <c r="B343" s="65" t="s">
        <v>1366</v>
      </c>
      <c r="D343" s="69" t="s">
        <v>6582</v>
      </c>
      <c r="E343" s="69" t="s">
        <v>6039</v>
      </c>
    </row>
    <row r="344" spans="2:5" x14ac:dyDescent="0.2">
      <c r="B344" s="65" t="s">
        <v>1367</v>
      </c>
      <c r="D344" s="69" t="s">
        <v>6582</v>
      </c>
      <c r="E344" s="69" t="s">
        <v>6040</v>
      </c>
    </row>
    <row r="345" spans="2:5" x14ac:dyDescent="0.2">
      <c r="B345" s="65" t="s">
        <v>1331</v>
      </c>
      <c r="D345" s="69" t="s">
        <v>6582</v>
      </c>
      <c r="E345" s="69" t="s">
        <v>6041</v>
      </c>
    </row>
    <row r="346" spans="2:5" x14ac:dyDescent="0.2">
      <c r="B346" s="65" t="s">
        <v>1368</v>
      </c>
      <c r="D346" s="69" t="s">
        <v>6582</v>
      </c>
      <c r="E346" s="69" t="s">
        <v>6042</v>
      </c>
    </row>
    <row r="347" spans="2:5" x14ac:dyDescent="0.2">
      <c r="B347" s="65" t="s">
        <v>1369</v>
      </c>
      <c r="D347" s="69" t="s">
        <v>6582</v>
      </c>
      <c r="E347" s="69" t="s">
        <v>6043</v>
      </c>
    </row>
    <row r="348" spans="2:5" x14ac:dyDescent="0.2">
      <c r="B348" s="65" t="s">
        <v>1370</v>
      </c>
      <c r="D348" s="69" t="s">
        <v>6582</v>
      </c>
      <c r="E348" s="69" t="s">
        <v>6044</v>
      </c>
    </row>
    <row r="349" spans="2:5" x14ac:dyDescent="0.2">
      <c r="B349" s="65" t="s">
        <v>1371</v>
      </c>
      <c r="D349" s="69" t="s">
        <v>6582</v>
      </c>
      <c r="E349" s="69" t="s">
        <v>6045</v>
      </c>
    </row>
    <row r="350" spans="2:5" x14ac:dyDescent="0.2">
      <c r="B350" s="65" t="s">
        <v>1372</v>
      </c>
      <c r="D350" s="69" t="s">
        <v>6582</v>
      </c>
      <c r="E350" s="69" t="s">
        <v>6046</v>
      </c>
    </row>
    <row r="351" spans="2:5" x14ac:dyDescent="0.2">
      <c r="B351" s="65" t="s">
        <v>1332</v>
      </c>
      <c r="D351" s="69" t="s">
        <v>6582</v>
      </c>
      <c r="E351" s="69" t="s">
        <v>6047</v>
      </c>
    </row>
    <row r="352" spans="2:5" x14ac:dyDescent="0.2">
      <c r="B352" s="65" t="s">
        <v>895</v>
      </c>
      <c r="D352" s="69" t="s">
        <v>6582</v>
      </c>
      <c r="E352" s="69" t="s">
        <v>5914</v>
      </c>
    </row>
    <row r="353" spans="2:5" x14ac:dyDescent="0.2">
      <c r="B353" s="65" t="s">
        <v>892</v>
      </c>
      <c r="D353" s="69" t="s">
        <v>6582</v>
      </c>
      <c r="E353" s="69" t="s">
        <v>5916</v>
      </c>
    </row>
    <row r="354" spans="2:5" x14ac:dyDescent="0.2">
      <c r="B354" s="65" t="s">
        <v>893</v>
      </c>
      <c r="D354" s="69" t="s">
        <v>6582</v>
      </c>
      <c r="E354" s="69" t="s">
        <v>5912</v>
      </c>
    </row>
    <row r="355" spans="2:5" x14ac:dyDescent="0.2">
      <c r="B355" s="65" t="s">
        <v>197</v>
      </c>
      <c r="D355" s="69" t="s">
        <v>6580</v>
      </c>
      <c r="E355" s="69" t="s">
        <v>4049</v>
      </c>
    </row>
    <row r="356" spans="2:5" x14ac:dyDescent="0.2">
      <c r="B356" s="65" t="s">
        <v>894</v>
      </c>
      <c r="D356" s="69" t="s">
        <v>6582</v>
      </c>
      <c r="E356" s="69" t="s">
        <v>5913</v>
      </c>
    </row>
    <row r="357" spans="2:5" x14ac:dyDescent="0.2">
      <c r="B357" s="65" t="s">
        <v>896</v>
      </c>
      <c r="D357" s="69" t="s">
        <v>6582</v>
      </c>
      <c r="E357" s="69" t="s">
        <v>5915</v>
      </c>
    </row>
    <row r="358" spans="2:5" x14ac:dyDescent="0.2">
      <c r="B358" s="65" t="s">
        <v>196</v>
      </c>
      <c r="D358" s="69" t="s">
        <v>6580</v>
      </c>
      <c r="E358" s="69" t="s">
        <v>4050</v>
      </c>
    </row>
    <row r="359" spans="2:5" x14ac:dyDescent="0.2">
      <c r="B359" s="65" t="s">
        <v>711</v>
      </c>
      <c r="D359" s="69" t="s">
        <v>6580</v>
      </c>
      <c r="E359" s="69" t="s">
        <v>4051</v>
      </c>
    </row>
    <row r="360" spans="2:5" x14ac:dyDescent="0.2">
      <c r="B360" s="65" t="s">
        <v>712</v>
      </c>
      <c r="D360" s="69" t="s">
        <v>6580</v>
      </c>
      <c r="E360" s="69" t="s">
        <v>4052</v>
      </c>
    </row>
    <row r="361" spans="2:5" x14ac:dyDescent="0.2">
      <c r="B361" s="65" t="s">
        <v>713</v>
      </c>
      <c r="D361" s="69" t="s">
        <v>6580</v>
      </c>
      <c r="E361" s="69" t="s">
        <v>4053</v>
      </c>
    </row>
    <row r="362" spans="2:5" x14ac:dyDescent="0.2">
      <c r="B362" s="65" t="s">
        <v>714</v>
      </c>
      <c r="D362" s="69" t="s">
        <v>6580</v>
      </c>
      <c r="E362" s="69" t="s">
        <v>4054</v>
      </c>
    </row>
    <row r="363" spans="2:5" x14ac:dyDescent="0.2">
      <c r="B363" s="65" t="s">
        <v>715</v>
      </c>
      <c r="D363" s="69" t="s">
        <v>6580</v>
      </c>
      <c r="E363" s="69" t="s">
        <v>4055</v>
      </c>
    </row>
    <row r="364" spans="2:5" x14ac:dyDescent="0.2">
      <c r="B364" s="65" t="s">
        <v>716</v>
      </c>
      <c r="D364" s="69" t="s">
        <v>6580</v>
      </c>
      <c r="E364" s="69" t="s">
        <v>4056</v>
      </c>
    </row>
    <row r="365" spans="2:5" x14ac:dyDescent="0.2">
      <c r="B365" s="65" t="s">
        <v>717</v>
      </c>
      <c r="D365" s="69" t="s">
        <v>6580</v>
      </c>
      <c r="E365" s="69" t="s">
        <v>4057</v>
      </c>
    </row>
    <row r="366" spans="2:5" x14ac:dyDescent="0.2">
      <c r="B366" s="65" t="s">
        <v>718</v>
      </c>
      <c r="D366" s="69" t="s">
        <v>6580</v>
      </c>
      <c r="E366" s="69" t="s">
        <v>4058</v>
      </c>
    </row>
    <row r="367" spans="2:5" x14ac:dyDescent="0.2">
      <c r="B367" s="65" t="s">
        <v>719</v>
      </c>
      <c r="D367" s="69" t="s">
        <v>6580</v>
      </c>
      <c r="E367" s="69" t="s">
        <v>4059</v>
      </c>
    </row>
    <row r="368" spans="2:5" x14ac:dyDescent="0.2">
      <c r="B368" s="65" t="s">
        <v>201</v>
      </c>
      <c r="D368" s="69" t="s">
        <v>6580</v>
      </c>
      <c r="E368" s="69" t="s">
        <v>4060</v>
      </c>
    </row>
    <row r="369" spans="2:5" x14ac:dyDescent="0.2">
      <c r="B369" s="65" t="s">
        <v>198</v>
      </c>
      <c r="D369" s="69" t="s">
        <v>6580</v>
      </c>
      <c r="E369" s="69" t="s">
        <v>4061</v>
      </c>
    </row>
    <row r="370" spans="2:5" x14ac:dyDescent="0.2">
      <c r="B370" s="65" t="s">
        <v>199</v>
      </c>
      <c r="D370" s="69" t="s">
        <v>6580</v>
      </c>
      <c r="E370" s="69" t="s">
        <v>4062</v>
      </c>
    </row>
    <row r="371" spans="2:5" x14ac:dyDescent="0.2">
      <c r="B371" s="65" t="s">
        <v>200</v>
      </c>
      <c r="D371" s="69" t="s">
        <v>6580</v>
      </c>
      <c r="E371" s="69" t="s">
        <v>4063</v>
      </c>
    </row>
    <row r="372" spans="2:5" x14ac:dyDescent="0.2">
      <c r="B372" s="65" t="s">
        <v>202</v>
      </c>
      <c r="D372" s="69" t="s">
        <v>6580</v>
      </c>
      <c r="E372" s="69" t="s">
        <v>4064</v>
      </c>
    </row>
    <row r="373" spans="2:5" x14ac:dyDescent="0.2">
      <c r="B373" s="65" t="s">
        <v>204</v>
      </c>
      <c r="D373" s="69" t="s">
        <v>6580</v>
      </c>
      <c r="E373" s="69" t="s">
        <v>4065</v>
      </c>
    </row>
    <row r="374" spans="2:5" x14ac:dyDescent="0.2">
      <c r="B374" s="65" t="s">
        <v>205</v>
      </c>
      <c r="D374" s="69" t="s">
        <v>6580</v>
      </c>
      <c r="E374" s="69" t="s">
        <v>4066</v>
      </c>
    </row>
    <row r="375" spans="2:5" x14ac:dyDescent="0.2">
      <c r="B375" s="65" t="s">
        <v>206</v>
      </c>
      <c r="D375" s="69" t="s">
        <v>6580</v>
      </c>
      <c r="E375" s="69" t="s">
        <v>4067</v>
      </c>
    </row>
    <row r="376" spans="2:5" x14ac:dyDescent="0.2">
      <c r="B376" s="65" t="s">
        <v>207</v>
      </c>
      <c r="D376" s="69" t="s">
        <v>6580</v>
      </c>
      <c r="E376" s="69" t="s">
        <v>4068</v>
      </c>
    </row>
    <row r="377" spans="2:5" x14ac:dyDescent="0.2">
      <c r="B377" s="65" t="s">
        <v>208</v>
      </c>
      <c r="D377" s="69" t="s">
        <v>6580</v>
      </c>
      <c r="E377" s="69" t="s">
        <v>4069</v>
      </c>
    </row>
    <row r="378" spans="2:5" x14ac:dyDescent="0.2">
      <c r="B378" s="65" t="s">
        <v>858</v>
      </c>
      <c r="D378" s="69" t="s">
        <v>6582</v>
      </c>
      <c r="E378" s="69" t="s">
        <v>5876</v>
      </c>
    </row>
    <row r="379" spans="2:5" x14ac:dyDescent="0.2">
      <c r="B379" s="65" t="s">
        <v>860</v>
      </c>
      <c r="D379" s="69" t="s">
        <v>6582</v>
      </c>
      <c r="E379" s="69" t="s">
        <v>5878</v>
      </c>
    </row>
    <row r="380" spans="2:5" x14ac:dyDescent="0.2">
      <c r="B380" s="65" t="s">
        <v>862</v>
      </c>
      <c r="D380" s="69" t="s">
        <v>6582</v>
      </c>
      <c r="E380" s="69" t="s">
        <v>5880</v>
      </c>
    </row>
    <row r="381" spans="2:5" x14ac:dyDescent="0.2">
      <c r="B381" s="65" t="s">
        <v>863</v>
      </c>
      <c r="D381" s="69" t="s">
        <v>6582</v>
      </c>
      <c r="E381" s="69" t="s">
        <v>5881</v>
      </c>
    </row>
    <row r="382" spans="2:5" x14ac:dyDescent="0.2">
      <c r="B382" s="65" t="s">
        <v>859</v>
      </c>
      <c r="D382" s="69" t="s">
        <v>6582</v>
      </c>
      <c r="E382" s="69" t="s">
        <v>5877</v>
      </c>
    </row>
    <row r="383" spans="2:5" x14ac:dyDescent="0.2">
      <c r="B383" s="65" t="s">
        <v>856</v>
      </c>
      <c r="D383" s="69" t="s">
        <v>6582</v>
      </c>
      <c r="E383" s="69" t="s">
        <v>5882</v>
      </c>
    </row>
    <row r="384" spans="2:5" x14ac:dyDescent="0.2">
      <c r="B384" s="65" t="s">
        <v>857</v>
      </c>
      <c r="D384" s="69" t="s">
        <v>6582</v>
      </c>
      <c r="E384" s="69" t="s">
        <v>5883</v>
      </c>
    </row>
    <row r="385" spans="2:5" x14ac:dyDescent="0.2">
      <c r="B385" s="65" t="s">
        <v>861</v>
      </c>
      <c r="D385" s="69" t="s">
        <v>6582</v>
      </c>
      <c r="E385" s="69" t="s">
        <v>5879</v>
      </c>
    </row>
    <row r="386" spans="2:5" x14ac:dyDescent="0.2">
      <c r="B386" s="65" t="s">
        <v>1111</v>
      </c>
      <c r="D386" s="69" t="s">
        <v>6582</v>
      </c>
      <c r="E386" s="69" t="s">
        <v>5933</v>
      </c>
    </row>
    <row r="387" spans="2:5" x14ac:dyDescent="0.2">
      <c r="B387" s="65" t="s">
        <v>966</v>
      </c>
      <c r="D387" s="69" t="s">
        <v>6582</v>
      </c>
      <c r="E387" s="69" t="s">
        <v>5925</v>
      </c>
    </row>
    <row r="388" spans="2:5" x14ac:dyDescent="0.2">
      <c r="B388" s="65" t="s">
        <v>1491</v>
      </c>
      <c r="D388" s="69" t="s">
        <v>6582</v>
      </c>
      <c r="E388" s="69" t="s">
        <v>6088</v>
      </c>
    </row>
    <row r="389" spans="2:5" x14ac:dyDescent="0.2">
      <c r="B389" s="65" t="s">
        <v>1492</v>
      </c>
      <c r="D389" s="69" t="s">
        <v>6582</v>
      </c>
      <c r="E389" s="69" t="s">
        <v>6078</v>
      </c>
    </row>
    <row r="390" spans="2:5" x14ac:dyDescent="0.2">
      <c r="B390" s="65" t="s">
        <v>1414</v>
      </c>
      <c r="D390" s="69" t="s">
        <v>6582</v>
      </c>
      <c r="E390" s="69" t="s">
        <v>6049</v>
      </c>
    </row>
    <row r="391" spans="2:5" x14ac:dyDescent="0.2">
      <c r="B391" s="65" t="s">
        <v>1413</v>
      </c>
      <c r="D391" s="69" t="s">
        <v>6582</v>
      </c>
      <c r="E391" s="69" t="s">
        <v>6058</v>
      </c>
    </row>
    <row r="392" spans="2:5" x14ac:dyDescent="0.2">
      <c r="B392" s="65" t="s">
        <v>1115</v>
      </c>
      <c r="D392" s="69" t="s">
        <v>6582</v>
      </c>
      <c r="E392" s="69" t="s">
        <v>5933</v>
      </c>
    </row>
    <row r="393" spans="2:5" x14ac:dyDescent="0.2">
      <c r="B393" s="65" t="s">
        <v>970</v>
      </c>
      <c r="D393" s="69" t="s">
        <v>6582</v>
      </c>
      <c r="E393" s="69" t="s">
        <v>5925</v>
      </c>
    </row>
    <row r="394" spans="2:5" x14ac:dyDescent="0.2">
      <c r="B394" s="65" t="s">
        <v>1497</v>
      </c>
      <c r="D394" s="69" t="s">
        <v>6582</v>
      </c>
      <c r="E394" s="69" t="s">
        <v>6091</v>
      </c>
    </row>
    <row r="395" spans="2:5" x14ac:dyDescent="0.2">
      <c r="B395" s="65" t="s">
        <v>1420</v>
      </c>
      <c r="D395" s="69" t="s">
        <v>6582</v>
      </c>
      <c r="E395" s="69" t="s">
        <v>6049</v>
      </c>
    </row>
    <row r="396" spans="2:5" x14ac:dyDescent="0.2">
      <c r="B396" s="65" t="s">
        <v>1419</v>
      </c>
      <c r="D396" s="69" t="s">
        <v>6582</v>
      </c>
      <c r="E396" s="69" t="s">
        <v>6061</v>
      </c>
    </row>
    <row r="397" spans="2:5" x14ac:dyDescent="0.2">
      <c r="B397" s="65" t="s">
        <v>3436</v>
      </c>
      <c r="D397" s="69" t="s">
        <v>6582</v>
      </c>
      <c r="E397" s="100" t="s">
        <v>6079</v>
      </c>
    </row>
    <row r="398" spans="2:5" x14ac:dyDescent="0.2">
      <c r="B398" s="65" t="s">
        <v>968</v>
      </c>
      <c r="D398" s="69" t="s">
        <v>6582</v>
      </c>
      <c r="E398" s="69" t="s">
        <v>6073</v>
      </c>
    </row>
    <row r="399" spans="2:5" x14ac:dyDescent="0.2">
      <c r="B399" s="65" t="s">
        <v>1114</v>
      </c>
      <c r="D399" s="69" t="s">
        <v>6582</v>
      </c>
      <c r="E399" s="69" t="s">
        <v>5933</v>
      </c>
    </row>
    <row r="400" spans="2:5" x14ac:dyDescent="0.2">
      <c r="B400" s="65" t="s">
        <v>969</v>
      </c>
      <c r="D400" s="69" t="s">
        <v>6582</v>
      </c>
      <c r="E400" s="69" t="s">
        <v>5925</v>
      </c>
    </row>
    <row r="401" spans="2:5" x14ac:dyDescent="0.2">
      <c r="B401" s="65" t="s">
        <v>1495</v>
      </c>
      <c r="D401" s="69" t="s">
        <v>6582</v>
      </c>
      <c r="E401" s="69" t="s">
        <v>6090</v>
      </c>
    </row>
    <row r="402" spans="2:5" x14ac:dyDescent="0.2">
      <c r="B402" s="65" t="s">
        <v>1496</v>
      </c>
      <c r="D402" s="69" t="s">
        <v>6582</v>
      </c>
      <c r="E402" s="69" t="s">
        <v>6078</v>
      </c>
    </row>
    <row r="403" spans="2:5" x14ac:dyDescent="0.2">
      <c r="B403" s="65" t="s">
        <v>1418</v>
      </c>
      <c r="D403" s="69" t="s">
        <v>6582</v>
      </c>
      <c r="E403" s="69" t="s">
        <v>6049</v>
      </c>
    </row>
    <row r="404" spans="2:5" x14ac:dyDescent="0.2">
      <c r="B404" s="65" t="s">
        <v>1417</v>
      </c>
      <c r="D404" s="69" t="s">
        <v>6582</v>
      </c>
      <c r="E404" s="69" t="s">
        <v>6060</v>
      </c>
    </row>
    <row r="405" spans="2:5" x14ac:dyDescent="0.2">
      <c r="B405" s="65" t="s">
        <v>3379</v>
      </c>
      <c r="D405" s="69" t="s">
        <v>6582</v>
      </c>
      <c r="E405" s="100" t="s">
        <v>5933</v>
      </c>
    </row>
    <row r="406" spans="2:5" x14ac:dyDescent="0.2">
      <c r="B406" s="65" t="s">
        <v>959</v>
      </c>
      <c r="D406" s="69" t="s">
        <v>6582</v>
      </c>
      <c r="E406" s="69" t="s">
        <v>5925</v>
      </c>
    </row>
    <row r="407" spans="2:5" x14ac:dyDescent="0.2">
      <c r="B407" s="65" t="s">
        <v>1482</v>
      </c>
      <c r="D407" s="69" t="s">
        <v>6582</v>
      </c>
      <c r="E407" s="69" t="s">
        <v>6081</v>
      </c>
    </row>
    <row r="408" spans="2:5" x14ac:dyDescent="0.2">
      <c r="B408" s="65" t="s">
        <v>3433</v>
      </c>
      <c r="D408" s="69" t="s">
        <v>6582</v>
      </c>
      <c r="E408" s="100" t="s">
        <v>6078</v>
      </c>
    </row>
    <row r="409" spans="2:5" x14ac:dyDescent="0.2">
      <c r="B409" s="65" t="s">
        <v>1400</v>
      </c>
      <c r="D409" s="69" t="s">
        <v>6582</v>
      </c>
      <c r="E409" s="69" t="s">
        <v>6049</v>
      </c>
    </row>
    <row r="410" spans="2:5" x14ac:dyDescent="0.2">
      <c r="B410" s="65" t="s">
        <v>1399</v>
      </c>
      <c r="D410" s="69" t="s">
        <v>6582</v>
      </c>
      <c r="E410" s="69" t="s">
        <v>6051</v>
      </c>
    </row>
    <row r="411" spans="2:5" x14ac:dyDescent="0.2">
      <c r="B411" s="65" t="s">
        <v>1104</v>
      </c>
      <c r="D411" s="69" t="s">
        <v>6582</v>
      </c>
      <c r="E411" s="69" t="s">
        <v>6079</v>
      </c>
    </row>
    <row r="412" spans="2:5" x14ac:dyDescent="0.2">
      <c r="B412" s="65" t="s">
        <v>1105</v>
      </c>
      <c r="D412" s="69" t="s">
        <v>6582</v>
      </c>
      <c r="E412" s="69" t="s">
        <v>5933</v>
      </c>
    </row>
    <row r="413" spans="2:5" x14ac:dyDescent="0.2">
      <c r="B413" s="65" t="s">
        <v>957</v>
      </c>
      <c r="D413" s="69" t="s">
        <v>6582</v>
      </c>
      <c r="E413" s="69" t="s">
        <v>5925</v>
      </c>
    </row>
    <row r="414" spans="2:5" x14ac:dyDescent="0.2">
      <c r="B414" s="65" t="s">
        <v>1478</v>
      </c>
      <c r="D414" s="69" t="s">
        <v>6582</v>
      </c>
      <c r="E414" s="69" t="s">
        <v>6077</v>
      </c>
    </row>
    <row r="415" spans="2:5" x14ac:dyDescent="0.2">
      <c r="B415" s="65" t="s">
        <v>1479</v>
      </c>
      <c r="D415" s="69" t="s">
        <v>6582</v>
      </c>
      <c r="E415" s="69" t="s">
        <v>6078</v>
      </c>
    </row>
    <row r="416" spans="2:5" x14ac:dyDescent="0.2">
      <c r="B416" s="65" t="s">
        <v>1396</v>
      </c>
      <c r="D416" s="69" t="s">
        <v>6582</v>
      </c>
      <c r="E416" s="69" t="s">
        <v>6049</v>
      </c>
    </row>
    <row r="417" spans="2:5" x14ac:dyDescent="0.2">
      <c r="B417" s="65" t="s">
        <v>1395</v>
      </c>
      <c r="D417" s="69" t="s">
        <v>6582</v>
      </c>
      <c r="E417" s="69" t="s">
        <v>6048</v>
      </c>
    </row>
    <row r="418" spans="2:5" x14ac:dyDescent="0.2">
      <c r="B418" s="65" t="s">
        <v>3434</v>
      </c>
      <c r="D418" s="69" t="s">
        <v>6582</v>
      </c>
      <c r="E418" s="100" t="s">
        <v>6078</v>
      </c>
    </row>
    <row r="419" spans="2:5" x14ac:dyDescent="0.2">
      <c r="B419" s="65" t="s">
        <v>1108</v>
      </c>
      <c r="D419" s="69" t="s">
        <v>6582</v>
      </c>
      <c r="E419" s="69" t="s">
        <v>5933</v>
      </c>
    </row>
    <row r="420" spans="2:5" x14ac:dyDescent="0.2">
      <c r="B420" s="65" t="s">
        <v>962</v>
      </c>
      <c r="D420" s="69" t="s">
        <v>6582</v>
      </c>
      <c r="E420" s="69" t="s">
        <v>5925</v>
      </c>
    </row>
    <row r="421" spans="2:5" x14ac:dyDescent="0.2">
      <c r="B421" s="65" t="s">
        <v>1486</v>
      </c>
      <c r="D421" s="69" t="s">
        <v>6582</v>
      </c>
      <c r="E421" s="69" t="s">
        <v>6084</v>
      </c>
    </row>
    <row r="422" spans="2:5" x14ac:dyDescent="0.2">
      <c r="B422" s="65" t="s">
        <v>1487</v>
      </c>
      <c r="D422" s="69" t="s">
        <v>6582</v>
      </c>
      <c r="E422" s="69" t="s">
        <v>6078</v>
      </c>
    </row>
    <row r="423" spans="2:5" x14ac:dyDescent="0.2">
      <c r="B423" s="65" t="s">
        <v>1406</v>
      </c>
      <c r="D423" s="69" t="s">
        <v>6582</v>
      </c>
      <c r="E423" s="69" t="s">
        <v>6049</v>
      </c>
    </row>
    <row r="424" spans="2:5" x14ac:dyDescent="0.2">
      <c r="B424" s="65" t="s">
        <v>1405</v>
      </c>
      <c r="D424" s="69" t="s">
        <v>6582</v>
      </c>
      <c r="E424" s="69" t="s">
        <v>6054</v>
      </c>
    </row>
    <row r="425" spans="2:5" x14ac:dyDescent="0.2">
      <c r="B425" s="65" t="s">
        <v>3397</v>
      </c>
      <c r="D425" s="69" t="s">
        <v>6582</v>
      </c>
      <c r="E425" s="100" t="s">
        <v>5933</v>
      </c>
    </row>
    <row r="426" spans="2:5" x14ac:dyDescent="0.2">
      <c r="B426" s="65" t="s">
        <v>971</v>
      </c>
      <c r="D426" s="69" t="s">
        <v>6582</v>
      </c>
      <c r="E426" s="69" t="s">
        <v>5925</v>
      </c>
    </row>
    <row r="427" spans="2:5" x14ac:dyDescent="0.2">
      <c r="B427" s="65" t="s">
        <v>3437</v>
      </c>
      <c r="D427" s="69" t="s">
        <v>6582</v>
      </c>
      <c r="E427" s="100" t="s">
        <v>6092</v>
      </c>
    </row>
    <row r="428" spans="2:5" x14ac:dyDescent="0.2">
      <c r="B428" s="65" t="s">
        <v>1421</v>
      </c>
      <c r="D428" s="69" t="s">
        <v>6582</v>
      </c>
      <c r="E428" s="69" t="s">
        <v>6062</v>
      </c>
    </row>
    <row r="429" spans="2:5" x14ac:dyDescent="0.2">
      <c r="B429" s="65" t="s">
        <v>3380</v>
      </c>
      <c r="D429" s="69" t="s">
        <v>6582</v>
      </c>
      <c r="E429" s="100" t="s">
        <v>5933</v>
      </c>
    </row>
    <row r="430" spans="2:5" x14ac:dyDescent="0.2">
      <c r="B430" s="65" t="s">
        <v>960</v>
      </c>
      <c r="D430" s="69" t="s">
        <v>6582</v>
      </c>
      <c r="E430" s="69" t="s">
        <v>5925</v>
      </c>
    </row>
    <row r="431" spans="2:5" x14ac:dyDescent="0.2">
      <c r="B431" s="65" t="s">
        <v>1107</v>
      </c>
      <c r="D431" s="69" t="s">
        <v>6582</v>
      </c>
      <c r="E431" s="69" t="s">
        <v>5933</v>
      </c>
    </row>
    <row r="432" spans="2:5" x14ac:dyDescent="0.2">
      <c r="B432" s="65" t="s">
        <v>961</v>
      </c>
      <c r="D432" s="69" t="s">
        <v>6582</v>
      </c>
      <c r="E432" s="69" t="s">
        <v>5925</v>
      </c>
    </row>
    <row r="433" spans="2:5" x14ac:dyDescent="0.2">
      <c r="B433" s="65" t="s">
        <v>1485</v>
      </c>
      <c r="D433" s="69" t="s">
        <v>6582</v>
      </c>
      <c r="E433" s="69" t="s">
        <v>6083</v>
      </c>
    </row>
    <row r="434" spans="2:5" x14ac:dyDescent="0.2">
      <c r="B434" s="65" t="s">
        <v>1404</v>
      </c>
      <c r="D434" s="69" t="s">
        <v>6582</v>
      </c>
      <c r="E434" s="69" t="s">
        <v>6049</v>
      </c>
    </row>
    <row r="435" spans="2:5" x14ac:dyDescent="0.2">
      <c r="B435" s="65" t="s">
        <v>1403</v>
      </c>
      <c r="D435" s="69" t="s">
        <v>6582</v>
      </c>
      <c r="E435" s="69" t="s">
        <v>6053</v>
      </c>
    </row>
    <row r="436" spans="2:5" x14ac:dyDescent="0.2">
      <c r="B436" s="65" t="s">
        <v>1483</v>
      </c>
      <c r="D436" s="69" t="s">
        <v>6582</v>
      </c>
      <c r="E436" s="69" t="s">
        <v>6082</v>
      </c>
    </row>
    <row r="437" spans="2:5" x14ac:dyDescent="0.2">
      <c r="B437" s="65" t="s">
        <v>1484</v>
      </c>
      <c r="D437" s="69" t="s">
        <v>6582</v>
      </c>
      <c r="E437" s="69" t="s">
        <v>6078</v>
      </c>
    </row>
    <row r="438" spans="2:5" x14ac:dyDescent="0.2">
      <c r="B438" s="65" t="s">
        <v>1402</v>
      </c>
      <c r="D438" s="69" t="s">
        <v>6582</v>
      </c>
      <c r="E438" s="69" t="s">
        <v>6049</v>
      </c>
    </row>
    <row r="439" spans="2:5" x14ac:dyDescent="0.2">
      <c r="B439" s="65" t="s">
        <v>1401</v>
      </c>
      <c r="D439" s="69" t="s">
        <v>6582</v>
      </c>
      <c r="E439" s="69" t="s">
        <v>6052</v>
      </c>
    </row>
    <row r="440" spans="2:5" x14ac:dyDescent="0.2">
      <c r="B440" s="65" t="s">
        <v>1110</v>
      </c>
      <c r="D440" s="69" t="s">
        <v>6582</v>
      </c>
      <c r="E440" s="69" t="s">
        <v>5933</v>
      </c>
    </row>
    <row r="441" spans="2:5" x14ac:dyDescent="0.2">
      <c r="B441" s="65" t="s">
        <v>964</v>
      </c>
      <c r="D441" s="69" t="s">
        <v>6582</v>
      </c>
      <c r="E441" s="69" t="s">
        <v>5925</v>
      </c>
    </row>
    <row r="442" spans="2:5" x14ac:dyDescent="0.2">
      <c r="B442" s="65" t="s">
        <v>1490</v>
      </c>
      <c r="D442" s="69" t="s">
        <v>6582</v>
      </c>
      <c r="E442" s="69" t="s">
        <v>6086</v>
      </c>
    </row>
    <row r="443" spans="2:5" x14ac:dyDescent="0.2">
      <c r="B443" s="65" t="s">
        <v>1410</v>
      </c>
      <c r="D443" s="69" t="s">
        <v>6582</v>
      </c>
      <c r="E443" s="69" t="s">
        <v>6049</v>
      </c>
    </row>
    <row r="444" spans="2:5" x14ac:dyDescent="0.2">
      <c r="B444" s="65" t="s">
        <v>1409</v>
      </c>
      <c r="D444" s="69" t="s">
        <v>6582</v>
      </c>
      <c r="E444" s="69" t="s">
        <v>6056</v>
      </c>
    </row>
    <row r="445" spans="2:5" x14ac:dyDescent="0.2">
      <c r="B445" s="65" t="s">
        <v>3396</v>
      </c>
      <c r="D445" s="69" t="s">
        <v>6582</v>
      </c>
      <c r="E445" s="100" t="s">
        <v>5933</v>
      </c>
    </row>
    <row r="446" spans="2:5" x14ac:dyDescent="0.2">
      <c r="B446" s="65" t="s">
        <v>965</v>
      </c>
      <c r="D446" s="69" t="s">
        <v>6582</v>
      </c>
      <c r="E446" s="69" t="s">
        <v>5925</v>
      </c>
    </row>
    <row r="447" spans="2:5" x14ac:dyDescent="0.2">
      <c r="B447" s="65" t="s">
        <v>3435</v>
      </c>
      <c r="D447" s="69" t="s">
        <v>6582</v>
      </c>
      <c r="E447" s="100" t="s">
        <v>6087</v>
      </c>
    </row>
    <row r="448" spans="2:5" x14ac:dyDescent="0.2">
      <c r="B448" s="65" t="s">
        <v>1481</v>
      </c>
      <c r="D448" s="69" t="s">
        <v>6582</v>
      </c>
      <c r="E448" s="69" t="s">
        <v>6078</v>
      </c>
    </row>
    <row r="449" spans="2:5" x14ac:dyDescent="0.2">
      <c r="B449" s="65" t="s">
        <v>1411</v>
      </c>
      <c r="D449" s="69" t="s">
        <v>6582</v>
      </c>
      <c r="E449" s="69" t="s">
        <v>6057</v>
      </c>
    </row>
    <row r="450" spans="2:5" x14ac:dyDescent="0.2">
      <c r="B450" s="65" t="s">
        <v>1412</v>
      </c>
      <c r="D450" s="69" t="s">
        <v>6582</v>
      </c>
      <c r="E450" s="69" t="s">
        <v>6049</v>
      </c>
    </row>
    <row r="451" spans="2:5" x14ac:dyDescent="0.2">
      <c r="B451" s="65" t="s">
        <v>1106</v>
      </c>
      <c r="D451" s="69" t="s">
        <v>6582</v>
      </c>
      <c r="E451" s="69" t="s">
        <v>5933</v>
      </c>
    </row>
    <row r="452" spans="2:5" x14ac:dyDescent="0.2">
      <c r="B452" s="65" t="s">
        <v>958</v>
      </c>
      <c r="D452" s="69" t="s">
        <v>6582</v>
      </c>
      <c r="E452" s="69" t="s">
        <v>5925</v>
      </c>
    </row>
    <row r="453" spans="2:5" x14ac:dyDescent="0.2">
      <c r="B453" s="65" t="s">
        <v>1480</v>
      </c>
      <c r="D453" s="69" t="s">
        <v>6582</v>
      </c>
      <c r="E453" s="69" t="s">
        <v>6080</v>
      </c>
    </row>
    <row r="454" spans="2:5" x14ac:dyDescent="0.2">
      <c r="B454" s="65" t="s">
        <v>1398</v>
      </c>
      <c r="D454" s="69" t="s">
        <v>6582</v>
      </c>
      <c r="E454" s="69" t="s">
        <v>6049</v>
      </c>
    </row>
    <row r="455" spans="2:5" x14ac:dyDescent="0.2">
      <c r="B455" s="65" t="s">
        <v>1397</v>
      </c>
      <c r="D455" s="69" t="s">
        <v>6582</v>
      </c>
      <c r="E455" s="69" t="s">
        <v>6050</v>
      </c>
    </row>
    <row r="456" spans="2:5" x14ac:dyDescent="0.2">
      <c r="B456" s="65" t="s">
        <v>3381</v>
      </c>
      <c r="D456" s="69" t="s">
        <v>6582</v>
      </c>
      <c r="E456" s="100" t="s">
        <v>5933</v>
      </c>
    </row>
    <row r="457" spans="2:5" x14ac:dyDescent="0.2">
      <c r="B457" s="65" t="s">
        <v>1971</v>
      </c>
      <c r="D457" s="69" t="s">
        <v>6582</v>
      </c>
      <c r="E457" s="69" t="s">
        <v>5925</v>
      </c>
    </row>
    <row r="458" spans="2:5" x14ac:dyDescent="0.2">
      <c r="B458" s="65" t="s">
        <v>3439</v>
      </c>
      <c r="D458" s="69" t="s">
        <v>6582</v>
      </c>
      <c r="E458" s="100" t="s">
        <v>6099</v>
      </c>
    </row>
    <row r="459" spans="2:5" x14ac:dyDescent="0.2">
      <c r="B459" s="65" t="s">
        <v>1432</v>
      </c>
      <c r="D459" s="69" t="s">
        <v>6582</v>
      </c>
      <c r="E459" s="69" t="s">
        <v>6069</v>
      </c>
    </row>
    <row r="460" spans="2:5" x14ac:dyDescent="0.2">
      <c r="B460" s="65" t="s">
        <v>1112</v>
      </c>
      <c r="D460" s="69" t="s">
        <v>6582</v>
      </c>
      <c r="E460" s="69" t="s">
        <v>6079</v>
      </c>
    </row>
    <row r="461" spans="2:5" x14ac:dyDescent="0.2">
      <c r="B461" s="65" t="s">
        <v>1113</v>
      </c>
      <c r="D461" s="69" t="s">
        <v>6582</v>
      </c>
      <c r="E461" s="69" t="s">
        <v>5933</v>
      </c>
    </row>
    <row r="462" spans="2:5" x14ac:dyDescent="0.2">
      <c r="B462" s="65" t="s">
        <v>967</v>
      </c>
      <c r="D462" s="69" t="s">
        <v>6582</v>
      </c>
      <c r="E462" s="69" t="s">
        <v>5925</v>
      </c>
    </row>
    <row r="463" spans="2:5" x14ac:dyDescent="0.2">
      <c r="B463" s="65" t="s">
        <v>1493</v>
      </c>
      <c r="D463" s="69" t="s">
        <v>6582</v>
      </c>
      <c r="E463" s="69" t="s">
        <v>6089</v>
      </c>
    </row>
    <row r="464" spans="2:5" x14ac:dyDescent="0.2">
      <c r="B464" s="65" t="s">
        <v>1494</v>
      </c>
      <c r="D464" s="69" t="s">
        <v>6582</v>
      </c>
      <c r="E464" s="69" t="s">
        <v>6078</v>
      </c>
    </row>
    <row r="465" spans="2:5" x14ac:dyDescent="0.2">
      <c r="B465" s="65" t="s">
        <v>1416</v>
      </c>
      <c r="D465" s="69" t="s">
        <v>6582</v>
      </c>
      <c r="E465" s="69" t="s">
        <v>6049</v>
      </c>
    </row>
    <row r="466" spans="2:5" x14ac:dyDescent="0.2">
      <c r="B466" s="65" t="s">
        <v>1415</v>
      </c>
      <c r="D466" s="69" t="s">
        <v>6582</v>
      </c>
      <c r="E466" s="69" t="s">
        <v>6059</v>
      </c>
    </row>
    <row r="467" spans="2:5" x14ac:dyDescent="0.2">
      <c r="B467" s="65" t="s">
        <v>1972</v>
      </c>
      <c r="D467" s="69" t="s">
        <v>6582</v>
      </c>
      <c r="E467" s="69" t="s">
        <v>5933</v>
      </c>
    </row>
    <row r="468" spans="2:5" x14ac:dyDescent="0.2">
      <c r="B468" s="65" t="s">
        <v>1970</v>
      </c>
      <c r="D468" s="69" t="s">
        <v>6582</v>
      </c>
      <c r="E468" s="69" t="s">
        <v>5925</v>
      </c>
    </row>
    <row r="469" spans="2:5" x14ac:dyDescent="0.2">
      <c r="B469" s="65" t="s">
        <v>1504</v>
      </c>
      <c r="D469" s="69" t="s">
        <v>6582</v>
      </c>
      <c r="E469" s="69" t="s">
        <v>6096</v>
      </c>
    </row>
    <row r="470" spans="2:5" x14ac:dyDescent="0.2">
      <c r="B470" s="65" t="s">
        <v>1427</v>
      </c>
      <c r="D470" s="69" t="s">
        <v>6582</v>
      </c>
      <c r="E470" s="69" t="s">
        <v>6066</v>
      </c>
    </row>
    <row r="471" spans="2:5" x14ac:dyDescent="0.2">
      <c r="B471" s="65" t="s">
        <v>1116</v>
      </c>
      <c r="D471" s="69" t="s">
        <v>6582</v>
      </c>
      <c r="E471" s="69" t="s">
        <v>5933</v>
      </c>
    </row>
    <row r="472" spans="2:5" x14ac:dyDescent="0.2">
      <c r="B472" s="65" t="s">
        <v>972</v>
      </c>
      <c r="D472" s="69" t="s">
        <v>6582</v>
      </c>
      <c r="E472" s="69" t="s">
        <v>5925</v>
      </c>
    </row>
    <row r="473" spans="2:5" x14ac:dyDescent="0.2">
      <c r="B473" s="65" t="s">
        <v>1498</v>
      </c>
      <c r="D473" s="69" t="s">
        <v>6582</v>
      </c>
      <c r="E473" s="69" t="s">
        <v>6093</v>
      </c>
    </row>
    <row r="474" spans="2:5" x14ac:dyDescent="0.2">
      <c r="B474" s="65" t="s">
        <v>1499</v>
      </c>
      <c r="D474" s="69" t="s">
        <v>6582</v>
      </c>
      <c r="E474" s="69" t="s">
        <v>6078</v>
      </c>
    </row>
    <row r="475" spans="2:5" x14ac:dyDescent="0.2">
      <c r="B475" s="65" t="s">
        <v>1423</v>
      </c>
      <c r="D475" s="69" t="s">
        <v>6582</v>
      </c>
      <c r="E475" s="69" t="s">
        <v>6049</v>
      </c>
    </row>
    <row r="476" spans="2:5" x14ac:dyDescent="0.2">
      <c r="B476" s="65" t="s">
        <v>1422</v>
      </c>
      <c r="D476" s="69" t="s">
        <v>6582</v>
      </c>
      <c r="E476" s="69" t="s">
        <v>6063</v>
      </c>
    </row>
    <row r="477" spans="2:5" x14ac:dyDescent="0.2">
      <c r="B477" s="65" t="s">
        <v>978</v>
      </c>
      <c r="D477" s="69" t="s">
        <v>6582</v>
      </c>
      <c r="E477" s="69" t="s">
        <v>6073</v>
      </c>
    </row>
    <row r="478" spans="2:5" x14ac:dyDescent="0.2">
      <c r="B478" s="65" t="s">
        <v>1122</v>
      </c>
      <c r="D478" s="69" t="s">
        <v>6582</v>
      </c>
      <c r="E478" s="69" t="s">
        <v>5933</v>
      </c>
    </row>
    <row r="479" spans="2:5" x14ac:dyDescent="0.2">
      <c r="B479" s="65" t="s">
        <v>979</v>
      </c>
      <c r="D479" s="69" t="s">
        <v>6582</v>
      </c>
      <c r="E479" s="69" t="s">
        <v>5925</v>
      </c>
    </row>
    <row r="480" spans="2:5" x14ac:dyDescent="0.2">
      <c r="B480" s="65" t="s">
        <v>1507</v>
      </c>
      <c r="D480" s="69" t="s">
        <v>6582</v>
      </c>
      <c r="E480" s="69" t="s">
        <v>6098</v>
      </c>
    </row>
    <row r="481" spans="2:5" x14ac:dyDescent="0.2">
      <c r="B481" s="65" t="s">
        <v>1508</v>
      </c>
      <c r="D481" s="69" t="s">
        <v>6582</v>
      </c>
      <c r="E481" s="69" t="s">
        <v>6078</v>
      </c>
    </row>
    <row r="482" spans="2:5" x14ac:dyDescent="0.2">
      <c r="B482" s="65" t="s">
        <v>1431</v>
      </c>
      <c r="D482" s="69" t="s">
        <v>6582</v>
      </c>
      <c r="E482" s="69" t="s">
        <v>6049</v>
      </c>
    </row>
    <row r="483" spans="2:5" x14ac:dyDescent="0.2">
      <c r="B483" s="65" t="s">
        <v>1430</v>
      </c>
      <c r="D483" s="69" t="s">
        <v>6582</v>
      </c>
      <c r="E483" s="69" t="s">
        <v>6068</v>
      </c>
    </row>
    <row r="484" spans="2:5" x14ac:dyDescent="0.2">
      <c r="B484" s="65" t="s">
        <v>1124</v>
      </c>
      <c r="D484" s="69" t="s">
        <v>6582</v>
      </c>
      <c r="E484" s="69" t="s">
        <v>5933</v>
      </c>
    </row>
    <row r="485" spans="2:5" x14ac:dyDescent="0.2">
      <c r="B485" s="65" t="s">
        <v>981</v>
      </c>
      <c r="D485" s="69" t="s">
        <v>6582</v>
      </c>
      <c r="E485" s="69" t="s">
        <v>981</v>
      </c>
    </row>
    <row r="486" spans="2:5" x14ac:dyDescent="0.2">
      <c r="B486" s="65" t="s">
        <v>1510</v>
      </c>
      <c r="D486" s="69" t="s">
        <v>6582</v>
      </c>
      <c r="E486" s="69" t="s">
        <v>6101</v>
      </c>
    </row>
    <row r="487" spans="2:5" x14ac:dyDescent="0.2">
      <c r="B487" s="65" t="s">
        <v>1511</v>
      </c>
      <c r="D487" s="69" t="s">
        <v>6582</v>
      </c>
      <c r="E487" s="69" t="s">
        <v>6078</v>
      </c>
    </row>
    <row r="488" spans="2:5" x14ac:dyDescent="0.2">
      <c r="B488" s="65" t="s">
        <v>1435</v>
      </c>
      <c r="D488" s="69" t="s">
        <v>6582</v>
      </c>
      <c r="E488" s="69" t="s">
        <v>6049</v>
      </c>
    </row>
    <row r="489" spans="2:5" x14ac:dyDescent="0.2">
      <c r="B489" s="65" t="s">
        <v>1434</v>
      </c>
      <c r="D489" s="69" t="s">
        <v>6582</v>
      </c>
      <c r="E489" s="69" t="s">
        <v>6071</v>
      </c>
    </row>
    <row r="490" spans="2:5" x14ac:dyDescent="0.2">
      <c r="B490" s="65" t="s">
        <v>1125</v>
      </c>
      <c r="D490" s="69" t="s">
        <v>6582</v>
      </c>
      <c r="E490" s="69" t="s">
        <v>5933</v>
      </c>
    </row>
    <row r="491" spans="2:5" x14ac:dyDescent="0.2">
      <c r="B491" s="65" t="s">
        <v>982</v>
      </c>
      <c r="D491" s="69" t="s">
        <v>6582</v>
      </c>
      <c r="E491" s="69" t="s">
        <v>5925</v>
      </c>
    </row>
    <row r="492" spans="2:5" x14ac:dyDescent="0.2">
      <c r="B492" s="65" t="s">
        <v>1512</v>
      </c>
      <c r="D492" s="69" t="s">
        <v>6582</v>
      </c>
      <c r="E492" s="69" t="s">
        <v>6102</v>
      </c>
    </row>
    <row r="493" spans="2:5" x14ac:dyDescent="0.2">
      <c r="B493" s="65" t="s">
        <v>1513</v>
      </c>
      <c r="D493" s="69" t="s">
        <v>6582</v>
      </c>
      <c r="E493" s="69" t="s">
        <v>6078</v>
      </c>
    </row>
    <row r="494" spans="2:5" x14ac:dyDescent="0.2">
      <c r="B494" s="65" t="s">
        <v>1437</v>
      </c>
      <c r="D494" s="69" t="s">
        <v>6582</v>
      </c>
      <c r="E494" s="69" t="s">
        <v>6049</v>
      </c>
    </row>
    <row r="495" spans="2:5" x14ac:dyDescent="0.2">
      <c r="B495" s="65" t="s">
        <v>1436</v>
      </c>
      <c r="D495" s="69" t="s">
        <v>6582</v>
      </c>
      <c r="E495" s="69" t="s">
        <v>6072</v>
      </c>
    </row>
    <row r="496" spans="2:5" x14ac:dyDescent="0.2">
      <c r="B496" s="65" t="s">
        <v>1103</v>
      </c>
      <c r="D496" s="69" t="s">
        <v>6582</v>
      </c>
      <c r="E496" s="69" t="s">
        <v>5932</v>
      </c>
    </row>
    <row r="497" spans="2:5" x14ac:dyDescent="0.2">
      <c r="B497" s="65" t="s">
        <v>3377</v>
      </c>
      <c r="D497" s="69" t="s">
        <v>6582</v>
      </c>
      <c r="E497" s="100" t="s">
        <v>5930</v>
      </c>
    </row>
    <row r="498" spans="2:5" x14ac:dyDescent="0.2">
      <c r="B498" s="65" t="s">
        <v>1102</v>
      </c>
      <c r="D498" s="69" t="s">
        <v>6582</v>
      </c>
      <c r="E498" s="69" t="s">
        <v>5929</v>
      </c>
    </row>
    <row r="499" spans="2:5" x14ac:dyDescent="0.2">
      <c r="B499" s="65" t="s">
        <v>3376</v>
      </c>
      <c r="D499" s="69" t="s">
        <v>6582</v>
      </c>
      <c r="E499" s="100" t="s">
        <v>5928</v>
      </c>
    </row>
    <row r="500" spans="2:5" x14ac:dyDescent="0.2">
      <c r="B500" s="65" t="s">
        <v>1101</v>
      </c>
      <c r="D500" s="69" t="s">
        <v>6582</v>
      </c>
      <c r="E500" s="69" t="s">
        <v>5927</v>
      </c>
    </row>
    <row r="501" spans="2:5" x14ac:dyDescent="0.2">
      <c r="B501" s="65" t="s">
        <v>3378</v>
      </c>
      <c r="D501" s="69" t="s">
        <v>6582</v>
      </c>
      <c r="E501" s="100" t="s">
        <v>5931</v>
      </c>
    </row>
    <row r="502" spans="2:5" x14ac:dyDescent="0.2">
      <c r="B502" s="65" t="s">
        <v>1100</v>
      </c>
      <c r="D502" s="69" t="s">
        <v>6582</v>
      </c>
      <c r="E502" s="69" t="s">
        <v>5919</v>
      </c>
    </row>
    <row r="503" spans="2:5" x14ac:dyDescent="0.2">
      <c r="B503" s="65" t="s">
        <v>1099</v>
      </c>
      <c r="D503" s="69" t="s">
        <v>6582</v>
      </c>
      <c r="E503" s="69" t="s">
        <v>5918</v>
      </c>
    </row>
    <row r="504" spans="2:5" x14ac:dyDescent="0.2">
      <c r="B504" s="65" t="s">
        <v>1098</v>
      </c>
      <c r="D504" s="69" t="s">
        <v>6582</v>
      </c>
      <c r="E504" s="69" t="s">
        <v>5917</v>
      </c>
    </row>
    <row r="505" spans="2:5" x14ac:dyDescent="0.2">
      <c r="B505" s="65" t="s">
        <v>1120</v>
      </c>
      <c r="D505" s="69" t="s">
        <v>6582</v>
      </c>
      <c r="E505" s="69" t="s">
        <v>6079</v>
      </c>
    </row>
    <row r="506" spans="2:5" x14ac:dyDescent="0.2">
      <c r="B506" s="65" t="s">
        <v>976</v>
      </c>
      <c r="D506" s="69" t="s">
        <v>6582</v>
      </c>
      <c r="E506" s="69" t="s">
        <v>6073</v>
      </c>
    </row>
    <row r="507" spans="2:5" x14ac:dyDescent="0.2">
      <c r="B507" s="65" t="s">
        <v>1121</v>
      </c>
      <c r="D507" s="69" t="s">
        <v>6582</v>
      </c>
      <c r="E507" s="69" t="s">
        <v>5933</v>
      </c>
    </row>
    <row r="508" spans="2:5" x14ac:dyDescent="0.2">
      <c r="B508" s="65" t="s">
        <v>977</v>
      </c>
      <c r="D508" s="69" t="s">
        <v>6582</v>
      </c>
      <c r="E508" s="69" t="s">
        <v>5925</v>
      </c>
    </row>
    <row r="509" spans="2:5" x14ac:dyDescent="0.2">
      <c r="B509" s="65" t="s">
        <v>1505</v>
      </c>
      <c r="D509" s="69" t="s">
        <v>6582</v>
      </c>
      <c r="E509" s="69" t="s">
        <v>6097</v>
      </c>
    </row>
    <row r="510" spans="2:5" x14ac:dyDescent="0.2">
      <c r="B510" s="65" t="s">
        <v>1506</v>
      </c>
      <c r="D510" s="69" t="s">
        <v>6582</v>
      </c>
      <c r="E510" s="69" t="s">
        <v>6078</v>
      </c>
    </row>
    <row r="511" spans="2:5" x14ac:dyDescent="0.2">
      <c r="B511" s="65" t="s">
        <v>1429</v>
      </c>
      <c r="D511" t="s">
        <v>6582</v>
      </c>
      <c r="E511" s="69" t="s">
        <v>6049</v>
      </c>
    </row>
    <row r="512" spans="2:5" x14ac:dyDescent="0.2">
      <c r="B512" s="65" t="s">
        <v>1428</v>
      </c>
      <c r="D512" t="s">
        <v>6582</v>
      </c>
      <c r="E512" s="69" t="s">
        <v>6067</v>
      </c>
    </row>
    <row r="513" spans="2:5" x14ac:dyDescent="0.2">
      <c r="B513" s="65" t="s">
        <v>1118</v>
      </c>
      <c r="D513" t="s">
        <v>6582</v>
      </c>
      <c r="E513" s="69" t="s">
        <v>6079</v>
      </c>
    </row>
    <row r="514" spans="2:5" x14ac:dyDescent="0.2">
      <c r="B514" s="65" t="s">
        <v>1119</v>
      </c>
      <c r="D514" s="69" t="s">
        <v>6582</v>
      </c>
      <c r="E514" s="69" t="s">
        <v>5933</v>
      </c>
    </row>
    <row r="515" spans="2:5" x14ac:dyDescent="0.2">
      <c r="B515" s="65" t="s">
        <v>975</v>
      </c>
      <c r="D515" s="69" t="s">
        <v>6582</v>
      </c>
      <c r="E515" s="69" t="s">
        <v>5925</v>
      </c>
    </row>
    <row r="516" spans="2:5" x14ac:dyDescent="0.2">
      <c r="B516" s="65" t="s">
        <v>1502</v>
      </c>
      <c r="D516" s="69" t="s">
        <v>6582</v>
      </c>
      <c r="E516" s="69" t="s">
        <v>6095</v>
      </c>
    </row>
    <row r="517" spans="2:5" x14ac:dyDescent="0.2">
      <c r="B517" s="65" t="s">
        <v>1503</v>
      </c>
      <c r="D517" s="69" t="s">
        <v>6582</v>
      </c>
      <c r="E517" s="69" t="s">
        <v>6078</v>
      </c>
    </row>
    <row r="518" spans="2:5" x14ac:dyDescent="0.2">
      <c r="B518" s="65" t="s">
        <v>3411</v>
      </c>
      <c r="D518" s="69" t="s">
        <v>6582</v>
      </c>
      <c r="E518" s="100" t="s">
        <v>6049</v>
      </c>
    </row>
    <row r="519" spans="2:5" x14ac:dyDescent="0.2">
      <c r="B519" s="65" t="s">
        <v>1426</v>
      </c>
      <c r="D519" s="69" t="s">
        <v>6582</v>
      </c>
      <c r="E519" s="69" t="s">
        <v>6065</v>
      </c>
    </row>
    <row r="520" spans="2:5" x14ac:dyDescent="0.2">
      <c r="B520" s="65" t="s">
        <v>3438</v>
      </c>
      <c r="D520" s="69" t="s">
        <v>6582</v>
      </c>
      <c r="E520" s="100" t="s">
        <v>6079</v>
      </c>
    </row>
    <row r="521" spans="2:5" x14ac:dyDescent="0.2">
      <c r="B521" s="65" t="s">
        <v>973</v>
      </c>
      <c r="D521" s="69" t="s">
        <v>6582</v>
      </c>
      <c r="E521" s="69" t="s">
        <v>6073</v>
      </c>
    </row>
    <row r="522" spans="2:5" x14ac:dyDescent="0.2">
      <c r="B522" s="65" t="s">
        <v>1117</v>
      </c>
      <c r="D522" s="69" t="s">
        <v>6582</v>
      </c>
      <c r="E522" s="69" t="s">
        <v>5933</v>
      </c>
    </row>
    <row r="523" spans="2:5" x14ac:dyDescent="0.2">
      <c r="B523" s="65" t="s">
        <v>974</v>
      </c>
      <c r="D523" s="69" t="s">
        <v>6582</v>
      </c>
      <c r="E523" s="69" t="s">
        <v>5925</v>
      </c>
    </row>
    <row r="524" spans="2:5" x14ac:dyDescent="0.2">
      <c r="B524" s="65" t="s">
        <v>1500</v>
      </c>
      <c r="D524" s="69" t="s">
        <v>6582</v>
      </c>
      <c r="E524" s="69" t="s">
        <v>6094</v>
      </c>
    </row>
    <row r="525" spans="2:5" x14ac:dyDescent="0.2">
      <c r="B525" s="65" t="s">
        <v>1501</v>
      </c>
      <c r="D525" s="69" t="s">
        <v>6582</v>
      </c>
      <c r="E525" s="69" t="s">
        <v>6078</v>
      </c>
    </row>
    <row r="526" spans="2:5" x14ac:dyDescent="0.2">
      <c r="B526" s="65" t="s">
        <v>1425</v>
      </c>
      <c r="D526" s="69" t="s">
        <v>6582</v>
      </c>
      <c r="E526" s="69" t="s">
        <v>6049</v>
      </c>
    </row>
    <row r="527" spans="2:5" x14ac:dyDescent="0.2">
      <c r="B527" s="65" t="s">
        <v>1424</v>
      </c>
      <c r="D527" s="69" t="s">
        <v>6582</v>
      </c>
      <c r="E527" s="69" t="s">
        <v>6064</v>
      </c>
    </row>
    <row r="528" spans="2:5" x14ac:dyDescent="0.2">
      <c r="B528" s="65" t="s">
        <v>1123</v>
      </c>
      <c r="D528" s="69" t="s">
        <v>6582</v>
      </c>
      <c r="E528" s="69" t="s">
        <v>5933</v>
      </c>
    </row>
    <row r="529" spans="2:5" x14ac:dyDescent="0.2">
      <c r="B529" s="65" t="s">
        <v>980</v>
      </c>
      <c r="D529" s="69" t="s">
        <v>6582</v>
      </c>
      <c r="E529" s="69" t="s">
        <v>5925</v>
      </c>
    </row>
    <row r="530" spans="2:5" x14ac:dyDescent="0.2">
      <c r="B530" s="65" t="s">
        <v>1509</v>
      </c>
      <c r="D530" s="69" t="s">
        <v>6582</v>
      </c>
      <c r="E530" s="69" t="s">
        <v>6100</v>
      </c>
    </row>
    <row r="531" spans="2:5" x14ac:dyDescent="0.2">
      <c r="B531" s="65" t="s">
        <v>3412</v>
      </c>
      <c r="D531" s="69" t="s">
        <v>6582</v>
      </c>
      <c r="E531" s="100" t="s">
        <v>6049</v>
      </c>
    </row>
    <row r="532" spans="2:5" x14ac:dyDescent="0.2">
      <c r="B532" s="65" t="s">
        <v>1433</v>
      </c>
      <c r="D532" s="69" t="s">
        <v>6582</v>
      </c>
      <c r="E532" s="69" t="s">
        <v>6070</v>
      </c>
    </row>
    <row r="533" spans="2:5" x14ac:dyDescent="0.2">
      <c r="B533" s="65" t="s">
        <v>1109</v>
      </c>
      <c r="D533" s="69" t="s">
        <v>6582</v>
      </c>
      <c r="E533" s="69" t="s">
        <v>5933</v>
      </c>
    </row>
    <row r="534" spans="2:5" x14ac:dyDescent="0.2">
      <c r="B534" s="65" t="s">
        <v>963</v>
      </c>
      <c r="D534" s="69" t="s">
        <v>6582</v>
      </c>
      <c r="E534" s="69" t="s">
        <v>5925</v>
      </c>
    </row>
    <row r="535" spans="2:5" x14ac:dyDescent="0.2">
      <c r="B535" s="65" t="s">
        <v>1488</v>
      </c>
      <c r="D535" s="69" t="s">
        <v>6582</v>
      </c>
      <c r="E535" s="69" t="s">
        <v>6085</v>
      </c>
    </row>
    <row r="536" spans="2:5" x14ac:dyDescent="0.2">
      <c r="B536" s="65" t="s">
        <v>1489</v>
      </c>
      <c r="D536" s="69" t="s">
        <v>6582</v>
      </c>
      <c r="E536" s="69" t="s">
        <v>6078</v>
      </c>
    </row>
    <row r="537" spans="2:5" x14ac:dyDescent="0.2">
      <c r="B537" s="65" t="s">
        <v>1408</v>
      </c>
      <c r="D537" s="69" t="s">
        <v>6582</v>
      </c>
      <c r="E537" s="69" t="s">
        <v>6049</v>
      </c>
    </row>
    <row r="538" spans="2:5" x14ac:dyDescent="0.2">
      <c r="B538" s="65" t="s">
        <v>1407</v>
      </c>
      <c r="D538" s="69" t="s">
        <v>6582</v>
      </c>
      <c r="E538" s="69" t="s">
        <v>6055</v>
      </c>
    </row>
    <row r="539" spans="2:5" x14ac:dyDescent="0.2">
      <c r="B539" s="65" t="s">
        <v>954</v>
      </c>
      <c r="D539" s="69" t="s">
        <v>6582</v>
      </c>
      <c r="E539" s="69" t="s">
        <v>5920</v>
      </c>
    </row>
    <row r="540" spans="2:5" x14ac:dyDescent="0.2">
      <c r="B540" s="65" t="s">
        <v>3250</v>
      </c>
      <c r="D540" s="69" t="s">
        <v>6582</v>
      </c>
      <c r="E540" s="100" t="s">
        <v>5924</v>
      </c>
    </row>
    <row r="541" spans="2:5" x14ac:dyDescent="0.2">
      <c r="B541" s="65" t="s">
        <v>956</v>
      </c>
      <c r="D541" s="69" t="s">
        <v>6582</v>
      </c>
      <c r="E541" s="69" t="s">
        <v>5923</v>
      </c>
    </row>
    <row r="542" spans="2:5" x14ac:dyDescent="0.2">
      <c r="B542" s="65" t="s">
        <v>3249</v>
      </c>
      <c r="D542" s="69" t="s">
        <v>6582</v>
      </c>
      <c r="E542" s="100" t="s">
        <v>5922</v>
      </c>
    </row>
    <row r="543" spans="2:5" x14ac:dyDescent="0.2">
      <c r="B543" s="65" t="s">
        <v>955</v>
      </c>
      <c r="D543" s="69" t="s">
        <v>6582</v>
      </c>
      <c r="E543" s="69" t="s">
        <v>5921</v>
      </c>
    </row>
    <row r="544" spans="2:5" x14ac:dyDescent="0.2">
      <c r="B544" s="65" t="s">
        <v>953</v>
      </c>
      <c r="D544" s="69" t="s">
        <v>6582</v>
      </c>
      <c r="E544" s="69" t="s">
        <v>5919</v>
      </c>
    </row>
    <row r="545" spans="2:5" x14ac:dyDescent="0.2">
      <c r="B545" s="65" t="s">
        <v>952</v>
      </c>
      <c r="D545" s="69" t="s">
        <v>6582</v>
      </c>
      <c r="E545" s="69" t="s">
        <v>5918</v>
      </c>
    </row>
    <row r="546" spans="2:5" x14ac:dyDescent="0.2">
      <c r="B546" s="65" t="s">
        <v>951</v>
      </c>
      <c r="D546" s="69" t="s">
        <v>6582</v>
      </c>
      <c r="E546" s="69" t="s">
        <v>5917</v>
      </c>
    </row>
    <row r="547" spans="2:5" x14ac:dyDescent="0.2">
      <c r="B547" s="65" t="s">
        <v>209</v>
      </c>
      <c r="D547" s="69" t="s">
        <v>6580</v>
      </c>
      <c r="E547" s="69" t="s">
        <v>4070</v>
      </c>
    </row>
    <row r="548" spans="2:5" x14ac:dyDescent="0.2">
      <c r="B548" s="65" t="s">
        <v>3400</v>
      </c>
      <c r="D548" s="69" t="s">
        <v>6582</v>
      </c>
      <c r="E548" s="100" t="s">
        <v>5999</v>
      </c>
    </row>
    <row r="549" spans="2:5" x14ac:dyDescent="0.2">
      <c r="B549" s="65" t="s">
        <v>1324</v>
      </c>
      <c r="D549" s="69" t="s">
        <v>6582</v>
      </c>
      <c r="E549" s="69" t="s">
        <v>5998</v>
      </c>
    </row>
    <row r="550" spans="2:5" x14ac:dyDescent="0.2">
      <c r="B550" s="65" t="s">
        <v>1323</v>
      </c>
      <c r="D550" s="69" t="s">
        <v>6582</v>
      </c>
      <c r="E550" s="69" t="s">
        <v>5997</v>
      </c>
    </row>
    <row r="551" spans="2:5" x14ac:dyDescent="0.2">
      <c r="B551" s="65" t="s">
        <v>855</v>
      </c>
      <c r="D551" s="69" t="s">
        <v>6582</v>
      </c>
      <c r="E551" s="69" t="s">
        <v>5874</v>
      </c>
    </row>
    <row r="552" spans="2:5" x14ac:dyDescent="0.2">
      <c r="B552" s="65" t="s">
        <v>854</v>
      </c>
      <c r="D552" s="69" t="s">
        <v>6582</v>
      </c>
      <c r="E552" s="69" t="s">
        <v>5873</v>
      </c>
    </row>
    <row r="553" spans="2:5" x14ac:dyDescent="0.2">
      <c r="B553" s="65" t="s">
        <v>853</v>
      </c>
      <c r="D553" s="69" t="s">
        <v>6582</v>
      </c>
      <c r="E553" s="69" t="s">
        <v>5875</v>
      </c>
    </row>
    <row r="554" spans="2:5" x14ac:dyDescent="0.2">
      <c r="B554" s="65" t="s">
        <v>1322</v>
      </c>
      <c r="D554" s="69" t="s">
        <v>6582</v>
      </c>
      <c r="E554" s="69" t="s">
        <v>5996</v>
      </c>
    </row>
    <row r="555" spans="2:5" x14ac:dyDescent="0.2">
      <c r="B555" s="65" t="s">
        <v>119</v>
      </c>
      <c r="D555" s="69" t="s">
        <v>6580</v>
      </c>
      <c r="E555" s="69" t="s">
        <v>4071</v>
      </c>
    </row>
    <row r="556" spans="2:5" x14ac:dyDescent="0.2">
      <c r="B556" s="65" t="s">
        <v>122</v>
      </c>
      <c r="D556" s="69" t="s">
        <v>6580</v>
      </c>
      <c r="E556" s="69" t="s">
        <v>4072</v>
      </c>
    </row>
    <row r="557" spans="2:5" x14ac:dyDescent="0.2">
      <c r="B557" s="65" t="s">
        <v>120</v>
      </c>
      <c r="D557" s="69" t="s">
        <v>6580</v>
      </c>
      <c r="E557" s="69" t="s">
        <v>4073</v>
      </c>
    </row>
    <row r="558" spans="2:5" x14ac:dyDescent="0.2">
      <c r="B558" s="65" t="s">
        <v>123</v>
      </c>
      <c r="D558" s="69" t="s">
        <v>6580</v>
      </c>
      <c r="E558" s="69" t="s">
        <v>4074</v>
      </c>
    </row>
    <row r="559" spans="2:5" x14ac:dyDescent="0.2">
      <c r="B559" s="65" t="s">
        <v>121</v>
      </c>
      <c r="D559" s="69" t="s">
        <v>6580</v>
      </c>
      <c r="E559" s="69" t="s">
        <v>4075</v>
      </c>
    </row>
    <row r="560" spans="2:5" x14ac:dyDescent="0.2">
      <c r="B560" s="65" t="s">
        <v>124</v>
      </c>
      <c r="D560" s="69" t="s">
        <v>6580</v>
      </c>
      <c r="E560" s="69" t="s">
        <v>4076</v>
      </c>
    </row>
    <row r="561" spans="2:5" x14ac:dyDescent="0.2">
      <c r="B561" s="65" t="s">
        <v>203</v>
      </c>
      <c r="D561" s="69" t="s">
        <v>6580</v>
      </c>
      <c r="E561" s="69" t="s">
        <v>4077</v>
      </c>
    </row>
    <row r="562" spans="2:5" x14ac:dyDescent="0.2">
      <c r="B562" s="65" t="s">
        <v>190</v>
      </c>
      <c r="D562" s="69" t="s">
        <v>6580</v>
      </c>
      <c r="E562" s="69" t="s">
        <v>4078</v>
      </c>
    </row>
    <row r="563" spans="2:5" x14ac:dyDescent="0.2">
      <c r="B563" s="65" t="s">
        <v>149</v>
      </c>
      <c r="D563" s="69" t="s">
        <v>6580</v>
      </c>
      <c r="E563" s="69" t="s">
        <v>4079</v>
      </c>
    </row>
    <row r="564" spans="2:5" x14ac:dyDescent="0.2">
      <c r="B564" s="65" t="s">
        <v>146</v>
      </c>
      <c r="D564" s="69" t="s">
        <v>6580</v>
      </c>
      <c r="E564" s="69" t="s">
        <v>4080</v>
      </c>
    </row>
    <row r="565" spans="2:5" x14ac:dyDescent="0.2">
      <c r="B565" s="65" t="s">
        <v>138</v>
      </c>
      <c r="D565" s="69" t="s">
        <v>6580</v>
      </c>
      <c r="E565" s="69" t="s">
        <v>4081</v>
      </c>
    </row>
    <row r="566" spans="2:5" x14ac:dyDescent="0.2">
      <c r="B566" s="65" t="s">
        <v>137</v>
      </c>
      <c r="D566" s="69" t="s">
        <v>6580</v>
      </c>
      <c r="E566" s="69" t="s">
        <v>4082</v>
      </c>
    </row>
    <row r="567" spans="2:5" x14ac:dyDescent="0.2">
      <c r="B567" s="65" t="s">
        <v>145</v>
      </c>
      <c r="D567" s="69" t="s">
        <v>6580</v>
      </c>
      <c r="E567" s="69" t="s">
        <v>4083</v>
      </c>
    </row>
    <row r="568" spans="2:5" x14ac:dyDescent="0.2">
      <c r="B568" s="65" t="s">
        <v>142</v>
      </c>
      <c r="D568" s="69" t="s">
        <v>6580</v>
      </c>
      <c r="E568" s="69" t="s">
        <v>4084</v>
      </c>
    </row>
    <row r="569" spans="2:5" x14ac:dyDescent="0.2">
      <c r="B569" s="65" t="s">
        <v>141</v>
      </c>
      <c r="D569" s="69" t="s">
        <v>6580</v>
      </c>
      <c r="E569" s="69" t="s">
        <v>4085</v>
      </c>
    </row>
    <row r="570" spans="2:5" x14ac:dyDescent="0.2">
      <c r="B570" s="65" t="s">
        <v>140</v>
      </c>
      <c r="D570" s="69" t="s">
        <v>6580</v>
      </c>
      <c r="E570" s="69" t="s">
        <v>4086</v>
      </c>
    </row>
    <row r="571" spans="2:5" x14ac:dyDescent="0.2">
      <c r="B571" s="65" t="s">
        <v>144</v>
      </c>
      <c r="D571" s="69" t="s">
        <v>6580</v>
      </c>
      <c r="E571" s="69" t="s">
        <v>4087</v>
      </c>
    </row>
    <row r="572" spans="2:5" x14ac:dyDescent="0.2">
      <c r="B572" s="65" t="s">
        <v>151</v>
      </c>
      <c r="D572" s="69" t="s">
        <v>6580</v>
      </c>
      <c r="E572" s="69" t="s">
        <v>4088</v>
      </c>
    </row>
    <row r="573" spans="2:5" x14ac:dyDescent="0.2">
      <c r="B573" s="65" t="s">
        <v>153</v>
      </c>
      <c r="D573" s="69" t="s">
        <v>6580</v>
      </c>
      <c r="E573" s="69" t="s">
        <v>4089</v>
      </c>
    </row>
    <row r="574" spans="2:5" x14ac:dyDescent="0.2">
      <c r="B574" s="65" t="s">
        <v>152</v>
      </c>
      <c r="D574" s="69" t="s">
        <v>6580</v>
      </c>
      <c r="E574" s="69" t="s">
        <v>4090</v>
      </c>
    </row>
    <row r="575" spans="2:5" x14ac:dyDescent="0.2">
      <c r="B575" s="65" t="s">
        <v>155</v>
      </c>
      <c r="D575" s="69" t="s">
        <v>6580</v>
      </c>
      <c r="E575" s="69" t="s">
        <v>4091</v>
      </c>
    </row>
    <row r="576" spans="2:5" x14ac:dyDescent="0.2">
      <c r="B576" s="65" t="s">
        <v>148</v>
      </c>
      <c r="D576" s="69" t="s">
        <v>6580</v>
      </c>
      <c r="E576" s="69" t="s">
        <v>4092</v>
      </c>
    </row>
    <row r="577" spans="2:5" x14ac:dyDescent="0.2">
      <c r="B577" s="65" t="s">
        <v>143</v>
      </c>
      <c r="D577" s="69" t="s">
        <v>6580</v>
      </c>
      <c r="E577" s="69" t="s">
        <v>4093</v>
      </c>
    </row>
    <row r="578" spans="2:5" x14ac:dyDescent="0.2">
      <c r="B578" s="65" t="s">
        <v>150</v>
      </c>
      <c r="D578" s="69" t="s">
        <v>6580</v>
      </c>
      <c r="E578" s="69" t="s">
        <v>4094</v>
      </c>
    </row>
    <row r="579" spans="2:5" x14ac:dyDescent="0.2">
      <c r="B579" s="65" t="s">
        <v>147</v>
      </c>
      <c r="D579" s="69" t="s">
        <v>6580</v>
      </c>
      <c r="E579" s="69" t="s">
        <v>4095</v>
      </c>
    </row>
    <row r="580" spans="2:5" x14ac:dyDescent="0.2">
      <c r="B580" s="65" t="s">
        <v>139</v>
      </c>
      <c r="D580" s="69" t="s">
        <v>6580</v>
      </c>
      <c r="E580" s="69" t="s">
        <v>4096</v>
      </c>
    </row>
    <row r="581" spans="2:5" x14ac:dyDescent="0.2">
      <c r="B581" s="65" t="s">
        <v>154</v>
      </c>
      <c r="D581" s="69" t="s">
        <v>6580</v>
      </c>
      <c r="E581" s="69" t="s">
        <v>4097</v>
      </c>
    </row>
    <row r="582" spans="2:5" x14ac:dyDescent="0.2">
      <c r="B582" s="65" t="s">
        <v>1179</v>
      </c>
      <c r="D582" s="69" t="s">
        <v>6582</v>
      </c>
      <c r="E582" s="69" t="s">
        <v>5939</v>
      </c>
    </row>
    <row r="583" spans="2:5" x14ac:dyDescent="0.2">
      <c r="B583" s="65" t="s">
        <v>1231</v>
      </c>
      <c r="D583" s="69" t="s">
        <v>6582</v>
      </c>
      <c r="E583" s="69" t="s">
        <v>5991</v>
      </c>
    </row>
    <row r="584" spans="2:5" x14ac:dyDescent="0.2">
      <c r="B584" s="65" t="s">
        <v>1232</v>
      </c>
      <c r="D584" s="69" t="s">
        <v>6582</v>
      </c>
      <c r="E584" s="69" t="s">
        <v>5992</v>
      </c>
    </row>
    <row r="585" spans="2:5" x14ac:dyDescent="0.2">
      <c r="B585" s="65" t="s">
        <v>1233</v>
      </c>
      <c r="D585" s="69" t="s">
        <v>6582</v>
      </c>
      <c r="E585" s="69" t="s">
        <v>5993</v>
      </c>
    </row>
    <row r="586" spans="2:5" x14ac:dyDescent="0.2">
      <c r="B586" s="65" t="s">
        <v>1180</v>
      </c>
      <c r="D586" s="69" t="s">
        <v>6582</v>
      </c>
      <c r="E586" s="69" t="s">
        <v>5940</v>
      </c>
    </row>
    <row r="587" spans="2:5" x14ac:dyDescent="0.2">
      <c r="B587" s="65" t="s">
        <v>1181</v>
      </c>
      <c r="D587" s="69" t="s">
        <v>6582</v>
      </c>
      <c r="E587" s="69" t="s">
        <v>5941</v>
      </c>
    </row>
    <row r="588" spans="2:5" x14ac:dyDescent="0.2">
      <c r="B588" s="65" t="s">
        <v>1182</v>
      </c>
      <c r="D588" s="69" t="s">
        <v>6582</v>
      </c>
      <c r="E588" s="69" t="s">
        <v>5942</v>
      </c>
    </row>
    <row r="589" spans="2:5" x14ac:dyDescent="0.2">
      <c r="B589" s="65" t="s">
        <v>1183</v>
      </c>
      <c r="D589" s="69" t="s">
        <v>6582</v>
      </c>
      <c r="E589" s="69" t="s">
        <v>5943</v>
      </c>
    </row>
    <row r="590" spans="2:5" x14ac:dyDescent="0.2">
      <c r="B590" s="65" t="s">
        <v>1184</v>
      </c>
      <c r="D590" s="69" t="s">
        <v>6582</v>
      </c>
      <c r="E590" s="69" t="s">
        <v>5944</v>
      </c>
    </row>
    <row r="591" spans="2:5" x14ac:dyDescent="0.2">
      <c r="B591" s="65" t="s">
        <v>1185</v>
      </c>
      <c r="D591" s="69" t="s">
        <v>6582</v>
      </c>
      <c r="E591" s="69" t="s">
        <v>5945</v>
      </c>
    </row>
    <row r="592" spans="2:5" x14ac:dyDescent="0.2">
      <c r="B592" s="65" t="s">
        <v>1189</v>
      </c>
      <c r="D592" s="69" t="s">
        <v>6582</v>
      </c>
      <c r="E592" s="69" t="s">
        <v>5949</v>
      </c>
    </row>
    <row r="593" spans="2:5" x14ac:dyDescent="0.2">
      <c r="B593" s="65" t="s">
        <v>1190</v>
      </c>
      <c r="D593" s="69" t="s">
        <v>6582</v>
      </c>
      <c r="E593" s="69" t="s">
        <v>5950</v>
      </c>
    </row>
    <row r="594" spans="2:5" x14ac:dyDescent="0.2">
      <c r="B594" s="65" t="s">
        <v>1186</v>
      </c>
      <c r="D594" s="69" t="s">
        <v>6582</v>
      </c>
      <c r="E594" s="69" t="s">
        <v>5946</v>
      </c>
    </row>
    <row r="595" spans="2:5" x14ac:dyDescent="0.2">
      <c r="B595" s="65" t="s">
        <v>1187</v>
      </c>
      <c r="D595" s="69" t="s">
        <v>6582</v>
      </c>
      <c r="E595" s="69" t="s">
        <v>5947</v>
      </c>
    </row>
    <row r="596" spans="2:5" x14ac:dyDescent="0.2">
      <c r="B596" s="65" t="s">
        <v>1188</v>
      </c>
      <c r="D596" s="69" t="s">
        <v>6582</v>
      </c>
      <c r="E596" s="69" t="s">
        <v>5948</v>
      </c>
    </row>
    <row r="597" spans="2:5" x14ac:dyDescent="0.2">
      <c r="B597" s="65" t="s">
        <v>1191</v>
      </c>
      <c r="D597" s="69" t="s">
        <v>6582</v>
      </c>
      <c r="E597" s="69" t="s">
        <v>5951</v>
      </c>
    </row>
    <row r="598" spans="2:5" x14ac:dyDescent="0.2">
      <c r="B598" s="65" t="s">
        <v>1192</v>
      </c>
      <c r="D598" s="69" t="s">
        <v>6582</v>
      </c>
      <c r="E598" s="69" t="s">
        <v>5952</v>
      </c>
    </row>
    <row r="599" spans="2:5" x14ac:dyDescent="0.2">
      <c r="B599" s="65" t="s">
        <v>1193</v>
      </c>
      <c r="D599" s="69" t="s">
        <v>6582</v>
      </c>
      <c r="E599" s="69" t="s">
        <v>5953</v>
      </c>
    </row>
    <row r="600" spans="2:5" x14ac:dyDescent="0.2">
      <c r="B600" s="65" t="s">
        <v>1194</v>
      </c>
      <c r="D600" s="69" t="s">
        <v>6582</v>
      </c>
      <c r="E600" s="69" t="s">
        <v>5954</v>
      </c>
    </row>
    <row r="601" spans="2:5" x14ac:dyDescent="0.2">
      <c r="B601" s="65" t="s">
        <v>1195</v>
      </c>
      <c r="D601" s="69" t="s">
        <v>6582</v>
      </c>
      <c r="E601" s="69" t="s">
        <v>5955</v>
      </c>
    </row>
    <row r="602" spans="2:5" x14ac:dyDescent="0.2">
      <c r="B602" s="65" t="s">
        <v>1196</v>
      </c>
      <c r="D602" s="69" t="s">
        <v>6582</v>
      </c>
      <c r="E602" s="69" t="s">
        <v>5956</v>
      </c>
    </row>
    <row r="603" spans="2:5" x14ac:dyDescent="0.2">
      <c r="B603" s="65" t="s">
        <v>1200</v>
      </c>
      <c r="D603" s="69" t="s">
        <v>6582</v>
      </c>
      <c r="E603" s="69" t="s">
        <v>5960</v>
      </c>
    </row>
    <row r="604" spans="2:5" x14ac:dyDescent="0.2">
      <c r="B604" s="65" t="s">
        <v>1199</v>
      </c>
      <c r="D604" s="69" t="s">
        <v>6582</v>
      </c>
      <c r="E604" s="69" t="s">
        <v>5959</v>
      </c>
    </row>
    <row r="605" spans="2:5" x14ac:dyDescent="0.2">
      <c r="B605" s="65" t="s">
        <v>1197</v>
      </c>
      <c r="D605" s="69" t="s">
        <v>6582</v>
      </c>
      <c r="E605" s="69" t="s">
        <v>5957</v>
      </c>
    </row>
    <row r="606" spans="2:5" x14ac:dyDescent="0.2">
      <c r="B606" s="65" t="s">
        <v>1198</v>
      </c>
      <c r="D606" s="69" t="s">
        <v>6582</v>
      </c>
      <c r="E606" s="69" t="s">
        <v>5958</v>
      </c>
    </row>
    <row r="607" spans="2:5" x14ac:dyDescent="0.2">
      <c r="B607" s="65" t="s">
        <v>1209</v>
      </c>
      <c r="D607" s="69" t="s">
        <v>6582</v>
      </c>
      <c r="E607" s="69" t="s">
        <v>5969</v>
      </c>
    </row>
    <row r="608" spans="2:5" x14ac:dyDescent="0.2">
      <c r="B608" s="65" t="s">
        <v>1206</v>
      </c>
      <c r="D608" s="69" t="s">
        <v>6582</v>
      </c>
      <c r="E608" s="69" t="s">
        <v>5966</v>
      </c>
    </row>
    <row r="609" spans="2:5" x14ac:dyDescent="0.2">
      <c r="B609" s="65" t="s">
        <v>1203</v>
      </c>
      <c r="D609" s="69" t="s">
        <v>6582</v>
      </c>
      <c r="E609" s="69" t="s">
        <v>5963</v>
      </c>
    </row>
    <row r="610" spans="2:5" x14ac:dyDescent="0.2">
      <c r="B610" s="65" t="s">
        <v>1207</v>
      </c>
      <c r="D610" s="69" t="s">
        <v>6582</v>
      </c>
      <c r="E610" s="69" t="s">
        <v>5967</v>
      </c>
    </row>
    <row r="611" spans="2:5" x14ac:dyDescent="0.2">
      <c r="B611" s="65" t="s">
        <v>1205</v>
      </c>
      <c r="D611" s="69" t="s">
        <v>6582</v>
      </c>
      <c r="E611" s="69" t="s">
        <v>5965</v>
      </c>
    </row>
    <row r="612" spans="2:5" x14ac:dyDescent="0.2">
      <c r="B612" s="65" t="s">
        <v>1204</v>
      </c>
      <c r="D612" s="69" t="s">
        <v>6582</v>
      </c>
      <c r="E612" s="69" t="s">
        <v>5964</v>
      </c>
    </row>
    <row r="613" spans="2:5" x14ac:dyDescent="0.2">
      <c r="B613" s="65" t="s">
        <v>1201</v>
      </c>
      <c r="D613" s="69" t="s">
        <v>6582</v>
      </c>
      <c r="E613" s="69" t="s">
        <v>5961</v>
      </c>
    </row>
    <row r="614" spans="2:5" x14ac:dyDescent="0.2">
      <c r="B614" s="65" t="s">
        <v>1202</v>
      </c>
      <c r="D614" s="69" t="s">
        <v>6582</v>
      </c>
      <c r="E614" s="69" t="s">
        <v>5962</v>
      </c>
    </row>
    <row r="615" spans="2:5" x14ac:dyDescent="0.2">
      <c r="B615" s="65" t="s">
        <v>1208</v>
      </c>
      <c r="D615" s="69" t="s">
        <v>6582</v>
      </c>
      <c r="E615" s="69" t="s">
        <v>5968</v>
      </c>
    </row>
    <row r="616" spans="2:5" x14ac:dyDescent="0.2">
      <c r="B616" s="65" t="s">
        <v>127</v>
      </c>
      <c r="D616" s="69" t="s">
        <v>6580</v>
      </c>
      <c r="E616" s="69" t="s">
        <v>4098</v>
      </c>
    </row>
    <row r="617" spans="2:5" x14ac:dyDescent="0.2">
      <c r="B617" s="65" t="s">
        <v>135</v>
      </c>
      <c r="D617" s="69" t="s">
        <v>6580</v>
      </c>
      <c r="E617" s="69" t="s">
        <v>4099</v>
      </c>
    </row>
    <row r="618" spans="2:5" x14ac:dyDescent="0.2">
      <c r="B618" s="65" t="s">
        <v>133</v>
      </c>
      <c r="D618" s="69" t="s">
        <v>6580</v>
      </c>
      <c r="E618" s="69" t="s">
        <v>4100</v>
      </c>
    </row>
    <row r="619" spans="2:5" x14ac:dyDescent="0.2">
      <c r="B619" s="65" t="s">
        <v>132</v>
      </c>
      <c r="D619" s="69" t="s">
        <v>6580</v>
      </c>
      <c r="E619" s="69" t="s">
        <v>5934</v>
      </c>
    </row>
    <row r="620" spans="2:5" x14ac:dyDescent="0.2">
      <c r="B620" s="65" t="s">
        <v>136</v>
      </c>
      <c r="D620" s="69" t="s">
        <v>6580</v>
      </c>
      <c r="E620" s="69" t="s">
        <v>4102</v>
      </c>
    </row>
    <row r="621" spans="2:5" x14ac:dyDescent="0.2">
      <c r="B621" s="65" t="s">
        <v>126</v>
      </c>
      <c r="D621" s="69" t="s">
        <v>6580</v>
      </c>
      <c r="E621" s="69" t="s">
        <v>4103</v>
      </c>
    </row>
    <row r="622" spans="2:5" x14ac:dyDescent="0.2">
      <c r="B622" s="65" t="s">
        <v>129</v>
      </c>
      <c r="D622" s="69" t="s">
        <v>6580</v>
      </c>
      <c r="E622" s="69" t="s">
        <v>4104</v>
      </c>
    </row>
    <row r="623" spans="2:5" x14ac:dyDescent="0.2">
      <c r="B623" s="65" t="s">
        <v>164</v>
      </c>
      <c r="D623" s="69" t="s">
        <v>6580</v>
      </c>
      <c r="E623" s="69" t="s">
        <v>4105</v>
      </c>
    </row>
    <row r="624" spans="2:5" x14ac:dyDescent="0.2">
      <c r="B624" s="65" t="s">
        <v>163</v>
      </c>
      <c r="D624" s="69" t="s">
        <v>6580</v>
      </c>
      <c r="E624" s="69" t="s">
        <v>4106</v>
      </c>
    </row>
    <row r="625" spans="2:5" x14ac:dyDescent="0.2">
      <c r="B625" s="65" t="s">
        <v>162</v>
      </c>
      <c r="D625" s="69" t="s">
        <v>6580</v>
      </c>
      <c r="E625" s="69" t="s">
        <v>4107</v>
      </c>
    </row>
    <row r="626" spans="2:5" x14ac:dyDescent="0.2">
      <c r="B626" s="65" t="s">
        <v>134</v>
      </c>
      <c r="D626" s="69" t="s">
        <v>6580</v>
      </c>
      <c r="E626" s="69" t="s">
        <v>4108</v>
      </c>
    </row>
    <row r="627" spans="2:5" x14ac:dyDescent="0.2">
      <c r="B627" s="65" t="s">
        <v>1175</v>
      </c>
      <c r="D627" s="69" t="s">
        <v>6580</v>
      </c>
      <c r="E627" s="69" t="s">
        <v>5935</v>
      </c>
    </row>
    <row r="628" spans="2:5" x14ac:dyDescent="0.2">
      <c r="B628" s="65" t="s">
        <v>1176</v>
      </c>
      <c r="D628" s="69" t="s">
        <v>6580</v>
      </c>
      <c r="E628" s="69" t="s">
        <v>5936</v>
      </c>
    </row>
    <row r="629" spans="2:5" x14ac:dyDescent="0.2">
      <c r="B629" s="65" t="s">
        <v>3383</v>
      </c>
      <c r="D629" s="69" t="s">
        <v>6582</v>
      </c>
      <c r="E629" s="100" t="s">
        <v>5994</v>
      </c>
    </row>
    <row r="630" spans="2:5" x14ac:dyDescent="0.2">
      <c r="B630" s="65" t="s">
        <v>1177</v>
      </c>
      <c r="D630" s="69" t="s">
        <v>6582</v>
      </c>
      <c r="E630" s="69" t="s">
        <v>5937</v>
      </c>
    </row>
    <row r="631" spans="2:5" x14ac:dyDescent="0.2">
      <c r="B631" s="65" t="s">
        <v>1230</v>
      </c>
      <c r="D631" s="69" t="s">
        <v>6582</v>
      </c>
      <c r="E631" s="69" t="s">
        <v>5990</v>
      </c>
    </row>
    <row r="632" spans="2:5" x14ac:dyDescent="0.2">
      <c r="B632" s="65" t="s">
        <v>130</v>
      </c>
      <c r="D632" s="69" t="s">
        <v>6580</v>
      </c>
      <c r="E632" s="69" t="s">
        <v>4110</v>
      </c>
    </row>
    <row r="633" spans="2:5" x14ac:dyDescent="0.2">
      <c r="B633" s="65" t="s">
        <v>131</v>
      </c>
      <c r="D633" s="69" t="s">
        <v>6580</v>
      </c>
      <c r="E633" s="69" t="s">
        <v>4111</v>
      </c>
    </row>
    <row r="634" spans="2:5" x14ac:dyDescent="0.2">
      <c r="B634" s="65" t="s">
        <v>160</v>
      </c>
      <c r="D634" s="69" t="s">
        <v>6580</v>
      </c>
      <c r="E634" s="69" t="s">
        <v>4112</v>
      </c>
    </row>
    <row r="635" spans="2:5" x14ac:dyDescent="0.2">
      <c r="B635" s="65" t="s">
        <v>161</v>
      </c>
      <c r="D635" s="69" t="s">
        <v>6580</v>
      </c>
      <c r="E635" s="100" t="s">
        <v>4114</v>
      </c>
    </row>
    <row r="636" spans="2:5" x14ac:dyDescent="0.2">
      <c r="B636" s="65" t="s">
        <v>156</v>
      </c>
      <c r="D636" s="69" t="s">
        <v>6580</v>
      </c>
      <c r="E636" s="69" t="s">
        <v>4115</v>
      </c>
    </row>
    <row r="637" spans="2:5" x14ac:dyDescent="0.2">
      <c r="B637" s="65" t="s">
        <v>159</v>
      </c>
      <c r="D637" s="69" t="s">
        <v>6580</v>
      </c>
      <c r="E637" s="69" t="s">
        <v>4116</v>
      </c>
    </row>
    <row r="638" spans="2:5" x14ac:dyDescent="0.2">
      <c r="B638" s="65" t="s">
        <v>1216</v>
      </c>
      <c r="D638" s="69" t="s">
        <v>6582</v>
      </c>
      <c r="E638" s="69" t="s">
        <v>5976</v>
      </c>
    </row>
    <row r="639" spans="2:5" x14ac:dyDescent="0.2">
      <c r="B639" s="65" t="s">
        <v>1215</v>
      </c>
      <c r="D639" s="69" t="s">
        <v>6582</v>
      </c>
      <c r="E639" s="69" t="s">
        <v>5975</v>
      </c>
    </row>
    <row r="640" spans="2:5" x14ac:dyDescent="0.2">
      <c r="B640" s="65" t="s">
        <v>1213</v>
      </c>
      <c r="D640" s="69" t="s">
        <v>6582</v>
      </c>
      <c r="E640" s="69" t="s">
        <v>5973</v>
      </c>
    </row>
    <row r="641" spans="2:5" x14ac:dyDescent="0.2">
      <c r="B641" s="65" t="s">
        <v>1223</v>
      </c>
      <c r="D641" s="69" t="s">
        <v>6582</v>
      </c>
      <c r="E641" s="69" t="s">
        <v>5983</v>
      </c>
    </row>
    <row r="642" spans="2:5" x14ac:dyDescent="0.2">
      <c r="B642" s="65" t="s">
        <v>1217</v>
      </c>
      <c r="D642" s="69" t="s">
        <v>6582</v>
      </c>
      <c r="E642" s="69" t="s">
        <v>5977</v>
      </c>
    </row>
    <row r="643" spans="2:5" x14ac:dyDescent="0.2">
      <c r="B643" s="65" t="s">
        <v>1212</v>
      </c>
      <c r="D643" s="69" t="s">
        <v>6582</v>
      </c>
      <c r="E643" s="69" t="s">
        <v>5972</v>
      </c>
    </row>
    <row r="644" spans="2:5" x14ac:dyDescent="0.2">
      <c r="B644" s="65" t="s">
        <v>1220</v>
      </c>
      <c r="D644" s="69" t="s">
        <v>6582</v>
      </c>
      <c r="E644" s="69" t="s">
        <v>5980</v>
      </c>
    </row>
    <row r="645" spans="2:5" x14ac:dyDescent="0.2">
      <c r="B645" s="65" t="s">
        <v>1225</v>
      </c>
      <c r="D645" s="69" t="s">
        <v>6582</v>
      </c>
      <c r="E645" s="69" t="s">
        <v>5985</v>
      </c>
    </row>
    <row r="646" spans="2:5" x14ac:dyDescent="0.2">
      <c r="B646" s="65" t="s">
        <v>1221</v>
      </c>
      <c r="D646" s="69" t="s">
        <v>6582</v>
      </c>
      <c r="E646" s="69" t="s">
        <v>5981</v>
      </c>
    </row>
    <row r="647" spans="2:5" x14ac:dyDescent="0.2">
      <c r="B647" s="65" t="s">
        <v>1214</v>
      </c>
      <c r="D647" s="69" t="s">
        <v>6582</v>
      </c>
      <c r="E647" s="69" t="s">
        <v>5974</v>
      </c>
    </row>
    <row r="648" spans="2:5" x14ac:dyDescent="0.2">
      <c r="B648" s="65" t="s">
        <v>1219</v>
      </c>
      <c r="D648" s="69" t="s">
        <v>6582</v>
      </c>
      <c r="E648" s="69" t="s">
        <v>5979</v>
      </c>
    </row>
    <row r="649" spans="2:5" x14ac:dyDescent="0.2">
      <c r="B649" s="65" t="s">
        <v>1222</v>
      </c>
      <c r="D649" s="69" t="s">
        <v>6582</v>
      </c>
      <c r="E649" s="69" t="s">
        <v>5982</v>
      </c>
    </row>
    <row r="650" spans="2:5" x14ac:dyDescent="0.2">
      <c r="B650" s="65" t="s">
        <v>1211</v>
      </c>
      <c r="D650" s="69" t="s">
        <v>6582</v>
      </c>
      <c r="E650" s="69" t="s">
        <v>5971</v>
      </c>
    </row>
    <row r="651" spans="2:5" x14ac:dyDescent="0.2">
      <c r="B651" s="65" t="s">
        <v>1218</v>
      </c>
      <c r="D651" s="69" t="s">
        <v>6582</v>
      </c>
      <c r="E651" s="69" t="s">
        <v>5978</v>
      </c>
    </row>
    <row r="652" spans="2:5" x14ac:dyDescent="0.2">
      <c r="B652" s="65" t="s">
        <v>1226</v>
      </c>
      <c r="D652" s="69" t="s">
        <v>6582</v>
      </c>
      <c r="E652" s="69" t="s">
        <v>5986</v>
      </c>
    </row>
    <row r="653" spans="2:5" x14ac:dyDescent="0.2">
      <c r="B653" s="65" t="s">
        <v>1227</v>
      </c>
      <c r="D653" s="69" t="s">
        <v>6582</v>
      </c>
      <c r="E653" s="69" t="s">
        <v>5987</v>
      </c>
    </row>
    <row r="654" spans="2:5" x14ac:dyDescent="0.2">
      <c r="B654" s="65" t="s">
        <v>1228</v>
      </c>
      <c r="D654" s="69" t="s">
        <v>6582</v>
      </c>
      <c r="E654" s="69" t="s">
        <v>5988</v>
      </c>
    </row>
    <row r="655" spans="2:5" x14ac:dyDescent="0.2">
      <c r="B655" s="65" t="s">
        <v>1229</v>
      </c>
      <c r="D655" s="69" t="s">
        <v>6582</v>
      </c>
      <c r="E655" s="69" t="s">
        <v>5989</v>
      </c>
    </row>
    <row r="656" spans="2:5" x14ac:dyDescent="0.2">
      <c r="B656" s="65" t="s">
        <v>1210</v>
      </c>
      <c r="D656" s="69" t="s">
        <v>6582</v>
      </c>
      <c r="E656" s="69" t="s">
        <v>5970</v>
      </c>
    </row>
    <row r="657" spans="2:5" x14ac:dyDescent="0.2">
      <c r="B657" s="65" t="s">
        <v>1224</v>
      </c>
      <c r="D657" s="69" t="s">
        <v>6582</v>
      </c>
      <c r="E657" s="69" t="s">
        <v>5984</v>
      </c>
    </row>
    <row r="658" spans="2:5" x14ac:dyDescent="0.2">
      <c r="B658" s="65" t="s">
        <v>1178</v>
      </c>
      <c r="D658" s="69" t="s">
        <v>6582</v>
      </c>
      <c r="E658" s="69" t="s">
        <v>5938</v>
      </c>
    </row>
    <row r="659" spans="2:5" x14ac:dyDescent="0.2">
      <c r="B659" s="65" t="s">
        <v>128</v>
      </c>
      <c r="D659" s="69" t="s">
        <v>6580</v>
      </c>
      <c r="E659" s="69" t="s">
        <v>4117</v>
      </c>
    </row>
    <row r="660" spans="2:5" x14ac:dyDescent="0.2">
      <c r="B660" s="65" t="s">
        <v>3386</v>
      </c>
      <c r="C660" t="s">
        <v>4120</v>
      </c>
      <c r="D660" s="69" t="s">
        <v>4123</v>
      </c>
      <c r="E660" s="69" t="s">
        <v>4124</v>
      </c>
    </row>
    <row r="661" spans="2:5" x14ac:dyDescent="0.2">
      <c r="B661" s="65" t="s">
        <v>3385</v>
      </c>
      <c r="C661" t="s">
        <v>4120</v>
      </c>
      <c r="D661" s="69" t="s">
        <v>1235</v>
      </c>
      <c r="E661" s="69" t="s">
        <v>5995</v>
      </c>
    </row>
    <row r="662" spans="2:5" x14ac:dyDescent="0.2">
      <c r="B662" s="65" t="s">
        <v>3384</v>
      </c>
      <c r="C662" t="s">
        <v>4120</v>
      </c>
      <c r="D662" s="69" t="s">
        <v>1234</v>
      </c>
      <c r="E662" s="69" t="s">
        <v>4121</v>
      </c>
    </row>
    <row r="663" spans="2:5" x14ac:dyDescent="0.2">
      <c r="B663" s="65" t="s">
        <v>864</v>
      </c>
      <c r="D663" s="69" t="s">
        <v>6582</v>
      </c>
      <c r="E663" s="69" t="s">
        <v>5884</v>
      </c>
    </row>
    <row r="664" spans="2:5" x14ac:dyDescent="0.2">
      <c r="B664" s="65" t="s">
        <v>889</v>
      </c>
      <c r="D664" s="69" t="s">
        <v>6582</v>
      </c>
      <c r="E664" s="69" t="s">
        <v>5909</v>
      </c>
    </row>
    <row r="665" spans="2:5" x14ac:dyDescent="0.2">
      <c r="B665" s="65" t="s">
        <v>891</v>
      </c>
      <c r="D665" s="69" t="s">
        <v>6582</v>
      </c>
      <c r="E665" s="69" t="s">
        <v>5911</v>
      </c>
    </row>
    <row r="666" spans="2:5" x14ac:dyDescent="0.2">
      <c r="B666" s="65" t="s">
        <v>865</v>
      </c>
      <c r="D666" s="69" t="s">
        <v>6582</v>
      </c>
      <c r="E666" s="69" t="s">
        <v>5885</v>
      </c>
    </row>
    <row r="667" spans="2:5" x14ac:dyDescent="0.2">
      <c r="B667" s="65" t="s">
        <v>1327</v>
      </c>
      <c r="D667" s="69" t="s">
        <v>6582</v>
      </c>
      <c r="E667" s="69" t="s">
        <v>6003</v>
      </c>
    </row>
    <row r="668" spans="2:5" x14ac:dyDescent="0.2">
      <c r="B668" s="65" t="s">
        <v>1328</v>
      </c>
      <c r="D668" s="69" t="s">
        <v>6580</v>
      </c>
      <c r="E668" s="69" t="s">
        <v>6004</v>
      </c>
    </row>
    <row r="669" spans="2:5" x14ac:dyDescent="0.2">
      <c r="B669" s="65" t="s">
        <v>887</v>
      </c>
      <c r="D669" s="69" t="s">
        <v>6582</v>
      </c>
      <c r="E669" s="69" t="s">
        <v>5907</v>
      </c>
    </row>
    <row r="670" spans="2:5" x14ac:dyDescent="0.2">
      <c r="B670" s="65" t="s">
        <v>888</v>
      </c>
      <c r="D670" s="69" t="s">
        <v>6582</v>
      </c>
      <c r="E670" s="69" t="s">
        <v>5908</v>
      </c>
    </row>
    <row r="671" spans="2:5" x14ac:dyDescent="0.2">
      <c r="B671" s="65" t="s">
        <v>890</v>
      </c>
      <c r="D671" s="69" t="s">
        <v>6582</v>
      </c>
      <c r="E671" s="69" t="s">
        <v>5910</v>
      </c>
    </row>
    <row r="672" spans="2:5" x14ac:dyDescent="0.2">
      <c r="B672" s="65" t="s">
        <v>176</v>
      </c>
      <c r="D672" s="69" t="s">
        <v>6580</v>
      </c>
      <c r="E672" s="69" t="s">
        <v>4128</v>
      </c>
    </row>
    <row r="673" spans="2:5" x14ac:dyDescent="0.2">
      <c r="B673" s="65" t="s">
        <v>177</v>
      </c>
      <c r="D673" s="69" t="s">
        <v>6580</v>
      </c>
      <c r="E673" s="69" t="s">
        <v>4129</v>
      </c>
    </row>
    <row r="674" spans="2:5" x14ac:dyDescent="0.2">
      <c r="B674" s="65" t="s">
        <v>178</v>
      </c>
      <c r="D674" s="69" t="s">
        <v>6580</v>
      </c>
      <c r="E674" s="69" t="s">
        <v>4130</v>
      </c>
    </row>
    <row r="675" spans="2:5" x14ac:dyDescent="0.2">
      <c r="B675" s="65" t="s">
        <v>179</v>
      </c>
      <c r="D675" s="69" t="s">
        <v>6580</v>
      </c>
      <c r="E675" s="69" t="s">
        <v>4131</v>
      </c>
    </row>
    <row r="676" spans="2:5" x14ac:dyDescent="0.2">
      <c r="B676" s="65" t="s">
        <v>168</v>
      </c>
      <c r="D676" s="69" t="s">
        <v>6580</v>
      </c>
      <c r="E676" s="69" t="s">
        <v>4132</v>
      </c>
    </row>
    <row r="677" spans="2:5" x14ac:dyDescent="0.2">
      <c r="B677" s="65" t="s">
        <v>169</v>
      </c>
      <c r="D677" s="69" t="s">
        <v>6580</v>
      </c>
      <c r="E677" s="69" t="s">
        <v>4133</v>
      </c>
    </row>
    <row r="678" spans="2:5" x14ac:dyDescent="0.2">
      <c r="B678" s="65" t="s">
        <v>170</v>
      </c>
      <c r="D678" s="69" t="s">
        <v>6580</v>
      </c>
      <c r="E678" s="69" t="s">
        <v>4134</v>
      </c>
    </row>
    <row r="679" spans="2:5" x14ac:dyDescent="0.2">
      <c r="B679" s="65" t="s">
        <v>171</v>
      </c>
      <c r="D679" s="69" t="s">
        <v>6580</v>
      </c>
      <c r="E679" s="69" t="s">
        <v>4135</v>
      </c>
    </row>
    <row r="680" spans="2:5" x14ac:dyDescent="0.2">
      <c r="B680" s="65" t="s">
        <v>172</v>
      </c>
      <c r="D680" s="69" t="s">
        <v>6580</v>
      </c>
      <c r="E680" s="69" t="s">
        <v>4136</v>
      </c>
    </row>
    <row r="681" spans="2:5" x14ac:dyDescent="0.2">
      <c r="B681" s="65" t="s">
        <v>173</v>
      </c>
      <c r="D681" s="69" t="s">
        <v>6580</v>
      </c>
      <c r="E681" s="69" t="s">
        <v>4137</v>
      </c>
    </row>
    <row r="682" spans="2:5" x14ac:dyDescent="0.2">
      <c r="B682" s="65" t="s">
        <v>174</v>
      </c>
      <c r="D682" s="69" t="s">
        <v>6580</v>
      </c>
      <c r="E682" s="69" t="s">
        <v>4138</v>
      </c>
    </row>
    <row r="683" spans="2:5" x14ac:dyDescent="0.2">
      <c r="B683" s="65" t="s">
        <v>175</v>
      </c>
      <c r="D683" s="69" t="s">
        <v>6580</v>
      </c>
      <c r="E683" s="69" t="s">
        <v>4139</v>
      </c>
    </row>
    <row r="684" spans="2:5" x14ac:dyDescent="0.2">
      <c r="B684" s="65" t="s">
        <v>195</v>
      </c>
      <c r="D684" s="69" t="s">
        <v>6580</v>
      </c>
      <c r="E684" s="69" t="s">
        <v>4140</v>
      </c>
    </row>
    <row r="685" spans="2:5" x14ac:dyDescent="0.2">
      <c r="B685" s="65" t="s">
        <v>194</v>
      </c>
      <c r="D685" s="69" t="s">
        <v>6580</v>
      </c>
      <c r="E685" s="69" t="s">
        <v>4141</v>
      </c>
    </row>
    <row r="686" spans="2:5" x14ac:dyDescent="0.2">
      <c r="B686" s="65" t="s">
        <v>193</v>
      </c>
      <c r="D686" s="69" t="s">
        <v>6580</v>
      </c>
      <c r="E686" s="69" t="s">
        <v>4142</v>
      </c>
    </row>
    <row r="687" spans="2:5" x14ac:dyDescent="0.2">
      <c r="B687" s="116" t="s">
        <v>6103</v>
      </c>
      <c r="E687" s="69"/>
    </row>
    <row r="688" spans="2:5" x14ac:dyDescent="0.2">
      <c r="B688" s="65" t="s">
        <v>221</v>
      </c>
      <c r="D688" t="s">
        <v>6580</v>
      </c>
      <c r="E688" s="69" t="s">
        <v>4144</v>
      </c>
    </row>
    <row r="689" spans="2:5" x14ac:dyDescent="0.2">
      <c r="B689" s="65" t="s">
        <v>219</v>
      </c>
      <c r="D689" t="s">
        <v>6580</v>
      </c>
      <c r="E689" s="69" t="s">
        <v>4145</v>
      </c>
    </row>
    <row r="690" spans="2:5" x14ac:dyDescent="0.2">
      <c r="B690" s="65" t="s">
        <v>3237</v>
      </c>
      <c r="D690" t="s">
        <v>220</v>
      </c>
      <c r="E690" s="100" t="s">
        <v>6106</v>
      </c>
    </row>
    <row r="691" spans="2:5" x14ac:dyDescent="0.2">
      <c r="B691" s="65" t="s">
        <v>1287</v>
      </c>
      <c r="D691" t="s">
        <v>6582</v>
      </c>
      <c r="E691" s="69" t="s">
        <v>6192</v>
      </c>
    </row>
    <row r="692" spans="2:5" x14ac:dyDescent="0.2">
      <c r="B692" s="65" t="s">
        <v>1286</v>
      </c>
      <c r="D692" t="s">
        <v>6582</v>
      </c>
      <c r="E692" s="69" t="s">
        <v>6191</v>
      </c>
    </row>
    <row r="693" spans="2:5" x14ac:dyDescent="0.2">
      <c r="B693" s="65" t="s">
        <v>1306</v>
      </c>
      <c r="D693" s="69" t="s">
        <v>6582</v>
      </c>
      <c r="E693" s="69" t="s">
        <v>6213</v>
      </c>
    </row>
    <row r="694" spans="2:5" x14ac:dyDescent="0.2">
      <c r="B694" s="65" t="s">
        <v>1289</v>
      </c>
      <c r="D694" t="s">
        <v>6582</v>
      </c>
      <c r="E694" s="69" t="s">
        <v>6194</v>
      </c>
    </row>
    <row r="695" spans="2:5" x14ac:dyDescent="0.2">
      <c r="B695" s="65" t="s">
        <v>1288</v>
      </c>
      <c r="D695" s="69" t="s">
        <v>6582</v>
      </c>
      <c r="E695" s="69" t="s">
        <v>6193</v>
      </c>
    </row>
    <row r="696" spans="2:5" x14ac:dyDescent="0.2">
      <c r="B696" s="65" t="s">
        <v>1294</v>
      </c>
      <c r="D696" t="s">
        <v>6582</v>
      </c>
      <c r="E696" s="69" t="s">
        <v>6199</v>
      </c>
    </row>
    <row r="697" spans="2:5" x14ac:dyDescent="0.2">
      <c r="B697" s="65" t="s">
        <v>1307</v>
      </c>
      <c r="D697" t="s">
        <v>6582</v>
      </c>
      <c r="E697" s="69" t="s">
        <v>6214</v>
      </c>
    </row>
    <row r="698" spans="2:5" x14ac:dyDescent="0.2">
      <c r="B698" s="65" t="s">
        <v>1309</v>
      </c>
      <c r="D698" t="s">
        <v>6582</v>
      </c>
      <c r="E698" s="69" t="s">
        <v>6216</v>
      </c>
    </row>
    <row r="699" spans="2:5" x14ac:dyDescent="0.2">
      <c r="B699" s="65" t="s">
        <v>1290</v>
      </c>
      <c r="D699" t="s">
        <v>6582</v>
      </c>
      <c r="E699" s="69" t="s">
        <v>6195</v>
      </c>
    </row>
    <row r="700" spans="2:5" x14ac:dyDescent="0.2">
      <c r="B700" s="65" t="s">
        <v>1295</v>
      </c>
      <c r="D700" t="s">
        <v>6582</v>
      </c>
      <c r="E700" s="69" t="s">
        <v>6200</v>
      </c>
    </row>
    <row r="701" spans="2:5" x14ac:dyDescent="0.2">
      <c r="B701" s="65" t="s">
        <v>3388</v>
      </c>
      <c r="D701" t="s">
        <v>6582</v>
      </c>
      <c r="E701" s="100" t="s">
        <v>6202</v>
      </c>
    </row>
    <row r="702" spans="2:5" x14ac:dyDescent="0.2">
      <c r="B702" s="65" t="s">
        <v>3387</v>
      </c>
      <c r="D702" t="s">
        <v>6582</v>
      </c>
      <c r="E702" s="100" t="s">
        <v>6201</v>
      </c>
    </row>
    <row r="703" spans="2:5" x14ac:dyDescent="0.2">
      <c r="B703" s="65" t="s">
        <v>1297</v>
      </c>
      <c r="D703" t="s">
        <v>6582</v>
      </c>
      <c r="E703" s="69" t="s">
        <v>6204</v>
      </c>
    </row>
    <row r="704" spans="2:5" x14ac:dyDescent="0.2">
      <c r="B704" s="65" t="s">
        <v>1296</v>
      </c>
      <c r="D704" t="s">
        <v>6582</v>
      </c>
      <c r="E704" s="69" t="s">
        <v>6203</v>
      </c>
    </row>
    <row r="705" spans="2:5" x14ac:dyDescent="0.2">
      <c r="B705" s="65" t="s">
        <v>1298</v>
      </c>
      <c r="D705" s="69" t="s">
        <v>6582</v>
      </c>
      <c r="E705" s="69" t="s">
        <v>6205</v>
      </c>
    </row>
    <row r="706" spans="2:5" x14ac:dyDescent="0.2">
      <c r="B706" s="65" t="s">
        <v>1299</v>
      </c>
      <c r="D706" s="69" t="s">
        <v>6582</v>
      </c>
      <c r="E706" s="69" t="s">
        <v>6206</v>
      </c>
    </row>
    <row r="707" spans="2:5" x14ac:dyDescent="0.2">
      <c r="B707" s="65" t="s">
        <v>1291</v>
      </c>
      <c r="D707" s="69" t="s">
        <v>6582</v>
      </c>
      <c r="E707" s="69" t="s">
        <v>6196</v>
      </c>
    </row>
    <row r="708" spans="2:5" x14ac:dyDescent="0.2">
      <c r="B708" s="65" t="s">
        <v>1301</v>
      </c>
      <c r="D708" s="69" t="s">
        <v>6582</v>
      </c>
      <c r="E708" s="69" t="s">
        <v>6208</v>
      </c>
    </row>
    <row r="709" spans="2:5" x14ac:dyDescent="0.2">
      <c r="B709" s="65" t="s">
        <v>1300</v>
      </c>
      <c r="D709" s="69" t="s">
        <v>6582</v>
      </c>
      <c r="E709" s="69" t="s">
        <v>6207</v>
      </c>
    </row>
    <row r="710" spans="2:5" x14ac:dyDescent="0.2">
      <c r="B710" s="65" t="s">
        <v>1302</v>
      </c>
      <c r="D710" s="69" t="s">
        <v>6582</v>
      </c>
      <c r="E710" s="69" t="s">
        <v>6209</v>
      </c>
    </row>
    <row r="711" spans="2:5" x14ac:dyDescent="0.2">
      <c r="B711" s="65" t="s">
        <v>1304</v>
      </c>
      <c r="D711" s="69" t="s">
        <v>6582</v>
      </c>
      <c r="E711" s="69" t="s">
        <v>6211</v>
      </c>
    </row>
    <row r="712" spans="2:5" x14ac:dyDescent="0.2">
      <c r="B712" s="65" t="s">
        <v>1303</v>
      </c>
      <c r="D712" s="69" t="s">
        <v>6582</v>
      </c>
      <c r="E712" s="69" t="s">
        <v>6210</v>
      </c>
    </row>
    <row r="713" spans="2:5" x14ac:dyDescent="0.2">
      <c r="B713" s="65" t="s">
        <v>1292</v>
      </c>
      <c r="D713" s="69" t="s">
        <v>6582</v>
      </c>
      <c r="E713" s="69" t="s">
        <v>6197</v>
      </c>
    </row>
    <row r="714" spans="2:5" x14ac:dyDescent="0.2">
      <c r="B714" s="65" t="s">
        <v>1308</v>
      </c>
      <c r="D714" s="69" t="s">
        <v>6582</v>
      </c>
      <c r="E714" s="69" t="s">
        <v>6215</v>
      </c>
    </row>
    <row r="715" spans="2:5" x14ac:dyDescent="0.2">
      <c r="B715" s="65" t="s">
        <v>1305</v>
      </c>
      <c r="D715" s="69" t="s">
        <v>6582</v>
      </c>
      <c r="E715" s="69" t="s">
        <v>6212</v>
      </c>
    </row>
    <row r="716" spans="2:5" x14ac:dyDescent="0.2">
      <c r="B716" s="65" t="s">
        <v>1293</v>
      </c>
      <c r="D716" s="69" t="s">
        <v>6582</v>
      </c>
      <c r="E716" s="69" t="s">
        <v>6198</v>
      </c>
    </row>
    <row r="717" spans="2:5" x14ac:dyDescent="0.2">
      <c r="B717" s="65" t="s">
        <v>924</v>
      </c>
      <c r="D717" s="69" t="s">
        <v>6582</v>
      </c>
      <c r="E717" s="69" t="s">
        <v>6142</v>
      </c>
    </row>
    <row r="718" spans="2:5" x14ac:dyDescent="0.2">
      <c r="B718" s="65" t="s">
        <v>925</v>
      </c>
      <c r="D718" s="69" t="s">
        <v>6582</v>
      </c>
      <c r="E718" s="69" t="s">
        <v>6143</v>
      </c>
    </row>
    <row r="719" spans="2:5" x14ac:dyDescent="0.2">
      <c r="B719" s="65" t="s">
        <v>921</v>
      </c>
      <c r="D719" s="69" t="s">
        <v>6582</v>
      </c>
      <c r="E719" s="69" t="s">
        <v>6139</v>
      </c>
    </row>
    <row r="720" spans="2:5" x14ac:dyDescent="0.2">
      <c r="B720" s="65" t="s">
        <v>922</v>
      </c>
      <c r="D720" s="69" t="s">
        <v>6582</v>
      </c>
      <c r="E720" s="69" t="s">
        <v>6140</v>
      </c>
    </row>
    <row r="721" spans="2:5" x14ac:dyDescent="0.2">
      <c r="B721" s="65" t="s">
        <v>926</v>
      </c>
      <c r="D721" s="69" t="s">
        <v>6582</v>
      </c>
      <c r="E721" s="69" t="s">
        <v>6144</v>
      </c>
    </row>
    <row r="722" spans="2:5" x14ac:dyDescent="0.2">
      <c r="B722" s="65" t="s">
        <v>923</v>
      </c>
      <c r="D722" s="69" t="s">
        <v>6582</v>
      </c>
      <c r="E722" s="69" t="s">
        <v>6141</v>
      </c>
    </row>
    <row r="723" spans="2:5" x14ac:dyDescent="0.2">
      <c r="B723" s="65" t="s">
        <v>3248</v>
      </c>
      <c r="D723" s="69" t="s">
        <v>6582</v>
      </c>
      <c r="E723" s="100" t="s">
        <v>6145</v>
      </c>
    </row>
    <row r="724" spans="2:5" x14ac:dyDescent="0.2">
      <c r="B724" s="65" t="s">
        <v>3239</v>
      </c>
      <c r="D724" s="69" t="s">
        <v>6582</v>
      </c>
      <c r="E724" s="100" t="s">
        <v>6117</v>
      </c>
    </row>
    <row r="725" spans="2:5" x14ac:dyDescent="0.2">
      <c r="B725" s="65" t="s">
        <v>906</v>
      </c>
      <c r="C725" t="s">
        <v>6118</v>
      </c>
      <c r="D725" s="69" t="s">
        <v>6582</v>
      </c>
      <c r="E725" s="69" t="s">
        <v>6119</v>
      </c>
    </row>
    <row r="726" spans="2:5" x14ac:dyDescent="0.2">
      <c r="B726" s="65" t="s">
        <v>3238</v>
      </c>
      <c r="D726" s="69" t="s">
        <v>6582</v>
      </c>
      <c r="E726" s="100" t="s">
        <v>6116</v>
      </c>
    </row>
    <row r="727" spans="2:5" x14ac:dyDescent="0.2">
      <c r="B727" s="65" t="s">
        <v>1394</v>
      </c>
      <c r="D727" s="69" t="s">
        <v>6580</v>
      </c>
      <c r="E727" s="69" t="s">
        <v>6243</v>
      </c>
    </row>
    <row r="728" spans="2:5" x14ac:dyDescent="0.2">
      <c r="B728" s="65" t="s">
        <v>1392</v>
      </c>
      <c r="D728" s="69" t="s">
        <v>6580</v>
      </c>
      <c r="E728" s="69" t="s">
        <v>3969</v>
      </c>
    </row>
    <row r="729" spans="2:5" x14ac:dyDescent="0.2">
      <c r="B729" s="65" t="s">
        <v>919</v>
      </c>
      <c r="D729" t="s">
        <v>6580</v>
      </c>
      <c r="E729" s="69" t="s">
        <v>3970</v>
      </c>
    </row>
    <row r="730" spans="2:5" x14ac:dyDescent="0.2">
      <c r="B730" s="65" t="s">
        <v>3407</v>
      </c>
      <c r="C730" t="s">
        <v>4153</v>
      </c>
      <c r="D730" s="69" t="s">
        <v>6580</v>
      </c>
      <c r="E730" s="69" t="s">
        <v>4154</v>
      </c>
    </row>
    <row r="731" spans="2:5" x14ac:dyDescent="0.2">
      <c r="B731" s="65" t="s">
        <v>760</v>
      </c>
      <c r="C731" t="s">
        <v>4153</v>
      </c>
      <c r="D731" s="69" t="s">
        <v>6580</v>
      </c>
      <c r="E731" s="69" t="s">
        <v>4155</v>
      </c>
    </row>
    <row r="732" spans="2:5" x14ac:dyDescent="0.2">
      <c r="B732" s="65" t="s">
        <v>3392</v>
      </c>
      <c r="D732" s="69" t="s">
        <v>6582</v>
      </c>
      <c r="E732" s="100" t="s">
        <v>6220</v>
      </c>
    </row>
    <row r="733" spans="2:5" x14ac:dyDescent="0.2">
      <c r="B733" s="65" t="s">
        <v>3391</v>
      </c>
      <c r="D733" s="69" t="s">
        <v>6582</v>
      </c>
      <c r="E733" s="100" t="s">
        <v>6219</v>
      </c>
    </row>
    <row r="734" spans="2:5" x14ac:dyDescent="0.2">
      <c r="B734" s="65" t="s">
        <v>3390</v>
      </c>
      <c r="D734" s="69" t="s">
        <v>6582</v>
      </c>
      <c r="E734" s="100" t="s">
        <v>6218</v>
      </c>
    </row>
    <row r="735" spans="2:5" x14ac:dyDescent="0.2">
      <c r="B735" s="65" t="s">
        <v>3389</v>
      </c>
      <c r="D735" s="69" t="s">
        <v>6582</v>
      </c>
      <c r="E735" s="100" t="s">
        <v>6217</v>
      </c>
    </row>
    <row r="736" spans="2:5" x14ac:dyDescent="0.2">
      <c r="B736" s="65" t="s">
        <v>3393</v>
      </c>
      <c r="D736" s="69" t="s">
        <v>6582</v>
      </c>
      <c r="E736" s="100" t="s">
        <v>6221</v>
      </c>
    </row>
    <row r="737" spans="2:5" x14ac:dyDescent="0.2">
      <c r="B737" s="65" t="s">
        <v>1270</v>
      </c>
      <c r="D737" s="69" t="s">
        <v>6582</v>
      </c>
      <c r="E737" s="69" t="s">
        <v>6176</v>
      </c>
    </row>
    <row r="738" spans="2:5" x14ac:dyDescent="0.2">
      <c r="B738" s="65" t="s">
        <v>1250</v>
      </c>
      <c r="D738" s="69" t="s">
        <v>6582</v>
      </c>
      <c r="E738" s="69" t="s">
        <v>6157</v>
      </c>
    </row>
    <row r="739" spans="2:5" x14ac:dyDescent="0.2">
      <c r="B739" s="65" t="s">
        <v>1278</v>
      </c>
      <c r="D739" s="69" t="s">
        <v>6582</v>
      </c>
      <c r="E739" s="69" t="s">
        <v>6183</v>
      </c>
    </row>
    <row r="740" spans="2:5" x14ac:dyDescent="0.2">
      <c r="B740" s="65" t="s">
        <v>1279</v>
      </c>
      <c r="D740" s="69" t="s">
        <v>6582</v>
      </c>
      <c r="E740" s="69" t="s">
        <v>6184</v>
      </c>
    </row>
    <row r="741" spans="2:5" x14ac:dyDescent="0.2">
      <c r="B741" s="65" t="s">
        <v>1280</v>
      </c>
      <c r="D741" s="69" t="s">
        <v>6582</v>
      </c>
      <c r="E741" s="69" t="s">
        <v>6185</v>
      </c>
    </row>
    <row r="742" spans="2:5" x14ac:dyDescent="0.2">
      <c r="B742" s="65" t="s">
        <v>1281</v>
      </c>
      <c r="D742" s="69" t="s">
        <v>6582</v>
      </c>
      <c r="E742" s="69" t="s">
        <v>6186</v>
      </c>
    </row>
    <row r="743" spans="2:5" x14ac:dyDescent="0.2">
      <c r="B743" s="65" t="s">
        <v>1271</v>
      </c>
      <c r="D743" s="69" t="s">
        <v>6582</v>
      </c>
      <c r="E743" s="69" t="s">
        <v>6176</v>
      </c>
    </row>
    <row r="744" spans="2:5" x14ac:dyDescent="0.2">
      <c r="B744" s="65" t="s">
        <v>1251</v>
      </c>
      <c r="D744" s="69" t="s">
        <v>6582</v>
      </c>
      <c r="E744" s="69" t="s">
        <v>6156</v>
      </c>
    </row>
    <row r="745" spans="2:5" x14ac:dyDescent="0.2">
      <c r="B745" s="65" t="s">
        <v>1272</v>
      </c>
      <c r="D745" s="69" t="s">
        <v>6582</v>
      </c>
      <c r="E745" s="69" t="s">
        <v>6177</v>
      </c>
    </row>
    <row r="746" spans="2:5" x14ac:dyDescent="0.2">
      <c r="B746" s="65" t="s">
        <v>1254</v>
      </c>
      <c r="D746" s="69" t="s">
        <v>6582</v>
      </c>
      <c r="E746" s="69" t="s">
        <v>6160</v>
      </c>
    </row>
    <row r="747" spans="2:5" x14ac:dyDescent="0.2">
      <c r="B747" s="65" t="s">
        <v>1273</v>
      </c>
      <c r="D747" s="69" t="s">
        <v>6582</v>
      </c>
      <c r="E747" s="69" t="s">
        <v>6178</v>
      </c>
    </row>
    <row r="748" spans="2:5" x14ac:dyDescent="0.2">
      <c r="B748" s="65" t="s">
        <v>1255</v>
      </c>
      <c r="D748" s="69" t="s">
        <v>6582</v>
      </c>
      <c r="E748" s="69" t="s">
        <v>6161</v>
      </c>
    </row>
    <row r="749" spans="2:5" x14ac:dyDescent="0.2">
      <c r="B749" s="65" t="s">
        <v>1274</v>
      </c>
      <c r="D749" s="69" t="s">
        <v>6582</v>
      </c>
      <c r="E749" s="69" t="s">
        <v>6179</v>
      </c>
    </row>
    <row r="750" spans="2:5" x14ac:dyDescent="0.2">
      <c r="B750" s="65" t="s">
        <v>1275</v>
      </c>
      <c r="D750" s="69" t="s">
        <v>6582</v>
      </c>
      <c r="E750" s="69" t="s">
        <v>6180</v>
      </c>
    </row>
    <row r="751" spans="2:5" x14ac:dyDescent="0.2">
      <c r="B751" s="65" t="s">
        <v>1276</v>
      </c>
      <c r="D751" s="69" t="s">
        <v>6582</v>
      </c>
      <c r="E751" s="69" t="s">
        <v>6181</v>
      </c>
    </row>
    <row r="752" spans="2:5" x14ac:dyDescent="0.2">
      <c r="B752" s="65" t="s">
        <v>1277</v>
      </c>
      <c r="D752" s="69" t="s">
        <v>6582</v>
      </c>
      <c r="E752" s="69" t="s">
        <v>6182</v>
      </c>
    </row>
    <row r="753" spans="2:5" x14ac:dyDescent="0.2">
      <c r="B753" s="65" t="s">
        <v>1258</v>
      </c>
      <c r="D753" s="69" t="s">
        <v>6582</v>
      </c>
      <c r="E753" s="69" t="s">
        <v>6164</v>
      </c>
    </row>
    <row r="754" spans="2:5" x14ac:dyDescent="0.2">
      <c r="B754" s="65" t="s">
        <v>1248</v>
      </c>
      <c r="D754" s="69" t="s">
        <v>6582</v>
      </c>
      <c r="E754" s="69" t="s">
        <v>6156</v>
      </c>
    </row>
    <row r="755" spans="2:5" x14ac:dyDescent="0.2">
      <c r="B755" s="65" t="s">
        <v>1266</v>
      </c>
      <c r="D755" s="69" t="s">
        <v>6582</v>
      </c>
      <c r="E755" s="69" t="s">
        <v>6172</v>
      </c>
    </row>
    <row r="756" spans="2:5" x14ac:dyDescent="0.2">
      <c r="B756" s="65" t="s">
        <v>1267</v>
      </c>
      <c r="D756" s="69" t="s">
        <v>6582</v>
      </c>
      <c r="E756" s="69" t="s">
        <v>6173</v>
      </c>
    </row>
    <row r="757" spans="2:5" x14ac:dyDescent="0.2">
      <c r="B757" s="65" t="s">
        <v>1268</v>
      </c>
      <c r="D757" s="69" t="s">
        <v>6582</v>
      </c>
      <c r="E757" s="69" t="s">
        <v>6174</v>
      </c>
    </row>
    <row r="758" spans="2:5" x14ac:dyDescent="0.2">
      <c r="B758" s="65" t="s">
        <v>1269</v>
      </c>
      <c r="D758" s="69" t="s">
        <v>6582</v>
      </c>
      <c r="E758" s="69" t="s">
        <v>6175</v>
      </c>
    </row>
    <row r="759" spans="2:5" x14ac:dyDescent="0.2">
      <c r="B759" s="65" t="s">
        <v>1259</v>
      </c>
      <c r="D759" s="69" t="s">
        <v>6582</v>
      </c>
      <c r="E759" s="69" t="s">
        <v>6165</v>
      </c>
    </row>
    <row r="760" spans="2:5" x14ac:dyDescent="0.2">
      <c r="B760" s="65" t="s">
        <v>1249</v>
      </c>
      <c r="D760" s="69" t="s">
        <v>6582</v>
      </c>
      <c r="E760" s="69" t="s">
        <v>6157</v>
      </c>
    </row>
    <row r="761" spans="2:5" x14ac:dyDescent="0.2">
      <c r="B761" s="65" t="s">
        <v>1260</v>
      </c>
      <c r="D761" s="69" t="s">
        <v>6582</v>
      </c>
      <c r="E761" s="69" t="s">
        <v>6166</v>
      </c>
    </row>
    <row r="762" spans="2:5" x14ac:dyDescent="0.2">
      <c r="B762" s="65" t="s">
        <v>1252</v>
      </c>
      <c r="D762" s="69" t="s">
        <v>6582</v>
      </c>
      <c r="E762" s="69" t="s">
        <v>6158</v>
      </c>
    </row>
    <row r="763" spans="2:5" x14ac:dyDescent="0.2">
      <c r="B763" s="65" t="s">
        <v>1261</v>
      </c>
      <c r="D763" s="69" t="s">
        <v>6582</v>
      </c>
      <c r="E763" s="69" t="s">
        <v>6167</v>
      </c>
    </row>
    <row r="764" spans="2:5" x14ac:dyDescent="0.2">
      <c r="B764" s="65" t="s">
        <v>1253</v>
      </c>
      <c r="D764" s="69" t="s">
        <v>6582</v>
      </c>
      <c r="E764" s="69" t="s">
        <v>6159</v>
      </c>
    </row>
    <row r="765" spans="2:5" x14ac:dyDescent="0.2">
      <c r="B765" s="65" t="s">
        <v>1262</v>
      </c>
      <c r="D765" s="69" t="s">
        <v>6582</v>
      </c>
      <c r="E765" s="69" t="s">
        <v>6168</v>
      </c>
    </row>
    <row r="766" spans="2:5" x14ac:dyDescent="0.2">
      <c r="B766" s="65" t="s">
        <v>1263</v>
      </c>
      <c r="D766" s="69" t="s">
        <v>6582</v>
      </c>
      <c r="E766" s="69" t="s">
        <v>6169</v>
      </c>
    </row>
    <row r="767" spans="2:5" x14ac:dyDescent="0.2">
      <c r="B767" s="65" t="s">
        <v>1264</v>
      </c>
      <c r="D767" s="69" t="s">
        <v>6582</v>
      </c>
      <c r="E767" s="69" t="s">
        <v>6170</v>
      </c>
    </row>
    <row r="768" spans="2:5" x14ac:dyDescent="0.2">
      <c r="B768" s="65" t="s">
        <v>1265</v>
      </c>
      <c r="D768" s="69" t="s">
        <v>6582</v>
      </c>
      <c r="E768" s="69" t="s">
        <v>6171</v>
      </c>
    </row>
    <row r="769" spans="2:5" x14ac:dyDescent="0.2">
      <c r="B769" s="65" t="s">
        <v>1257</v>
      </c>
      <c r="D769" s="69" t="s">
        <v>6582</v>
      </c>
      <c r="E769" s="69" t="s">
        <v>6163</v>
      </c>
    </row>
    <row r="770" spans="2:5" x14ac:dyDescent="0.2">
      <c r="B770" s="65" t="s">
        <v>1256</v>
      </c>
      <c r="D770" s="69" t="s">
        <v>6582</v>
      </c>
      <c r="E770" s="69" t="s">
        <v>6162</v>
      </c>
    </row>
    <row r="771" spans="2:5" x14ac:dyDescent="0.2">
      <c r="B771" s="65" t="s">
        <v>1247</v>
      </c>
      <c r="D771" s="69" t="s">
        <v>6582</v>
      </c>
      <c r="E771" s="69" t="s">
        <v>6155</v>
      </c>
    </row>
    <row r="772" spans="2:5" x14ac:dyDescent="0.2">
      <c r="B772" s="65" t="s">
        <v>1246</v>
      </c>
      <c r="D772" s="69" t="s">
        <v>6582</v>
      </c>
      <c r="E772" s="69" t="s">
        <v>6154</v>
      </c>
    </row>
    <row r="773" spans="2:5" x14ac:dyDescent="0.2">
      <c r="B773" s="65" t="s">
        <v>1390</v>
      </c>
      <c r="D773" s="69" t="s">
        <v>6582</v>
      </c>
      <c r="E773" s="69" t="s">
        <v>6240</v>
      </c>
    </row>
    <row r="774" spans="2:5" x14ac:dyDescent="0.2">
      <c r="B774" s="65" t="s">
        <v>911</v>
      </c>
      <c r="D774" s="69" t="s">
        <v>6582</v>
      </c>
      <c r="E774" s="69" t="s">
        <v>6122</v>
      </c>
    </row>
    <row r="775" spans="2:5" x14ac:dyDescent="0.2">
      <c r="B775" s="65" t="s">
        <v>912</v>
      </c>
      <c r="D775" s="69" t="s">
        <v>6582</v>
      </c>
      <c r="E775" s="69" t="s">
        <v>6123</v>
      </c>
    </row>
    <row r="776" spans="2:5" x14ac:dyDescent="0.2">
      <c r="B776" s="65" t="s">
        <v>3241</v>
      </c>
      <c r="D776" s="69" t="s">
        <v>6582</v>
      </c>
      <c r="E776" s="69" t="s">
        <v>6120</v>
      </c>
    </row>
    <row r="777" spans="2:5" x14ac:dyDescent="0.2">
      <c r="B777" s="65" t="s">
        <v>910</v>
      </c>
      <c r="D777" s="69" t="s">
        <v>6582</v>
      </c>
      <c r="E777" s="69" t="s">
        <v>6124</v>
      </c>
    </row>
    <row r="778" spans="2:5" x14ac:dyDescent="0.2">
      <c r="B778" s="65" t="s">
        <v>3247</v>
      </c>
      <c r="D778" s="69" t="s">
        <v>6582</v>
      </c>
      <c r="E778" s="100" t="s">
        <v>6130</v>
      </c>
    </row>
    <row r="779" spans="2:5" x14ac:dyDescent="0.2">
      <c r="B779" s="65" t="s">
        <v>1388</v>
      </c>
      <c r="D779" s="69" t="s">
        <v>6582</v>
      </c>
      <c r="E779" s="69" t="s">
        <v>6238</v>
      </c>
    </row>
    <row r="780" spans="2:5" x14ac:dyDescent="0.2">
      <c r="B780" s="65" t="s">
        <v>908</v>
      </c>
      <c r="D780" s="69" t="s">
        <v>6582</v>
      </c>
      <c r="E780" s="69" t="s">
        <v>6122</v>
      </c>
    </row>
    <row r="781" spans="2:5" x14ac:dyDescent="0.2">
      <c r="B781" s="65" t="s">
        <v>1389</v>
      </c>
      <c r="D781" s="69" t="s">
        <v>6582</v>
      </c>
      <c r="E781" s="69" t="s">
        <v>6239</v>
      </c>
    </row>
    <row r="782" spans="2:5" x14ac:dyDescent="0.2">
      <c r="B782" s="65" t="s">
        <v>909</v>
      </c>
      <c r="D782" s="69" t="s">
        <v>6582</v>
      </c>
      <c r="E782" s="69" t="s">
        <v>6123</v>
      </c>
    </row>
    <row r="783" spans="2:5" x14ac:dyDescent="0.2">
      <c r="B783" s="65" t="s">
        <v>3240</v>
      </c>
      <c r="D783" s="69" t="s">
        <v>6582</v>
      </c>
      <c r="E783" s="69" t="s">
        <v>6120</v>
      </c>
    </row>
    <row r="784" spans="2:5" x14ac:dyDescent="0.2">
      <c r="B784" s="65" t="s">
        <v>907</v>
      </c>
      <c r="D784" s="69" t="s">
        <v>6582</v>
      </c>
      <c r="E784" s="69" t="s">
        <v>6121</v>
      </c>
    </row>
    <row r="785" spans="2:5" x14ac:dyDescent="0.2">
      <c r="B785" s="65" t="s">
        <v>3243</v>
      </c>
      <c r="D785" s="69" t="s">
        <v>6582</v>
      </c>
      <c r="E785" s="100" t="s">
        <v>6126</v>
      </c>
    </row>
    <row r="786" spans="2:5" x14ac:dyDescent="0.2">
      <c r="B786" s="65" t="s">
        <v>3242</v>
      </c>
      <c r="D786" s="69" t="s">
        <v>6582</v>
      </c>
      <c r="E786" s="100" t="s">
        <v>6125</v>
      </c>
    </row>
    <row r="787" spans="2:5" x14ac:dyDescent="0.2">
      <c r="B787" s="65" t="s">
        <v>3246</v>
      </c>
      <c r="D787" s="69" t="s">
        <v>6582</v>
      </c>
      <c r="E787" s="100" t="s">
        <v>6129</v>
      </c>
    </row>
    <row r="788" spans="2:5" x14ac:dyDescent="0.2">
      <c r="B788" s="65" t="s">
        <v>3189</v>
      </c>
      <c r="D788" s="69" t="s">
        <v>6582</v>
      </c>
      <c r="E788" s="100" t="s">
        <v>6131</v>
      </c>
    </row>
    <row r="789" spans="2:5" x14ac:dyDescent="0.2">
      <c r="B789" s="65" t="s">
        <v>3245</v>
      </c>
      <c r="D789" s="69" t="s">
        <v>6582</v>
      </c>
      <c r="E789" s="100" t="s">
        <v>6128</v>
      </c>
    </row>
    <row r="790" spans="2:5" x14ac:dyDescent="0.2">
      <c r="B790" s="65" t="s">
        <v>3244</v>
      </c>
      <c r="D790" s="69" t="s">
        <v>6582</v>
      </c>
      <c r="E790" s="100" t="s">
        <v>6127</v>
      </c>
    </row>
    <row r="791" spans="2:5" x14ac:dyDescent="0.2">
      <c r="B791" s="65" t="s">
        <v>1385</v>
      </c>
      <c r="D791" s="69" t="s">
        <v>6582</v>
      </c>
      <c r="E791" s="69" t="s">
        <v>6236</v>
      </c>
    </row>
    <row r="792" spans="2:5" x14ac:dyDescent="0.2">
      <c r="B792" s="65" t="s">
        <v>3406</v>
      </c>
      <c r="D792" s="69" t="s">
        <v>6582</v>
      </c>
      <c r="E792" s="100" t="s">
        <v>6237</v>
      </c>
    </row>
    <row r="793" spans="2:5" x14ac:dyDescent="0.2">
      <c r="B793" s="65" t="s">
        <v>1373</v>
      </c>
      <c r="D793" s="69" t="s">
        <v>4245</v>
      </c>
      <c r="E793" s="69" t="s">
        <v>6222</v>
      </c>
    </row>
    <row r="794" spans="2:5" x14ac:dyDescent="0.2">
      <c r="B794" s="65" t="s">
        <v>3404</v>
      </c>
      <c r="D794" s="69" t="s">
        <v>4266</v>
      </c>
      <c r="E794" s="100" t="s">
        <v>6586</v>
      </c>
    </row>
    <row r="795" spans="2:5" x14ac:dyDescent="0.2">
      <c r="B795" s="65" t="s">
        <v>1374</v>
      </c>
      <c r="D795" s="69" t="s">
        <v>4248</v>
      </c>
      <c r="E795" s="69" t="s">
        <v>6223</v>
      </c>
    </row>
    <row r="796" spans="2:5" x14ac:dyDescent="0.2">
      <c r="B796" s="65" t="s">
        <v>1375</v>
      </c>
      <c r="D796" s="69" t="s">
        <v>4250</v>
      </c>
      <c r="E796" s="69" t="s">
        <v>6224</v>
      </c>
    </row>
    <row r="797" spans="2:5" x14ac:dyDescent="0.2">
      <c r="B797" s="65" t="s">
        <v>1376</v>
      </c>
      <c r="D797" s="69" t="s">
        <v>4258</v>
      </c>
      <c r="E797" s="69" t="s">
        <v>6225</v>
      </c>
    </row>
    <row r="798" spans="2:5" x14ac:dyDescent="0.2">
      <c r="B798" s="65" t="s">
        <v>3403</v>
      </c>
      <c r="D798" s="69" t="s">
        <v>4262</v>
      </c>
      <c r="E798" s="100" t="s">
        <v>6226</v>
      </c>
    </row>
    <row r="799" spans="2:5" x14ac:dyDescent="0.2">
      <c r="B799" s="65" t="s">
        <v>1377</v>
      </c>
      <c r="D799" s="69" t="s">
        <v>4264</v>
      </c>
      <c r="E799" s="69" t="s">
        <v>6227</v>
      </c>
    </row>
    <row r="800" spans="2:5" x14ac:dyDescent="0.2">
      <c r="B800" s="65" t="s">
        <v>1378</v>
      </c>
      <c r="D800" s="69" t="s">
        <v>4268</v>
      </c>
      <c r="E800" s="69" t="s">
        <v>6228</v>
      </c>
    </row>
    <row r="801" spans="2:5" x14ac:dyDescent="0.2">
      <c r="B801" s="65" t="s">
        <v>1379</v>
      </c>
      <c r="D801" s="69" t="s">
        <v>4274</v>
      </c>
      <c r="E801" s="69" t="s">
        <v>6229</v>
      </c>
    </row>
    <row r="802" spans="2:5" x14ac:dyDescent="0.2">
      <c r="B802" s="65" t="s">
        <v>1380</v>
      </c>
      <c r="D802" s="69" t="s">
        <v>4277</v>
      </c>
      <c r="E802" s="69" t="s">
        <v>6230</v>
      </c>
    </row>
    <row r="803" spans="2:5" x14ac:dyDescent="0.2">
      <c r="B803" s="65" t="s">
        <v>1381</v>
      </c>
      <c r="D803" s="69" t="s">
        <v>4280</v>
      </c>
      <c r="E803" s="69" t="s">
        <v>6231</v>
      </c>
    </row>
    <row r="804" spans="2:5" x14ac:dyDescent="0.2">
      <c r="B804" s="65" t="s">
        <v>1382</v>
      </c>
      <c r="D804" s="69" t="s">
        <v>4289</v>
      </c>
      <c r="E804" s="69" t="s">
        <v>6232</v>
      </c>
    </row>
    <row r="805" spans="2:5" x14ac:dyDescent="0.2">
      <c r="B805" s="65" t="s">
        <v>1383</v>
      </c>
      <c r="D805" s="69" t="s">
        <v>4292</v>
      </c>
      <c r="E805" s="69" t="s">
        <v>6233</v>
      </c>
    </row>
    <row r="806" spans="2:5" x14ac:dyDescent="0.2">
      <c r="B806" s="65" t="s">
        <v>3405</v>
      </c>
      <c r="D806" s="69" t="s">
        <v>4310</v>
      </c>
      <c r="E806" s="100" t="s">
        <v>6234</v>
      </c>
    </row>
    <row r="807" spans="2:5" x14ac:dyDescent="0.2">
      <c r="B807" s="65" t="s">
        <v>1384</v>
      </c>
      <c r="D807" s="69" t="s">
        <v>4315</v>
      </c>
      <c r="E807" s="69" t="s">
        <v>6235</v>
      </c>
    </row>
    <row r="808" spans="2:5" x14ac:dyDescent="0.2">
      <c r="B808" s="65" t="s">
        <v>899</v>
      </c>
      <c r="D808" s="69" t="s">
        <v>684</v>
      </c>
      <c r="E808" s="69" t="s">
        <v>6115</v>
      </c>
    </row>
    <row r="809" spans="2:5" x14ac:dyDescent="0.2">
      <c r="B809" s="65" t="s">
        <v>1386</v>
      </c>
      <c r="D809" s="69" t="s">
        <v>671</v>
      </c>
      <c r="E809" s="69" t="s">
        <v>6107</v>
      </c>
    </row>
    <row r="810" spans="2:5" x14ac:dyDescent="0.2">
      <c r="B810" s="65" t="s">
        <v>900</v>
      </c>
      <c r="D810" s="69" t="s">
        <v>673</v>
      </c>
      <c r="E810" s="69" t="s">
        <v>6108</v>
      </c>
    </row>
    <row r="811" spans="2:5" x14ac:dyDescent="0.2">
      <c r="B811" s="65" t="s">
        <v>901</v>
      </c>
      <c r="D811" s="69" t="s">
        <v>674</v>
      </c>
      <c r="E811" s="69" t="s">
        <v>6109</v>
      </c>
    </row>
    <row r="812" spans="2:5" x14ac:dyDescent="0.2">
      <c r="B812" s="65" t="s">
        <v>902</v>
      </c>
      <c r="D812" s="69" t="s">
        <v>675</v>
      </c>
      <c r="E812" s="69" t="s">
        <v>6110</v>
      </c>
    </row>
    <row r="813" spans="2:5" x14ac:dyDescent="0.2">
      <c r="B813" s="65" t="s">
        <v>903</v>
      </c>
      <c r="D813" s="69" t="s">
        <v>678</v>
      </c>
      <c r="E813" s="69" t="s">
        <v>6111</v>
      </c>
    </row>
    <row r="814" spans="2:5" x14ac:dyDescent="0.2">
      <c r="B814" s="65" t="s">
        <v>904</v>
      </c>
      <c r="D814" s="69" t="s">
        <v>679</v>
      </c>
      <c r="E814" s="69" t="s">
        <v>6112</v>
      </c>
    </row>
    <row r="815" spans="2:5" x14ac:dyDescent="0.2">
      <c r="B815" s="65" t="s">
        <v>905</v>
      </c>
      <c r="D815" s="69" t="s">
        <v>682</v>
      </c>
      <c r="E815" s="69" t="s">
        <v>6113</v>
      </c>
    </row>
    <row r="816" spans="2:5" x14ac:dyDescent="0.2">
      <c r="B816" s="65" t="s">
        <v>1387</v>
      </c>
      <c r="D816" s="69" t="s">
        <v>683</v>
      </c>
      <c r="E816" s="69" t="s">
        <v>6114</v>
      </c>
    </row>
    <row r="817" spans="2:5" x14ac:dyDescent="0.2">
      <c r="B817" s="65" t="s">
        <v>1243</v>
      </c>
      <c r="D817" s="69" t="s">
        <v>6582</v>
      </c>
      <c r="E817" s="69" t="s">
        <v>6151</v>
      </c>
    </row>
    <row r="818" spans="2:5" x14ac:dyDescent="0.2">
      <c r="B818" s="65" t="s">
        <v>1240</v>
      </c>
      <c r="D818" s="69" t="s">
        <v>6582</v>
      </c>
      <c r="E818" s="69" t="s">
        <v>6148</v>
      </c>
    </row>
    <row r="819" spans="2:5" x14ac:dyDescent="0.2">
      <c r="B819" s="65" t="s">
        <v>1285</v>
      </c>
      <c r="D819" s="69" t="s">
        <v>6582</v>
      </c>
      <c r="E819" s="69" t="s">
        <v>6190</v>
      </c>
    </row>
    <row r="820" spans="2:5" x14ac:dyDescent="0.2">
      <c r="B820" s="65" t="s">
        <v>1284</v>
      </c>
      <c r="D820" s="69" t="s">
        <v>6582</v>
      </c>
      <c r="E820" s="69" t="s">
        <v>6189</v>
      </c>
    </row>
    <row r="821" spans="2:5" x14ac:dyDescent="0.2">
      <c r="B821" s="65" t="s">
        <v>1244</v>
      </c>
      <c r="D821" s="69" t="s">
        <v>6582</v>
      </c>
      <c r="E821" s="69" t="s">
        <v>6152</v>
      </c>
    </row>
    <row r="822" spans="2:5" x14ac:dyDescent="0.2">
      <c r="B822" s="65" t="s">
        <v>1241</v>
      </c>
      <c r="D822" s="69" t="s">
        <v>6582</v>
      </c>
      <c r="E822" s="69" t="s">
        <v>6149</v>
      </c>
    </row>
    <row r="823" spans="2:5" x14ac:dyDescent="0.2">
      <c r="B823" s="65" t="s">
        <v>1245</v>
      </c>
      <c r="D823" s="69" t="s">
        <v>6582</v>
      </c>
      <c r="E823" s="69" t="s">
        <v>6153</v>
      </c>
    </row>
    <row r="824" spans="2:5" x14ac:dyDescent="0.2">
      <c r="B824" s="65" t="s">
        <v>1242</v>
      </c>
      <c r="D824" s="69" t="s">
        <v>6582</v>
      </c>
      <c r="E824" s="69" t="s">
        <v>6150</v>
      </c>
    </row>
    <row r="825" spans="2:5" x14ac:dyDescent="0.2">
      <c r="B825" s="65" t="s">
        <v>914</v>
      </c>
      <c r="D825" s="69" t="s">
        <v>6582</v>
      </c>
      <c r="E825" s="69" t="s">
        <v>6133</v>
      </c>
    </row>
    <row r="826" spans="2:5" x14ac:dyDescent="0.2">
      <c r="B826" s="65" t="s">
        <v>1391</v>
      </c>
      <c r="D826" s="69" t="s">
        <v>6582</v>
      </c>
      <c r="E826" s="69" t="s">
        <v>6241</v>
      </c>
    </row>
    <row r="827" spans="2:5" x14ac:dyDescent="0.2">
      <c r="B827" s="65" t="s">
        <v>915</v>
      </c>
      <c r="D827" s="69" t="s">
        <v>6582</v>
      </c>
      <c r="E827" s="69" t="s">
        <v>6134</v>
      </c>
    </row>
    <row r="828" spans="2:5" x14ac:dyDescent="0.2">
      <c r="B828" s="65" t="s">
        <v>913</v>
      </c>
      <c r="D828" s="69" t="s">
        <v>6582</v>
      </c>
      <c r="E828" s="69" t="s">
        <v>6132</v>
      </c>
    </row>
    <row r="829" spans="2:5" x14ac:dyDescent="0.2">
      <c r="B829" s="65" t="s">
        <v>210</v>
      </c>
      <c r="D829" s="69" t="s">
        <v>6580</v>
      </c>
      <c r="E829" s="69" t="s">
        <v>4319</v>
      </c>
    </row>
    <row r="830" spans="2:5" x14ac:dyDescent="0.2">
      <c r="B830" s="65" t="s">
        <v>211</v>
      </c>
      <c r="D830" s="69" t="s">
        <v>6580</v>
      </c>
      <c r="E830" s="69" t="s">
        <v>4320</v>
      </c>
    </row>
    <row r="831" spans="2:5" x14ac:dyDescent="0.2">
      <c r="B831" s="65" t="s">
        <v>212</v>
      </c>
      <c r="D831" s="69" t="s">
        <v>6580</v>
      </c>
      <c r="E831" s="69" t="s">
        <v>4321</v>
      </c>
    </row>
    <row r="832" spans="2:5" x14ac:dyDescent="0.2">
      <c r="B832" s="65" t="s">
        <v>215</v>
      </c>
      <c r="D832" s="69" t="s">
        <v>6580</v>
      </c>
      <c r="E832" s="69" t="s">
        <v>4322</v>
      </c>
    </row>
    <row r="833" spans="2:5" x14ac:dyDescent="0.2">
      <c r="B833" s="65" t="s">
        <v>688</v>
      </c>
      <c r="D833" s="69" t="s">
        <v>6580</v>
      </c>
      <c r="E833" s="69" t="s">
        <v>4323</v>
      </c>
    </row>
    <row r="834" spans="2:5" x14ac:dyDescent="0.2">
      <c r="B834" s="65" t="s">
        <v>687</v>
      </c>
      <c r="D834" s="69" t="s">
        <v>6580</v>
      </c>
      <c r="E834" s="69" t="s">
        <v>4324</v>
      </c>
    </row>
    <row r="835" spans="2:5" x14ac:dyDescent="0.2">
      <c r="B835" s="65" t="s">
        <v>1282</v>
      </c>
      <c r="D835" s="69" t="s">
        <v>6582</v>
      </c>
      <c r="E835" s="69" t="s">
        <v>6187</v>
      </c>
    </row>
    <row r="836" spans="2:5" x14ac:dyDescent="0.2">
      <c r="B836" s="65" t="s">
        <v>1283</v>
      </c>
      <c r="D836" s="69" t="s">
        <v>6582</v>
      </c>
      <c r="E836" s="69" t="s">
        <v>6188</v>
      </c>
    </row>
    <row r="837" spans="2:5" x14ac:dyDescent="0.2">
      <c r="B837" s="65" t="s">
        <v>1239</v>
      </c>
      <c r="D837" s="69" t="s">
        <v>6582</v>
      </c>
      <c r="E837" s="69" t="s">
        <v>6147</v>
      </c>
    </row>
    <row r="838" spans="2:5" x14ac:dyDescent="0.2">
      <c r="B838" s="65" t="s">
        <v>1236</v>
      </c>
      <c r="D838" s="69" t="s">
        <v>6582</v>
      </c>
      <c r="E838" s="69" t="s">
        <v>6146</v>
      </c>
    </row>
    <row r="839" spans="2:5" x14ac:dyDescent="0.2">
      <c r="B839" s="65" t="s">
        <v>213</v>
      </c>
      <c r="D839" s="69" t="s">
        <v>6580</v>
      </c>
      <c r="E839" s="69" t="s">
        <v>4325</v>
      </c>
    </row>
    <row r="840" spans="2:5" x14ac:dyDescent="0.2">
      <c r="B840" s="65" t="s">
        <v>1238</v>
      </c>
      <c r="D840" s="69" t="s">
        <v>6580</v>
      </c>
      <c r="E840" s="69" t="s">
        <v>4326</v>
      </c>
    </row>
    <row r="841" spans="2:5" x14ac:dyDescent="0.2">
      <c r="B841" s="65" t="s">
        <v>689</v>
      </c>
      <c r="D841" s="69" t="s">
        <v>6580</v>
      </c>
      <c r="E841" s="69" t="s">
        <v>4327</v>
      </c>
    </row>
    <row r="842" spans="2:5" x14ac:dyDescent="0.2">
      <c r="B842" s="65" t="s">
        <v>1237</v>
      </c>
      <c r="D842" s="69" t="s">
        <v>6580</v>
      </c>
      <c r="E842" s="69" t="s">
        <v>4328</v>
      </c>
    </row>
    <row r="843" spans="2:5" x14ac:dyDescent="0.2">
      <c r="B843" s="65" t="s">
        <v>690</v>
      </c>
      <c r="D843" s="69" t="s">
        <v>6580</v>
      </c>
      <c r="E843" s="69" t="s">
        <v>4329</v>
      </c>
    </row>
    <row r="844" spans="2:5" x14ac:dyDescent="0.2">
      <c r="B844" s="65" t="s">
        <v>691</v>
      </c>
      <c r="D844" s="69" t="s">
        <v>6580</v>
      </c>
      <c r="E844" s="69" t="s">
        <v>4330</v>
      </c>
    </row>
    <row r="845" spans="2:5" x14ac:dyDescent="0.2">
      <c r="B845" s="65" t="s">
        <v>692</v>
      </c>
      <c r="D845" s="69" t="s">
        <v>6580</v>
      </c>
      <c r="E845" s="69" t="s">
        <v>4331</v>
      </c>
    </row>
    <row r="846" spans="2:5" x14ac:dyDescent="0.2">
      <c r="B846" s="65" t="s">
        <v>214</v>
      </c>
      <c r="D846" s="69" t="s">
        <v>6580</v>
      </c>
      <c r="E846" s="69" t="s">
        <v>4332</v>
      </c>
    </row>
    <row r="847" spans="2:5" x14ac:dyDescent="0.2">
      <c r="B847" s="65" t="s">
        <v>693</v>
      </c>
      <c r="D847" s="69" t="s">
        <v>6580</v>
      </c>
      <c r="E847" s="69" t="s">
        <v>4333</v>
      </c>
    </row>
    <row r="848" spans="2:5" x14ac:dyDescent="0.2">
      <c r="B848" s="65" t="s">
        <v>694</v>
      </c>
      <c r="D848" s="69" t="s">
        <v>6580</v>
      </c>
      <c r="E848" s="100" t="s">
        <v>4334</v>
      </c>
    </row>
    <row r="849" spans="2:5" x14ac:dyDescent="0.2">
      <c r="B849" s="65" t="s">
        <v>916</v>
      </c>
      <c r="D849" s="69" t="s">
        <v>6582</v>
      </c>
      <c r="E849" s="69" t="s">
        <v>6135</v>
      </c>
    </row>
    <row r="850" spans="2:5" x14ac:dyDescent="0.2">
      <c r="B850" s="65" t="s">
        <v>917</v>
      </c>
      <c r="D850" s="69" t="s">
        <v>6582</v>
      </c>
      <c r="E850" s="69" t="s">
        <v>6136</v>
      </c>
    </row>
    <row r="851" spans="2:5" x14ac:dyDescent="0.2">
      <c r="B851" s="65" t="s">
        <v>918</v>
      </c>
      <c r="D851" s="69" t="s">
        <v>6582</v>
      </c>
      <c r="E851" s="69" t="s">
        <v>6137</v>
      </c>
    </row>
    <row r="852" spans="2:5" x14ac:dyDescent="0.2">
      <c r="B852" s="65" t="s">
        <v>118</v>
      </c>
      <c r="D852" s="69" t="s">
        <v>6580</v>
      </c>
      <c r="E852" s="69" t="s">
        <v>4335</v>
      </c>
    </row>
    <row r="853" spans="2:5" x14ac:dyDescent="0.2">
      <c r="B853" s="65" t="s">
        <v>897</v>
      </c>
      <c r="D853" s="69" t="s">
        <v>1990</v>
      </c>
      <c r="E853" s="69" t="s">
        <v>6104</v>
      </c>
    </row>
    <row r="854" spans="2:5" x14ac:dyDescent="0.2">
      <c r="B854" s="65" t="s">
        <v>898</v>
      </c>
      <c r="D854" s="69" t="s">
        <v>1991</v>
      </c>
      <c r="E854" s="69" t="s">
        <v>6105</v>
      </c>
    </row>
    <row r="855" spans="2:5" x14ac:dyDescent="0.2">
      <c r="B855" s="65" t="s">
        <v>616</v>
      </c>
      <c r="D855" s="69" t="s">
        <v>6580</v>
      </c>
      <c r="E855" s="69" t="s">
        <v>4338</v>
      </c>
    </row>
    <row r="856" spans="2:5" x14ac:dyDescent="0.2">
      <c r="B856" s="65" t="s">
        <v>614</v>
      </c>
      <c r="D856" s="69" t="s">
        <v>6580</v>
      </c>
      <c r="E856" s="69" t="s">
        <v>4339</v>
      </c>
    </row>
    <row r="857" spans="2:5" x14ac:dyDescent="0.2">
      <c r="B857" s="65" t="s">
        <v>618</v>
      </c>
      <c r="D857" s="69" t="s">
        <v>6580</v>
      </c>
      <c r="E857" s="69" t="s">
        <v>4340</v>
      </c>
    </row>
    <row r="858" spans="2:5" x14ac:dyDescent="0.2">
      <c r="B858" s="65" t="s">
        <v>615</v>
      </c>
      <c r="D858" s="69" t="s">
        <v>6580</v>
      </c>
      <c r="E858" s="69" t="s">
        <v>4341</v>
      </c>
    </row>
    <row r="859" spans="2:5" x14ac:dyDescent="0.2">
      <c r="B859" s="65" t="s">
        <v>619</v>
      </c>
      <c r="D859" s="69" t="s">
        <v>6580</v>
      </c>
      <c r="E859" s="69" t="s">
        <v>4342</v>
      </c>
    </row>
    <row r="860" spans="2:5" x14ac:dyDescent="0.2">
      <c r="B860" s="65" t="s">
        <v>617</v>
      </c>
      <c r="D860" s="69" t="s">
        <v>6580</v>
      </c>
      <c r="E860" s="69" t="s">
        <v>4343</v>
      </c>
    </row>
    <row r="861" spans="2:5" x14ac:dyDescent="0.2">
      <c r="B861" s="65" t="s">
        <v>620</v>
      </c>
      <c r="D861" s="69" t="s">
        <v>6580</v>
      </c>
      <c r="E861" s="69" t="s">
        <v>4344</v>
      </c>
    </row>
    <row r="862" spans="2:5" x14ac:dyDescent="0.2">
      <c r="B862" s="65" t="s">
        <v>621</v>
      </c>
      <c r="D862" t="s">
        <v>6580</v>
      </c>
      <c r="E862" s="69" t="s">
        <v>4345</v>
      </c>
    </row>
    <row r="863" spans="2:5" x14ac:dyDescent="0.2">
      <c r="B863" s="65" t="s">
        <v>629</v>
      </c>
      <c r="D863" t="s">
        <v>6580</v>
      </c>
      <c r="E863" s="69" t="s">
        <v>4346</v>
      </c>
    </row>
    <row r="864" spans="2:5" x14ac:dyDescent="0.2">
      <c r="B864" s="65" t="s">
        <v>630</v>
      </c>
      <c r="D864" t="s">
        <v>6580</v>
      </c>
      <c r="E864" s="69" t="s">
        <v>4347</v>
      </c>
    </row>
    <row r="865" spans="2:5" x14ac:dyDescent="0.2">
      <c r="B865" s="65" t="s">
        <v>631</v>
      </c>
      <c r="D865" t="s">
        <v>6580</v>
      </c>
      <c r="E865" s="69" t="s">
        <v>4348</v>
      </c>
    </row>
    <row r="866" spans="2:5" x14ac:dyDescent="0.2">
      <c r="B866" s="65" t="s">
        <v>632</v>
      </c>
      <c r="D866" t="s">
        <v>6580</v>
      </c>
      <c r="E866" s="69" t="s">
        <v>4349</v>
      </c>
    </row>
    <row r="867" spans="2:5" x14ac:dyDescent="0.2">
      <c r="B867" s="65" t="s">
        <v>633</v>
      </c>
      <c r="D867" t="s">
        <v>6580</v>
      </c>
      <c r="E867" s="69" t="s">
        <v>4350</v>
      </c>
    </row>
    <row r="868" spans="2:5" x14ac:dyDescent="0.2">
      <c r="B868" s="65" t="s">
        <v>634</v>
      </c>
      <c r="D868" t="s">
        <v>6580</v>
      </c>
      <c r="E868" t="s">
        <v>4351</v>
      </c>
    </row>
    <row r="869" spans="2:5" x14ac:dyDescent="0.2">
      <c r="B869" s="65" t="s">
        <v>635</v>
      </c>
      <c r="D869" t="s">
        <v>6580</v>
      </c>
      <c r="E869" s="69" t="s">
        <v>4352</v>
      </c>
    </row>
    <row r="870" spans="2:5" x14ac:dyDescent="0.2">
      <c r="B870" s="65" t="s">
        <v>636</v>
      </c>
      <c r="D870" t="s">
        <v>6580</v>
      </c>
      <c r="E870" s="69" t="s">
        <v>4353</v>
      </c>
    </row>
    <row r="871" spans="2:5" x14ac:dyDescent="0.2">
      <c r="B871" s="65" t="s">
        <v>637</v>
      </c>
      <c r="D871" t="s">
        <v>6580</v>
      </c>
      <c r="E871" s="69" t="s">
        <v>4354</v>
      </c>
    </row>
    <row r="872" spans="2:5" x14ac:dyDescent="0.2">
      <c r="B872" s="65" t="s">
        <v>622</v>
      </c>
      <c r="D872" t="s">
        <v>6580</v>
      </c>
      <c r="E872" s="69" t="s">
        <v>4355</v>
      </c>
    </row>
    <row r="873" spans="2:5" x14ac:dyDescent="0.2">
      <c r="B873" s="65" t="s">
        <v>638</v>
      </c>
      <c r="D873" t="s">
        <v>6580</v>
      </c>
      <c r="E873" s="69" t="s">
        <v>4356</v>
      </c>
    </row>
    <row r="874" spans="2:5" x14ac:dyDescent="0.2">
      <c r="B874" s="65" t="s">
        <v>639</v>
      </c>
      <c r="D874" t="s">
        <v>6580</v>
      </c>
      <c r="E874" s="69" t="s">
        <v>4357</v>
      </c>
    </row>
    <row r="875" spans="2:5" x14ac:dyDescent="0.2">
      <c r="B875" s="65" t="s">
        <v>640</v>
      </c>
      <c r="D875" t="s">
        <v>6580</v>
      </c>
      <c r="E875" s="69" t="s">
        <v>4358</v>
      </c>
    </row>
    <row r="876" spans="2:5" x14ac:dyDescent="0.2">
      <c r="B876" s="65" t="s">
        <v>641</v>
      </c>
      <c r="D876" t="s">
        <v>6580</v>
      </c>
      <c r="E876" s="69" t="s">
        <v>4359</v>
      </c>
    </row>
    <row r="877" spans="2:5" x14ac:dyDescent="0.2">
      <c r="B877" s="65" t="s">
        <v>642</v>
      </c>
      <c r="D877" s="69" t="s">
        <v>6580</v>
      </c>
      <c r="E877" s="69" t="s">
        <v>4360</v>
      </c>
    </row>
    <row r="878" spans="2:5" x14ac:dyDescent="0.2">
      <c r="B878" s="65" t="s">
        <v>643</v>
      </c>
      <c r="D878" s="69" t="s">
        <v>6580</v>
      </c>
      <c r="E878" s="69" t="s">
        <v>4361</v>
      </c>
    </row>
    <row r="879" spans="2:5" x14ac:dyDescent="0.2">
      <c r="B879" s="65" t="s">
        <v>623</v>
      </c>
      <c r="D879" s="69" t="s">
        <v>6580</v>
      </c>
      <c r="E879" s="69" t="s">
        <v>4362</v>
      </c>
    </row>
    <row r="880" spans="2:5" x14ac:dyDescent="0.2">
      <c r="B880" s="65" t="s">
        <v>624</v>
      </c>
      <c r="D880" s="69" t="s">
        <v>6580</v>
      </c>
      <c r="E880" s="69" t="s">
        <v>4363</v>
      </c>
    </row>
    <row r="881" spans="2:5" x14ac:dyDescent="0.2">
      <c r="B881" s="65" t="s">
        <v>625</v>
      </c>
      <c r="D881" s="69" t="s">
        <v>6580</v>
      </c>
      <c r="E881" s="69" t="s">
        <v>4364</v>
      </c>
    </row>
    <row r="882" spans="2:5" x14ac:dyDescent="0.2">
      <c r="B882" s="65" t="s">
        <v>626</v>
      </c>
      <c r="D882" s="69" t="s">
        <v>6580</v>
      </c>
      <c r="E882" s="69" t="s">
        <v>4365</v>
      </c>
    </row>
    <row r="883" spans="2:5" x14ac:dyDescent="0.2">
      <c r="B883" s="65" t="s">
        <v>627</v>
      </c>
      <c r="D883" t="s">
        <v>6580</v>
      </c>
      <c r="E883" s="69" t="s">
        <v>4366</v>
      </c>
    </row>
    <row r="884" spans="2:5" x14ac:dyDescent="0.2">
      <c r="B884" s="65" t="s">
        <v>628</v>
      </c>
      <c r="D884" s="69" t="s">
        <v>6580</v>
      </c>
      <c r="E884" s="69" t="s">
        <v>4367</v>
      </c>
    </row>
    <row r="885" spans="2:5" x14ac:dyDescent="0.2">
      <c r="B885" s="65" t="s">
        <v>1393</v>
      </c>
      <c r="D885" s="69" t="s">
        <v>4376</v>
      </c>
      <c r="E885" s="69" t="s">
        <v>6242</v>
      </c>
    </row>
    <row r="886" spans="2:5" x14ac:dyDescent="0.2">
      <c r="B886" s="65" t="s">
        <v>920</v>
      </c>
      <c r="D886" s="69" t="s">
        <v>669</v>
      </c>
      <c r="E886" s="69" t="s">
        <v>6138</v>
      </c>
    </row>
    <row r="887" spans="2:5" x14ac:dyDescent="0.2">
      <c r="B887" s="116" t="s">
        <v>2355</v>
      </c>
      <c r="E887" s="69"/>
    </row>
    <row r="888" spans="2:5" x14ac:dyDescent="0.2">
      <c r="B888" s="65" t="s">
        <v>1083</v>
      </c>
      <c r="D888" s="69" t="s">
        <v>6582</v>
      </c>
      <c r="E888" s="69" t="s">
        <v>6250</v>
      </c>
    </row>
    <row r="889" spans="2:5" x14ac:dyDescent="0.2">
      <c r="B889" s="65" t="s">
        <v>1089</v>
      </c>
      <c r="D889" s="69" t="s">
        <v>6582</v>
      </c>
      <c r="E889" s="69" t="s">
        <v>6256</v>
      </c>
    </row>
    <row r="890" spans="2:5" x14ac:dyDescent="0.2">
      <c r="B890" s="65" t="s">
        <v>1084</v>
      </c>
      <c r="D890" s="69" t="s">
        <v>6582</v>
      </c>
      <c r="E890" s="69" t="s">
        <v>6251</v>
      </c>
    </row>
    <row r="891" spans="2:5" x14ac:dyDescent="0.2">
      <c r="B891" s="65" t="s">
        <v>1088</v>
      </c>
      <c r="D891" s="69" t="s">
        <v>6582</v>
      </c>
      <c r="E891" s="69" t="s">
        <v>6255</v>
      </c>
    </row>
    <row r="892" spans="2:5" x14ac:dyDescent="0.2">
      <c r="B892" s="65" t="s">
        <v>1096</v>
      </c>
      <c r="D892" s="69" t="s">
        <v>6582</v>
      </c>
      <c r="E892" s="69" t="s">
        <v>6263</v>
      </c>
    </row>
    <row r="893" spans="2:5" x14ac:dyDescent="0.2">
      <c r="B893" s="65" t="s">
        <v>1094</v>
      </c>
      <c r="D893" s="69" t="s">
        <v>6582</v>
      </c>
      <c r="E893" s="69" t="s">
        <v>6261</v>
      </c>
    </row>
    <row r="894" spans="2:5" x14ac:dyDescent="0.2">
      <c r="B894" s="65" t="s">
        <v>1093</v>
      </c>
      <c r="D894" s="69" t="s">
        <v>6582</v>
      </c>
      <c r="E894" s="69" t="s">
        <v>6260</v>
      </c>
    </row>
    <row r="895" spans="2:5" x14ac:dyDescent="0.2">
      <c r="B895" s="65" t="s">
        <v>1091</v>
      </c>
      <c r="D895" s="69" t="s">
        <v>6582</v>
      </c>
      <c r="E895" s="69" t="s">
        <v>6258</v>
      </c>
    </row>
    <row r="896" spans="2:5" x14ac:dyDescent="0.2">
      <c r="B896" s="65" t="s">
        <v>1092</v>
      </c>
      <c r="D896" s="69" t="s">
        <v>6582</v>
      </c>
      <c r="E896" s="69" t="s">
        <v>6259</v>
      </c>
    </row>
    <row r="897" spans="2:5" x14ac:dyDescent="0.2">
      <c r="B897" s="65" t="s">
        <v>1090</v>
      </c>
      <c r="D897" s="69" t="s">
        <v>6582</v>
      </c>
      <c r="E897" s="69" t="s">
        <v>6257</v>
      </c>
    </row>
    <row r="898" spans="2:5" x14ac:dyDescent="0.2">
      <c r="B898" s="65" t="s">
        <v>1086</v>
      </c>
      <c r="D898" s="69" t="s">
        <v>6582</v>
      </c>
      <c r="E898" s="69" t="s">
        <v>6253</v>
      </c>
    </row>
    <row r="899" spans="2:5" x14ac:dyDescent="0.2">
      <c r="B899" s="65" t="s">
        <v>1087</v>
      </c>
      <c r="D899" s="69" t="s">
        <v>6582</v>
      </c>
      <c r="E899" s="69" t="s">
        <v>6254</v>
      </c>
    </row>
    <row r="900" spans="2:5" x14ac:dyDescent="0.2">
      <c r="B900" s="65" t="s">
        <v>1095</v>
      </c>
      <c r="D900" s="69" t="s">
        <v>6582</v>
      </c>
      <c r="E900" s="69" t="s">
        <v>6262</v>
      </c>
    </row>
    <row r="901" spans="2:5" x14ac:dyDescent="0.2">
      <c r="B901" s="65" t="s">
        <v>1085</v>
      </c>
      <c r="D901" s="69" t="s">
        <v>6582</v>
      </c>
      <c r="E901" s="69" t="s">
        <v>6252</v>
      </c>
    </row>
    <row r="902" spans="2:5" x14ac:dyDescent="0.2">
      <c r="B902" s="65" t="s">
        <v>1081</v>
      </c>
      <c r="D902" s="69" t="s">
        <v>6582</v>
      </c>
      <c r="E902" s="69" t="s">
        <v>6247</v>
      </c>
    </row>
    <row r="903" spans="2:5" x14ac:dyDescent="0.2">
      <c r="B903" s="65" t="s">
        <v>1082</v>
      </c>
      <c r="D903" s="69" t="s">
        <v>6582</v>
      </c>
      <c r="E903" s="69" t="s">
        <v>6248</v>
      </c>
    </row>
    <row r="904" spans="2:5" x14ac:dyDescent="0.2">
      <c r="B904" s="65" t="s">
        <v>1097</v>
      </c>
      <c r="D904" s="69" t="s">
        <v>6582</v>
      </c>
      <c r="E904" s="69" t="s">
        <v>6249</v>
      </c>
    </row>
    <row r="905" spans="2:5" x14ac:dyDescent="0.2">
      <c r="B905" s="65" t="s">
        <v>1080</v>
      </c>
      <c r="D905" s="69" t="s">
        <v>6582</v>
      </c>
      <c r="E905" s="69" t="s">
        <v>6246</v>
      </c>
    </row>
    <row r="906" spans="2:5" x14ac:dyDescent="0.2">
      <c r="B906" s="65" t="s">
        <v>454</v>
      </c>
      <c r="D906" s="69" t="s">
        <v>6580</v>
      </c>
      <c r="E906" s="69" t="s">
        <v>4382</v>
      </c>
    </row>
    <row r="907" spans="2:5" x14ac:dyDescent="0.2">
      <c r="B907" s="65" t="s">
        <v>455</v>
      </c>
      <c r="D907" s="69" t="s">
        <v>6580</v>
      </c>
      <c r="E907" s="69" t="s">
        <v>4383</v>
      </c>
    </row>
    <row r="908" spans="2:5" x14ac:dyDescent="0.2">
      <c r="B908" s="65" t="s">
        <v>456</v>
      </c>
      <c r="D908" s="69" t="s">
        <v>6580</v>
      </c>
      <c r="E908" s="69" t="s">
        <v>4384</v>
      </c>
    </row>
    <row r="909" spans="2:5" x14ac:dyDescent="0.2">
      <c r="B909" s="65" t="s">
        <v>457</v>
      </c>
      <c r="D909" s="69" t="s">
        <v>6580</v>
      </c>
      <c r="E909" s="69" t="s">
        <v>4385</v>
      </c>
    </row>
    <row r="910" spans="2:5" x14ac:dyDescent="0.2">
      <c r="B910" s="65" t="s">
        <v>458</v>
      </c>
      <c r="D910" s="69" t="s">
        <v>6580</v>
      </c>
      <c r="E910" s="69" t="s">
        <v>4386</v>
      </c>
    </row>
    <row r="911" spans="2:5" x14ac:dyDescent="0.2">
      <c r="B911" s="65" t="s">
        <v>459</v>
      </c>
      <c r="D911" s="69" t="s">
        <v>6580</v>
      </c>
      <c r="E911" s="69" t="s">
        <v>4387</v>
      </c>
    </row>
    <row r="912" spans="2:5" x14ac:dyDescent="0.2">
      <c r="B912" s="65" t="s">
        <v>460</v>
      </c>
      <c r="D912" s="69" t="s">
        <v>6580</v>
      </c>
      <c r="E912" s="69" t="s">
        <v>4388</v>
      </c>
    </row>
    <row r="913" spans="2:5" x14ac:dyDescent="0.2">
      <c r="B913" s="65" t="s">
        <v>461</v>
      </c>
      <c r="D913" s="69" t="s">
        <v>6580</v>
      </c>
      <c r="E913" s="69" t="s">
        <v>4389</v>
      </c>
    </row>
    <row r="914" spans="2:5" x14ac:dyDescent="0.2">
      <c r="B914" s="65" t="s">
        <v>462</v>
      </c>
      <c r="D914" s="69" t="s">
        <v>6580</v>
      </c>
      <c r="E914" s="69" t="s">
        <v>4390</v>
      </c>
    </row>
    <row r="915" spans="2:5" x14ac:dyDescent="0.2">
      <c r="B915" s="65" t="s">
        <v>463</v>
      </c>
      <c r="D915" s="69" t="s">
        <v>6580</v>
      </c>
      <c r="E915" s="69" t="s">
        <v>4391</v>
      </c>
    </row>
    <row r="916" spans="2:5" x14ac:dyDescent="0.2">
      <c r="B916" s="65" t="s">
        <v>549</v>
      </c>
      <c r="D916" s="69" t="s">
        <v>6580</v>
      </c>
      <c r="E916" s="69" t="s">
        <v>4392</v>
      </c>
    </row>
    <row r="917" spans="2:5" x14ac:dyDescent="0.2">
      <c r="B917" s="65" t="s">
        <v>550</v>
      </c>
      <c r="D917" s="69" t="s">
        <v>6580</v>
      </c>
      <c r="E917" s="69" t="s">
        <v>4393</v>
      </c>
    </row>
    <row r="918" spans="2:5" x14ac:dyDescent="0.2">
      <c r="B918" s="65" t="s">
        <v>551</v>
      </c>
      <c r="D918" s="69" t="s">
        <v>6580</v>
      </c>
      <c r="E918" s="69" t="s">
        <v>4394</v>
      </c>
    </row>
    <row r="919" spans="2:5" x14ac:dyDescent="0.2">
      <c r="B919" s="65" t="s">
        <v>552</v>
      </c>
      <c r="D919" s="69" t="s">
        <v>6580</v>
      </c>
      <c r="E919" s="69" t="s">
        <v>4395</v>
      </c>
    </row>
    <row r="920" spans="2:5" x14ac:dyDescent="0.2">
      <c r="B920" s="65" t="s">
        <v>553</v>
      </c>
      <c r="D920" s="69" t="s">
        <v>6580</v>
      </c>
      <c r="E920" s="69" t="s">
        <v>4396</v>
      </c>
    </row>
    <row r="921" spans="2:5" x14ac:dyDescent="0.2">
      <c r="B921" s="65" t="s">
        <v>554</v>
      </c>
      <c r="D921" s="69" t="s">
        <v>6580</v>
      </c>
      <c r="E921" s="69" t="s">
        <v>4397</v>
      </c>
    </row>
    <row r="922" spans="2:5" x14ac:dyDescent="0.2">
      <c r="B922" s="65" t="s">
        <v>555</v>
      </c>
      <c r="D922" s="69" t="s">
        <v>6580</v>
      </c>
      <c r="E922" s="69" t="s">
        <v>4398</v>
      </c>
    </row>
    <row r="923" spans="2:5" x14ac:dyDescent="0.2">
      <c r="B923" s="65" t="s">
        <v>556</v>
      </c>
      <c r="D923" s="69" t="s">
        <v>6580</v>
      </c>
      <c r="E923" s="69" t="s">
        <v>4399</v>
      </c>
    </row>
    <row r="924" spans="2:5" x14ac:dyDescent="0.2">
      <c r="B924" s="65" t="s">
        <v>557</v>
      </c>
      <c r="D924" s="69" t="s">
        <v>6580</v>
      </c>
      <c r="E924" s="69" t="s">
        <v>4400</v>
      </c>
    </row>
    <row r="925" spans="2:5" x14ac:dyDescent="0.2">
      <c r="B925" s="65" t="s">
        <v>558</v>
      </c>
      <c r="D925" s="69" t="s">
        <v>6580</v>
      </c>
      <c r="E925" s="69" t="s">
        <v>4401</v>
      </c>
    </row>
    <row r="926" spans="2:5" x14ac:dyDescent="0.2">
      <c r="B926" s="65" t="s">
        <v>464</v>
      </c>
      <c r="D926" s="69" t="s">
        <v>6580</v>
      </c>
      <c r="E926" s="69" t="s">
        <v>4402</v>
      </c>
    </row>
    <row r="927" spans="2:5" x14ac:dyDescent="0.2">
      <c r="B927" s="65" t="s">
        <v>559</v>
      </c>
      <c r="D927" s="69" t="s">
        <v>6580</v>
      </c>
      <c r="E927" s="69" t="s">
        <v>4403</v>
      </c>
    </row>
    <row r="928" spans="2:5" x14ac:dyDescent="0.2">
      <c r="B928" s="65" t="s">
        <v>560</v>
      </c>
      <c r="D928" s="69" t="s">
        <v>6580</v>
      </c>
      <c r="E928" s="69" t="s">
        <v>4404</v>
      </c>
    </row>
    <row r="929" spans="2:5" x14ac:dyDescent="0.2">
      <c r="B929" s="65" t="s">
        <v>561</v>
      </c>
      <c r="D929" s="69" t="s">
        <v>6580</v>
      </c>
      <c r="E929" s="69" t="s">
        <v>4405</v>
      </c>
    </row>
    <row r="930" spans="2:5" x14ac:dyDescent="0.2">
      <c r="B930" s="65" t="s">
        <v>562</v>
      </c>
      <c r="D930" s="69" t="s">
        <v>6580</v>
      </c>
      <c r="E930" s="69" t="s">
        <v>4406</v>
      </c>
    </row>
    <row r="931" spans="2:5" x14ac:dyDescent="0.2">
      <c r="B931" s="65" t="s">
        <v>563</v>
      </c>
      <c r="D931" s="69" t="s">
        <v>6580</v>
      </c>
      <c r="E931" s="69" t="s">
        <v>4407</v>
      </c>
    </row>
    <row r="932" spans="2:5" x14ac:dyDescent="0.2">
      <c r="B932" s="65" t="s">
        <v>564</v>
      </c>
      <c r="D932" s="69" t="s">
        <v>6580</v>
      </c>
      <c r="E932" s="69" t="s">
        <v>4408</v>
      </c>
    </row>
    <row r="933" spans="2:5" x14ac:dyDescent="0.2">
      <c r="B933" s="65" t="s">
        <v>565</v>
      </c>
      <c r="D933" s="69" t="s">
        <v>6580</v>
      </c>
      <c r="E933" s="69" t="s">
        <v>4409</v>
      </c>
    </row>
    <row r="934" spans="2:5" x14ac:dyDescent="0.2">
      <c r="B934" s="65" t="s">
        <v>566</v>
      </c>
      <c r="D934" s="69" t="s">
        <v>6580</v>
      </c>
      <c r="E934" s="69" t="s">
        <v>4410</v>
      </c>
    </row>
    <row r="935" spans="2:5" x14ac:dyDescent="0.2">
      <c r="B935" s="65" t="s">
        <v>567</v>
      </c>
      <c r="D935" s="69" t="s">
        <v>6580</v>
      </c>
      <c r="E935" s="69" t="s">
        <v>4411</v>
      </c>
    </row>
    <row r="936" spans="2:5" x14ac:dyDescent="0.2">
      <c r="B936" s="65" t="s">
        <v>465</v>
      </c>
      <c r="D936" s="69" t="s">
        <v>6580</v>
      </c>
      <c r="E936" s="69" t="s">
        <v>4412</v>
      </c>
    </row>
    <row r="937" spans="2:5" x14ac:dyDescent="0.2">
      <c r="B937" s="65" t="s">
        <v>568</v>
      </c>
      <c r="D937" s="69" t="s">
        <v>6580</v>
      </c>
      <c r="E937" s="69" t="s">
        <v>4413</v>
      </c>
    </row>
    <row r="938" spans="2:5" x14ac:dyDescent="0.2">
      <c r="B938" s="65" t="s">
        <v>569</v>
      </c>
      <c r="D938" s="69" t="s">
        <v>6580</v>
      </c>
      <c r="E938" s="69" t="s">
        <v>4414</v>
      </c>
    </row>
    <row r="939" spans="2:5" x14ac:dyDescent="0.2">
      <c r="B939" s="65" t="s">
        <v>571</v>
      </c>
      <c r="D939" s="69" t="s">
        <v>6580</v>
      </c>
      <c r="E939" s="69" t="s">
        <v>4416</v>
      </c>
    </row>
    <row r="940" spans="2:5" x14ac:dyDescent="0.2">
      <c r="B940" s="65" t="s">
        <v>572</v>
      </c>
      <c r="D940" s="69" t="s">
        <v>6580</v>
      </c>
      <c r="E940" s="69" t="s">
        <v>4417</v>
      </c>
    </row>
    <row r="941" spans="2:5" x14ac:dyDescent="0.2">
      <c r="B941" s="65" t="s">
        <v>573</v>
      </c>
      <c r="D941" s="69" t="s">
        <v>6580</v>
      </c>
      <c r="E941" s="69" t="s">
        <v>4418</v>
      </c>
    </row>
    <row r="942" spans="2:5" x14ac:dyDescent="0.2">
      <c r="B942" s="65" t="s">
        <v>574</v>
      </c>
      <c r="D942" s="69" t="s">
        <v>6580</v>
      </c>
      <c r="E942" s="69" t="s">
        <v>4419</v>
      </c>
    </row>
    <row r="943" spans="2:5" x14ac:dyDescent="0.2">
      <c r="B943" s="65" t="s">
        <v>466</v>
      </c>
      <c r="D943" s="69" t="s">
        <v>6580</v>
      </c>
      <c r="E943" s="69" t="s">
        <v>4420</v>
      </c>
    </row>
    <row r="944" spans="2:5" x14ac:dyDescent="0.2">
      <c r="B944" s="65" t="s">
        <v>467</v>
      </c>
      <c r="D944" s="69" t="s">
        <v>6580</v>
      </c>
      <c r="E944" s="69" t="s">
        <v>4421</v>
      </c>
    </row>
    <row r="945" spans="2:5" x14ac:dyDescent="0.2">
      <c r="B945" s="65" t="s">
        <v>468</v>
      </c>
      <c r="D945" s="69" t="s">
        <v>6580</v>
      </c>
      <c r="E945" s="69" t="s">
        <v>4422</v>
      </c>
    </row>
    <row r="946" spans="2:5" x14ac:dyDescent="0.2">
      <c r="B946" s="65" t="s">
        <v>469</v>
      </c>
      <c r="D946" s="69" t="s">
        <v>6580</v>
      </c>
      <c r="E946" s="69" t="s">
        <v>4423</v>
      </c>
    </row>
    <row r="947" spans="2:5" x14ac:dyDescent="0.2">
      <c r="B947" s="65" t="s">
        <v>470</v>
      </c>
      <c r="D947" s="69" t="s">
        <v>6580</v>
      </c>
      <c r="E947" s="69" t="s">
        <v>4424</v>
      </c>
    </row>
    <row r="948" spans="2:5" x14ac:dyDescent="0.2">
      <c r="B948" s="65" t="s">
        <v>471</v>
      </c>
      <c r="D948" s="69" t="s">
        <v>6580</v>
      </c>
      <c r="E948" s="69" t="s">
        <v>4425</v>
      </c>
    </row>
    <row r="949" spans="2:5" x14ac:dyDescent="0.2">
      <c r="B949" s="65" t="s">
        <v>472</v>
      </c>
      <c r="D949" s="69" t="s">
        <v>6580</v>
      </c>
      <c r="E949" s="69" t="s">
        <v>4426</v>
      </c>
    </row>
    <row r="950" spans="2:5" x14ac:dyDescent="0.2">
      <c r="B950" s="65" t="s">
        <v>473</v>
      </c>
      <c r="D950" s="69" t="s">
        <v>6580</v>
      </c>
      <c r="E950" s="69" t="s">
        <v>4427</v>
      </c>
    </row>
    <row r="951" spans="2:5" x14ac:dyDescent="0.2">
      <c r="B951" s="65" t="s">
        <v>474</v>
      </c>
      <c r="D951" s="69" t="s">
        <v>6580</v>
      </c>
      <c r="E951" s="69" t="s">
        <v>4428</v>
      </c>
    </row>
    <row r="952" spans="2:5" x14ac:dyDescent="0.2">
      <c r="B952" s="65" t="s">
        <v>475</v>
      </c>
      <c r="D952" s="69" t="s">
        <v>6580</v>
      </c>
      <c r="E952" s="69" t="s">
        <v>4429</v>
      </c>
    </row>
    <row r="953" spans="2:5" x14ac:dyDescent="0.2">
      <c r="B953" s="65" t="s">
        <v>476</v>
      </c>
      <c r="D953" s="69" t="s">
        <v>6580</v>
      </c>
      <c r="E953" s="69" t="s">
        <v>4430</v>
      </c>
    </row>
    <row r="954" spans="2:5" x14ac:dyDescent="0.2">
      <c r="B954" s="65" t="s">
        <v>477</v>
      </c>
      <c r="D954" s="69" t="s">
        <v>6580</v>
      </c>
      <c r="E954" s="69" t="s">
        <v>4431</v>
      </c>
    </row>
    <row r="955" spans="2:5" x14ac:dyDescent="0.2">
      <c r="B955" s="65" t="s">
        <v>478</v>
      </c>
      <c r="D955" s="69" t="s">
        <v>6580</v>
      </c>
      <c r="E955" s="69" t="s">
        <v>4432</v>
      </c>
    </row>
    <row r="956" spans="2:5" x14ac:dyDescent="0.2">
      <c r="B956" s="65" t="s">
        <v>479</v>
      </c>
      <c r="D956" s="69" t="s">
        <v>6580</v>
      </c>
      <c r="E956" s="69" t="s">
        <v>4433</v>
      </c>
    </row>
    <row r="957" spans="2:5" x14ac:dyDescent="0.2">
      <c r="B957" s="65" t="s">
        <v>480</v>
      </c>
      <c r="D957" s="69" t="s">
        <v>6580</v>
      </c>
      <c r="E957" s="69" t="s">
        <v>4434</v>
      </c>
    </row>
    <row r="958" spans="2:5" x14ac:dyDescent="0.2">
      <c r="B958" s="65" t="s">
        <v>481</v>
      </c>
      <c r="D958" s="69" t="s">
        <v>6580</v>
      </c>
      <c r="E958" s="69" t="s">
        <v>4435</v>
      </c>
    </row>
    <row r="959" spans="2:5" x14ac:dyDescent="0.2">
      <c r="B959" s="65" t="s">
        <v>482</v>
      </c>
      <c r="D959" s="69" t="s">
        <v>6580</v>
      </c>
      <c r="E959" s="69" t="s">
        <v>4436</v>
      </c>
    </row>
    <row r="960" spans="2:5" x14ac:dyDescent="0.2">
      <c r="B960" s="65" t="s">
        <v>483</v>
      </c>
      <c r="D960" s="69" t="s">
        <v>6580</v>
      </c>
      <c r="E960" s="69" t="s">
        <v>4437</v>
      </c>
    </row>
    <row r="961" spans="2:5" x14ac:dyDescent="0.2">
      <c r="B961" s="65" t="s">
        <v>484</v>
      </c>
      <c r="D961" s="69" t="s">
        <v>6580</v>
      </c>
      <c r="E961" s="69" t="s">
        <v>4438</v>
      </c>
    </row>
    <row r="962" spans="2:5" x14ac:dyDescent="0.2">
      <c r="B962" s="65" t="s">
        <v>485</v>
      </c>
      <c r="D962" s="69" t="s">
        <v>6580</v>
      </c>
      <c r="E962" s="69" t="s">
        <v>4439</v>
      </c>
    </row>
    <row r="963" spans="2:5" x14ac:dyDescent="0.2">
      <c r="B963" s="65" t="s">
        <v>486</v>
      </c>
      <c r="D963" s="69" t="s">
        <v>6580</v>
      </c>
      <c r="E963" s="69" t="s">
        <v>4440</v>
      </c>
    </row>
    <row r="964" spans="2:5" x14ac:dyDescent="0.2">
      <c r="B964" s="65" t="s">
        <v>487</v>
      </c>
      <c r="D964" s="69" t="s">
        <v>6580</v>
      </c>
      <c r="E964" s="69" t="s">
        <v>4441</v>
      </c>
    </row>
    <row r="965" spans="2:5" x14ac:dyDescent="0.2">
      <c r="B965" s="65" t="s">
        <v>488</v>
      </c>
      <c r="D965" s="69" t="s">
        <v>6580</v>
      </c>
      <c r="E965" s="69" t="s">
        <v>4442</v>
      </c>
    </row>
    <row r="966" spans="2:5" x14ac:dyDescent="0.2">
      <c r="B966" s="65" t="s">
        <v>489</v>
      </c>
      <c r="D966" s="69" t="s">
        <v>6580</v>
      </c>
      <c r="E966" s="69" t="s">
        <v>4443</v>
      </c>
    </row>
    <row r="967" spans="2:5" x14ac:dyDescent="0.2">
      <c r="B967" s="65" t="s">
        <v>490</v>
      </c>
      <c r="D967" s="69" t="s">
        <v>6580</v>
      </c>
      <c r="E967" s="69" t="s">
        <v>4444</v>
      </c>
    </row>
    <row r="968" spans="2:5" x14ac:dyDescent="0.2">
      <c r="B968" s="65" t="s">
        <v>491</v>
      </c>
      <c r="D968" s="69" t="s">
        <v>6580</v>
      </c>
      <c r="E968" s="69" t="s">
        <v>4445</v>
      </c>
    </row>
    <row r="969" spans="2:5" x14ac:dyDescent="0.2">
      <c r="B969" s="65" t="s">
        <v>492</v>
      </c>
      <c r="D969" s="69" t="s">
        <v>6580</v>
      </c>
      <c r="E969" s="69" t="s">
        <v>4446</v>
      </c>
    </row>
    <row r="970" spans="2:5" x14ac:dyDescent="0.2">
      <c r="B970" s="65" t="s">
        <v>493</v>
      </c>
      <c r="D970" s="69" t="s">
        <v>6580</v>
      </c>
      <c r="E970" s="69" t="s">
        <v>4447</v>
      </c>
    </row>
    <row r="971" spans="2:5" x14ac:dyDescent="0.2">
      <c r="B971" s="65" t="s">
        <v>494</v>
      </c>
      <c r="D971" s="69" t="s">
        <v>6580</v>
      </c>
      <c r="E971" s="69" t="s">
        <v>4448</v>
      </c>
    </row>
    <row r="972" spans="2:5" x14ac:dyDescent="0.2">
      <c r="B972" s="65" t="s">
        <v>495</v>
      </c>
      <c r="D972" s="69" t="s">
        <v>6580</v>
      </c>
      <c r="E972" s="69" t="s">
        <v>4449</v>
      </c>
    </row>
    <row r="973" spans="2:5" x14ac:dyDescent="0.2">
      <c r="B973" s="65" t="s">
        <v>496</v>
      </c>
      <c r="D973" s="69" t="s">
        <v>6580</v>
      </c>
      <c r="E973" s="69" t="s">
        <v>4450</v>
      </c>
    </row>
    <row r="974" spans="2:5" x14ac:dyDescent="0.2">
      <c r="B974" s="65" t="s">
        <v>497</v>
      </c>
      <c r="D974" s="69" t="s">
        <v>6580</v>
      </c>
      <c r="E974" s="69" t="s">
        <v>4451</v>
      </c>
    </row>
    <row r="975" spans="2:5" x14ac:dyDescent="0.2">
      <c r="B975" s="65" t="s">
        <v>498</v>
      </c>
      <c r="D975" s="69" t="s">
        <v>6580</v>
      </c>
      <c r="E975" s="69" t="s">
        <v>4452</v>
      </c>
    </row>
    <row r="976" spans="2:5" x14ac:dyDescent="0.2">
      <c r="B976" s="65" t="s">
        <v>499</v>
      </c>
      <c r="D976" s="69" t="s">
        <v>6580</v>
      </c>
      <c r="E976" s="69" t="s">
        <v>4453</v>
      </c>
    </row>
    <row r="977" spans="2:5" x14ac:dyDescent="0.2">
      <c r="B977" s="65" t="s">
        <v>500</v>
      </c>
      <c r="D977" s="69" t="s">
        <v>6580</v>
      </c>
      <c r="E977" s="69" t="s">
        <v>4454</v>
      </c>
    </row>
    <row r="978" spans="2:5" x14ac:dyDescent="0.2">
      <c r="B978" s="65" t="s">
        <v>501</v>
      </c>
      <c r="D978" s="69" t="s">
        <v>6580</v>
      </c>
      <c r="E978" s="69" t="s">
        <v>4455</v>
      </c>
    </row>
    <row r="979" spans="2:5" x14ac:dyDescent="0.2">
      <c r="B979" s="65" t="s">
        <v>502</v>
      </c>
      <c r="D979" s="69" t="s">
        <v>6580</v>
      </c>
      <c r="E979" s="69" t="s">
        <v>4456</v>
      </c>
    </row>
    <row r="980" spans="2:5" x14ac:dyDescent="0.2">
      <c r="B980" s="65" t="s">
        <v>503</v>
      </c>
      <c r="D980" s="69" t="s">
        <v>6580</v>
      </c>
      <c r="E980" s="69" t="s">
        <v>4457</v>
      </c>
    </row>
    <row r="981" spans="2:5" x14ac:dyDescent="0.2">
      <c r="B981" s="65" t="s">
        <v>504</v>
      </c>
      <c r="D981" s="69" t="s">
        <v>6580</v>
      </c>
      <c r="E981" s="69" t="s">
        <v>4458</v>
      </c>
    </row>
    <row r="982" spans="2:5" x14ac:dyDescent="0.2">
      <c r="B982" s="65" t="s">
        <v>505</v>
      </c>
      <c r="D982" s="69" t="s">
        <v>6580</v>
      </c>
      <c r="E982" s="69" t="s">
        <v>4459</v>
      </c>
    </row>
    <row r="983" spans="2:5" x14ac:dyDescent="0.2">
      <c r="B983" s="65" t="s">
        <v>506</v>
      </c>
      <c r="D983" s="69" t="s">
        <v>6580</v>
      </c>
      <c r="E983" s="69" t="s">
        <v>4460</v>
      </c>
    </row>
    <row r="984" spans="2:5" x14ac:dyDescent="0.2">
      <c r="B984" s="65" t="s">
        <v>507</v>
      </c>
      <c r="D984" s="69" t="s">
        <v>6580</v>
      </c>
      <c r="E984" s="69" t="s">
        <v>4461</v>
      </c>
    </row>
    <row r="985" spans="2:5" x14ac:dyDescent="0.2">
      <c r="B985" s="65" t="s">
        <v>508</v>
      </c>
      <c r="D985" s="69" t="s">
        <v>6580</v>
      </c>
      <c r="E985" s="69" t="s">
        <v>4462</v>
      </c>
    </row>
    <row r="986" spans="2:5" x14ac:dyDescent="0.2">
      <c r="B986" s="65" t="s">
        <v>509</v>
      </c>
      <c r="D986" s="69" t="s">
        <v>6580</v>
      </c>
      <c r="E986" s="100" t="s">
        <v>6244</v>
      </c>
    </row>
    <row r="987" spans="2:5" x14ac:dyDescent="0.2">
      <c r="B987" s="65" t="s">
        <v>510</v>
      </c>
      <c r="D987" s="69" t="s">
        <v>6580</v>
      </c>
      <c r="E987" s="69" t="s">
        <v>4464</v>
      </c>
    </row>
    <row r="988" spans="2:5" x14ac:dyDescent="0.2">
      <c r="B988" s="65" t="s">
        <v>511</v>
      </c>
      <c r="D988" s="69" t="s">
        <v>6580</v>
      </c>
      <c r="E988" s="69" t="s">
        <v>4465</v>
      </c>
    </row>
    <row r="989" spans="2:5" x14ac:dyDescent="0.2">
      <c r="B989" s="65" t="s">
        <v>512</v>
      </c>
      <c r="D989" s="69" t="s">
        <v>6580</v>
      </c>
      <c r="E989" s="69" t="s">
        <v>4466</v>
      </c>
    </row>
    <row r="990" spans="2:5" x14ac:dyDescent="0.2">
      <c r="B990" s="65" t="s">
        <v>513</v>
      </c>
      <c r="D990" s="69" t="s">
        <v>6580</v>
      </c>
      <c r="E990" s="69" t="s">
        <v>4467</v>
      </c>
    </row>
    <row r="991" spans="2:5" x14ac:dyDescent="0.2">
      <c r="B991" s="65" t="s">
        <v>514</v>
      </c>
      <c r="D991" s="69" t="s">
        <v>6580</v>
      </c>
      <c r="E991" s="69" t="s">
        <v>4468</v>
      </c>
    </row>
    <row r="992" spans="2:5" x14ac:dyDescent="0.2">
      <c r="B992" s="65" t="s">
        <v>515</v>
      </c>
      <c r="D992" s="69" t="s">
        <v>6580</v>
      </c>
      <c r="E992" s="69" t="s">
        <v>4469</v>
      </c>
    </row>
    <row r="993" spans="2:5" x14ac:dyDescent="0.2">
      <c r="B993" s="65" t="s">
        <v>516</v>
      </c>
      <c r="D993" s="69" t="s">
        <v>6580</v>
      </c>
      <c r="E993" s="69" t="s">
        <v>4470</v>
      </c>
    </row>
    <row r="994" spans="2:5" x14ac:dyDescent="0.2">
      <c r="B994" s="65" t="s">
        <v>517</v>
      </c>
      <c r="D994" s="69" t="s">
        <v>6580</v>
      </c>
      <c r="E994" s="69" t="s">
        <v>4471</v>
      </c>
    </row>
    <row r="995" spans="2:5" x14ac:dyDescent="0.2">
      <c r="B995" s="65" t="s">
        <v>518</v>
      </c>
      <c r="D995" s="69" t="s">
        <v>6580</v>
      </c>
      <c r="E995" s="69" t="s">
        <v>4472</v>
      </c>
    </row>
    <row r="996" spans="2:5" x14ac:dyDescent="0.2">
      <c r="B996" s="65" t="s">
        <v>519</v>
      </c>
      <c r="D996" s="69" t="s">
        <v>6580</v>
      </c>
      <c r="E996" s="69" t="s">
        <v>4473</v>
      </c>
    </row>
    <row r="997" spans="2:5" x14ac:dyDescent="0.2">
      <c r="B997" s="65" t="s">
        <v>520</v>
      </c>
      <c r="D997" s="69" t="s">
        <v>6580</v>
      </c>
      <c r="E997" s="69" t="s">
        <v>4474</v>
      </c>
    </row>
    <row r="998" spans="2:5" x14ac:dyDescent="0.2">
      <c r="B998" s="65" t="s">
        <v>521</v>
      </c>
      <c r="D998" s="69" t="s">
        <v>6580</v>
      </c>
      <c r="E998" s="69" t="s">
        <v>4475</v>
      </c>
    </row>
    <row r="999" spans="2:5" x14ac:dyDescent="0.2">
      <c r="B999" s="65" t="s">
        <v>522</v>
      </c>
      <c r="D999" s="69" t="s">
        <v>6580</v>
      </c>
      <c r="E999" s="69" t="s">
        <v>4476</v>
      </c>
    </row>
    <row r="1000" spans="2:5" x14ac:dyDescent="0.2">
      <c r="B1000" s="65" t="s">
        <v>523</v>
      </c>
      <c r="D1000" s="69" t="s">
        <v>6580</v>
      </c>
      <c r="E1000" s="69" t="s">
        <v>4477</v>
      </c>
    </row>
    <row r="1001" spans="2:5" x14ac:dyDescent="0.2">
      <c r="B1001" s="65" t="s">
        <v>524</v>
      </c>
      <c r="D1001" s="69" t="s">
        <v>6580</v>
      </c>
      <c r="E1001" s="69" t="s">
        <v>4478</v>
      </c>
    </row>
    <row r="1002" spans="2:5" x14ac:dyDescent="0.2">
      <c r="B1002" s="65" t="s">
        <v>525</v>
      </c>
      <c r="D1002" s="69" t="s">
        <v>6580</v>
      </c>
      <c r="E1002" s="69" t="s">
        <v>4479</v>
      </c>
    </row>
    <row r="1003" spans="2:5" x14ac:dyDescent="0.2">
      <c r="B1003" s="65" t="s">
        <v>526</v>
      </c>
      <c r="D1003" s="69" t="s">
        <v>6580</v>
      </c>
      <c r="E1003" s="69" t="s">
        <v>4480</v>
      </c>
    </row>
    <row r="1004" spans="2:5" x14ac:dyDescent="0.2">
      <c r="B1004" s="65" t="s">
        <v>527</v>
      </c>
      <c r="D1004" s="69" t="s">
        <v>6580</v>
      </c>
      <c r="E1004" s="69" t="s">
        <v>4481</v>
      </c>
    </row>
    <row r="1005" spans="2:5" x14ac:dyDescent="0.2">
      <c r="B1005" s="65" t="s">
        <v>528</v>
      </c>
      <c r="D1005" s="69" t="s">
        <v>6580</v>
      </c>
      <c r="E1005" s="69" t="s">
        <v>4482</v>
      </c>
    </row>
    <row r="1006" spans="2:5" x14ac:dyDescent="0.2">
      <c r="B1006" s="65" t="s">
        <v>529</v>
      </c>
      <c r="D1006" s="69" t="s">
        <v>6580</v>
      </c>
      <c r="E1006" s="69" t="s">
        <v>4483</v>
      </c>
    </row>
    <row r="1007" spans="2:5" x14ac:dyDescent="0.2">
      <c r="B1007" s="65" t="s">
        <v>530</v>
      </c>
      <c r="D1007" s="69" t="s">
        <v>6580</v>
      </c>
      <c r="E1007" s="69" t="s">
        <v>4484</v>
      </c>
    </row>
    <row r="1008" spans="2:5" x14ac:dyDescent="0.2">
      <c r="B1008" s="65" t="s">
        <v>531</v>
      </c>
      <c r="D1008" s="69" t="s">
        <v>6580</v>
      </c>
      <c r="E1008" s="69" t="s">
        <v>4485</v>
      </c>
    </row>
    <row r="1009" spans="2:5" x14ac:dyDescent="0.2">
      <c r="B1009" s="65" t="s">
        <v>532</v>
      </c>
      <c r="D1009" s="69" t="s">
        <v>6580</v>
      </c>
      <c r="E1009" s="69" t="s">
        <v>4486</v>
      </c>
    </row>
    <row r="1010" spans="2:5" x14ac:dyDescent="0.2">
      <c r="B1010" s="65" t="s">
        <v>533</v>
      </c>
      <c r="D1010" s="69" t="s">
        <v>6580</v>
      </c>
      <c r="E1010" s="69" t="s">
        <v>4487</v>
      </c>
    </row>
    <row r="1011" spans="2:5" x14ac:dyDescent="0.2">
      <c r="B1011" s="65" t="s">
        <v>534</v>
      </c>
      <c r="D1011" s="69" t="s">
        <v>6580</v>
      </c>
      <c r="E1011" s="69" t="s">
        <v>4488</v>
      </c>
    </row>
    <row r="1012" spans="2:5" x14ac:dyDescent="0.2">
      <c r="B1012" s="65" t="s">
        <v>535</v>
      </c>
      <c r="D1012" s="69" t="s">
        <v>6580</v>
      </c>
      <c r="E1012" s="69" t="s">
        <v>4489</v>
      </c>
    </row>
    <row r="1013" spans="2:5" x14ac:dyDescent="0.2">
      <c r="B1013" s="65" t="s">
        <v>536</v>
      </c>
      <c r="D1013" s="69" t="s">
        <v>6580</v>
      </c>
      <c r="E1013" s="69" t="s">
        <v>4490</v>
      </c>
    </row>
    <row r="1014" spans="2:5" x14ac:dyDescent="0.2">
      <c r="B1014" s="65" t="s">
        <v>537</v>
      </c>
      <c r="D1014" s="69" t="s">
        <v>6580</v>
      </c>
      <c r="E1014" s="69" t="s">
        <v>4491</v>
      </c>
    </row>
    <row r="1015" spans="2:5" x14ac:dyDescent="0.2">
      <c r="B1015" s="65" t="s">
        <v>538</v>
      </c>
      <c r="D1015" s="69" t="s">
        <v>6580</v>
      </c>
      <c r="E1015" s="69" t="s">
        <v>4492</v>
      </c>
    </row>
    <row r="1016" spans="2:5" x14ac:dyDescent="0.2">
      <c r="B1016" s="65" t="s">
        <v>539</v>
      </c>
      <c r="D1016" s="69" t="s">
        <v>6580</v>
      </c>
      <c r="E1016" s="69" t="s">
        <v>4493</v>
      </c>
    </row>
    <row r="1017" spans="2:5" x14ac:dyDescent="0.2">
      <c r="B1017" s="65" t="s">
        <v>540</v>
      </c>
      <c r="D1017" s="69" t="s">
        <v>6580</v>
      </c>
      <c r="E1017" s="69" t="s">
        <v>4494</v>
      </c>
    </row>
    <row r="1018" spans="2:5" x14ac:dyDescent="0.2">
      <c r="B1018" s="65" t="s">
        <v>541</v>
      </c>
      <c r="D1018" s="69" t="s">
        <v>6580</v>
      </c>
      <c r="E1018" s="69" t="s">
        <v>4495</v>
      </c>
    </row>
    <row r="1019" spans="2:5" x14ac:dyDescent="0.2">
      <c r="B1019" s="65" t="s">
        <v>542</v>
      </c>
      <c r="D1019" s="69" t="s">
        <v>6580</v>
      </c>
      <c r="E1019" s="100" t="s">
        <v>6245</v>
      </c>
    </row>
    <row r="1020" spans="2:5" x14ac:dyDescent="0.2">
      <c r="B1020" s="65" t="s">
        <v>543</v>
      </c>
      <c r="D1020" s="69" t="s">
        <v>6580</v>
      </c>
      <c r="E1020" s="69" t="s">
        <v>4497</v>
      </c>
    </row>
    <row r="1021" spans="2:5" x14ac:dyDescent="0.2">
      <c r="B1021" s="65" t="s">
        <v>544</v>
      </c>
      <c r="D1021" s="69" t="s">
        <v>6580</v>
      </c>
      <c r="E1021" s="69" t="s">
        <v>4498</v>
      </c>
    </row>
    <row r="1022" spans="2:5" x14ac:dyDescent="0.2">
      <c r="B1022" s="65" t="s">
        <v>545</v>
      </c>
      <c r="D1022" s="69" t="s">
        <v>6580</v>
      </c>
      <c r="E1022" s="69" t="s">
        <v>4499</v>
      </c>
    </row>
    <row r="1023" spans="2:5" x14ac:dyDescent="0.2">
      <c r="B1023" s="65" t="s">
        <v>546</v>
      </c>
      <c r="D1023" s="69" t="s">
        <v>6580</v>
      </c>
      <c r="E1023" s="69" t="s">
        <v>4500</v>
      </c>
    </row>
    <row r="1024" spans="2:5" x14ac:dyDescent="0.2">
      <c r="B1024" s="65" t="s">
        <v>547</v>
      </c>
      <c r="D1024" s="69" t="s">
        <v>6580</v>
      </c>
      <c r="E1024" s="69" t="s">
        <v>4501</v>
      </c>
    </row>
    <row r="1025" spans="2:5" x14ac:dyDescent="0.2">
      <c r="B1025" s="65" t="s">
        <v>548</v>
      </c>
      <c r="D1025" s="69" t="s">
        <v>6580</v>
      </c>
      <c r="E1025" s="69" t="s">
        <v>4502</v>
      </c>
    </row>
    <row r="1026" spans="2:5" x14ac:dyDescent="0.2">
      <c r="B1026" s="65" t="s">
        <v>591</v>
      </c>
      <c r="D1026" s="69" t="s">
        <v>6580</v>
      </c>
      <c r="E1026" s="69" t="s">
        <v>4503</v>
      </c>
    </row>
    <row r="1027" spans="2:5" x14ac:dyDescent="0.2">
      <c r="B1027" s="65" t="s">
        <v>581</v>
      </c>
      <c r="D1027" s="69" t="s">
        <v>6580</v>
      </c>
      <c r="E1027" s="69" t="s">
        <v>4504</v>
      </c>
    </row>
    <row r="1028" spans="2:5" x14ac:dyDescent="0.2">
      <c r="B1028" s="65" t="s">
        <v>592</v>
      </c>
      <c r="D1028" s="69" t="s">
        <v>6580</v>
      </c>
      <c r="E1028" s="69" t="s">
        <v>4505</v>
      </c>
    </row>
    <row r="1029" spans="2:5" x14ac:dyDescent="0.2">
      <c r="B1029" s="65" t="s">
        <v>576</v>
      </c>
      <c r="D1029" s="69" t="s">
        <v>6580</v>
      </c>
      <c r="E1029" s="69" t="s">
        <v>4506</v>
      </c>
    </row>
    <row r="1030" spans="2:5" x14ac:dyDescent="0.2">
      <c r="B1030" s="65" t="s">
        <v>588</v>
      </c>
      <c r="D1030" s="69" t="s">
        <v>6580</v>
      </c>
      <c r="E1030" s="69" t="s">
        <v>4507</v>
      </c>
    </row>
    <row r="1031" spans="2:5" x14ac:dyDescent="0.2">
      <c r="B1031" s="65" t="s">
        <v>580</v>
      </c>
      <c r="D1031" s="69" t="s">
        <v>6580</v>
      </c>
      <c r="E1031" s="69" t="s">
        <v>4508</v>
      </c>
    </row>
    <row r="1032" spans="2:5" x14ac:dyDescent="0.2">
      <c r="B1032" s="65" t="s">
        <v>590</v>
      </c>
      <c r="D1032" s="69" t="s">
        <v>6580</v>
      </c>
      <c r="E1032" s="69" t="s">
        <v>4509</v>
      </c>
    </row>
    <row r="1033" spans="2:5" x14ac:dyDescent="0.2">
      <c r="B1033" s="65" t="s">
        <v>587</v>
      </c>
      <c r="D1033" s="69" t="s">
        <v>6580</v>
      </c>
      <c r="E1033" s="69" t="s">
        <v>4510</v>
      </c>
    </row>
    <row r="1034" spans="2:5" x14ac:dyDescent="0.2">
      <c r="B1034" s="65" t="s">
        <v>585</v>
      </c>
      <c r="D1034" s="69" t="s">
        <v>6580</v>
      </c>
      <c r="E1034" s="69" t="s">
        <v>4511</v>
      </c>
    </row>
    <row r="1035" spans="2:5" x14ac:dyDescent="0.2">
      <c r="B1035" s="65" t="s">
        <v>594</v>
      </c>
      <c r="D1035" s="69" t="s">
        <v>6580</v>
      </c>
      <c r="E1035" s="69" t="s">
        <v>4512</v>
      </c>
    </row>
    <row r="1036" spans="2:5" x14ac:dyDescent="0.2">
      <c r="B1036" s="65" t="s">
        <v>593</v>
      </c>
      <c r="D1036" s="69" t="s">
        <v>6580</v>
      </c>
      <c r="E1036" s="69" t="s">
        <v>4513</v>
      </c>
    </row>
    <row r="1037" spans="2:5" x14ac:dyDescent="0.2">
      <c r="B1037" s="65" t="s">
        <v>584</v>
      </c>
      <c r="D1037" s="69" t="s">
        <v>6580</v>
      </c>
      <c r="E1037" s="69" t="s">
        <v>4514</v>
      </c>
    </row>
    <row r="1038" spans="2:5" x14ac:dyDescent="0.2">
      <c r="B1038" s="65" t="s">
        <v>583</v>
      </c>
      <c r="D1038" s="69" t="s">
        <v>6580</v>
      </c>
      <c r="E1038" s="69" t="s">
        <v>4515</v>
      </c>
    </row>
    <row r="1039" spans="2:5" x14ac:dyDescent="0.2">
      <c r="B1039" s="65" t="s">
        <v>575</v>
      </c>
      <c r="D1039" s="69" t="s">
        <v>6580</v>
      </c>
      <c r="E1039" s="69" t="s">
        <v>4516</v>
      </c>
    </row>
    <row r="1040" spans="2:5" x14ac:dyDescent="0.2">
      <c r="B1040" s="65" t="s">
        <v>582</v>
      </c>
      <c r="D1040" s="69" t="s">
        <v>6580</v>
      </c>
      <c r="E1040" s="69" t="s">
        <v>4517</v>
      </c>
    </row>
    <row r="1041" spans="2:5" x14ac:dyDescent="0.2">
      <c r="B1041" s="65" t="s">
        <v>578</v>
      </c>
      <c r="D1041" s="69" t="s">
        <v>6580</v>
      </c>
      <c r="E1041" s="69" t="s">
        <v>4518</v>
      </c>
    </row>
    <row r="1042" spans="2:5" x14ac:dyDescent="0.2">
      <c r="B1042" s="65" t="s">
        <v>589</v>
      </c>
      <c r="D1042" s="69" t="s">
        <v>6580</v>
      </c>
      <c r="E1042" s="69" t="s">
        <v>4519</v>
      </c>
    </row>
    <row r="1043" spans="2:5" x14ac:dyDescent="0.2">
      <c r="B1043" s="65" t="s">
        <v>579</v>
      </c>
      <c r="D1043" s="69" t="s">
        <v>6580</v>
      </c>
      <c r="E1043" s="69" t="s">
        <v>4520</v>
      </c>
    </row>
    <row r="1044" spans="2:5" x14ac:dyDescent="0.2">
      <c r="B1044" s="65" t="s">
        <v>586</v>
      </c>
      <c r="D1044" s="69" t="s">
        <v>6580</v>
      </c>
      <c r="E1044" s="69" t="s">
        <v>4521</v>
      </c>
    </row>
    <row r="1045" spans="2:5" x14ac:dyDescent="0.2">
      <c r="B1045" s="65" t="s">
        <v>577</v>
      </c>
      <c r="D1045" s="69" t="s">
        <v>6580</v>
      </c>
      <c r="E1045" s="69" t="s">
        <v>4522</v>
      </c>
    </row>
    <row r="1046" spans="2:5" x14ac:dyDescent="0.2">
      <c r="B1046" s="116" t="s">
        <v>6264</v>
      </c>
      <c r="E1046" s="69"/>
    </row>
    <row r="1047" spans="2:5" x14ac:dyDescent="0.2">
      <c r="B1047" s="65" t="s">
        <v>283</v>
      </c>
      <c r="D1047" s="69" t="s">
        <v>6580</v>
      </c>
      <c r="E1047" s="69" t="s">
        <v>4725</v>
      </c>
    </row>
    <row r="1048" spans="2:5" x14ac:dyDescent="0.2">
      <c r="B1048" s="65" t="s">
        <v>284</v>
      </c>
      <c r="D1048" s="69" t="s">
        <v>6580</v>
      </c>
      <c r="E1048" s="69" t="s">
        <v>4726</v>
      </c>
    </row>
    <row r="1049" spans="2:5" x14ac:dyDescent="0.2">
      <c r="B1049" s="65" t="s">
        <v>282</v>
      </c>
      <c r="D1049" s="69" t="s">
        <v>6580</v>
      </c>
      <c r="E1049" s="69" t="s">
        <v>4727</v>
      </c>
    </row>
    <row r="1050" spans="2:5" x14ac:dyDescent="0.2">
      <c r="B1050" s="65" t="s">
        <v>287</v>
      </c>
      <c r="D1050" s="69" t="s">
        <v>6580</v>
      </c>
      <c r="E1050" s="69" t="s">
        <v>4728</v>
      </c>
    </row>
    <row r="1051" spans="2:5" x14ac:dyDescent="0.2">
      <c r="B1051" s="65" t="s">
        <v>286</v>
      </c>
      <c r="D1051" s="69" t="s">
        <v>6580</v>
      </c>
      <c r="E1051" s="69" t="s">
        <v>4729</v>
      </c>
    </row>
    <row r="1052" spans="2:5" x14ac:dyDescent="0.2">
      <c r="B1052" s="65" t="s">
        <v>281</v>
      </c>
      <c r="D1052" s="69" t="s">
        <v>6580</v>
      </c>
      <c r="E1052" s="69" t="s">
        <v>4730</v>
      </c>
    </row>
    <row r="1053" spans="2:5" x14ac:dyDescent="0.2">
      <c r="B1053" s="65" t="s">
        <v>285</v>
      </c>
      <c r="D1053" s="69" t="s">
        <v>6580</v>
      </c>
      <c r="E1053" s="69" t="s">
        <v>4731</v>
      </c>
    </row>
    <row r="1054" spans="2:5" x14ac:dyDescent="0.2">
      <c r="B1054" s="65" t="s">
        <v>288</v>
      </c>
      <c r="D1054" s="69" t="s">
        <v>6580</v>
      </c>
      <c r="E1054" s="69" t="s">
        <v>4732</v>
      </c>
    </row>
    <row r="1055" spans="2:5" x14ac:dyDescent="0.2">
      <c r="B1055" s="65" t="s">
        <v>296</v>
      </c>
      <c r="D1055" s="69" t="s">
        <v>6580</v>
      </c>
      <c r="E1055" s="69" t="s">
        <v>4733</v>
      </c>
    </row>
    <row r="1056" spans="2:5" x14ac:dyDescent="0.2">
      <c r="B1056" s="65" t="s">
        <v>298</v>
      </c>
      <c r="D1056" s="69" t="s">
        <v>6580</v>
      </c>
      <c r="E1056" s="69" t="s">
        <v>4734</v>
      </c>
    </row>
    <row r="1057" spans="2:5" x14ac:dyDescent="0.2">
      <c r="B1057" s="65" t="s">
        <v>299</v>
      </c>
      <c r="D1057" s="69" t="s">
        <v>6580</v>
      </c>
      <c r="E1057" s="69" t="s">
        <v>4735</v>
      </c>
    </row>
    <row r="1058" spans="2:5" x14ac:dyDescent="0.2">
      <c r="B1058" s="65" t="s">
        <v>300</v>
      </c>
      <c r="D1058" s="69" t="s">
        <v>6580</v>
      </c>
      <c r="E1058" s="69" t="s">
        <v>4736</v>
      </c>
    </row>
    <row r="1059" spans="2:5" x14ac:dyDescent="0.2">
      <c r="B1059" s="65" t="s">
        <v>301</v>
      </c>
      <c r="D1059" s="69" t="s">
        <v>6580</v>
      </c>
      <c r="E1059" s="69" t="s">
        <v>4737</v>
      </c>
    </row>
    <row r="1060" spans="2:5" x14ac:dyDescent="0.2">
      <c r="B1060" s="65" t="s">
        <v>302</v>
      </c>
      <c r="D1060" s="69" t="s">
        <v>6580</v>
      </c>
      <c r="E1060" s="69" t="s">
        <v>4738</v>
      </c>
    </row>
    <row r="1061" spans="2:5" x14ac:dyDescent="0.2">
      <c r="B1061" s="65" t="s">
        <v>303</v>
      </c>
      <c r="D1061" s="69" t="s">
        <v>6580</v>
      </c>
      <c r="E1061" s="69" t="s">
        <v>4739</v>
      </c>
    </row>
    <row r="1062" spans="2:5" x14ac:dyDescent="0.2">
      <c r="B1062" s="65" t="s">
        <v>304</v>
      </c>
      <c r="D1062" s="69" t="s">
        <v>6580</v>
      </c>
      <c r="E1062" s="69" t="s">
        <v>4740</v>
      </c>
    </row>
    <row r="1063" spans="2:5" x14ac:dyDescent="0.2">
      <c r="B1063" s="65" t="s">
        <v>305</v>
      </c>
      <c r="D1063" s="69" t="s">
        <v>6580</v>
      </c>
      <c r="E1063" s="69" t="s">
        <v>4741</v>
      </c>
    </row>
    <row r="1064" spans="2:5" x14ac:dyDescent="0.2">
      <c r="B1064" s="65" t="s">
        <v>306</v>
      </c>
      <c r="D1064" s="69" t="s">
        <v>6580</v>
      </c>
      <c r="E1064" s="69" t="s">
        <v>4742</v>
      </c>
    </row>
    <row r="1065" spans="2:5" x14ac:dyDescent="0.2">
      <c r="B1065" s="65" t="s">
        <v>289</v>
      </c>
      <c r="D1065" s="69" t="s">
        <v>6580</v>
      </c>
      <c r="E1065" s="69" t="s">
        <v>4743</v>
      </c>
    </row>
    <row r="1066" spans="2:5" x14ac:dyDescent="0.2">
      <c r="B1066" s="65" t="s">
        <v>307</v>
      </c>
      <c r="D1066" s="69" t="s">
        <v>6580</v>
      </c>
      <c r="E1066" s="69" t="s">
        <v>4744</v>
      </c>
    </row>
    <row r="1067" spans="2:5" x14ac:dyDescent="0.2">
      <c r="B1067" s="65" t="s">
        <v>290</v>
      </c>
      <c r="D1067" s="69" t="s">
        <v>6580</v>
      </c>
      <c r="E1067" s="69" t="s">
        <v>4745</v>
      </c>
    </row>
    <row r="1068" spans="2:5" x14ac:dyDescent="0.2">
      <c r="B1068" s="65" t="s">
        <v>291</v>
      </c>
      <c r="D1068" s="69" t="s">
        <v>6580</v>
      </c>
      <c r="E1068" s="69" t="s">
        <v>4746</v>
      </c>
    </row>
    <row r="1069" spans="2:5" x14ac:dyDescent="0.2">
      <c r="B1069" s="65" t="s">
        <v>292</v>
      </c>
      <c r="D1069" s="69" t="s">
        <v>6580</v>
      </c>
      <c r="E1069" s="69" t="s">
        <v>4747</v>
      </c>
    </row>
    <row r="1070" spans="2:5" x14ac:dyDescent="0.2">
      <c r="B1070" s="65" t="s">
        <v>293</v>
      </c>
      <c r="D1070" s="69" t="s">
        <v>6580</v>
      </c>
      <c r="E1070" s="69" t="s">
        <v>4748</v>
      </c>
    </row>
    <row r="1071" spans="2:5" x14ac:dyDescent="0.2">
      <c r="B1071" s="65" t="s">
        <v>294</v>
      </c>
      <c r="D1071" s="69" t="s">
        <v>6580</v>
      </c>
      <c r="E1071" s="69" t="s">
        <v>4749</v>
      </c>
    </row>
    <row r="1072" spans="2:5" x14ac:dyDescent="0.2">
      <c r="B1072" s="65" t="s">
        <v>295</v>
      </c>
      <c r="D1072" s="69" t="s">
        <v>6580</v>
      </c>
      <c r="E1072" s="69" t="s">
        <v>4750</v>
      </c>
    </row>
    <row r="1073" spans="2:5" x14ac:dyDescent="0.2">
      <c r="B1073" s="65" t="s">
        <v>297</v>
      </c>
      <c r="D1073" s="69" t="s">
        <v>6580</v>
      </c>
      <c r="E1073" s="69" t="s">
        <v>4751</v>
      </c>
    </row>
    <row r="1074" spans="2:5" x14ac:dyDescent="0.2">
      <c r="B1074" s="65" t="s">
        <v>931</v>
      </c>
      <c r="D1074" s="69" t="s">
        <v>6582</v>
      </c>
      <c r="E1074" s="69" t="s">
        <v>6269</v>
      </c>
    </row>
    <row r="1075" spans="2:5" x14ac:dyDescent="0.2">
      <c r="B1075" s="65" t="s">
        <v>940</v>
      </c>
      <c r="D1075" s="69" t="s">
        <v>6582</v>
      </c>
      <c r="E1075" s="69" t="s">
        <v>6278</v>
      </c>
    </row>
    <row r="1076" spans="2:5" x14ac:dyDescent="0.2">
      <c r="B1076" s="65" t="s">
        <v>941</v>
      </c>
      <c r="D1076" s="69" t="s">
        <v>6582</v>
      </c>
      <c r="E1076" s="69" t="s">
        <v>6279</v>
      </c>
    </row>
    <row r="1077" spans="2:5" x14ac:dyDescent="0.2">
      <c r="B1077" s="65" t="s">
        <v>942</v>
      </c>
      <c r="D1077" s="69" t="s">
        <v>6582</v>
      </c>
      <c r="E1077" s="69" t="s">
        <v>6280</v>
      </c>
    </row>
    <row r="1078" spans="2:5" x14ac:dyDescent="0.2">
      <c r="B1078" s="65" t="s">
        <v>943</v>
      </c>
      <c r="D1078" s="69" t="s">
        <v>6582</v>
      </c>
      <c r="E1078" s="69" t="s">
        <v>6281</v>
      </c>
    </row>
    <row r="1079" spans="2:5" x14ac:dyDescent="0.2">
      <c r="B1079" s="65" t="s">
        <v>944</v>
      </c>
      <c r="D1079" s="69" t="s">
        <v>6582</v>
      </c>
      <c r="E1079" s="69" t="s">
        <v>6282</v>
      </c>
    </row>
    <row r="1080" spans="2:5" x14ac:dyDescent="0.2">
      <c r="B1080" s="65" t="s">
        <v>945</v>
      </c>
      <c r="D1080" s="69" t="s">
        <v>6582</v>
      </c>
      <c r="E1080" s="69" t="s">
        <v>6283</v>
      </c>
    </row>
    <row r="1081" spans="2:5" x14ac:dyDescent="0.2">
      <c r="B1081" s="65" t="s">
        <v>946</v>
      </c>
      <c r="D1081" s="69" t="s">
        <v>6582</v>
      </c>
      <c r="E1081" s="69" t="s">
        <v>6284</v>
      </c>
    </row>
    <row r="1082" spans="2:5" x14ac:dyDescent="0.2">
      <c r="B1082" s="65" t="s">
        <v>947</v>
      </c>
      <c r="D1082" s="69" t="s">
        <v>6582</v>
      </c>
      <c r="E1082" s="69" t="s">
        <v>6285</v>
      </c>
    </row>
    <row r="1083" spans="2:5" x14ac:dyDescent="0.2">
      <c r="B1083" s="65" t="s">
        <v>948</v>
      </c>
      <c r="D1083" s="69" t="s">
        <v>6582</v>
      </c>
      <c r="E1083" s="69" t="s">
        <v>6286</v>
      </c>
    </row>
    <row r="1084" spans="2:5" x14ac:dyDescent="0.2">
      <c r="B1084" s="65" t="s">
        <v>949</v>
      </c>
      <c r="D1084" s="69" t="s">
        <v>6582</v>
      </c>
      <c r="E1084" s="69" t="s">
        <v>6287</v>
      </c>
    </row>
    <row r="1085" spans="2:5" x14ac:dyDescent="0.2">
      <c r="B1085" s="65" t="s">
        <v>932</v>
      </c>
      <c r="D1085" s="69" t="s">
        <v>6582</v>
      </c>
      <c r="E1085" s="69" t="s">
        <v>6270</v>
      </c>
    </row>
    <row r="1086" spans="2:5" x14ac:dyDescent="0.2">
      <c r="B1086" s="65" t="s">
        <v>933</v>
      </c>
      <c r="D1086" s="69" t="s">
        <v>6582</v>
      </c>
      <c r="E1086" s="69" t="s">
        <v>6271</v>
      </c>
    </row>
    <row r="1087" spans="2:5" x14ac:dyDescent="0.2">
      <c r="B1087" s="65" t="s">
        <v>934</v>
      </c>
      <c r="D1087" s="69" t="s">
        <v>6582</v>
      </c>
      <c r="E1087" s="69" t="s">
        <v>6272</v>
      </c>
    </row>
    <row r="1088" spans="2:5" x14ac:dyDescent="0.2">
      <c r="B1088" s="65" t="s">
        <v>935</v>
      </c>
      <c r="D1088" s="69" t="s">
        <v>6582</v>
      </c>
      <c r="E1088" s="69" t="s">
        <v>6273</v>
      </c>
    </row>
    <row r="1089" spans="2:5" x14ac:dyDescent="0.2">
      <c r="B1089" s="65" t="s">
        <v>936</v>
      </c>
      <c r="D1089" s="69" t="s">
        <v>6582</v>
      </c>
      <c r="E1089" s="69" t="s">
        <v>6274</v>
      </c>
    </row>
    <row r="1090" spans="2:5" x14ac:dyDescent="0.2">
      <c r="B1090" s="65" t="s">
        <v>937</v>
      </c>
      <c r="D1090" s="69" t="s">
        <v>6582</v>
      </c>
      <c r="E1090" s="69" t="s">
        <v>6275</v>
      </c>
    </row>
    <row r="1091" spans="2:5" x14ac:dyDescent="0.2">
      <c r="B1091" s="65" t="s">
        <v>938</v>
      </c>
      <c r="D1091" s="69" t="s">
        <v>6582</v>
      </c>
      <c r="E1091" s="69" t="s">
        <v>6276</v>
      </c>
    </row>
    <row r="1092" spans="2:5" x14ac:dyDescent="0.2">
      <c r="B1092" s="65" t="s">
        <v>939</v>
      </c>
      <c r="D1092" s="69" t="s">
        <v>6582</v>
      </c>
      <c r="E1092" s="69" t="s">
        <v>6277</v>
      </c>
    </row>
    <row r="1093" spans="2:5" x14ac:dyDescent="0.2">
      <c r="B1093" s="65" t="s">
        <v>1126</v>
      </c>
      <c r="D1093" s="69" t="s">
        <v>6580</v>
      </c>
      <c r="E1093" s="69" t="s">
        <v>4752</v>
      </c>
    </row>
    <row r="1094" spans="2:5" x14ac:dyDescent="0.2">
      <c r="B1094" s="65" t="s">
        <v>1128</v>
      </c>
      <c r="D1094" s="69" t="s">
        <v>6580</v>
      </c>
      <c r="E1094" s="69" t="s">
        <v>4753</v>
      </c>
    </row>
    <row r="1095" spans="2:5" x14ac:dyDescent="0.2">
      <c r="B1095" s="65" t="s">
        <v>1127</v>
      </c>
      <c r="D1095" s="69" t="s">
        <v>6580</v>
      </c>
      <c r="E1095" s="69" t="s">
        <v>4754</v>
      </c>
    </row>
    <row r="1096" spans="2:5" x14ac:dyDescent="0.2">
      <c r="B1096" s="65" t="s">
        <v>1129</v>
      </c>
      <c r="D1096" s="69" t="s">
        <v>6580</v>
      </c>
      <c r="E1096" s="69" t="s">
        <v>4755</v>
      </c>
    </row>
    <row r="1097" spans="2:5" x14ac:dyDescent="0.2">
      <c r="B1097" s="65" t="s">
        <v>927</v>
      </c>
      <c r="D1097" s="69" t="s">
        <v>6582</v>
      </c>
      <c r="E1097" s="69" t="s">
        <v>6265</v>
      </c>
    </row>
    <row r="1098" spans="2:5" x14ac:dyDescent="0.2">
      <c r="B1098" s="65" t="s">
        <v>929</v>
      </c>
      <c r="D1098" s="69" t="s">
        <v>6582</v>
      </c>
      <c r="E1098" s="69" t="s">
        <v>6267</v>
      </c>
    </row>
    <row r="1099" spans="2:5" x14ac:dyDescent="0.2">
      <c r="B1099" s="65" t="s">
        <v>928</v>
      </c>
      <c r="D1099" s="69" t="s">
        <v>6582</v>
      </c>
      <c r="E1099" s="69" t="s">
        <v>6266</v>
      </c>
    </row>
    <row r="1100" spans="2:5" x14ac:dyDescent="0.2">
      <c r="B1100" s="65" t="s">
        <v>930</v>
      </c>
      <c r="D1100" s="69" t="s">
        <v>6582</v>
      </c>
      <c r="E1100" s="69" t="s">
        <v>6268</v>
      </c>
    </row>
    <row r="1101" spans="2:5" x14ac:dyDescent="0.2">
      <c r="B1101" s="65" t="s">
        <v>595</v>
      </c>
      <c r="D1101" s="69" t="s">
        <v>6580</v>
      </c>
      <c r="E1101" s="69" t="s">
        <v>4756</v>
      </c>
    </row>
    <row r="1102" spans="2:5" x14ac:dyDescent="0.2">
      <c r="B1102" s="65" t="s">
        <v>603</v>
      </c>
      <c r="D1102" s="69" t="s">
        <v>6580</v>
      </c>
      <c r="E1102" s="69" t="s">
        <v>4757</v>
      </c>
    </row>
    <row r="1103" spans="2:5" x14ac:dyDescent="0.2">
      <c r="B1103" s="65" t="s">
        <v>604</v>
      </c>
      <c r="D1103" s="69" t="s">
        <v>6580</v>
      </c>
      <c r="E1103" s="69" t="s">
        <v>4758</v>
      </c>
    </row>
    <row r="1104" spans="2:5" x14ac:dyDescent="0.2">
      <c r="B1104" s="65" t="s">
        <v>605</v>
      </c>
      <c r="D1104" s="69" t="s">
        <v>6580</v>
      </c>
      <c r="E1104" s="69" t="s">
        <v>4759</v>
      </c>
    </row>
    <row r="1105" spans="2:5" x14ac:dyDescent="0.2">
      <c r="B1105" s="65" t="s">
        <v>606</v>
      </c>
      <c r="D1105" s="69" t="s">
        <v>6580</v>
      </c>
      <c r="E1105" s="69" t="s">
        <v>4760</v>
      </c>
    </row>
    <row r="1106" spans="2:5" x14ac:dyDescent="0.2">
      <c r="B1106" s="65" t="s">
        <v>607</v>
      </c>
      <c r="D1106" s="69" t="s">
        <v>6580</v>
      </c>
      <c r="E1106" s="69" t="s">
        <v>4761</v>
      </c>
    </row>
    <row r="1107" spans="2:5" x14ac:dyDescent="0.2">
      <c r="B1107" s="65" t="s">
        <v>608</v>
      </c>
      <c r="D1107" s="69" t="s">
        <v>6580</v>
      </c>
      <c r="E1107" s="69" t="s">
        <v>4762</v>
      </c>
    </row>
    <row r="1108" spans="2:5" x14ac:dyDescent="0.2">
      <c r="B1108" s="65" t="s">
        <v>609</v>
      </c>
      <c r="D1108" s="69" t="s">
        <v>6580</v>
      </c>
      <c r="E1108" s="69" t="s">
        <v>4763</v>
      </c>
    </row>
    <row r="1109" spans="2:5" x14ac:dyDescent="0.2">
      <c r="B1109" s="65" t="s">
        <v>610</v>
      </c>
      <c r="D1109" s="69" t="s">
        <v>6580</v>
      </c>
      <c r="E1109" s="69" t="s">
        <v>4764</v>
      </c>
    </row>
    <row r="1110" spans="2:5" x14ac:dyDescent="0.2">
      <c r="B1110" s="65" t="s">
        <v>611</v>
      </c>
      <c r="D1110" s="69" t="s">
        <v>6580</v>
      </c>
      <c r="E1110" s="69" t="s">
        <v>4765</v>
      </c>
    </row>
    <row r="1111" spans="2:5" x14ac:dyDescent="0.2">
      <c r="B1111" s="65" t="s">
        <v>596</v>
      </c>
      <c r="D1111" s="69" t="s">
        <v>6580</v>
      </c>
      <c r="E1111" s="69" t="s">
        <v>4766</v>
      </c>
    </row>
    <row r="1112" spans="2:5" x14ac:dyDescent="0.2">
      <c r="B1112" s="65" t="s">
        <v>597</v>
      </c>
      <c r="D1112" s="69" t="s">
        <v>6580</v>
      </c>
      <c r="E1112" s="69" t="s">
        <v>4767</v>
      </c>
    </row>
    <row r="1113" spans="2:5" x14ac:dyDescent="0.2">
      <c r="B1113" s="65" t="s">
        <v>598</v>
      </c>
      <c r="D1113" s="69" t="s">
        <v>6580</v>
      </c>
      <c r="E1113" s="69" t="s">
        <v>4768</v>
      </c>
    </row>
    <row r="1114" spans="2:5" x14ac:dyDescent="0.2">
      <c r="B1114" s="65" t="s">
        <v>599</v>
      </c>
      <c r="D1114" s="69" t="s">
        <v>6580</v>
      </c>
      <c r="E1114" s="69" t="s">
        <v>4769</v>
      </c>
    </row>
    <row r="1115" spans="2:5" x14ac:dyDescent="0.2">
      <c r="B1115" s="65" t="s">
        <v>3382</v>
      </c>
      <c r="D1115" s="69" t="s">
        <v>6582</v>
      </c>
      <c r="E1115" s="69" t="s">
        <v>6473</v>
      </c>
    </row>
    <row r="1116" spans="2:5" x14ac:dyDescent="0.2">
      <c r="B1116" s="65" t="s">
        <v>600</v>
      </c>
      <c r="D1116" s="69" t="s">
        <v>6580</v>
      </c>
      <c r="E1116" s="69" t="s">
        <v>4770</v>
      </c>
    </row>
    <row r="1117" spans="2:5" x14ac:dyDescent="0.2">
      <c r="B1117" s="65" t="s">
        <v>601</v>
      </c>
      <c r="D1117" s="69" t="s">
        <v>6580</v>
      </c>
      <c r="E1117" s="69" t="s">
        <v>4771</v>
      </c>
    </row>
    <row r="1118" spans="2:5" x14ac:dyDescent="0.2">
      <c r="B1118" s="65" t="s">
        <v>602</v>
      </c>
      <c r="D1118" s="69" t="s">
        <v>6580</v>
      </c>
      <c r="E1118" s="69" t="s">
        <v>4772</v>
      </c>
    </row>
    <row r="1119" spans="2:5" x14ac:dyDescent="0.2">
      <c r="B1119" s="65" t="s">
        <v>354</v>
      </c>
      <c r="D1119" s="69" t="s">
        <v>6580</v>
      </c>
      <c r="E1119" s="69" t="s">
        <v>4773</v>
      </c>
    </row>
    <row r="1120" spans="2:5" x14ac:dyDescent="0.2">
      <c r="B1120" s="65" t="s">
        <v>355</v>
      </c>
      <c r="D1120" s="69" t="s">
        <v>6580</v>
      </c>
      <c r="E1120" s="69" t="s">
        <v>4774</v>
      </c>
    </row>
    <row r="1121" spans="2:5" x14ac:dyDescent="0.2">
      <c r="B1121" s="65" t="s">
        <v>356</v>
      </c>
      <c r="D1121" s="69" t="s">
        <v>6580</v>
      </c>
      <c r="E1121" s="69" t="s">
        <v>4775</v>
      </c>
    </row>
    <row r="1122" spans="2:5" x14ac:dyDescent="0.2">
      <c r="B1122" s="65" t="s">
        <v>357</v>
      </c>
      <c r="D1122" s="69" t="s">
        <v>6580</v>
      </c>
      <c r="E1122" s="69" t="s">
        <v>4776</v>
      </c>
    </row>
    <row r="1123" spans="2:5" x14ac:dyDescent="0.2">
      <c r="B1123" s="65" t="s">
        <v>358</v>
      </c>
      <c r="D1123" s="69" t="s">
        <v>6580</v>
      </c>
      <c r="E1123" s="69" t="s">
        <v>4777</v>
      </c>
    </row>
    <row r="1124" spans="2:5" x14ac:dyDescent="0.2">
      <c r="B1124" s="65" t="s">
        <v>359</v>
      </c>
      <c r="D1124" s="69" t="s">
        <v>6580</v>
      </c>
      <c r="E1124" s="69" t="s">
        <v>4778</v>
      </c>
    </row>
    <row r="1125" spans="2:5" x14ac:dyDescent="0.2">
      <c r="B1125" s="65" t="s">
        <v>360</v>
      </c>
      <c r="D1125" s="69" t="s">
        <v>6580</v>
      </c>
      <c r="E1125" s="69" t="s">
        <v>4779</v>
      </c>
    </row>
    <row r="1126" spans="2:5" x14ac:dyDescent="0.2">
      <c r="B1126" s="65" t="s">
        <v>361</v>
      </c>
      <c r="D1126" s="69" t="s">
        <v>6580</v>
      </c>
      <c r="E1126" s="69" t="s">
        <v>4780</v>
      </c>
    </row>
    <row r="1127" spans="2:5" x14ac:dyDescent="0.2">
      <c r="B1127" s="65" t="s">
        <v>446</v>
      </c>
      <c r="D1127" s="69" t="s">
        <v>6580</v>
      </c>
      <c r="E1127" s="69" t="s">
        <v>4781</v>
      </c>
    </row>
    <row r="1128" spans="2:5" x14ac:dyDescent="0.2">
      <c r="B1128" s="65" t="s">
        <v>447</v>
      </c>
      <c r="D1128" s="69" t="s">
        <v>6580</v>
      </c>
      <c r="E1128" s="69" t="s">
        <v>4782</v>
      </c>
    </row>
    <row r="1129" spans="2:5" x14ac:dyDescent="0.2">
      <c r="B1129" s="65" t="s">
        <v>448</v>
      </c>
      <c r="D1129" s="69" t="s">
        <v>6580</v>
      </c>
      <c r="E1129" s="69" t="s">
        <v>4783</v>
      </c>
    </row>
    <row r="1130" spans="2:5" x14ac:dyDescent="0.2">
      <c r="B1130" s="65" t="s">
        <v>449</v>
      </c>
      <c r="D1130" s="69" t="s">
        <v>6580</v>
      </c>
      <c r="E1130" s="69" t="s">
        <v>4784</v>
      </c>
    </row>
    <row r="1131" spans="2:5" x14ac:dyDescent="0.2">
      <c r="B1131" s="65" t="s">
        <v>450</v>
      </c>
      <c r="D1131" s="69" t="s">
        <v>6580</v>
      </c>
      <c r="E1131" s="69" t="s">
        <v>4785</v>
      </c>
    </row>
    <row r="1132" spans="2:5" x14ac:dyDescent="0.2">
      <c r="B1132" s="65" t="s">
        <v>451</v>
      </c>
      <c r="D1132" s="69" t="s">
        <v>6580</v>
      </c>
      <c r="E1132" s="69" t="s">
        <v>4786</v>
      </c>
    </row>
    <row r="1133" spans="2:5" x14ac:dyDescent="0.2">
      <c r="B1133" s="65" t="s">
        <v>362</v>
      </c>
      <c r="D1133" s="69" t="s">
        <v>6580</v>
      </c>
      <c r="E1133" s="69" t="s">
        <v>4787</v>
      </c>
    </row>
    <row r="1134" spans="2:5" x14ac:dyDescent="0.2">
      <c r="B1134" s="65" t="s">
        <v>452</v>
      </c>
      <c r="D1134" s="69" t="s">
        <v>6580</v>
      </c>
      <c r="E1134" s="69" t="s">
        <v>4788</v>
      </c>
    </row>
    <row r="1135" spans="2:5" x14ac:dyDescent="0.2">
      <c r="B1135" s="65" t="s">
        <v>453</v>
      </c>
      <c r="D1135" s="69" t="s">
        <v>6580</v>
      </c>
      <c r="E1135" s="69" t="s">
        <v>4789</v>
      </c>
    </row>
    <row r="1136" spans="2:5" x14ac:dyDescent="0.2">
      <c r="B1136" s="65" t="s">
        <v>363</v>
      </c>
      <c r="D1136" s="69" t="s">
        <v>6580</v>
      </c>
      <c r="E1136" s="69" t="s">
        <v>4790</v>
      </c>
    </row>
    <row r="1137" spans="2:5" x14ac:dyDescent="0.2">
      <c r="B1137" s="65" t="s">
        <v>364</v>
      </c>
      <c r="D1137" s="69" t="s">
        <v>6580</v>
      </c>
      <c r="E1137" s="69" t="s">
        <v>4791</v>
      </c>
    </row>
    <row r="1138" spans="2:5" x14ac:dyDescent="0.2">
      <c r="B1138" s="65" t="s">
        <v>365</v>
      </c>
      <c r="D1138" s="69" t="s">
        <v>6580</v>
      </c>
      <c r="E1138" s="69" t="s">
        <v>4792</v>
      </c>
    </row>
    <row r="1139" spans="2:5" x14ac:dyDescent="0.2">
      <c r="B1139" s="65" t="s">
        <v>366</v>
      </c>
      <c r="D1139" s="69" t="s">
        <v>6580</v>
      </c>
      <c r="E1139" s="69" t="s">
        <v>4793</v>
      </c>
    </row>
    <row r="1140" spans="2:5" x14ac:dyDescent="0.2">
      <c r="B1140" s="65" t="s">
        <v>367</v>
      </c>
      <c r="D1140" s="69" t="s">
        <v>6580</v>
      </c>
      <c r="E1140" s="69" t="s">
        <v>4794</v>
      </c>
    </row>
    <row r="1141" spans="2:5" x14ac:dyDescent="0.2">
      <c r="B1141" s="65" t="s">
        <v>368</v>
      </c>
      <c r="D1141" s="69" t="s">
        <v>6580</v>
      </c>
      <c r="E1141" s="69" t="s">
        <v>4795</v>
      </c>
    </row>
    <row r="1142" spans="2:5" x14ac:dyDescent="0.2">
      <c r="B1142" s="65" t="s">
        <v>369</v>
      </c>
      <c r="D1142" s="69" t="s">
        <v>6580</v>
      </c>
      <c r="E1142" s="69" t="s">
        <v>4796</v>
      </c>
    </row>
    <row r="1143" spans="2:5" x14ac:dyDescent="0.2">
      <c r="B1143" s="65" t="s">
        <v>370</v>
      </c>
      <c r="D1143" s="69" t="s">
        <v>6580</v>
      </c>
      <c r="E1143" s="69" t="s">
        <v>4797</v>
      </c>
    </row>
    <row r="1144" spans="2:5" x14ac:dyDescent="0.2">
      <c r="B1144" s="65" t="s">
        <v>371</v>
      </c>
      <c r="D1144" s="69" t="s">
        <v>6580</v>
      </c>
      <c r="E1144" s="69" t="s">
        <v>4798</v>
      </c>
    </row>
    <row r="1145" spans="2:5" x14ac:dyDescent="0.2">
      <c r="B1145" s="65" t="s">
        <v>372</v>
      </c>
      <c r="D1145" s="69" t="s">
        <v>6580</v>
      </c>
      <c r="E1145" s="69" t="s">
        <v>4799</v>
      </c>
    </row>
    <row r="1146" spans="2:5" x14ac:dyDescent="0.2">
      <c r="B1146" s="65" t="s">
        <v>373</v>
      </c>
      <c r="D1146" s="69" t="s">
        <v>6580</v>
      </c>
      <c r="E1146" s="69" t="s">
        <v>4800</v>
      </c>
    </row>
    <row r="1147" spans="2:5" x14ac:dyDescent="0.2">
      <c r="B1147" s="65" t="s">
        <v>374</v>
      </c>
      <c r="D1147" s="69" t="s">
        <v>6580</v>
      </c>
      <c r="E1147" s="69" t="s">
        <v>4801</v>
      </c>
    </row>
    <row r="1148" spans="2:5" x14ac:dyDescent="0.2">
      <c r="B1148" s="65" t="s">
        <v>375</v>
      </c>
      <c r="D1148" s="69" t="s">
        <v>6580</v>
      </c>
      <c r="E1148" s="69" t="s">
        <v>4802</v>
      </c>
    </row>
    <row r="1149" spans="2:5" x14ac:dyDescent="0.2">
      <c r="B1149" s="65" t="s">
        <v>376</v>
      </c>
      <c r="D1149" s="69" t="s">
        <v>6580</v>
      </c>
      <c r="E1149" s="69" t="s">
        <v>4803</v>
      </c>
    </row>
    <row r="1150" spans="2:5" x14ac:dyDescent="0.2">
      <c r="B1150" s="65" t="s">
        <v>377</v>
      </c>
      <c r="D1150" s="69" t="s">
        <v>6580</v>
      </c>
      <c r="E1150" s="69" t="s">
        <v>4804</v>
      </c>
    </row>
    <row r="1151" spans="2:5" x14ac:dyDescent="0.2">
      <c r="B1151" s="65" t="s">
        <v>378</v>
      </c>
      <c r="D1151" s="69" t="s">
        <v>6580</v>
      </c>
      <c r="E1151" s="69" t="s">
        <v>4805</v>
      </c>
    </row>
    <row r="1152" spans="2:5" x14ac:dyDescent="0.2">
      <c r="B1152" s="65" t="s">
        <v>379</v>
      </c>
      <c r="D1152" s="69" t="s">
        <v>6580</v>
      </c>
      <c r="E1152" s="69" t="s">
        <v>4806</v>
      </c>
    </row>
    <row r="1153" spans="2:5" x14ac:dyDescent="0.2">
      <c r="B1153" s="65" t="s">
        <v>380</v>
      </c>
      <c r="D1153" s="69" t="s">
        <v>6580</v>
      </c>
      <c r="E1153" s="69" t="s">
        <v>4807</v>
      </c>
    </row>
    <row r="1154" spans="2:5" x14ac:dyDescent="0.2">
      <c r="B1154" s="65" t="s">
        <v>381</v>
      </c>
      <c r="D1154" s="69" t="s">
        <v>6580</v>
      </c>
      <c r="E1154" s="69" t="s">
        <v>4808</v>
      </c>
    </row>
    <row r="1155" spans="2:5" x14ac:dyDescent="0.2">
      <c r="B1155" s="65" t="s">
        <v>382</v>
      </c>
      <c r="D1155" s="69" t="s">
        <v>6580</v>
      </c>
      <c r="E1155" s="69" t="s">
        <v>4809</v>
      </c>
    </row>
    <row r="1156" spans="2:5" x14ac:dyDescent="0.2">
      <c r="B1156" s="65" t="s">
        <v>383</v>
      </c>
      <c r="D1156" s="69" t="s">
        <v>6580</v>
      </c>
      <c r="E1156" s="69" t="s">
        <v>4810</v>
      </c>
    </row>
    <row r="1157" spans="2:5" x14ac:dyDescent="0.2">
      <c r="B1157" s="65" t="s">
        <v>384</v>
      </c>
      <c r="D1157" s="69" t="s">
        <v>6580</v>
      </c>
      <c r="E1157" s="69" t="s">
        <v>4811</v>
      </c>
    </row>
    <row r="1158" spans="2:5" x14ac:dyDescent="0.2">
      <c r="B1158" s="65" t="s">
        <v>385</v>
      </c>
      <c r="D1158" s="69" t="s">
        <v>6580</v>
      </c>
      <c r="E1158" s="69" t="s">
        <v>4812</v>
      </c>
    </row>
    <row r="1159" spans="2:5" x14ac:dyDescent="0.2">
      <c r="B1159" s="65" t="s">
        <v>386</v>
      </c>
      <c r="D1159" s="69" t="s">
        <v>6580</v>
      </c>
      <c r="E1159" s="100" t="s">
        <v>4813</v>
      </c>
    </row>
    <row r="1160" spans="2:5" x14ac:dyDescent="0.2">
      <c r="B1160" s="65" t="s">
        <v>387</v>
      </c>
      <c r="D1160" s="69" t="s">
        <v>6580</v>
      </c>
      <c r="E1160" s="69" t="s">
        <v>4814</v>
      </c>
    </row>
    <row r="1161" spans="2:5" x14ac:dyDescent="0.2">
      <c r="B1161" s="65" t="s">
        <v>388</v>
      </c>
      <c r="D1161" s="69" t="s">
        <v>6580</v>
      </c>
      <c r="E1161" s="69" t="s">
        <v>4815</v>
      </c>
    </row>
    <row r="1162" spans="2:5" x14ac:dyDescent="0.2">
      <c r="B1162" s="65" t="s">
        <v>389</v>
      </c>
      <c r="D1162" s="69" t="s">
        <v>6580</v>
      </c>
      <c r="E1162" s="69" t="s">
        <v>4816</v>
      </c>
    </row>
    <row r="1163" spans="2:5" x14ac:dyDescent="0.2">
      <c r="B1163" s="65" t="s">
        <v>390</v>
      </c>
      <c r="D1163" s="69" t="s">
        <v>6580</v>
      </c>
      <c r="E1163" s="69" t="s">
        <v>4817</v>
      </c>
    </row>
    <row r="1164" spans="2:5" x14ac:dyDescent="0.2">
      <c r="B1164" s="65" t="s">
        <v>391</v>
      </c>
      <c r="D1164" s="69" t="s">
        <v>6580</v>
      </c>
      <c r="E1164" s="69" t="s">
        <v>4818</v>
      </c>
    </row>
    <row r="1165" spans="2:5" x14ac:dyDescent="0.2">
      <c r="B1165" s="65" t="s">
        <v>392</v>
      </c>
      <c r="D1165" t="s">
        <v>6580</v>
      </c>
      <c r="E1165" s="69" t="s">
        <v>4819</v>
      </c>
    </row>
    <row r="1166" spans="2:5" x14ac:dyDescent="0.2">
      <c r="B1166" s="65" t="s">
        <v>393</v>
      </c>
      <c r="D1166" t="s">
        <v>6580</v>
      </c>
      <c r="E1166" s="69" t="s">
        <v>4820</v>
      </c>
    </row>
    <row r="1167" spans="2:5" x14ac:dyDescent="0.2">
      <c r="B1167" s="65" t="s">
        <v>394</v>
      </c>
      <c r="D1167" t="s">
        <v>6580</v>
      </c>
      <c r="E1167" s="69" t="s">
        <v>4821</v>
      </c>
    </row>
    <row r="1168" spans="2:5" x14ac:dyDescent="0.2">
      <c r="B1168" s="65" t="s">
        <v>395</v>
      </c>
      <c r="D1168" t="s">
        <v>6580</v>
      </c>
      <c r="E1168" s="69" t="s">
        <v>4822</v>
      </c>
    </row>
    <row r="1169" spans="2:5" x14ac:dyDescent="0.2">
      <c r="B1169" s="65" t="s">
        <v>396</v>
      </c>
      <c r="D1169" t="s">
        <v>6580</v>
      </c>
      <c r="E1169" s="69" t="s">
        <v>4823</v>
      </c>
    </row>
    <row r="1170" spans="2:5" x14ac:dyDescent="0.2">
      <c r="B1170" s="65" t="s">
        <v>397</v>
      </c>
      <c r="D1170" t="s">
        <v>6580</v>
      </c>
      <c r="E1170" s="69" t="s">
        <v>4824</v>
      </c>
    </row>
    <row r="1171" spans="2:5" x14ac:dyDescent="0.2">
      <c r="B1171" s="65" t="s">
        <v>398</v>
      </c>
      <c r="D1171" t="s">
        <v>6580</v>
      </c>
      <c r="E1171" s="69" t="s">
        <v>4825</v>
      </c>
    </row>
    <row r="1172" spans="2:5" x14ac:dyDescent="0.2">
      <c r="B1172" s="65" t="s">
        <v>399</v>
      </c>
      <c r="D1172" t="s">
        <v>6580</v>
      </c>
      <c r="E1172" s="69" t="s">
        <v>4826</v>
      </c>
    </row>
    <row r="1173" spans="2:5" x14ac:dyDescent="0.2">
      <c r="B1173" s="65" t="s">
        <v>400</v>
      </c>
      <c r="D1173" s="69" t="s">
        <v>6580</v>
      </c>
      <c r="E1173" s="69" t="s">
        <v>4827</v>
      </c>
    </row>
    <row r="1174" spans="2:5" x14ac:dyDescent="0.2">
      <c r="B1174" s="65" t="s">
        <v>401</v>
      </c>
      <c r="D1174" s="69" t="s">
        <v>6580</v>
      </c>
      <c r="E1174" s="69" t="s">
        <v>4828</v>
      </c>
    </row>
    <row r="1175" spans="2:5" x14ac:dyDescent="0.2">
      <c r="B1175" s="65" t="s">
        <v>402</v>
      </c>
      <c r="D1175" t="s">
        <v>6580</v>
      </c>
      <c r="E1175" s="69" t="s">
        <v>4829</v>
      </c>
    </row>
    <row r="1176" spans="2:5" x14ac:dyDescent="0.2">
      <c r="B1176" s="65" t="s">
        <v>403</v>
      </c>
      <c r="D1176" t="s">
        <v>6580</v>
      </c>
      <c r="E1176" s="69" t="s">
        <v>4830</v>
      </c>
    </row>
    <row r="1177" spans="2:5" x14ac:dyDescent="0.2">
      <c r="B1177" s="65" t="s">
        <v>404</v>
      </c>
      <c r="D1177" s="69" t="s">
        <v>6580</v>
      </c>
      <c r="E1177" s="69" t="s">
        <v>4457</v>
      </c>
    </row>
    <row r="1178" spans="2:5" x14ac:dyDescent="0.2">
      <c r="B1178" s="65" t="s">
        <v>405</v>
      </c>
      <c r="D1178" s="69" t="s">
        <v>6580</v>
      </c>
      <c r="E1178" s="69" t="s">
        <v>4458</v>
      </c>
    </row>
    <row r="1179" spans="2:5" x14ac:dyDescent="0.2">
      <c r="B1179" s="65" t="s">
        <v>406</v>
      </c>
      <c r="D1179" s="69" t="s">
        <v>6580</v>
      </c>
      <c r="E1179" s="69" t="s">
        <v>4831</v>
      </c>
    </row>
    <row r="1180" spans="2:5" x14ac:dyDescent="0.2">
      <c r="B1180" s="65" t="s">
        <v>408</v>
      </c>
      <c r="D1180" s="69" t="s">
        <v>6580</v>
      </c>
      <c r="E1180" s="69" t="s">
        <v>4833</v>
      </c>
    </row>
    <row r="1181" spans="2:5" x14ac:dyDescent="0.2">
      <c r="B1181" s="65" t="s">
        <v>409</v>
      </c>
      <c r="D1181" s="69" t="s">
        <v>6580</v>
      </c>
      <c r="E1181" s="69" t="s">
        <v>4834</v>
      </c>
    </row>
    <row r="1182" spans="2:5" x14ac:dyDescent="0.2">
      <c r="B1182" s="65" t="s">
        <v>410</v>
      </c>
      <c r="D1182" s="69" t="s">
        <v>6580</v>
      </c>
      <c r="E1182" s="69" t="s">
        <v>4835</v>
      </c>
    </row>
    <row r="1183" spans="2:5" x14ac:dyDescent="0.2">
      <c r="B1183" s="65" t="s">
        <v>411</v>
      </c>
      <c r="D1183" s="69" t="s">
        <v>6580</v>
      </c>
      <c r="E1183" s="100" t="s">
        <v>4836</v>
      </c>
    </row>
    <row r="1184" spans="2:5" x14ac:dyDescent="0.2">
      <c r="B1184" s="65" t="s">
        <v>412</v>
      </c>
      <c r="D1184" s="69" t="s">
        <v>6580</v>
      </c>
      <c r="E1184" s="69" t="s">
        <v>4837</v>
      </c>
    </row>
    <row r="1185" spans="2:5" x14ac:dyDescent="0.2">
      <c r="B1185" s="65" t="s">
        <v>413</v>
      </c>
      <c r="D1185" s="69" t="s">
        <v>6580</v>
      </c>
      <c r="E1185" s="69" t="s">
        <v>4838</v>
      </c>
    </row>
    <row r="1186" spans="2:5" x14ac:dyDescent="0.2">
      <c r="B1186" s="65" t="s">
        <v>414</v>
      </c>
      <c r="D1186" s="69" t="s">
        <v>6580</v>
      </c>
      <c r="E1186" s="69" t="s">
        <v>4839</v>
      </c>
    </row>
    <row r="1187" spans="2:5" x14ac:dyDescent="0.2">
      <c r="B1187" s="65" t="s">
        <v>415</v>
      </c>
      <c r="D1187" s="69" t="s">
        <v>6580</v>
      </c>
      <c r="E1187" s="69" t="s">
        <v>4840</v>
      </c>
    </row>
    <row r="1188" spans="2:5" x14ac:dyDescent="0.2">
      <c r="B1188" s="65" t="s">
        <v>416</v>
      </c>
      <c r="D1188" s="69" t="s">
        <v>6580</v>
      </c>
      <c r="E1188" s="69" t="s">
        <v>4841</v>
      </c>
    </row>
    <row r="1189" spans="2:5" x14ac:dyDescent="0.2">
      <c r="B1189" s="65" t="s">
        <v>417</v>
      </c>
      <c r="D1189" s="69" t="s">
        <v>6580</v>
      </c>
      <c r="E1189" s="69" t="s">
        <v>4842</v>
      </c>
    </row>
    <row r="1190" spans="2:5" x14ac:dyDescent="0.2">
      <c r="B1190" s="65" t="s">
        <v>418</v>
      </c>
      <c r="D1190" s="69" t="s">
        <v>6580</v>
      </c>
      <c r="E1190" s="69" t="s">
        <v>4843</v>
      </c>
    </row>
    <row r="1191" spans="2:5" x14ac:dyDescent="0.2">
      <c r="B1191" s="65" t="s">
        <v>419</v>
      </c>
      <c r="D1191" s="69" t="s">
        <v>6580</v>
      </c>
      <c r="E1191" s="69" t="s">
        <v>4844</v>
      </c>
    </row>
    <row r="1192" spans="2:5" x14ac:dyDescent="0.2">
      <c r="B1192" s="65" t="s">
        <v>420</v>
      </c>
      <c r="D1192" s="69" t="s">
        <v>6580</v>
      </c>
      <c r="E1192" s="69" t="s">
        <v>4845</v>
      </c>
    </row>
    <row r="1193" spans="2:5" x14ac:dyDescent="0.2">
      <c r="B1193" s="65" t="s">
        <v>421</v>
      </c>
      <c r="D1193" s="69" t="s">
        <v>6580</v>
      </c>
      <c r="E1193" s="69" t="s">
        <v>4846</v>
      </c>
    </row>
    <row r="1194" spans="2:5" x14ac:dyDescent="0.2">
      <c r="B1194" s="65" t="s">
        <v>422</v>
      </c>
      <c r="D1194" s="69" t="s">
        <v>6580</v>
      </c>
      <c r="E1194" s="69" t="s">
        <v>4847</v>
      </c>
    </row>
    <row r="1195" spans="2:5" x14ac:dyDescent="0.2">
      <c r="B1195" s="65" t="s">
        <v>423</v>
      </c>
      <c r="D1195" s="69" t="s">
        <v>6580</v>
      </c>
      <c r="E1195" s="69" t="s">
        <v>4848</v>
      </c>
    </row>
    <row r="1196" spans="2:5" x14ac:dyDescent="0.2">
      <c r="B1196" s="65" t="s">
        <v>424</v>
      </c>
      <c r="D1196" s="69" t="s">
        <v>6580</v>
      </c>
      <c r="E1196" s="69" t="s">
        <v>4849</v>
      </c>
    </row>
    <row r="1197" spans="2:5" x14ac:dyDescent="0.2">
      <c r="B1197" s="65" t="s">
        <v>425</v>
      </c>
      <c r="D1197" s="69" t="s">
        <v>6580</v>
      </c>
      <c r="E1197" s="69" t="s">
        <v>4850</v>
      </c>
    </row>
    <row r="1198" spans="2:5" x14ac:dyDescent="0.2">
      <c r="B1198" s="65" t="s">
        <v>426</v>
      </c>
      <c r="D1198" s="69" t="s">
        <v>6580</v>
      </c>
      <c r="E1198" s="69" t="s">
        <v>4851</v>
      </c>
    </row>
    <row r="1199" spans="2:5" x14ac:dyDescent="0.2">
      <c r="B1199" s="65" t="s">
        <v>427</v>
      </c>
      <c r="D1199" s="69" t="s">
        <v>6580</v>
      </c>
      <c r="E1199" s="69" t="s">
        <v>4852</v>
      </c>
    </row>
    <row r="1200" spans="2:5" x14ac:dyDescent="0.2">
      <c r="B1200" s="65" t="s">
        <v>428</v>
      </c>
      <c r="D1200" s="69" t="s">
        <v>6580</v>
      </c>
      <c r="E1200" s="69" t="s">
        <v>4853</v>
      </c>
    </row>
    <row r="1201" spans="2:5" x14ac:dyDescent="0.2">
      <c r="B1201" s="65" t="s">
        <v>429</v>
      </c>
      <c r="D1201" s="69" t="s">
        <v>6580</v>
      </c>
      <c r="E1201" s="69" t="s">
        <v>4854</v>
      </c>
    </row>
    <row r="1202" spans="2:5" x14ac:dyDescent="0.2">
      <c r="B1202" s="65" t="s">
        <v>430</v>
      </c>
      <c r="D1202" s="69" t="s">
        <v>6580</v>
      </c>
      <c r="E1202" s="69" t="s">
        <v>4855</v>
      </c>
    </row>
    <row r="1203" spans="2:5" x14ac:dyDescent="0.2">
      <c r="B1203" s="65" t="s">
        <v>431</v>
      </c>
      <c r="D1203" s="69" t="s">
        <v>6580</v>
      </c>
      <c r="E1203" s="69" t="s">
        <v>4856</v>
      </c>
    </row>
    <row r="1204" spans="2:5" x14ac:dyDescent="0.2">
      <c r="B1204" s="65" t="s">
        <v>432</v>
      </c>
      <c r="D1204" s="69" t="s">
        <v>6580</v>
      </c>
      <c r="E1204" s="69" t="s">
        <v>4857</v>
      </c>
    </row>
    <row r="1205" spans="2:5" x14ac:dyDescent="0.2">
      <c r="B1205" s="65" t="s">
        <v>433</v>
      </c>
      <c r="D1205" s="69" t="s">
        <v>6580</v>
      </c>
      <c r="E1205" s="69" t="s">
        <v>4858</v>
      </c>
    </row>
    <row r="1206" spans="2:5" x14ac:dyDescent="0.2">
      <c r="B1206" s="65" t="s">
        <v>434</v>
      </c>
      <c r="D1206" s="69" t="s">
        <v>6580</v>
      </c>
      <c r="E1206" s="69" t="s">
        <v>4859</v>
      </c>
    </row>
    <row r="1207" spans="2:5" x14ac:dyDescent="0.2">
      <c r="B1207" s="65" t="s">
        <v>435</v>
      </c>
      <c r="D1207" s="69" t="s">
        <v>6580</v>
      </c>
      <c r="E1207" s="69" t="s">
        <v>4860</v>
      </c>
    </row>
    <row r="1208" spans="2:5" x14ac:dyDescent="0.2">
      <c r="B1208" s="65" t="s">
        <v>436</v>
      </c>
      <c r="D1208" s="69" t="s">
        <v>6580</v>
      </c>
      <c r="E1208" s="69" t="s">
        <v>4861</v>
      </c>
    </row>
    <row r="1209" spans="2:5" x14ac:dyDescent="0.2">
      <c r="B1209" s="65" t="s">
        <v>437</v>
      </c>
      <c r="D1209" s="69" t="s">
        <v>6580</v>
      </c>
      <c r="E1209" s="69" t="s">
        <v>4862</v>
      </c>
    </row>
    <row r="1210" spans="2:5" x14ac:dyDescent="0.2">
      <c r="B1210" s="65" t="s">
        <v>438</v>
      </c>
      <c r="D1210" s="69" t="s">
        <v>6580</v>
      </c>
      <c r="E1210" s="69" t="s">
        <v>4863</v>
      </c>
    </row>
    <row r="1211" spans="2:5" x14ac:dyDescent="0.2">
      <c r="B1211" s="65" t="s">
        <v>439</v>
      </c>
      <c r="D1211" s="69" t="s">
        <v>6580</v>
      </c>
      <c r="E1211" s="100" t="s">
        <v>4864</v>
      </c>
    </row>
    <row r="1212" spans="2:5" x14ac:dyDescent="0.2">
      <c r="B1212" s="65" t="s">
        <v>440</v>
      </c>
      <c r="D1212" s="69" t="s">
        <v>6580</v>
      </c>
      <c r="E1212" s="69" t="s">
        <v>4865</v>
      </c>
    </row>
    <row r="1213" spans="2:5" x14ac:dyDescent="0.2">
      <c r="B1213" s="65" t="s">
        <v>441</v>
      </c>
      <c r="D1213" s="69" t="s">
        <v>6580</v>
      </c>
      <c r="E1213" s="69" t="s">
        <v>4866</v>
      </c>
    </row>
    <row r="1214" spans="2:5" x14ac:dyDescent="0.2">
      <c r="B1214" s="65" t="s">
        <v>442</v>
      </c>
      <c r="D1214" s="69" t="s">
        <v>6580</v>
      </c>
      <c r="E1214" s="69" t="s">
        <v>4867</v>
      </c>
    </row>
    <row r="1215" spans="2:5" x14ac:dyDescent="0.2">
      <c r="B1215" s="65" t="s">
        <v>443</v>
      </c>
      <c r="D1215" s="69" t="s">
        <v>6580</v>
      </c>
      <c r="E1215" s="69" t="s">
        <v>4868</v>
      </c>
    </row>
    <row r="1216" spans="2:5" x14ac:dyDescent="0.2">
      <c r="B1216" s="65" t="s">
        <v>444</v>
      </c>
      <c r="D1216" s="69" t="s">
        <v>6580</v>
      </c>
      <c r="E1216" s="69" t="s">
        <v>4869</v>
      </c>
    </row>
    <row r="1217" spans="2:5" x14ac:dyDescent="0.2">
      <c r="B1217" s="65" t="s">
        <v>352</v>
      </c>
      <c r="D1217" s="69" t="s">
        <v>6580</v>
      </c>
      <c r="E1217" s="69" t="s">
        <v>4871</v>
      </c>
    </row>
    <row r="1218" spans="2:5" x14ac:dyDescent="0.2">
      <c r="B1218" s="65" t="s">
        <v>351</v>
      </c>
      <c r="D1218" s="69" t="s">
        <v>6580</v>
      </c>
      <c r="E1218" s="69" t="s">
        <v>4872</v>
      </c>
    </row>
    <row r="1219" spans="2:5" x14ac:dyDescent="0.2">
      <c r="B1219" s="65" t="s">
        <v>353</v>
      </c>
      <c r="D1219" s="69" t="s">
        <v>6580</v>
      </c>
      <c r="E1219" s="69" t="s">
        <v>4873</v>
      </c>
    </row>
    <row r="1220" spans="2:5" x14ac:dyDescent="0.2">
      <c r="B1220" s="65" t="s">
        <v>348</v>
      </c>
      <c r="D1220" s="69" t="s">
        <v>6580</v>
      </c>
      <c r="E1220" s="69" t="s">
        <v>4874</v>
      </c>
    </row>
    <row r="1221" spans="2:5" x14ac:dyDescent="0.2">
      <c r="B1221" s="65" t="s">
        <v>346</v>
      </c>
      <c r="D1221" s="69" t="s">
        <v>6580</v>
      </c>
      <c r="E1221" s="69" t="s">
        <v>4875</v>
      </c>
    </row>
    <row r="1222" spans="2:5" x14ac:dyDescent="0.2">
      <c r="B1222" s="65" t="s">
        <v>350</v>
      </c>
      <c r="D1222" s="69" t="s">
        <v>6580</v>
      </c>
      <c r="E1222" s="69" t="s">
        <v>4876</v>
      </c>
    </row>
    <row r="1223" spans="2:5" x14ac:dyDescent="0.2">
      <c r="B1223" s="65" t="s">
        <v>345</v>
      </c>
      <c r="D1223" s="69" t="s">
        <v>6580</v>
      </c>
      <c r="E1223" s="69" t="s">
        <v>4877</v>
      </c>
    </row>
    <row r="1224" spans="2:5" x14ac:dyDescent="0.2">
      <c r="B1224" s="65" t="s">
        <v>349</v>
      </c>
      <c r="D1224" s="69" t="s">
        <v>6580</v>
      </c>
      <c r="E1224" s="69" t="s">
        <v>4878</v>
      </c>
    </row>
    <row r="1225" spans="2:5" x14ac:dyDescent="0.2">
      <c r="B1225" s="65" t="s">
        <v>347</v>
      </c>
      <c r="D1225" s="69" t="s">
        <v>6580</v>
      </c>
      <c r="E1225" s="69" t="s">
        <v>4879</v>
      </c>
    </row>
    <row r="1226" spans="2:5" x14ac:dyDescent="0.2">
      <c r="B1226" s="65" t="s">
        <v>341</v>
      </c>
      <c r="D1226" s="69" t="s">
        <v>6580</v>
      </c>
      <c r="E1226" s="69" t="s">
        <v>4880</v>
      </c>
    </row>
    <row r="1227" spans="2:5" x14ac:dyDescent="0.2">
      <c r="B1227" s="65" t="s">
        <v>334</v>
      </c>
      <c r="D1227" s="69" t="s">
        <v>6580</v>
      </c>
      <c r="E1227" s="69" t="s">
        <v>4881</v>
      </c>
    </row>
    <row r="1228" spans="2:5" x14ac:dyDescent="0.2">
      <c r="B1228" s="65" t="s">
        <v>339</v>
      </c>
      <c r="D1228" s="69" t="s">
        <v>6580</v>
      </c>
      <c r="E1228" s="69" t="s">
        <v>4882</v>
      </c>
    </row>
    <row r="1229" spans="2:5" x14ac:dyDescent="0.2">
      <c r="B1229" s="65" t="s">
        <v>343</v>
      </c>
      <c r="D1229" s="69" t="s">
        <v>6580</v>
      </c>
      <c r="E1229" s="69" t="s">
        <v>4883</v>
      </c>
    </row>
    <row r="1230" spans="2:5" x14ac:dyDescent="0.2">
      <c r="B1230" s="65" t="s">
        <v>342</v>
      </c>
      <c r="D1230" s="69" t="s">
        <v>6580</v>
      </c>
      <c r="E1230" s="69" t="s">
        <v>4884</v>
      </c>
    </row>
    <row r="1231" spans="2:5" x14ac:dyDescent="0.2">
      <c r="B1231" s="65" t="s">
        <v>340</v>
      </c>
      <c r="D1231" s="69" t="s">
        <v>6580</v>
      </c>
      <c r="E1231" s="69" t="s">
        <v>4885</v>
      </c>
    </row>
    <row r="1232" spans="2:5" x14ac:dyDescent="0.2">
      <c r="B1232" s="65" t="s">
        <v>337</v>
      </c>
      <c r="D1232" s="69" t="s">
        <v>6580</v>
      </c>
      <c r="E1232" s="69" t="s">
        <v>4886</v>
      </c>
    </row>
    <row r="1233" spans="2:5" x14ac:dyDescent="0.2">
      <c r="B1233" s="65" t="s">
        <v>336</v>
      </c>
      <c r="D1233" s="69" t="s">
        <v>6580</v>
      </c>
      <c r="E1233" s="69" t="s">
        <v>4887</v>
      </c>
    </row>
    <row r="1234" spans="2:5" x14ac:dyDescent="0.2">
      <c r="B1234" s="65" t="s">
        <v>338</v>
      </c>
      <c r="D1234" s="69" t="s">
        <v>6580</v>
      </c>
      <c r="E1234" s="69" t="s">
        <v>4888</v>
      </c>
    </row>
    <row r="1235" spans="2:5" x14ac:dyDescent="0.2">
      <c r="B1235" s="65" t="s">
        <v>344</v>
      </c>
      <c r="D1235" s="69" t="s">
        <v>6580</v>
      </c>
      <c r="E1235" s="69" t="s">
        <v>4889</v>
      </c>
    </row>
    <row r="1236" spans="2:5" x14ac:dyDescent="0.2">
      <c r="B1236" s="65" t="s">
        <v>335</v>
      </c>
      <c r="D1236" s="69" t="s">
        <v>6580</v>
      </c>
      <c r="E1236" s="69" t="s">
        <v>4890</v>
      </c>
    </row>
    <row r="1237" spans="2:5" x14ac:dyDescent="0.2">
      <c r="B1237" s="65" t="s">
        <v>3337</v>
      </c>
      <c r="D1237" s="69" t="s">
        <v>6582</v>
      </c>
      <c r="E1237" s="69" t="s">
        <v>6414</v>
      </c>
    </row>
    <row r="1238" spans="2:5" x14ac:dyDescent="0.2">
      <c r="B1238" s="65" t="s">
        <v>3374</v>
      </c>
      <c r="D1238" s="69" t="s">
        <v>6582</v>
      </c>
      <c r="E1238" s="69" t="s">
        <v>6471</v>
      </c>
    </row>
    <row r="1239" spans="2:5" x14ac:dyDescent="0.2">
      <c r="B1239" s="65" t="s">
        <v>3343</v>
      </c>
      <c r="D1239" s="69" t="s">
        <v>6582</v>
      </c>
      <c r="E1239" s="69" t="s">
        <v>6421</v>
      </c>
    </row>
    <row r="1240" spans="2:5" x14ac:dyDescent="0.2">
      <c r="B1240" s="65" t="s">
        <v>3348</v>
      </c>
      <c r="D1240" s="69" t="s">
        <v>6582</v>
      </c>
      <c r="E1240" s="69" t="s">
        <v>6430</v>
      </c>
    </row>
    <row r="1241" spans="2:5" x14ac:dyDescent="0.2">
      <c r="B1241" s="65" t="s">
        <v>3365</v>
      </c>
      <c r="D1241" s="69" t="s">
        <v>6582</v>
      </c>
      <c r="E1241" s="69" t="s">
        <v>6458</v>
      </c>
    </row>
    <row r="1242" spans="2:5" x14ac:dyDescent="0.2">
      <c r="B1242" s="65" t="s">
        <v>3368</v>
      </c>
      <c r="D1242" s="69" t="s">
        <v>6582</v>
      </c>
      <c r="E1242" s="69" t="s">
        <v>6463</v>
      </c>
    </row>
    <row r="1243" spans="2:5" x14ac:dyDescent="0.2">
      <c r="B1243" s="65" t="s">
        <v>3202</v>
      </c>
      <c r="D1243" s="69" t="s">
        <v>6582</v>
      </c>
      <c r="E1243" s="69" t="s">
        <v>6424</v>
      </c>
    </row>
    <row r="1244" spans="2:5" x14ac:dyDescent="0.2">
      <c r="B1244" s="65" t="s">
        <v>3208</v>
      </c>
      <c r="D1244" s="69" t="s">
        <v>6582</v>
      </c>
      <c r="E1244" s="69" t="s">
        <v>6435</v>
      </c>
    </row>
    <row r="1245" spans="2:5" x14ac:dyDescent="0.2">
      <c r="B1245" s="65" t="s">
        <v>3344</v>
      </c>
      <c r="D1245" s="69" t="s">
        <v>6582</v>
      </c>
      <c r="E1245" s="69" t="s">
        <v>6422</v>
      </c>
    </row>
    <row r="1246" spans="2:5" x14ac:dyDescent="0.2">
      <c r="B1246" s="65" t="s">
        <v>3346</v>
      </c>
      <c r="D1246" s="69" t="s">
        <v>6582</v>
      </c>
      <c r="E1246" s="69" t="s">
        <v>6426</v>
      </c>
    </row>
    <row r="1247" spans="2:5" x14ac:dyDescent="0.2">
      <c r="B1247" s="65" t="s">
        <v>3220</v>
      </c>
      <c r="D1247" s="69" t="s">
        <v>6582</v>
      </c>
      <c r="E1247" s="69" t="s">
        <v>6470</v>
      </c>
    </row>
    <row r="1248" spans="2:5" x14ac:dyDescent="0.2">
      <c r="B1248" s="65" t="s">
        <v>3362</v>
      </c>
      <c r="D1248" s="69" t="s">
        <v>6582</v>
      </c>
      <c r="E1248" s="69" t="s">
        <v>6453</v>
      </c>
    </row>
    <row r="1249" spans="2:5" x14ac:dyDescent="0.2">
      <c r="B1249" s="65" t="s">
        <v>3203</v>
      </c>
      <c r="D1249" s="69" t="s">
        <v>6582</v>
      </c>
      <c r="E1249" s="69" t="s">
        <v>6425</v>
      </c>
    </row>
    <row r="1250" spans="2:5" x14ac:dyDescent="0.2">
      <c r="B1250" s="65" t="s">
        <v>3342</v>
      </c>
      <c r="D1250" s="69" t="s">
        <v>6582</v>
      </c>
      <c r="E1250" s="69" t="s">
        <v>6420</v>
      </c>
    </row>
    <row r="1251" spans="2:5" x14ac:dyDescent="0.2">
      <c r="B1251" s="65" t="s">
        <v>3370</v>
      </c>
      <c r="D1251" s="69" t="s">
        <v>6582</v>
      </c>
      <c r="E1251" s="69" t="s">
        <v>6465</v>
      </c>
    </row>
    <row r="1252" spans="2:5" x14ac:dyDescent="0.2">
      <c r="B1252" s="65" t="s">
        <v>3338</v>
      </c>
      <c r="D1252" s="69" t="s">
        <v>6582</v>
      </c>
      <c r="E1252" s="69" t="s">
        <v>6415</v>
      </c>
    </row>
    <row r="1253" spans="2:5" x14ac:dyDescent="0.2">
      <c r="B1253" s="65" t="s">
        <v>3372</v>
      </c>
      <c r="D1253" s="69" t="s">
        <v>6582</v>
      </c>
      <c r="E1253" s="69" t="s">
        <v>6467</v>
      </c>
    </row>
    <row r="1254" spans="2:5" x14ac:dyDescent="0.2">
      <c r="B1254" s="65" t="s">
        <v>3206</v>
      </c>
      <c r="D1254" s="69" t="s">
        <v>6582</v>
      </c>
      <c r="E1254" s="69" t="s">
        <v>6432</v>
      </c>
    </row>
    <row r="1255" spans="2:5" x14ac:dyDescent="0.2">
      <c r="B1255" s="65" t="s">
        <v>3210</v>
      </c>
      <c r="D1255" s="69" t="s">
        <v>6582</v>
      </c>
      <c r="E1255" s="69" t="s">
        <v>6442</v>
      </c>
    </row>
    <row r="1256" spans="2:5" x14ac:dyDescent="0.2">
      <c r="B1256" s="65" t="s">
        <v>3213</v>
      </c>
      <c r="D1256" s="69" t="s">
        <v>6582</v>
      </c>
      <c r="E1256" s="69" t="s">
        <v>6448</v>
      </c>
    </row>
    <row r="1257" spans="2:5" x14ac:dyDescent="0.2">
      <c r="B1257" s="65" t="s">
        <v>3359</v>
      </c>
      <c r="D1257" s="69" t="s">
        <v>6582</v>
      </c>
      <c r="E1257" s="69" t="s">
        <v>6450</v>
      </c>
    </row>
    <row r="1258" spans="2:5" x14ac:dyDescent="0.2">
      <c r="B1258" s="65" t="s">
        <v>3339</v>
      </c>
      <c r="D1258" s="69" t="s">
        <v>6582</v>
      </c>
      <c r="E1258" s="69" t="s">
        <v>6417</v>
      </c>
    </row>
    <row r="1259" spans="2:5" x14ac:dyDescent="0.2">
      <c r="B1259" s="65" t="s">
        <v>3212</v>
      </c>
      <c r="D1259" s="69" t="s">
        <v>6582</v>
      </c>
      <c r="E1259" s="69" t="s">
        <v>6446</v>
      </c>
    </row>
    <row r="1260" spans="2:5" x14ac:dyDescent="0.2">
      <c r="B1260" s="65" t="s">
        <v>3200</v>
      </c>
      <c r="D1260" s="69" t="s">
        <v>6582</v>
      </c>
      <c r="E1260" s="69" t="s">
        <v>6413</v>
      </c>
    </row>
    <row r="1261" spans="2:5" x14ac:dyDescent="0.2">
      <c r="B1261" s="65" t="s">
        <v>3367</v>
      </c>
      <c r="D1261" s="69" t="s">
        <v>6582</v>
      </c>
      <c r="E1261" s="69" t="s">
        <v>6461</v>
      </c>
    </row>
    <row r="1262" spans="2:5" x14ac:dyDescent="0.2">
      <c r="B1262" s="65" t="s">
        <v>3373</v>
      </c>
      <c r="D1262" s="69" t="s">
        <v>6582</v>
      </c>
      <c r="E1262" s="69" t="s">
        <v>6468</v>
      </c>
    </row>
    <row r="1263" spans="2:5" x14ac:dyDescent="0.2">
      <c r="B1263" s="65" t="s">
        <v>3356</v>
      </c>
      <c r="D1263" s="69" t="s">
        <v>6582</v>
      </c>
      <c r="E1263" s="69" t="s">
        <v>6443</v>
      </c>
    </row>
    <row r="1264" spans="2:5" x14ac:dyDescent="0.2">
      <c r="B1264" s="65" t="s">
        <v>3350</v>
      </c>
      <c r="D1264" s="69" t="s">
        <v>6582</v>
      </c>
      <c r="E1264" s="69" t="s">
        <v>6434</v>
      </c>
    </row>
    <row r="1265" spans="2:5" x14ac:dyDescent="0.2">
      <c r="B1265" s="65" t="s">
        <v>3207</v>
      </c>
      <c r="D1265" s="69" t="s">
        <v>6582</v>
      </c>
      <c r="E1265" s="69" t="s">
        <v>6433</v>
      </c>
    </row>
    <row r="1266" spans="2:5" x14ac:dyDescent="0.2">
      <c r="B1266" s="65" t="s">
        <v>3199</v>
      </c>
      <c r="D1266" s="69" t="s">
        <v>6582</v>
      </c>
      <c r="E1266" s="69" t="s">
        <v>6412</v>
      </c>
    </row>
    <row r="1267" spans="2:5" x14ac:dyDescent="0.2">
      <c r="B1267" s="65" t="s">
        <v>3349</v>
      </c>
      <c r="D1267" s="69" t="s">
        <v>6582</v>
      </c>
      <c r="E1267" s="69" t="s">
        <v>6431</v>
      </c>
    </row>
    <row r="1268" spans="2:5" x14ac:dyDescent="0.2">
      <c r="B1268" s="65" t="s">
        <v>3215</v>
      </c>
      <c r="D1268" s="69" t="s">
        <v>6582</v>
      </c>
      <c r="E1268" s="69" t="s">
        <v>6455</v>
      </c>
    </row>
    <row r="1269" spans="2:5" x14ac:dyDescent="0.2">
      <c r="B1269" s="65" t="s">
        <v>3355</v>
      </c>
      <c r="D1269" s="69" t="s">
        <v>6582</v>
      </c>
      <c r="E1269" s="69" t="s">
        <v>6441</v>
      </c>
    </row>
    <row r="1270" spans="2:5" x14ac:dyDescent="0.2">
      <c r="B1270" s="65" t="s">
        <v>3363</v>
      </c>
      <c r="D1270" s="69" t="s">
        <v>6582</v>
      </c>
      <c r="E1270" s="69" t="s">
        <v>6454</v>
      </c>
    </row>
    <row r="1271" spans="2:5" x14ac:dyDescent="0.2">
      <c r="B1271" s="65" t="s">
        <v>3364</v>
      </c>
      <c r="D1271" s="69" t="s">
        <v>6582</v>
      </c>
      <c r="E1271" s="69" t="s">
        <v>6457</v>
      </c>
    </row>
    <row r="1272" spans="2:5" x14ac:dyDescent="0.2">
      <c r="B1272" s="65" t="s">
        <v>3360</v>
      </c>
      <c r="D1272" s="69" t="s">
        <v>6582</v>
      </c>
      <c r="E1272" s="69" t="s">
        <v>6451</v>
      </c>
    </row>
    <row r="1273" spans="2:5" x14ac:dyDescent="0.2">
      <c r="B1273" s="65" t="s">
        <v>3369</v>
      </c>
      <c r="D1273" s="69" t="s">
        <v>6582</v>
      </c>
      <c r="E1273" s="69" t="s">
        <v>6464</v>
      </c>
    </row>
    <row r="1274" spans="2:5" x14ac:dyDescent="0.2">
      <c r="B1274" s="65" t="s">
        <v>3361</v>
      </c>
      <c r="D1274" s="69" t="s">
        <v>6582</v>
      </c>
      <c r="E1274" s="69" t="s">
        <v>6452</v>
      </c>
    </row>
    <row r="1275" spans="2:5" x14ac:dyDescent="0.2">
      <c r="B1275" s="65" t="s">
        <v>3366</v>
      </c>
      <c r="D1275" s="69" t="s">
        <v>6582</v>
      </c>
      <c r="E1275" s="69" t="s">
        <v>6460</v>
      </c>
    </row>
    <row r="1276" spans="2:5" x14ac:dyDescent="0.2">
      <c r="B1276" s="65" t="s">
        <v>3340</v>
      </c>
      <c r="D1276" s="69" t="s">
        <v>6582</v>
      </c>
      <c r="E1276" s="69" t="s">
        <v>6418</v>
      </c>
    </row>
    <row r="1277" spans="2:5" x14ac:dyDescent="0.2">
      <c r="B1277" s="65" t="s">
        <v>1075</v>
      </c>
      <c r="D1277" s="69" t="s">
        <v>6582</v>
      </c>
      <c r="E1277" s="69" t="s">
        <v>6406</v>
      </c>
    </row>
    <row r="1278" spans="2:5" x14ac:dyDescent="0.2">
      <c r="B1278" s="65" t="s">
        <v>1076</v>
      </c>
      <c r="D1278" s="69" t="s">
        <v>6582</v>
      </c>
      <c r="E1278" s="69" t="s">
        <v>6407</v>
      </c>
    </row>
    <row r="1279" spans="2:5" x14ac:dyDescent="0.2">
      <c r="B1279" s="65" t="s">
        <v>1077</v>
      </c>
      <c r="D1279" s="69" t="s">
        <v>6582</v>
      </c>
      <c r="E1279" s="69" t="s">
        <v>6408</v>
      </c>
    </row>
    <row r="1280" spans="2:5" x14ac:dyDescent="0.2">
      <c r="B1280" s="65" t="s">
        <v>1078</v>
      </c>
      <c r="D1280" s="69" t="s">
        <v>6582</v>
      </c>
      <c r="E1280" s="69" t="s">
        <v>6409</v>
      </c>
    </row>
    <row r="1281" spans="2:5" x14ac:dyDescent="0.2">
      <c r="B1281" s="65" t="s">
        <v>1079</v>
      </c>
      <c r="D1281" s="69" t="s">
        <v>6582</v>
      </c>
      <c r="E1281" s="69" t="s">
        <v>6410</v>
      </c>
    </row>
    <row r="1282" spans="2:5" x14ac:dyDescent="0.2">
      <c r="B1282" s="65" t="s">
        <v>1072</v>
      </c>
      <c r="D1282" s="69" t="s">
        <v>6582</v>
      </c>
      <c r="E1282" s="69" t="s">
        <v>6403</v>
      </c>
    </row>
    <row r="1283" spans="2:5" x14ac:dyDescent="0.2">
      <c r="B1283" s="65" t="s">
        <v>1067</v>
      </c>
      <c r="D1283" s="69" t="s">
        <v>6582</v>
      </c>
      <c r="E1283" s="69" t="s">
        <v>6398</v>
      </c>
    </row>
    <row r="1284" spans="2:5" x14ac:dyDescent="0.2">
      <c r="B1284" s="65" t="s">
        <v>1068</v>
      </c>
      <c r="D1284" s="69" t="s">
        <v>6582</v>
      </c>
      <c r="E1284" s="69" t="s">
        <v>6399</v>
      </c>
    </row>
    <row r="1285" spans="2:5" x14ac:dyDescent="0.2">
      <c r="B1285" s="65" t="s">
        <v>1069</v>
      </c>
      <c r="D1285" s="69" t="s">
        <v>6582</v>
      </c>
      <c r="E1285" s="69" t="s">
        <v>6400</v>
      </c>
    </row>
    <row r="1286" spans="2:5" x14ac:dyDescent="0.2">
      <c r="B1286" s="65" t="s">
        <v>1074</v>
      </c>
      <c r="D1286" s="69" t="s">
        <v>6582</v>
      </c>
      <c r="E1286" s="69" t="s">
        <v>6405</v>
      </c>
    </row>
    <row r="1287" spans="2:5" x14ac:dyDescent="0.2">
      <c r="B1287" s="65" t="s">
        <v>1070</v>
      </c>
      <c r="D1287" s="69" t="s">
        <v>6582</v>
      </c>
      <c r="E1287" s="69" t="s">
        <v>6401</v>
      </c>
    </row>
    <row r="1288" spans="2:5" x14ac:dyDescent="0.2">
      <c r="B1288" s="65" t="s">
        <v>1071</v>
      </c>
      <c r="D1288" s="69" t="s">
        <v>6582</v>
      </c>
      <c r="E1288" s="69" t="s">
        <v>6402</v>
      </c>
    </row>
    <row r="1289" spans="2:5" x14ac:dyDescent="0.2">
      <c r="B1289" s="65" t="s">
        <v>1073</v>
      </c>
      <c r="D1289" s="69" t="s">
        <v>6582</v>
      </c>
      <c r="E1289" s="69" t="s">
        <v>6404</v>
      </c>
    </row>
    <row r="1290" spans="2:5" x14ac:dyDescent="0.2">
      <c r="B1290" s="65" t="s">
        <v>3214</v>
      </c>
      <c r="D1290" s="69" t="s">
        <v>6582</v>
      </c>
      <c r="E1290" s="69" t="s">
        <v>6449</v>
      </c>
    </row>
    <row r="1291" spans="2:5" x14ac:dyDescent="0.2">
      <c r="B1291" s="65" t="s">
        <v>3216</v>
      </c>
      <c r="D1291" s="69" t="s">
        <v>6582</v>
      </c>
      <c r="E1291" s="69" t="s">
        <v>6456</v>
      </c>
    </row>
    <row r="1292" spans="2:5" x14ac:dyDescent="0.2">
      <c r="B1292" s="65" t="s">
        <v>3357</v>
      </c>
      <c r="D1292" s="69" t="s">
        <v>6582</v>
      </c>
      <c r="E1292" s="69" t="s">
        <v>6444</v>
      </c>
    </row>
    <row r="1293" spans="2:5" x14ac:dyDescent="0.2">
      <c r="B1293" s="65" t="s">
        <v>3371</v>
      </c>
      <c r="D1293" s="69" t="s">
        <v>6582</v>
      </c>
      <c r="E1293" s="69" t="s">
        <v>6466</v>
      </c>
    </row>
    <row r="1294" spans="2:5" x14ac:dyDescent="0.2">
      <c r="B1294" s="65" t="s">
        <v>3204</v>
      </c>
      <c r="D1294" s="69" t="s">
        <v>6582</v>
      </c>
      <c r="E1294" s="69" t="s">
        <v>6427</v>
      </c>
    </row>
    <row r="1295" spans="2:5" x14ac:dyDescent="0.2">
      <c r="B1295" s="65" t="s">
        <v>3205</v>
      </c>
      <c r="D1295" s="69" t="s">
        <v>6582</v>
      </c>
      <c r="E1295" s="69" t="s">
        <v>6429</v>
      </c>
    </row>
    <row r="1296" spans="2:5" x14ac:dyDescent="0.2">
      <c r="B1296" s="65" t="s">
        <v>3209</v>
      </c>
      <c r="D1296" s="69" t="s">
        <v>6582</v>
      </c>
      <c r="E1296" s="69" t="s">
        <v>6436</v>
      </c>
    </row>
    <row r="1297" spans="2:5" x14ac:dyDescent="0.2">
      <c r="B1297" s="65" t="s">
        <v>3358</v>
      </c>
      <c r="D1297" s="69" t="s">
        <v>6582</v>
      </c>
      <c r="E1297" s="69" t="s">
        <v>6447</v>
      </c>
    </row>
    <row r="1298" spans="2:5" x14ac:dyDescent="0.2">
      <c r="B1298" s="65" t="s">
        <v>3352</v>
      </c>
      <c r="D1298" s="69" t="s">
        <v>6582</v>
      </c>
      <c r="E1298" s="69" t="s">
        <v>6438</v>
      </c>
    </row>
    <row r="1299" spans="2:5" x14ac:dyDescent="0.2">
      <c r="B1299" s="65" t="s">
        <v>3218</v>
      </c>
      <c r="D1299" s="69" t="s">
        <v>6582</v>
      </c>
      <c r="E1299" s="69" t="s">
        <v>6462</v>
      </c>
    </row>
    <row r="1300" spans="2:5" x14ac:dyDescent="0.2">
      <c r="B1300" s="65" t="s">
        <v>3345</v>
      </c>
      <c r="D1300" s="69" t="s">
        <v>6582</v>
      </c>
      <c r="E1300" s="69" t="s">
        <v>6423</v>
      </c>
    </row>
    <row r="1301" spans="2:5" x14ac:dyDescent="0.2">
      <c r="B1301" s="65" t="s">
        <v>3375</v>
      </c>
      <c r="D1301" s="69" t="s">
        <v>6582</v>
      </c>
      <c r="E1301" s="69" t="s">
        <v>6472</v>
      </c>
    </row>
    <row r="1302" spans="2:5" x14ac:dyDescent="0.2">
      <c r="B1302" s="65" t="s">
        <v>3217</v>
      </c>
      <c r="D1302" s="69" t="s">
        <v>6582</v>
      </c>
      <c r="E1302" s="69" t="s">
        <v>6459</v>
      </c>
    </row>
    <row r="1303" spans="2:5" x14ac:dyDescent="0.2">
      <c r="B1303" s="65" t="s">
        <v>3341</v>
      </c>
      <c r="D1303" s="69" t="s">
        <v>6582</v>
      </c>
      <c r="E1303" s="69" t="s">
        <v>6419</v>
      </c>
    </row>
    <row r="1304" spans="2:5" x14ac:dyDescent="0.2">
      <c r="B1304" s="65" t="s">
        <v>3351</v>
      </c>
      <c r="D1304" s="69" t="s">
        <v>6582</v>
      </c>
      <c r="E1304" s="69" t="s">
        <v>6437</v>
      </c>
    </row>
    <row r="1305" spans="2:5" x14ac:dyDescent="0.2">
      <c r="B1305" s="65" t="s">
        <v>3347</v>
      </c>
      <c r="D1305" s="69" t="s">
        <v>6582</v>
      </c>
      <c r="E1305" s="69" t="s">
        <v>6428</v>
      </c>
    </row>
    <row r="1306" spans="2:5" x14ac:dyDescent="0.2">
      <c r="B1306" s="65" t="s">
        <v>3219</v>
      </c>
      <c r="D1306" s="69" t="s">
        <v>6582</v>
      </c>
      <c r="E1306" s="69" t="s">
        <v>6469</v>
      </c>
    </row>
    <row r="1307" spans="2:5" x14ac:dyDescent="0.2">
      <c r="B1307" s="65" t="s">
        <v>3353</v>
      </c>
      <c r="D1307" s="69" t="s">
        <v>6582</v>
      </c>
      <c r="E1307" s="69" t="s">
        <v>6439</v>
      </c>
    </row>
    <row r="1308" spans="2:5" x14ac:dyDescent="0.2">
      <c r="B1308" s="65" t="s">
        <v>3336</v>
      </c>
      <c r="D1308" s="69" t="s">
        <v>6582</v>
      </c>
      <c r="E1308" s="69" t="s">
        <v>6411</v>
      </c>
    </row>
    <row r="1309" spans="2:5" x14ac:dyDescent="0.2">
      <c r="B1309" s="65" t="s">
        <v>3211</v>
      </c>
      <c r="D1309" s="69" t="s">
        <v>6582</v>
      </c>
      <c r="E1309" s="69" t="s">
        <v>6445</v>
      </c>
    </row>
    <row r="1310" spans="2:5" x14ac:dyDescent="0.2">
      <c r="B1310" s="65" t="s">
        <v>3201</v>
      </c>
      <c r="D1310" s="69" t="s">
        <v>6582</v>
      </c>
      <c r="E1310" s="69" t="s">
        <v>6416</v>
      </c>
    </row>
    <row r="1311" spans="2:5" x14ac:dyDescent="0.2">
      <c r="B1311" s="65" t="s">
        <v>3354</v>
      </c>
      <c r="D1311" s="69" t="s">
        <v>6582</v>
      </c>
      <c r="E1311" s="69" t="s">
        <v>6440</v>
      </c>
    </row>
    <row r="1312" spans="2:5" x14ac:dyDescent="0.2">
      <c r="B1312" s="65" t="s">
        <v>325</v>
      </c>
      <c r="D1312" s="69" t="s">
        <v>6580</v>
      </c>
      <c r="E1312" s="69" t="s">
        <v>4891</v>
      </c>
    </row>
    <row r="1313" spans="2:5" x14ac:dyDescent="0.2">
      <c r="B1313" s="65" t="s">
        <v>333</v>
      </c>
      <c r="D1313" s="69" t="s">
        <v>6580</v>
      </c>
      <c r="E1313" s="69" t="s">
        <v>4892</v>
      </c>
    </row>
    <row r="1314" spans="2:5" x14ac:dyDescent="0.2">
      <c r="B1314" s="65" t="s">
        <v>326</v>
      </c>
      <c r="D1314" s="69" t="s">
        <v>6580</v>
      </c>
      <c r="E1314" s="69" t="s">
        <v>4893</v>
      </c>
    </row>
    <row r="1315" spans="2:5" x14ac:dyDescent="0.2">
      <c r="B1315" s="65" t="s">
        <v>327</v>
      </c>
      <c r="D1315" s="69" t="s">
        <v>6580</v>
      </c>
      <c r="E1315" s="69" t="s">
        <v>4894</v>
      </c>
    </row>
    <row r="1316" spans="2:5" x14ac:dyDescent="0.2">
      <c r="B1316" s="65" t="s">
        <v>328</v>
      </c>
      <c r="D1316" s="69" t="s">
        <v>6580</v>
      </c>
      <c r="E1316" s="69" t="s">
        <v>4895</v>
      </c>
    </row>
    <row r="1317" spans="2:5" x14ac:dyDescent="0.2">
      <c r="B1317" s="65" t="s">
        <v>329</v>
      </c>
      <c r="D1317" s="69" t="s">
        <v>6580</v>
      </c>
      <c r="E1317" s="69" t="s">
        <v>4896</v>
      </c>
    </row>
    <row r="1318" spans="2:5" x14ac:dyDescent="0.2">
      <c r="B1318" s="65" t="s">
        <v>330</v>
      </c>
      <c r="D1318" s="69" t="s">
        <v>6580</v>
      </c>
      <c r="E1318" s="69" t="s">
        <v>4897</v>
      </c>
    </row>
    <row r="1319" spans="2:5" x14ac:dyDescent="0.2">
      <c r="B1319" s="65" t="s">
        <v>331</v>
      </c>
      <c r="D1319" s="69" t="s">
        <v>6580</v>
      </c>
      <c r="E1319" s="69" t="s">
        <v>4898</v>
      </c>
    </row>
    <row r="1320" spans="2:5" x14ac:dyDescent="0.2">
      <c r="B1320" s="65" t="s">
        <v>332</v>
      </c>
      <c r="D1320" s="69" t="s">
        <v>6580</v>
      </c>
      <c r="E1320" s="69" t="s">
        <v>4899</v>
      </c>
    </row>
    <row r="1321" spans="2:5" x14ac:dyDescent="0.2">
      <c r="B1321" s="65" t="s">
        <v>1517</v>
      </c>
      <c r="C1321" t="s">
        <v>4900</v>
      </c>
      <c r="D1321" s="69" t="s">
        <v>6580</v>
      </c>
      <c r="E1321" s="69" t="s">
        <v>4901</v>
      </c>
    </row>
    <row r="1322" spans="2:5" x14ac:dyDescent="0.2">
      <c r="B1322" s="65" t="s">
        <v>1516</v>
      </c>
      <c r="C1322" t="s">
        <v>4900</v>
      </c>
      <c r="D1322" s="69" t="s">
        <v>6580</v>
      </c>
      <c r="E1322" s="69" t="s">
        <v>4902</v>
      </c>
    </row>
    <row r="1323" spans="2:5" x14ac:dyDescent="0.2">
      <c r="B1323" s="65" t="s">
        <v>1518</v>
      </c>
      <c r="C1323" t="s">
        <v>4900</v>
      </c>
      <c r="D1323" s="69" t="s">
        <v>6580</v>
      </c>
      <c r="E1323" s="69" t="s">
        <v>4903</v>
      </c>
    </row>
    <row r="1324" spans="2:5" x14ac:dyDescent="0.2">
      <c r="B1324" s="65" t="s">
        <v>1066</v>
      </c>
      <c r="D1324" s="69" t="s">
        <v>323</v>
      </c>
      <c r="E1324" s="69" t="s">
        <v>6322</v>
      </c>
    </row>
    <row r="1325" spans="2:5" x14ac:dyDescent="0.2">
      <c r="B1325" s="65" t="s">
        <v>1474</v>
      </c>
      <c r="D1325" s="69" t="s">
        <v>4905</v>
      </c>
      <c r="E1325" s="69" t="s">
        <v>6526</v>
      </c>
    </row>
    <row r="1326" spans="2:5" x14ac:dyDescent="0.2">
      <c r="B1326" s="65" t="s">
        <v>1061</v>
      </c>
      <c r="D1326" s="69" t="s">
        <v>318</v>
      </c>
      <c r="E1326" s="69" t="s">
        <v>6315</v>
      </c>
    </row>
    <row r="1327" spans="2:5" x14ac:dyDescent="0.2">
      <c r="B1327" s="65" t="s">
        <v>1476</v>
      </c>
      <c r="D1327" s="69" t="s">
        <v>4908</v>
      </c>
      <c r="E1327" s="69" t="s">
        <v>6528</v>
      </c>
    </row>
    <row r="1328" spans="2:5" x14ac:dyDescent="0.2">
      <c r="B1328" s="65" t="s">
        <v>1473</v>
      </c>
      <c r="D1328" s="69" t="s">
        <v>6582</v>
      </c>
      <c r="E1328" s="69" t="s">
        <v>6525</v>
      </c>
    </row>
    <row r="1329" spans="2:5" x14ac:dyDescent="0.2">
      <c r="B1329" s="65" t="s">
        <v>1472</v>
      </c>
      <c r="D1329" s="69" t="s">
        <v>4910</v>
      </c>
      <c r="E1329" s="69" t="s">
        <v>6524</v>
      </c>
    </row>
    <row r="1330" spans="2:5" x14ac:dyDescent="0.2">
      <c r="B1330" s="65" t="s">
        <v>1465</v>
      </c>
      <c r="D1330" s="69" t="s">
        <v>4912</v>
      </c>
      <c r="E1330" s="69" t="s">
        <v>6517</v>
      </c>
    </row>
    <row r="1331" spans="2:5" x14ac:dyDescent="0.2">
      <c r="B1331" s="65" t="s">
        <v>1063</v>
      </c>
      <c r="D1331" s="69" t="s">
        <v>321</v>
      </c>
      <c r="E1331" s="69" t="s">
        <v>6318</v>
      </c>
    </row>
    <row r="1332" spans="2:5" x14ac:dyDescent="0.2">
      <c r="B1332" s="65" t="s">
        <v>1064</v>
      </c>
      <c r="D1332" s="69" t="s">
        <v>322</v>
      </c>
      <c r="E1332" s="69" t="s">
        <v>6319</v>
      </c>
    </row>
    <row r="1333" spans="2:5" x14ac:dyDescent="0.2">
      <c r="B1333" s="65" t="s">
        <v>1457</v>
      </c>
      <c r="D1333" s="69" t="s">
        <v>4918</v>
      </c>
      <c r="E1333" s="69" t="s">
        <v>6509</v>
      </c>
    </row>
    <row r="1334" spans="2:5" x14ac:dyDescent="0.2">
      <c r="B1334" s="65" t="s">
        <v>1456</v>
      </c>
      <c r="D1334" s="69" t="s">
        <v>4920</v>
      </c>
      <c r="E1334" s="69" t="s">
        <v>6508</v>
      </c>
    </row>
    <row r="1335" spans="2:5" x14ac:dyDescent="0.2">
      <c r="B1335" s="65" t="s">
        <v>1477</v>
      </c>
      <c r="D1335" s="69" t="s">
        <v>4922</v>
      </c>
      <c r="E1335" s="69" t="s">
        <v>6321</v>
      </c>
    </row>
    <row r="1336" spans="2:5" x14ac:dyDescent="0.2">
      <c r="B1336" s="65" t="s">
        <v>1475</v>
      </c>
      <c r="D1336" s="69" t="s">
        <v>4924</v>
      </c>
      <c r="E1336" s="69" t="s">
        <v>6527</v>
      </c>
    </row>
    <row r="1337" spans="2:5" x14ac:dyDescent="0.2">
      <c r="B1337" s="65" t="s">
        <v>1062</v>
      </c>
      <c r="D1337" s="69" t="s">
        <v>319</v>
      </c>
      <c r="E1337" s="69" t="s">
        <v>6316</v>
      </c>
    </row>
    <row r="1338" spans="2:5" x14ac:dyDescent="0.2">
      <c r="B1338" s="65" t="s">
        <v>1466</v>
      </c>
      <c r="D1338" s="69" t="s">
        <v>4938</v>
      </c>
      <c r="E1338" s="69" t="s">
        <v>6523</v>
      </c>
    </row>
    <row r="1339" spans="2:5" x14ac:dyDescent="0.2">
      <c r="B1339" s="65" t="s">
        <v>1467</v>
      </c>
      <c r="D1339" s="69" t="s">
        <v>4940</v>
      </c>
      <c r="E1339" s="69" t="s">
        <v>6518</v>
      </c>
    </row>
    <row r="1340" spans="2:5" x14ac:dyDescent="0.2">
      <c r="B1340" s="65" t="s">
        <v>1468</v>
      </c>
      <c r="D1340" s="69" t="s">
        <v>4942</v>
      </c>
      <c r="E1340" s="69" t="s">
        <v>6519</v>
      </c>
    </row>
    <row r="1341" spans="2:5" x14ac:dyDescent="0.2">
      <c r="B1341" s="65" t="s">
        <v>1469</v>
      </c>
      <c r="D1341" s="69" t="s">
        <v>4944</v>
      </c>
      <c r="E1341" s="69" t="s">
        <v>6520</v>
      </c>
    </row>
    <row r="1342" spans="2:5" x14ac:dyDescent="0.2">
      <c r="B1342" s="65" t="s">
        <v>1470</v>
      </c>
      <c r="D1342" s="69" t="s">
        <v>4946</v>
      </c>
      <c r="E1342" s="69" t="s">
        <v>6521</v>
      </c>
    </row>
    <row r="1343" spans="2:5" x14ac:dyDescent="0.2">
      <c r="B1343" s="65" t="s">
        <v>1471</v>
      </c>
      <c r="D1343" s="69" t="s">
        <v>4948</v>
      </c>
      <c r="E1343" s="69" t="s">
        <v>6522</v>
      </c>
    </row>
    <row r="1344" spans="2:5" x14ac:dyDescent="0.2">
      <c r="B1344" s="65" t="s">
        <v>1065</v>
      </c>
      <c r="D1344" s="69" t="s">
        <v>6582</v>
      </c>
      <c r="E1344" s="69" t="s">
        <v>6320</v>
      </c>
    </row>
    <row r="1345" spans="2:5" x14ac:dyDescent="0.2">
      <c r="B1345" s="65" t="s">
        <v>3271</v>
      </c>
      <c r="D1345" s="69" t="s">
        <v>6582</v>
      </c>
      <c r="E1345" s="100" t="s">
        <v>6319</v>
      </c>
    </row>
    <row r="1346" spans="2:5" x14ac:dyDescent="0.2">
      <c r="B1346" s="65" t="s">
        <v>1458</v>
      </c>
      <c r="D1346" s="69" t="s">
        <v>4951</v>
      </c>
      <c r="E1346" s="69" t="s">
        <v>6510</v>
      </c>
    </row>
    <row r="1347" spans="2:5" x14ac:dyDescent="0.2">
      <c r="B1347" s="65" t="s">
        <v>1459</v>
      </c>
      <c r="D1347" s="69" t="s">
        <v>4953</v>
      </c>
      <c r="E1347" s="69" t="s">
        <v>6511</v>
      </c>
    </row>
    <row r="1348" spans="2:5" x14ac:dyDescent="0.2">
      <c r="B1348" s="65" t="s">
        <v>1460</v>
      </c>
      <c r="D1348" s="69" t="s">
        <v>4955</v>
      </c>
      <c r="E1348" s="69" t="s">
        <v>6512</v>
      </c>
    </row>
    <row r="1349" spans="2:5" x14ac:dyDescent="0.2">
      <c r="B1349" s="65" t="s">
        <v>1461</v>
      </c>
      <c r="D1349" s="69" t="s">
        <v>4957</v>
      </c>
      <c r="E1349" s="69" t="s">
        <v>6513</v>
      </c>
    </row>
    <row r="1350" spans="2:5" x14ac:dyDescent="0.2">
      <c r="B1350" s="65" t="s">
        <v>1462</v>
      </c>
      <c r="D1350" s="69" t="s">
        <v>4959</v>
      </c>
      <c r="E1350" s="69" t="s">
        <v>6514</v>
      </c>
    </row>
    <row r="1351" spans="2:5" x14ac:dyDescent="0.2">
      <c r="B1351" s="65" t="s">
        <v>1463</v>
      </c>
      <c r="D1351" s="69" t="s">
        <v>4961</v>
      </c>
      <c r="E1351" s="69" t="s">
        <v>6515</v>
      </c>
    </row>
    <row r="1352" spans="2:5" x14ac:dyDescent="0.2">
      <c r="B1352" s="65" t="s">
        <v>1464</v>
      </c>
      <c r="D1352" s="69" t="s">
        <v>4963</v>
      </c>
      <c r="E1352" s="69" t="s">
        <v>6516</v>
      </c>
    </row>
    <row r="1353" spans="2:5" x14ac:dyDescent="0.2">
      <c r="B1353" s="65" t="s">
        <v>1058</v>
      </c>
      <c r="D1353" s="69" t="s">
        <v>315</v>
      </c>
      <c r="E1353" s="69" t="s">
        <v>6312</v>
      </c>
    </row>
    <row r="1354" spans="2:5" x14ac:dyDescent="0.2">
      <c r="B1354" s="65" t="s">
        <v>1060</v>
      </c>
      <c r="D1354" s="69" t="s">
        <v>317</v>
      </c>
      <c r="E1354" s="69" t="s">
        <v>6314</v>
      </c>
    </row>
    <row r="1355" spans="2:5" x14ac:dyDescent="0.2">
      <c r="B1355" s="65" t="s">
        <v>1059</v>
      </c>
      <c r="D1355" s="69" t="s">
        <v>316</v>
      </c>
      <c r="E1355" s="69" t="s">
        <v>6313</v>
      </c>
    </row>
    <row r="1356" spans="2:5" x14ac:dyDescent="0.2">
      <c r="B1356" s="65" t="s">
        <v>756</v>
      </c>
      <c r="D1356" s="69" t="s">
        <v>6580</v>
      </c>
      <c r="E1356" s="69" t="s">
        <v>4969</v>
      </c>
    </row>
    <row r="1357" spans="2:5" x14ac:dyDescent="0.2">
      <c r="B1357" s="65" t="s">
        <v>755</v>
      </c>
      <c r="D1357" s="69" t="s">
        <v>6580</v>
      </c>
      <c r="E1357" s="69" t="s">
        <v>4970</v>
      </c>
    </row>
    <row r="1358" spans="2:5" x14ac:dyDescent="0.2">
      <c r="B1358" s="65" t="s">
        <v>754</v>
      </c>
      <c r="D1358" s="69" t="s">
        <v>6580</v>
      </c>
      <c r="E1358" s="69" t="s">
        <v>4971</v>
      </c>
    </row>
    <row r="1359" spans="2:5" x14ac:dyDescent="0.2">
      <c r="B1359" s="65" t="s">
        <v>753</v>
      </c>
      <c r="D1359" s="69" t="s">
        <v>6580</v>
      </c>
      <c r="E1359" s="69" t="s">
        <v>4972</v>
      </c>
    </row>
    <row r="1360" spans="2:5" x14ac:dyDescent="0.2">
      <c r="B1360" s="65" t="s">
        <v>312</v>
      </c>
      <c r="D1360" s="69" t="s">
        <v>6580</v>
      </c>
      <c r="E1360" s="69" t="s">
        <v>4973</v>
      </c>
    </row>
    <row r="1361" spans="2:5" x14ac:dyDescent="0.2">
      <c r="B1361" s="65" t="s">
        <v>950</v>
      </c>
      <c r="D1361" s="69" t="s">
        <v>6582</v>
      </c>
      <c r="E1361" s="69" t="s">
        <v>6310</v>
      </c>
    </row>
    <row r="1362" spans="2:5" x14ac:dyDescent="0.2">
      <c r="B1362" s="65" t="s">
        <v>3269</v>
      </c>
      <c r="D1362" s="69" t="s">
        <v>6582</v>
      </c>
      <c r="E1362" s="100" t="s">
        <v>6311</v>
      </c>
    </row>
    <row r="1363" spans="2:5" x14ac:dyDescent="0.2">
      <c r="B1363" s="65" t="s">
        <v>3270</v>
      </c>
      <c r="D1363" s="69" t="s">
        <v>320</v>
      </c>
      <c r="E1363" s="100" t="s">
        <v>6317</v>
      </c>
    </row>
    <row r="1364" spans="2:5" x14ac:dyDescent="0.2">
      <c r="B1364" s="65" t="s">
        <v>3221</v>
      </c>
      <c r="D1364" s="69" t="s">
        <v>4928</v>
      </c>
      <c r="E1364" s="100" t="s">
        <v>6529</v>
      </c>
    </row>
    <row r="1365" spans="2:5" x14ac:dyDescent="0.2">
      <c r="B1365" s="65" t="s">
        <v>3223</v>
      </c>
      <c r="D1365" s="69" t="s">
        <v>4930</v>
      </c>
      <c r="E1365" s="100" t="s">
        <v>6533</v>
      </c>
    </row>
    <row r="1366" spans="2:5" x14ac:dyDescent="0.2">
      <c r="B1366" s="65" t="s">
        <v>3431</v>
      </c>
      <c r="D1366" s="69" t="s">
        <v>4932</v>
      </c>
      <c r="E1366" s="100" t="s">
        <v>6530</v>
      </c>
    </row>
    <row r="1367" spans="2:5" x14ac:dyDescent="0.2">
      <c r="B1367" s="65" t="s">
        <v>3222</v>
      </c>
      <c r="D1367" s="69" t="s">
        <v>4934</v>
      </c>
      <c r="E1367" s="100" t="s">
        <v>6531</v>
      </c>
    </row>
    <row r="1368" spans="2:5" x14ac:dyDescent="0.2">
      <c r="B1368" s="65" t="s">
        <v>3432</v>
      </c>
      <c r="D1368" s="69" t="s">
        <v>4936</v>
      </c>
      <c r="E1368" s="100" t="s">
        <v>6532</v>
      </c>
    </row>
    <row r="1369" spans="2:5" x14ac:dyDescent="0.2">
      <c r="B1369" s="65" t="s">
        <v>3485</v>
      </c>
      <c r="D1369" s="69" t="s">
        <v>6580</v>
      </c>
      <c r="E1369" s="100" t="s">
        <v>5018</v>
      </c>
    </row>
    <row r="1370" spans="2:5" x14ac:dyDescent="0.2">
      <c r="B1370" s="65" t="s">
        <v>3484</v>
      </c>
      <c r="D1370" s="69" t="s">
        <v>6580</v>
      </c>
      <c r="E1370" s="100" t="s">
        <v>5029</v>
      </c>
    </row>
    <row r="1371" spans="2:5" x14ac:dyDescent="0.2">
      <c r="B1371" s="65" t="s">
        <v>3578</v>
      </c>
      <c r="D1371" s="69" t="s">
        <v>6580</v>
      </c>
      <c r="E1371" s="100" t="s">
        <v>5030</v>
      </c>
    </row>
    <row r="1372" spans="2:5" x14ac:dyDescent="0.2">
      <c r="B1372" s="65" t="s">
        <v>3483</v>
      </c>
      <c r="D1372" s="69" t="s">
        <v>6580</v>
      </c>
      <c r="E1372" s="100" t="s">
        <v>5033</v>
      </c>
    </row>
    <row r="1373" spans="2:5" x14ac:dyDescent="0.2">
      <c r="B1373" s="65" t="s">
        <v>3510</v>
      </c>
      <c r="D1373" s="69" t="s">
        <v>6580</v>
      </c>
      <c r="E1373" s="69" t="s">
        <v>5047</v>
      </c>
    </row>
    <row r="1374" spans="2:5" x14ac:dyDescent="0.2">
      <c r="B1374" s="65" t="s">
        <v>3514</v>
      </c>
      <c r="D1374" s="69" t="s">
        <v>6580</v>
      </c>
      <c r="E1374" s="69" t="s">
        <v>5052</v>
      </c>
    </row>
    <row r="1375" spans="2:5" x14ac:dyDescent="0.2">
      <c r="B1375" s="65" t="s">
        <v>3511</v>
      </c>
      <c r="D1375" s="69" t="s">
        <v>6580</v>
      </c>
      <c r="E1375" s="69" t="s">
        <v>5057</v>
      </c>
    </row>
    <row r="1376" spans="2:5" x14ac:dyDescent="0.2">
      <c r="B1376" s="65" t="s">
        <v>3513</v>
      </c>
      <c r="D1376" s="69" t="s">
        <v>6580</v>
      </c>
      <c r="E1376" s="69" t="s">
        <v>5062</v>
      </c>
    </row>
    <row r="1377" spans="2:5" x14ac:dyDescent="0.2">
      <c r="B1377" s="65" t="s">
        <v>3512</v>
      </c>
      <c r="D1377" s="69" t="s">
        <v>6580</v>
      </c>
      <c r="E1377" s="69" t="s">
        <v>5067</v>
      </c>
    </row>
    <row r="1378" spans="2:5" x14ac:dyDescent="0.2">
      <c r="B1378" s="65" t="s">
        <v>3509</v>
      </c>
      <c r="D1378" s="69" t="s">
        <v>6580</v>
      </c>
      <c r="E1378" s="69" t="s">
        <v>5074</v>
      </c>
    </row>
    <row r="1379" spans="2:5" x14ac:dyDescent="0.2">
      <c r="B1379" s="65" t="s">
        <v>3515</v>
      </c>
      <c r="D1379" s="69" t="s">
        <v>6580</v>
      </c>
      <c r="E1379" s="69" t="s">
        <v>5130</v>
      </c>
    </row>
    <row r="1380" spans="2:5" x14ac:dyDescent="0.2">
      <c r="B1380" s="65" t="s">
        <v>3545</v>
      </c>
      <c r="D1380" s="69" t="s">
        <v>6580</v>
      </c>
      <c r="E1380" s="69" t="s">
        <v>6575</v>
      </c>
    </row>
    <row r="1381" spans="2:5" x14ac:dyDescent="0.2">
      <c r="B1381" s="65" t="s">
        <v>3523</v>
      </c>
      <c r="D1381" s="69" t="s">
        <v>6580</v>
      </c>
      <c r="E1381" s="69" t="s">
        <v>5140</v>
      </c>
    </row>
    <row r="1382" spans="2:5" x14ac:dyDescent="0.2">
      <c r="B1382" s="65" t="s">
        <v>3525</v>
      </c>
      <c r="D1382" s="69" t="s">
        <v>6580</v>
      </c>
      <c r="E1382" s="69" t="s">
        <v>5141</v>
      </c>
    </row>
    <row r="1383" spans="2:5" x14ac:dyDescent="0.2">
      <c r="B1383" s="65" t="s">
        <v>3516</v>
      </c>
      <c r="D1383" s="69" t="s">
        <v>6580</v>
      </c>
      <c r="E1383" s="69" t="s">
        <v>5142</v>
      </c>
    </row>
    <row r="1384" spans="2:5" x14ac:dyDescent="0.2">
      <c r="B1384" s="65" t="s">
        <v>3538</v>
      </c>
      <c r="D1384" s="69" t="s">
        <v>6580</v>
      </c>
      <c r="E1384" s="69" t="s">
        <v>5145</v>
      </c>
    </row>
    <row r="1385" spans="2:5" x14ac:dyDescent="0.2">
      <c r="B1385" s="65" t="s">
        <v>3532</v>
      </c>
      <c r="D1385" s="69" t="s">
        <v>6580</v>
      </c>
      <c r="E1385" s="69" t="s">
        <v>5146</v>
      </c>
    </row>
    <row r="1386" spans="2:5" x14ac:dyDescent="0.2">
      <c r="B1386" s="65" t="s">
        <v>3547</v>
      </c>
      <c r="D1386" s="69" t="s">
        <v>6580</v>
      </c>
      <c r="E1386" s="69" t="s">
        <v>5157</v>
      </c>
    </row>
    <row r="1387" spans="2:5" x14ac:dyDescent="0.2">
      <c r="B1387" s="65" t="s">
        <v>3550</v>
      </c>
      <c r="D1387" s="69" t="s">
        <v>6580</v>
      </c>
      <c r="E1387" s="69" t="s">
        <v>5160</v>
      </c>
    </row>
    <row r="1388" spans="2:5" x14ac:dyDescent="0.2">
      <c r="B1388" s="65" t="s">
        <v>3544</v>
      </c>
      <c r="D1388" s="69" t="s">
        <v>6580</v>
      </c>
      <c r="E1388" s="69" t="s">
        <v>5161</v>
      </c>
    </row>
    <row r="1389" spans="2:5" x14ac:dyDescent="0.2">
      <c r="B1389" s="65" t="s">
        <v>3546</v>
      </c>
      <c r="D1389" s="69" t="s">
        <v>6580</v>
      </c>
      <c r="E1389" s="69" t="s">
        <v>6576</v>
      </c>
    </row>
    <row r="1390" spans="2:5" x14ac:dyDescent="0.2">
      <c r="B1390" s="65" t="s">
        <v>3531</v>
      </c>
      <c r="D1390" s="69" t="s">
        <v>6580</v>
      </c>
      <c r="E1390" s="69" t="s">
        <v>5163</v>
      </c>
    </row>
    <row r="1391" spans="2:5" x14ac:dyDescent="0.2">
      <c r="B1391" s="65" t="s">
        <v>3522</v>
      </c>
      <c r="D1391" s="69" t="s">
        <v>6580</v>
      </c>
      <c r="E1391" s="69" t="s">
        <v>5164</v>
      </c>
    </row>
    <row r="1392" spans="2:5" x14ac:dyDescent="0.2">
      <c r="B1392" s="65" t="s">
        <v>3517</v>
      </c>
      <c r="D1392" s="69" t="s">
        <v>6580</v>
      </c>
      <c r="E1392" s="69" t="s">
        <v>5165</v>
      </c>
    </row>
    <row r="1393" spans="2:5" x14ac:dyDescent="0.2">
      <c r="B1393" s="65" t="s">
        <v>3542</v>
      </c>
      <c r="D1393" s="69" t="s">
        <v>6580</v>
      </c>
      <c r="E1393" s="69" t="s">
        <v>5166</v>
      </c>
    </row>
    <row r="1394" spans="2:5" x14ac:dyDescent="0.2">
      <c r="B1394" s="65" t="s">
        <v>3539</v>
      </c>
      <c r="D1394" s="69" t="s">
        <v>6580</v>
      </c>
      <c r="E1394" s="69" t="s">
        <v>5167</v>
      </c>
    </row>
    <row r="1395" spans="2:5" x14ac:dyDescent="0.2">
      <c r="B1395" s="65" t="s">
        <v>3533</v>
      </c>
      <c r="D1395" s="69" t="s">
        <v>6580</v>
      </c>
      <c r="E1395" s="69" t="s">
        <v>5168</v>
      </c>
    </row>
    <row r="1396" spans="2:5" x14ac:dyDescent="0.2">
      <c r="B1396" s="65" t="s">
        <v>3549</v>
      </c>
      <c r="D1396" s="69" t="s">
        <v>6580</v>
      </c>
      <c r="E1396" s="69" t="s">
        <v>5169</v>
      </c>
    </row>
    <row r="1397" spans="2:5" x14ac:dyDescent="0.2">
      <c r="B1397" s="65" t="s">
        <v>3518</v>
      </c>
      <c r="D1397" s="69" t="s">
        <v>6580</v>
      </c>
      <c r="E1397" s="69" t="s">
        <v>5170</v>
      </c>
    </row>
    <row r="1398" spans="2:5" x14ac:dyDescent="0.2">
      <c r="B1398" s="65" t="s">
        <v>3524</v>
      </c>
      <c r="D1398" s="69" t="s">
        <v>6580</v>
      </c>
      <c r="E1398" s="69" t="s">
        <v>5171</v>
      </c>
    </row>
    <row r="1399" spans="2:5" x14ac:dyDescent="0.2">
      <c r="B1399" s="65" t="s">
        <v>3519</v>
      </c>
      <c r="D1399" s="69" t="s">
        <v>6580</v>
      </c>
      <c r="E1399" s="69" t="s">
        <v>5172</v>
      </c>
    </row>
    <row r="1400" spans="2:5" x14ac:dyDescent="0.2">
      <c r="B1400" s="65" t="s">
        <v>3520</v>
      </c>
      <c r="D1400" s="69" t="s">
        <v>6580</v>
      </c>
      <c r="E1400" s="69" t="s">
        <v>5173</v>
      </c>
    </row>
    <row r="1401" spans="2:5" x14ac:dyDescent="0.2">
      <c r="B1401" s="65" t="s">
        <v>3548</v>
      </c>
      <c r="D1401" s="69" t="s">
        <v>6580</v>
      </c>
      <c r="E1401" s="69" t="s">
        <v>5174</v>
      </c>
    </row>
    <row r="1402" spans="2:5" x14ac:dyDescent="0.2">
      <c r="B1402" s="65" t="s">
        <v>3543</v>
      </c>
      <c r="D1402" s="69" t="s">
        <v>6580</v>
      </c>
      <c r="E1402" s="69" t="s">
        <v>5175</v>
      </c>
    </row>
    <row r="1403" spans="2:5" x14ac:dyDescent="0.2">
      <c r="B1403" s="65" t="s">
        <v>3551</v>
      </c>
      <c r="D1403" s="69" t="s">
        <v>6580</v>
      </c>
      <c r="E1403" s="69" t="s">
        <v>5176</v>
      </c>
    </row>
    <row r="1404" spans="2:5" x14ac:dyDescent="0.2">
      <c r="B1404" s="65" t="s">
        <v>3552</v>
      </c>
      <c r="D1404" s="69" t="s">
        <v>6580</v>
      </c>
      <c r="E1404" s="69" t="s">
        <v>5177</v>
      </c>
    </row>
    <row r="1405" spans="2:5" x14ac:dyDescent="0.2">
      <c r="B1405" s="65" t="s">
        <v>3553</v>
      </c>
      <c r="D1405" s="69" t="s">
        <v>6580</v>
      </c>
      <c r="E1405" s="69" t="s">
        <v>5178</v>
      </c>
    </row>
    <row r="1406" spans="2:5" x14ac:dyDescent="0.2">
      <c r="B1406" s="65" t="s">
        <v>3521</v>
      </c>
      <c r="D1406" s="69" t="s">
        <v>6580</v>
      </c>
      <c r="E1406" s="69" t="s">
        <v>5179</v>
      </c>
    </row>
    <row r="1407" spans="2:5" x14ac:dyDescent="0.2">
      <c r="B1407" s="65" t="s">
        <v>3529</v>
      </c>
      <c r="D1407" s="69" t="s">
        <v>6580</v>
      </c>
      <c r="E1407" s="69" t="s">
        <v>5180</v>
      </c>
    </row>
    <row r="1408" spans="2:5" x14ac:dyDescent="0.2">
      <c r="B1408" s="65" t="s">
        <v>3528</v>
      </c>
      <c r="D1408" s="69" t="s">
        <v>6580</v>
      </c>
      <c r="E1408" s="69" t="s">
        <v>5181</v>
      </c>
    </row>
    <row r="1409" spans="2:5" x14ac:dyDescent="0.2">
      <c r="B1409" s="65" t="s">
        <v>3530</v>
      </c>
      <c r="D1409" s="69" t="s">
        <v>6580</v>
      </c>
      <c r="E1409" s="69" t="s">
        <v>5182</v>
      </c>
    </row>
    <row r="1410" spans="2:5" x14ac:dyDescent="0.2">
      <c r="B1410" s="65" t="s">
        <v>3534</v>
      </c>
      <c r="D1410" s="69" t="s">
        <v>6580</v>
      </c>
      <c r="E1410" s="69" t="s">
        <v>5183</v>
      </c>
    </row>
    <row r="1411" spans="2:5" x14ac:dyDescent="0.2">
      <c r="B1411" s="65" t="s">
        <v>3536</v>
      </c>
      <c r="D1411" s="69" t="s">
        <v>6580</v>
      </c>
      <c r="E1411" s="69" t="s">
        <v>5184</v>
      </c>
    </row>
    <row r="1412" spans="2:5" x14ac:dyDescent="0.2">
      <c r="B1412" s="65" t="s">
        <v>3535</v>
      </c>
      <c r="D1412" s="69" t="s">
        <v>6580</v>
      </c>
      <c r="E1412" s="69" t="s">
        <v>5185</v>
      </c>
    </row>
    <row r="1413" spans="2:5" x14ac:dyDescent="0.2">
      <c r="B1413" s="65" t="s">
        <v>3537</v>
      </c>
      <c r="D1413" s="69" t="s">
        <v>6580</v>
      </c>
      <c r="E1413" s="69" t="s">
        <v>5186</v>
      </c>
    </row>
    <row r="1414" spans="2:5" x14ac:dyDescent="0.2">
      <c r="B1414" s="65" t="s">
        <v>3527</v>
      </c>
      <c r="D1414" s="69" t="s">
        <v>6580</v>
      </c>
      <c r="E1414" s="69" t="s">
        <v>5191</v>
      </c>
    </row>
    <row r="1415" spans="2:5" x14ac:dyDescent="0.2">
      <c r="B1415" s="65" t="s">
        <v>3526</v>
      </c>
      <c r="D1415" s="69" t="s">
        <v>6580</v>
      </c>
      <c r="E1415" s="69" t="s">
        <v>5192</v>
      </c>
    </row>
    <row r="1416" spans="2:5" x14ac:dyDescent="0.2">
      <c r="B1416" s="65" t="s">
        <v>3540</v>
      </c>
      <c r="D1416" s="69" t="s">
        <v>6580</v>
      </c>
      <c r="E1416" s="69" t="s">
        <v>5195</v>
      </c>
    </row>
    <row r="1417" spans="2:5" x14ac:dyDescent="0.2">
      <c r="B1417" s="65" t="s">
        <v>3541</v>
      </c>
      <c r="D1417" s="69" t="s">
        <v>6580</v>
      </c>
      <c r="E1417" s="69" t="s">
        <v>5196</v>
      </c>
    </row>
    <row r="1418" spans="2:5" x14ac:dyDescent="0.2">
      <c r="B1418" s="65" t="s">
        <v>3555</v>
      </c>
      <c r="D1418" s="69" t="s">
        <v>6580</v>
      </c>
      <c r="E1418" s="69" t="s">
        <v>5205</v>
      </c>
    </row>
    <row r="1419" spans="2:5" x14ac:dyDescent="0.2">
      <c r="B1419" s="65" t="s">
        <v>3567</v>
      </c>
      <c r="D1419" s="69" t="s">
        <v>6580</v>
      </c>
      <c r="E1419" s="69" t="s">
        <v>5206</v>
      </c>
    </row>
    <row r="1420" spans="2:5" x14ac:dyDescent="0.2">
      <c r="B1420" s="65" t="s">
        <v>3565</v>
      </c>
      <c r="D1420" s="69" t="s">
        <v>6580</v>
      </c>
      <c r="E1420" s="69" t="s">
        <v>5207</v>
      </c>
    </row>
    <row r="1421" spans="2:5" x14ac:dyDescent="0.2">
      <c r="B1421" s="65" t="s">
        <v>3562</v>
      </c>
      <c r="D1421" s="69" t="s">
        <v>6580</v>
      </c>
      <c r="E1421" s="69" t="s">
        <v>5208</v>
      </c>
    </row>
    <row r="1422" spans="2:5" x14ac:dyDescent="0.2">
      <c r="B1422" s="65" t="s">
        <v>3558</v>
      </c>
      <c r="D1422" s="69" t="s">
        <v>6580</v>
      </c>
      <c r="E1422" s="69" t="s">
        <v>5209</v>
      </c>
    </row>
    <row r="1423" spans="2:5" x14ac:dyDescent="0.2">
      <c r="B1423" s="65" t="s">
        <v>3569</v>
      </c>
      <c r="D1423" s="69" t="s">
        <v>6580</v>
      </c>
      <c r="E1423" s="69" t="s">
        <v>5210</v>
      </c>
    </row>
    <row r="1424" spans="2:5" x14ac:dyDescent="0.2">
      <c r="B1424" s="65" t="s">
        <v>3556</v>
      </c>
      <c r="D1424" s="69" t="s">
        <v>6580</v>
      </c>
      <c r="E1424" s="69" t="s">
        <v>5211</v>
      </c>
    </row>
    <row r="1425" spans="2:5" x14ac:dyDescent="0.2">
      <c r="B1425" s="65" t="s">
        <v>3560</v>
      </c>
      <c r="D1425" s="69" t="s">
        <v>6580</v>
      </c>
      <c r="E1425" s="69" t="s">
        <v>5212</v>
      </c>
    </row>
    <row r="1426" spans="2:5" x14ac:dyDescent="0.2">
      <c r="B1426" s="65" t="s">
        <v>3568</v>
      </c>
      <c r="D1426" s="69" t="s">
        <v>6580</v>
      </c>
      <c r="E1426" s="69" t="s">
        <v>5213</v>
      </c>
    </row>
    <row r="1427" spans="2:5" x14ac:dyDescent="0.2">
      <c r="B1427" s="65" t="s">
        <v>3564</v>
      </c>
      <c r="D1427" s="69" t="s">
        <v>6580</v>
      </c>
      <c r="E1427" s="69" t="s">
        <v>5214</v>
      </c>
    </row>
    <row r="1428" spans="2:5" x14ac:dyDescent="0.2">
      <c r="B1428" s="65" t="s">
        <v>3554</v>
      </c>
      <c r="D1428" s="69" t="s">
        <v>6580</v>
      </c>
      <c r="E1428" s="69" t="s">
        <v>5217</v>
      </c>
    </row>
    <row r="1429" spans="2:5" x14ac:dyDescent="0.2">
      <c r="B1429" s="65" t="s">
        <v>3563</v>
      </c>
      <c r="D1429" s="69" t="s">
        <v>6580</v>
      </c>
      <c r="E1429" s="69" t="s">
        <v>5220</v>
      </c>
    </row>
    <row r="1430" spans="2:5" x14ac:dyDescent="0.2">
      <c r="B1430" s="65" t="s">
        <v>3561</v>
      </c>
      <c r="D1430" s="69" t="s">
        <v>6580</v>
      </c>
      <c r="E1430" s="69" t="s">
        <v>5221</v>
      </c>
    </row>
    <row r="1431" spans="2:5" x14ac:dyDescent="0.2">
      <c r="B1431" s="65" t="s">
        <v>3559</v>
      </c>
      <c r="D1431" s="69" t="s">
        <v>6580</v>
      </c>
      <c r="E1431" s="69" t="s">
        <v>5222</v>
      </c>
    </row>
    <row r="1432" spans="2:5" x14ac:dyDescent="0.2">
      <c r="B1432" s="65" t="s">
        <v>3557</v>
      </c>
      <c r="D1432" s="69" t="s">
        <v>6580</v>
      </c>
      <c r="E1432" s="69" t="s">
        <v>5225</v>
      </c>
    </row>
    <row r="1433" spans="2:5" x14ac:dyDescent="0.2">
      <c r="B1433" s="65" t="s">
        <v>3566</v>
      </c>
      <c r="D1433" s="69" t="s">
        <v>6580</v>
      </c>
      <c r="E1433" s="69" t="s">
        <v>5226</v>
      </c>
    </row>
    <row r="1434" spans="2:5" x14ac:dyDescent="0.2">
      <c r="B1434" s="65" t="s">
        <v>3570</v>
      </c>
      <c r="D1434" s="69" t="s">
        <v>6580</v>
      </c>
      <c r="E1434" s="69" t="s">
        <v>5241</v>
      </c>
    </row>
    <row r="1435" spans="2:5" x14ac:dyDescent="0.2">
      <c r="B1435" s="65" t="s">
        <v>3580</v>
      </c>
      <c r="D1435" s="69" t="s">
        <v>6582</v>
      </c>
      <c r="E1435" s="100" t="s">
        <v>6577</v>
      </c>
    </row>
    <row r="1436" spans="2:5" x14ac:dyDescent="0.2">
      <c r="B1436" s="65" t="s">
        <v>3571</v>
      </c>
      <c r="D1436" s="69" t="s">
        <v>6580</v>
      </c>
      <c r="E1436" s="69" t="s">
        <v>5252</v>
      </c>
    </row>
    <row r="1437" spans="2:5" x14ac:dyDescent="0.2">
      <c r="B1437" s="65" t="s">
        <v>3489</v>
      </c>
      <c r="D1437" s="69" t="s">
        <v>6580</v>
      </c>
      <c r="E1437" s="100" t="s">
        <v>5255</v>
      </c>
    </row>
    <row r="1438" spans="2:5" x14ac:dyDescent="0.2">
      <c r="B1438" s="65" t="s">
        <v>3488</v>
      </c>
      <c r="D1438" s="69" t="s">
        <v>6580</v>
      </c>
      <c r="E1438" s="100" t="s">
        <v>5258</v>
      </c>
    </row>
    <row r="1439" spans="2:5" x14ac:dyDescent="0.2">
      <c r="B1439" s="65" t="s">
        <v>3579</v>
      </c>
      <c r="D1439" s="69" t="s">
        <v>6580</v>
      </c>
      <c r="E1439" s="100" t="s">
        <v>5263</v>
      </c>
    </row>
    <row r="1440" spans="2:5" x14ac:dyDescent="0.2">
      <c r="B1440" s="65" t="s">
        <v>3486</v>
      </c>
      <c r="D1440" s="69" t="s">
        <v>6580</v>
      </c>
      <c r="E1440" s="100" t="s">
        <v>5296</v>
      </c>
    </row>
    <row r="1441" spans="2:5" x14ac:dyDescent="0.2">
      <c r="B1441" s="65" t="s">
        <v>3487</v>
      </c>
      <c r="D1441" s="69" t="s">
        <v>6580</v>
      </c>
      <c r="E1441" s="100" t="s">
        <v>5309</v>
      </c>
    </row>
    <row r="1442" spans="2:5" x14ac:dyDescent="0.2">
      <c r="B1442" s="65" t="s">
        <v>3491</v>
      </c>
      <c r="D1442" s="69" t="s">
        <v>6580</v>
      </c>
      <c r="E1442" s="100" t="s">
        <v>5316</v>
      </c>
    </row>
    <row r="1443" spans="2:5" x14ac:dyDescent="0.2">
      <c r="B1443" s="65" t="s">
        <v>3490</v>
      </c>
      <c r="D1443" s="69" t="s">
        <v>6580</v>
      </c>
      <c r="E1443" s="100" t="s">
        <v>5323</v>
      </c>
    </row>
    <row r="1444" spans="2:5" x14ac:dyDescent="0.2">
      <c r="B1444" s="65" t="s">
        <v>3572</v>
      </c>
      <c r="D1444" s="69" t="s">
        <v>6580</v>
      </c>
      <c r="E1444" s="69" t="s">
        <v>5344</v>
      </c>
    </row>
    <row r="1445" spans="2:5" x14ac:dyDescent="0.2">
      <c r="B1445" s="65" t="s">
        <v>3573</v>
      </c>
      <c r="D1445" s="69" t="s">
        <v>6580</v>
      </c>
      <c r="E1445" s="69" t="s">
        <v>5349</v>
      </c>
    </row>
    <row r="1446" spans="2:5" x14ac:dyDescent="0.2">
      <c r="B1446" s="65" t="s">
        <v>3574</v>
      </c>
      <c r="D1446" s="69" t="s">
        <v>6580</v>
      </c>
      <c r="E1446" s="69" t="s">
        <v>5376</v>
      </c>
    </row>
    <row r="1447" spans="2:5" x14ac:dyDescent="0.2">
      <c r="B1447" s="65" t="s">
        <v>3576</v>
      </c>
      <c r="D1447" s="69" t="s">
        <v>6580</v>
      </c>
      <c r="E1447" s="69" t="s">
        <v>5389</v>
      </c>
    </row>
    <row r="1448" spans="2:5" x14ac:dyDescent="0.2">
      <c r="B1448" s="65" t="s">
        <v>3581</v>
      </c>
      <c r="D1448" s="69" t="s">
        <v>6580</v>
      </c>
      <c r="E1448" s="100" t="s">
        <v>5390</v>
      </c>
    </row>
    <row r="1449" spans="2:5" x14ac:dyDescent="0.2">
      <c r="B1449" s="65" t="s">
        <v>3575</v>
      </c>
      <c r="D1449" s="69" t="s">
        <v>6580</v>
      </c>
      <c r="E1449" s="69" t="s">
        <v>5395</v>
      </c>
    </row>
    <row r="1450" spans="2:5" x14ac:dyDescent="0.2">
      <c r="B1450" s="65" t="s">
        <v>3582</v>
      </c>
      <c r="D1450" s="69" t="s">
        <v>6580</v>
      </c>
      <c r="E1450" s="100" t="s">
        <v>5396</v>
      </c>
    </row>
    <row r="1451" spans="2:5" x14ac:dyDescent="0.2">
      <c r="B1451" s="65" t="s">
        <v>3577</v>
      </c>
      <c r="D1451" s="69" t="s">
        <v>6580</v>
      </c>
      <c r="E1451" s="69" t="s">
        <v>5416</v>
      </c>
    </row>
    <row r="1452" spans="2:5" x14ac:dyDescent="0.2">
      <c r="B1452" s="65" t="s">
        <v>3496</v>
      </c>
      <c r="D1452" s="69" t="s">
        <v>6580</v>
      </c>
      <c r="E1452" s="69" t="s">
        <v>5443</v>
      </c>
    </row>
    <row r="1453" spans="2:5" x14ac:dyDescent="0.2">
      <c r="B1453" s="65" t="s">
        <v>3493</v>
      </c>
      <c r="D1453" s="69" t="s">
        <v>6580</v>
      </c>
      <c r="E1453" s="100" t="s">
        <v>5444</v>
      </c>
    </row>
    <row r="1454" spans="2:5" x14ac:dyDescent="0.2">
      <c r="B1454" s="65" t="s">
        <v>3494</v>
      </c>
      <c r="D1454" s="69" t="s">
        <v>6580</v>
      </c>
      <c r="E1454" s="100" t="s">
        <v>5457</v>
      </c>
    </row>
    <row r="1455" spans="2:5" x14ac:dyDescent="0.2">
      <c r="B1455" s="65" t="s">
        <v>3495</v>
      </c>
      <c r="D1455" s="69" t="s">
        <v>6580</v>
      </c>
      <c r="E1455" s="69" t="s">
        <v>5458</v>
      </c>
    </row>
    <row r="1456" spans="2:5" x14ac:dyDescent="0.2">
      <c r="B1456" s="65" t="s">
        <v>3497</v>
      </c>
      <c r="D1456" s="69" t="s">
        <v>6580</v>
      </c>
      <c r="E1456" s="69" t="s">
        <v>5459</v>
      </c>
    </row>
    <row r="1457" spans="2:5" x14ac:dyDescent="0.2">
      <c r="B1457" s="65" t="s">
        <v>3492</v>
      </c>
      <c r="D1457" s="69" t="s">
        <v>6580</v>
      </c>
      <c r="E1457" s="100" t="s">
        <v>5460</v>
      </c>
    </row>
    <row r="1458" spans="2:5" x14ac:dyDescent="0.2">
      <c r="B1458" s="65" t="s">
        <v>3500</v>
      </c>
      <c r="D1458" s="69" t="s">
        <v>6580</v>
      </c>
      <c r="E1458" s="69" t="s">
        <v>5465</v>
      </c>
    </row>
    <row r="1459" spans="2:5" x14ac:dyDescent="0.2">
      <c r="B1459" s="65" t="s">
        <v>3498</v>
      </c>
      <c r="D1459" s="69" t="s">
        <v>6580</v>
      </c>
      <c r="E1459" s="69" t="s">
        <v>5476</v>
      </c>
    </row>
    <row r="1460" spans="2:5" x14ac:dyDescent="0.2">
      <c r="B1460" s="65" t="s">
        <v>3499</v>
      </c>
      <c r="D1460" s="69" t="s">
        <v>6580</v>
      </c>
      <c r="E1460" s="69" t="s">
        <v>5483</v>
      </c>
    </row>
    <row r="1461" spans="2:5" x14ac:dyDescent="0.2">
      <c r="B1461" s="65" t="s">
        <v>3506</v>
      </c>
      <c r="D1461" s="69" t="s">
        <v>6580</v>
      </c>
      <c r="E1461" s="69" t="s">
        <v>5490</v>
      </c>
    </row>
    <row r="1462" spans="2:5" x14ac:dyDescent="0.2">
      <c r="B1462" s="65" t="s">
        <v>3507</v>
      </c>
      <c r="D1462" s="69" t="s">
        <v>6580</v>
      </c>
      <c r="E1462" s="69" t="s">
        <v>5491</v>
      </c>
    </row>
    <row r="1463" spans="2:5" x14ac:dyDescent="0.2">
      <c r="B1463" s="65" t="s">
        <v>3508</v>
      </c>
      <c r="D1463" s="69" t="s">
        <v>6580</v>
      </c>
      <c r="E1463" s="69" t="s">
        <v>5492</v>
      </c>
    </row>
    <row r="1464" spans="2:5" x14ac:dyDescent="0.2">
      <c r="B1464" s="65" t="s">
        <v>3502</v>
      </c>
      <c r="D1464" s="69" t="s">
        <v>6580</v>
      </c>
      <c r="E1464" s="69" t="s">
        <v>5495</v>
      </c>
    </row>
    <row r="1465" spans="2:5" x14ac:dyDescent="0.2">
      <c r="B1465" s="65" t="s">
        <v>3505</v>
      </c>
      <c r="D1465" s="69" t="s">
        <v>6580</v>
      </c>
      <c r="E1465" s="69" t="s">
        <v>5498</v>
      </c>
    </row>
    <row r="1466" spans="2:5" x14ac:dyDescent="0.2">
      <c r="B1466" s="65" t="s">
        <v>3503</v>
      </c>
      <c r="D1466" s="69" t="s">
        <v>6580</v>
      </c>
      <c r="E1466" s="69" t="s">
        <v>5501</v>
      </c>
    </row>
    <row r="1467" spans="2:5" x14ac:dyDescent="0.2">
      <c r="B1467" s="65" t="s">
        <v>3504</v>
      </c>
      <c r="D1467" s="69" t="s">
        <v>6580</v>
      </c>
      <c r="E1467" s="69" t="s">
        <v>5504</v>
      </c>
    </row>
    <row r="1468" spans="2:5" x14ac:dyDescent="0.2">
      <c r="B1468" s="65" t="s">
        <v>3501</v>
      </c>
      <c r="D1468" s="69" t="s">
        <v>6580</v>
      </c>
      <c r="E1468" s="69" t="s">
        <v>5507</v>
      </c>
    </row>
    <row r="1469" spans="2:5" x14ac:dyDescent="0.2">
      <c r="B1469" s="65" t="s">
        <v>3473</v>
      </c>
      <c r="D1469" s="69" t="s">
        <v>6582</v>
      </c>
      <c r="E1469" s="100" t="s">
        <v>6567</v>
      </c>
    </row>
    <row r="1470" spans="2:5" x14ac:dyDescent="0.2">
      <c r="B1470" s="65" t="s">
        <v>3472</v>
      </c>
      <c r="D1470" s="69" t="s">
        <v>6582</v>
      </c>
      <c r="E1470" s="100" t="s">
        <v>6566</v>
      </c>
    </row>
    <row r="1471" spans="2:5" x14ac:dyDescent="0.2">
      <c r="B1471" s="65" t="s">
        <v>3463</v>
      </c>
      <c r="D1471" s="69" t="s">
        <v>6582</v>
      </c>
      <c r="E1471" s="100" t="s">
        <v>6557</v>
      </c>
    </row>
    <row r="1472" spans="2:5" x14ac:dyDescent="0.2">
      <c r="B1472" s="65" t="s">
        <v>3471</v>
      </c>
      <c r="D1472" s="69" t="s">
        <v>6582</v>
      </c>
      <c r="E1472" s="100" t="s">
        <v>6565</v>
      </c>
    </row>
    <row r="1473" spans="2:5" x14ac:dyDescent="0.2">
      <c r="B1473" s="65" t="s">
        <v>3470</v>
      </c>
      <c r="D1473" s="69" t="s">
        <v>6582</v>
      </c>
      <c r="E1473" s="100" t="s">
        <v>6564</v>
      </c>
    </row>
    <row r="1474" spans="2:5" x14ac:dyDescent="0.2">
      <c r="B1474" s="65" t="s">
        <v>3469</v>
      </c>
      <c r="D1474" s="69" t="s">
        <v>6582</v>
      </c>
      <c r="E1474" s="100" t="s">
        <v>6563</v>
      </c>
    </row>
    <row r="1475" spans="2:5" x14ac:dyDescent="0.2">
      <c r="B1475" s="65" t="s">
        <v>3468</v>
      </c>
      <c r="D1475" s="69" t="s">
        <v>6582</v>
      </c>
      <c r="E1475" s="100" t="s">
        <v>6562</v>
      </c>
    </row>
    <row r="1476" spans="2:5" x14ac:dyDescent="0.2">
      <c r="B1476" s="65" t="s">
        <v>3467</v>
      </c>
      <c r="D1476" s="69" t="s">
        <v>6582</v>
      </c>
      <c r="E1476" s="100" t="s">
        <v>6561</v>
      </c>
    </row>
    <row r="1477" spans="2:5" x14ac:dyDescent="0.2">
      <c r="B1477" s="65" t="s">
        <v>3466</v>
      </c>
      <c r="D1477" s="69" t="s">
        <v>6582</v>
      </c>
      <c r="E1477" s="100" t="s">
        <v>6560</v>
      </c>
    </row>
    <row r="1478" spans="2:5" x14ac:dyDescent="0.2">
      <c r="B1478" s="65" t="s">
        <v>3465</v>
      </c>
      <c r="D1478" s="69" t="s">
        <v>6582</v>
      </c>
      <c r="E1478" s="100" t="s">
        <v>6559</v>
      </c>
    </row>
    <row r="1479" spans="2:5" x14ac:dyDescent="0.2">
      <c r="B1479" s="65" t="s">
        <v>3464</v>
      </c>
      <c r="D1479" s="69" t="s">
        <v>6582</v>
      </c>
      <c r="E1479" s="100" t="s">
        <v>6558</v>
      </c>
    </row>
    <row r="1480" spans="2:5" x14ac:dyDescent="0.2">
      <c r="B1480" s="65" t="s">
        <v>3321</v>
      </c>
      <c r="D1480" s="69" t="s">
        <v>6582</v>
      </c>
      <c r="E1480" s="100" t="s">
        <v>6382</v>
      </c>
    </row>
    <row r="1481" spans="2:5" x14ac:dyDescent="0.2">
      <c r="B1481" s="65" t="s">
        <v>3478</v>
      </c>
      <c r="D1481" s="69" t="s">
        <v>6582</v>
      </c>
      <c r="E1481" s="100" t="s">
        <v>6570</v>
      </c>
    </row>
    <row r="1482" spans="2:5" x14ac:dyDescent="0.2">
      <c r="B1482" s="65" t="s">
        <v>3477</v>
      </c>
      <c r="D1482" s="69" t="s">
        <v>6582</v>
      </c>
      <c r="E1482" s="100" t="s">
        <v>6555</v>
      </c>
    </row>
    <row r="1483" spans="2:5" x14ac:dyDescent="0.2">
      <c r="B1483" s="65" t="s">
        <v>3320</v>
      </c>
      <c r="D1483" s="69" t="s">
        <v>6582</v>
      </c>
      <c r="E1483" s="100" t="s">
        <v>6381</v>
      </c>
    </row>
    <row r="1484" spans="2:5" x14ac:dyDescent="0.2">
      <c r="B1484" s="65" t="s">
        <v>3476</v>
      </c>
      <c r="D1484" s="69" t="s">
        <v>6582</v>
      </c>
      <c r="E1484" s="100" t="s">
        <v>6569</v>
      </c>
    </row>
    <row r="1485" spans="2:5" x14ac:dyDescent="0.2">
      <c r="B1485" s="65" t="s">
        <v>3475</v>
      </c>
      <c r="D1485" s="69" t="s">
        <v>6582</v>
      </c>
      <c r="E1485" s="100" t="s">
        <v>6555</v>
      </c>
    </row>
    <row r="1486" spans="2:5" x14ac:dyDescent="0.2">
      <c r="B1486" s="65" t="s">
        <v>3318</v>
      </c>
      <c r="D1486" s="69" t="s">
        <v>6582</v>
      </c>
      <c r="E1486" s="100" t="s">
        <v>6379</v>
      </c>
    </row>
    <row r="1487" spans="2:5" x14ac:dyDescent="0.2">
      <c r="B1487" s="65" t="s">
        <v>3474</v>
      </c>
      <c r="D1487" s="69" t="s">
        <v>6582</v>
      </c>
      <c r="E1487" s="100" t="s">
        <v>6568</v>
      </c>
    </row>
    <row r="1488" spans="2:5" x14ac:dyDescent="0.2">
      <c r="B1488" s="65" t="s">
        <v>3319</v>
      </c>
      <c r="D1488" s="69" t="s">
        <v>6582</v>
      </c>
      <c r="E1488" s="100" t="s">
        <v>6380</v>
      </c>
    </row>
    <row r="1489" spans="2:5" x14ac:dyDescent="0.2">
      <c r="B1489" s="65" t="s">
        <v>3462</v>
      </c>
      <c r="D1489" s="69" t="s">
        <v>6582</v>
      </c>
      <c r="E1489" s="100" t="s">
        <v>6556</v>
      </c>
    </row>
    <row r="1490" spans="2:5" x14ac:dyDescent="0.2">
      <c r="B1490" s="65" t="s">
        <v>3461</v>
      </c>
      <c r="D1490" s="69" t="s">
        <v>6582</v>
      </c>
      <c r="E1490" s="100" t="s">
        <v>6555</v>
      </c>
    </row>
    <row r="1491" spans="2:5" x14ac:dyDescent="0.2">
      <c r="B1491" s="65" t="s">
        <v>3317</v>
      </c>
      <c r="D1491" s="69" t="s">
        <v>6582</v>
      </c>
      <c r="E1491" s="100" t="s">
        <v>6378</v>
      </c>
    </row>
    <row r="1492" spans="2:5" x14ac:dyDescent="0.2">
      <c r="B1492" s="65" t="s">
        <v>3316</v>
      </c>
      <c r="D1492" s="69" t="s">
        <v>6582</v>
      </c>
      <c r="E1492" s="100" t="s">
        <v>6377</v>
      </c>
    </row>
    <row r="1493" spans="2:5" x14ac:dyDescent="0.2">
      <c r="B1493" s="65" t="s">
        <v>3315</v>
      </c>
      <c r="D1493" s="69" t="s">
        <v>6582</v>
      </c>
      <c r="E1493" s="100" t="s">
        <v>6376</v>
      </c>
    </row>
    <row r="1494" spans="2:5" x14ac:dyDescent="0.2">
      <c r="B1494" s="65" t="s">
        <v>3306</v>
      </c>
      <c r="D1494" s="69" t="s">
        <v>6582</v>
      </c>
      <c r="E1494" s="100" t="s">
        <v>6367</v>
      </c>
    </row>
    <row r="1495" spans="2:5" x14ac:dyDescent="0.2">
      <c r="B1495" s="65" t="s">
        <v>3314</v>
      </c>
      <c r="D1495" s="69" t="s">
        <v>6582</v>
      </c>
      <c r="E1495" s="100" t="s">
        <v>6375</v>
      </c>
    </row>
    <row r="1496" spans="2:5" x14ac:dyDescent="0.2">
      <c r="B1496" s="65" t="s">
        <v>3313</v>
      </c>
      <c r="D1496" s="69" t="s">
        <v>6582</v>
      </c>
      <c r="E1496" s="100" t="s">
        <v>6374</v>
      </c>
    </row>
    <row r="1497" spans="2:5" x14ac:dyDescent="0.2">
      <c r="B1497" s="65" t="s">
        <v>3312</v>
      </c>
      <c r="D1497" s="69" t="s">
        <v>6582</v>
      </c>
      <c r="E1497" s="100" t="s">
        <v>6373</v>
      </c>
    </row>
    <row r="1498" spans="2:5" x14ac:dyDescent="0.2">
      <c r="B1498" s="65" t="s">
        <v>3311</v>
      </c>
      <c r="D1498" s="69" t="s">
        <v>6582</v>
      </c>
      <c r="E1498" s="100" t="s">
        <v>6372</v>
      </c>
    </row>
    <row r="1499" spans="2:5" x14ac:dyDescent="0.2">
      <c r="B1499" s="65" t="s">
        <v>3310</v>
      </c>
      <c r="D1499" s="69" t="s">
        <v>6582</v>
      </c>
      <c r="E1499" s="100" t="s">
        <v>6371</v>
      </c>
    </row>
    <row r="1500" spans="2:5" x14ac:dyDescent="0.2">
      <c r="B1500" s="65" t="s">
        <v>3309</v>
      </c>
      <c r="D1500" s="69" t="s">
        <v>6582</v>
      </c>
      <c r="E1500" s="100" t="s">
        <v>6370</v>
      </c>
    </row>
    <row r="1501" spans="2:5" x14ac:dyDescent="0.2">
      <c r="B1501" s="65" t="s">
        <v>3308</v>
      </c>
      <c r="D1501" s="69" t="s">
        <v>6582</v>
      </c>
      <c r="E1501" s="100" t="s">
        <v>6369</v>
      </c>
    </row>
    <row r="1502" spans="2:5" x14ac:dyDescent="0.2">
      <c r="B1502" s="65" t="s">
        <v>3307</v>
      </c>
      <c r="D1502" s="69" t="s">
        <v>6582</v>
      </c>
      <c r="E1502" s="100" t="s">
        <v>6368</v>
      </c>
    </row>
    <row r="1503" spans="2:5" x14ac:dyDescent="0.2">
      <c r="B1503" s="65" t="s">
        <v>3333</v>
      </c>
      <c r="D1503" s="69" t="s">
        <v>6582</v>
      </c>
      <c r="E1503" s="100" t="s">
        <v>6395</v>
      </c>
    </row>
    <row r="1504" spans="2:5" x14ac:dyDescent="0.2">
      <c r="B1504" s="65" t="s">
        <v>3332</v>
      </c>
      <c r="D1504" s="69" t="s">
        <v>6582</v>
      </c>
      <c r="E1504" s="100" t="s">
        <v>6394</v>
      </c>
    </row>
    <row r="1505" spans="2:5" x14ac:dyDescent="0.2">
      <c r="B1505" s="65" t="s">
        <v>3331</v>
      </c>
      <c r="D1505" s="69" t="s">
        <v>6582</v>
      </c>
      <c r="E1505" s="100" t="s">
        <v>6393</v>
      </c>
    </row>
    <row r="1506" spans="2:5" x14ac:dyDescent="0.2">
      <c r="B1506" s="65" t="s">
        <v>3480</v>
      </c>
      <c r="D1506" s="69" t="s">
        <v>6582</v>
      </c>
      <c r="E1506" s="100" t="s">
        <v>6572</v>
      </c>
    </row>
    <row r="1507" spans="2:5" x14ac:dyDescent="0.2">
      <c r="B1507" s="65" t="s">
        <v>3301</v>
      </c>
      <c r="D1507" s="69" t="s">
        <v>6582</v>
      </c>
      <c r="E1507" s="100" t="s">
        <v>6361</v>
      </c>
    </row>
    <row r="1508" spans="2:5" x14ac:dyDescent="0.2">
      <c r="B1508" s="65" t="s">
        <v>3305</v>
      </c>
      <c r="D1508" s="69" t="s">
        <v>6582</v>
      </c>
      <c r="E1508" s="100" t="s">
        <v>6366</v>
      </c>
    </row>
    <row r="1509" spans="2:5" x14ac:dyDescent="0.2">
      <c r="B1509" s="65" t="s">
        <v>3300</v>
      </c>
      <c r="D1509" s="69" t="s">
        <v>6582</v>
      </c>
      <c r="E1509" s="100" t="s">
        <v>6360</v>
      </c>
    </row>
    <row r="1510" spans="2:5" x14ac:dyDescent="0.2">
      <c r="B1510" s="65" t="s">
        <v>3304</v>
      </c>
      <c r="D1510" s="69" t="s">
        <v>6582</v>
      </c>
      <c r="E1510" s="100" t="s">
        <v>6365</v>
      </c>
    </row>
    <row r="1511" spans="2:5" x14ac:dyDescent="0.2">
      <c r="B1511" s="65" t="s">
        <v>3460</v>
      </c>
      <c r="D1511" s="69" t="s">
        <v>6582</v>
      </c>
      <c r="E1511" s="100" t="s">
        <v>6554</v>
      </c>
    </row>
    <row r="1512" spans="2:5" x14ac:dyDescent="0.2">
      <c r="B1512" s="65" t="s">
        <v>3299</v>
      </c>
      <c r="D1512" s="69" t="s">
        <v>6582</v>
      </c>
      <c r="E1512" s="100" t="s">
        <v>6359</v>
      </c>
    </row>
    <row r="1513" spans="2:5" x14ac:dyDescent="0.2">
      <c r="B1513" s="65" t="s">
        <v>3303</v>
      </c>
      <c r="D1513" s="69" t="s">
        <v>6582</v>
      </c>
      <c r="E1513" s="100" t="s">
        <v>6364</v>
      </c>
    </row>
    <row r="1514" spans="2:5" x14ac:dyDescent="0.2">
      <c r="B1514" s="65" t="s">
        <v>3302</v>
      </c>
      <c r="C1514" t="s">
        <v>6362</v>
      </c>
      <c r="D1514" s="69" t="s">
        <v>6582</v>
      </c>
      <c r="E1514" s="69" t="s">
        <v>6363</v>
      </c>
    </row>
    <row r="1515" spans="2:5" x14ac:dyDescent="0.2">
      <c r="B1515" s="65" t="s">
        <v>3442</v>
      </c>
      <c r="D1515" s="69" t="s">
        <v>6582</v>
      </c>
      <c r="E1515" s="100" t="s">
        <v>6536</v>
      </c>
    </row>
    <row r="1516" spans="2:5" x14ac:dyDescent="0.2">
      <c r="B1516" s="65" t="s">
        <v>3457</v>
      </c>
      <c r="D1516" s="69" t="s">
        <v>6582</v>
      </c>
      <c r="E1516" s="100" t="s">
        <v>6551</v>
      </c>
    </row>
    <row r="1517" spans="2:5" x14ac:dyDescent="0.2">
      <c r="B1517" s="65" t="s">
        <v>3298</v>
      </c>
      <c r="D1517" s="69" t="s">
        <v>6582</v>
      </c>
      <c r="E1517" s="100" t="s">
        <v>6358</v>
      </c>
    </row>
    <row r="1518" spans="2:5" x14ac:dyDescent="0.2">
      <c r="B1518" s="65" t="s">
        <v>3482</v>
      </c>
      <c r="D1518" s="69" t="s">
        <v>6582</v>
      </c>
      <c r="E1518" s="100" t="s">
        <v>6574</v>
      </c>
    </row>
    <row r="1519" spans="2:5" x14ac:dyDescent="0.2">
      <c r="B1519" s="65" t="s">
        <v>3334</v>
      </c>
      <c r="D1519" s="69" t="s">
        <v>6582</v>
      </c>
      <c r="E1519" s="100" t="s">
        <v>6396</v>
      </c>
    </row>
    <row r="1520" spans="2:5" x14ac:dyDescent="0.2">
      <c r="B1520" s="65" t="s">
        <v>3481</v>
      </c>
      <c r="D1520" s="69" t="s">
        <v>6582</v>
      </c>
      <c r="E1520" s="100" t="s">
        <v>6573</v>
      </c>
    </row>
    <row r="1521" spans="2:5" x14ac:dyDescent="0.2">
      <c r="B1521" s="65" t="s">
        <v>3335</v>
      </c>
      <c r="D1521" s="69" t="s">
        <v>6582</v>
      </c>
      <c r="E1521" s="100" t="s">
        <v>6397</v>
      </c>
    </row>
    <row r="1522" spans="2:5" x14ac:dyDescent="0.2">
      <c r="B1522" s="65" t="s">
        <v>3322</v>
      </c>
      <c r="D1522" s="69" t="s">
        <v>6582</v>
      </c>
      <c r="E1522" s="100" t="s">
        <v>6383</v>
      </c>
    </row>
    <row r="1523" spans="2:5" x14ac:dyDescent="0.2">
      <c r="B1523" s="65" t="s">
        <v>3479</v>
      </c>
      <c r="D1523" s="69" t="s">
        <v>6582</v>
      </c>
      <c r="E1523" s="100" t="s">
        <v>6571</v>
      </c>
    </row>
    <row r="1524" spans="2:5" x14ac:dyDescent="0.2">
      <c r="B1524" s="65" t="s">
        <v>3327</v>
      </c>
      <c r="D1524" s="69" t="s">
        <v>6582</v>
      </c>
      <c r="E1524" s="100" t="s">
        <v>6389</v>
      </c>
    </row>
    <row r="1525" spans="2:5" x14ac:dyDescent="0.2">
      <c r="B1525" s="65" t="s">
        <v>3323</v>
      </c>
      <c r="D1525" s="69" t="s">
        <v>6582</v>
      </c>
      <c r="E1525" s="100" t="s">
        <v>6384</v>
      </c>
    </row>
    <row r="1526" spans="2:5" x14ac:dyDescent="0.2">
      <c r="B1526" s="65" t="s">
        <v>3330</v>
      </c>
      <c r="C1526" t="s">
        <v>6392</v>
      </c>
      <c r="D1526" s="69" t="s">
        <v>6582</v>
      </c>
      <c r="E1526" s="69" t="s">
        <v>6388</v>
      </c>
    </row>
    <row r="1527" spans="2:5" x14ac:dyDescent="0.2">
      <c r="B1527" s="65" t="s">
        <v>3326</v>
      </c>
      <c r="C1527" t="s">
        <v>6387</v>
      </c>
      <c r="D1527" s="69" t="s">
        <v>6582</v>
      </c>
      <c r="E1527" s="69" t="s">
        <v>6388</v>
      </c>
    </row>
    <row r="1528" spans="2:5" x14ac:dyDescent="0.2">
      <c r="B1528" s="65" t="s">
        <v>3329</v>
      </c>
      <c r="D1528" s="69" t="s">
        <v>6582</v>
      </c>
      <c r="E1528" s="100" t="s">
        <v>6391</v>
      </c>
    </row>
    <row r="1529" spans="2:5" x14ac:dyDescent="0.2">
      <c r="B1529" s="65" t="s">
        <v>3325</v>
      </c>
      <c r="D1529" s="69" t="s">
        <v>6582</v>
      </c>
      <c r="E1529" s="100" t="s">
        <v>6386</v>
      </c>
    </row>
    <row r="1530" spans="2:5" x14ac:dyDescent="0.2">
      <c r="B1530" s="65" t="s">
        <v>3328</v>
      </c>
      <c r="D1530" s="69" t="s">
        <v>6582</v>
      </c>
      <c r="E1530" s="100" t="s">
        <v>6390</v>
      </c>
    </row>
    <row r="1531" spans="2:5" x14ac:dyDescent="0.2">
      <c r="B1531" s="65" t="s">
        <v>3324</v>
      </c>
      <c r="D1531" s="69" t="s">
        <v>6582</v>
      </c>
      <c r="E1531" s="100" t="s">
        <v>6385</v>
      </c>
    </row>
    <row r="1532" spans="2:5" x14ac:dyDescent="0.2">
      <c r="B1532" s="65" t="s">
        <v>3284</v>
      </c>
      <c r="D1532" s="69" t="s">
        <v>6582</v>
      </c>
      <c r="E1532" s="100" t="s">
        <v>6340</v>
      </c>
    </row>
    <row r="1533" spans="2:5" x14ac:dyDescent="0.2">
      <c r="B1533" s="65" t="s">
        <v>3281</v>
      </c>
      <c r="D1533" s="69" t="s">
        <v>6582</v>
      </c>
      <c r="E1533" s="100" t="s">
        <v>6335</v>
      </c>
    </row>
    <row r="1534" spans="2:5" x14ac:dyDescent="0.2">
      <c r="B1534" s="65" t="s">
        <v>3283</v>
      </c>
      <c r="C1534" t="s">
        <v>6338</v>
      </c>
      <c r="D1534" t="s">
        <v>6582</v>
      </c>
      <c r="E1534" s="69" t="s">
        <v>6339</v>
      </c>
    </row>
    <row r="1535" spans="2:5" x14ac:dyDescent="0.2">
      <c r="B1535" s="65" t="s">
        <v>3280</v>
      </c>
      <c r="C1535" t="s">
        <v>6333</v>
      </c>
      <c r="D1535" t="s">
        <v>6582</v>
      </c>
      <c r="E1535" s="69" t="s">
        <v>6334</v>
      </c>
    </row>
    <row r="1536" spans="2:5" x14ac:dyDescent="0.2">
      <c r="B1536" s="65" t="s">
        <v>3282</v>
      </c>
      <c r="C1536" t="s">
        <v>6336</v>
      </c>
      <c r="D1536" t="s">
        <v>6582</v>
      </c>
      <c r="E1536" s="69" t="s">
        <v>6337</v>
      </c>
    </row>
    <row r="1537" spans="2:5" x14ac:dyDescent="0.2">
      <c r="B1537" s="65" t="s">
        <v>3286</v>
      </c>
      <c r="D1537" t="s">
        <v>6582</v>
      </c>
      <c r="E1537" s="100" t="s">
        <v>6342</v>
      </c>
    </row>
    <row r="1538" spans="2:5" x14ac:dyDescent="0.2">
      <c r="B1538" s="65" t="s">
        <v>3287</v>
      </c>
      <c r="C1538" t="s">
        <v>6343</v>
      </c>
      <c r="D1538" t="s">
        <v>6582</v>
      </c>
      <c r="E1538" s="69" t="s">
        <v>6344</v>
      </c>
    </row>
    <row r="1539" spans="2:5" x14ac:dyDescent="0.2">
      <c r="B1539" s="65" t="s">
        <v>3288</v>
      </c>
      <c r="D1539" t="s">
        <v>6582</v>
      </c>
      <c r="E1539" s="100" t="s">
        <v>6345</v>
      </c>
    </row>
    <row r="1540" spans="2:5" x14ac:dyDescent="0.2">
      <c r="B1540" s="65" t="s">
        <v>3285</v>
      </c>
      <c r="D1540" t="s">
        <v>6582</v>
      </c>
      <c r="E1540" s="100" t="s">
        <v>6341</v>
      </c>
    </row>
    <row r="1541" spans="2:5" x14ac:dyDescent="0.2">
      <c r="B1541" s="65" t="s">
        <v>3449</v>
      </c>
      <c r="D1541" t="s">
        <v>6582</v>
      </c>
      <c r="E1541" s="100" t="s">
        <v>6543</v>
      </c>
    </row>
    <row r="1542" spans="2:5" x14ac:dyDescent="0.2">
      <c r="B1542" s="65" t="s">
        <v>3297</v>
      </c>
      <c r="D1542" t="s">
        <v>6582</v>
      </c>
      <c r="E1542" s="100" t="s">
        <v>6357</v>
      </c>
    </row>
    <row r="1543" spans="2:5" x14ac:dyDescent="0.2">
      <c r="B1543" s="65" t="s">
        <v>3292</v>
      </c>
      <c r="D1543" t="s">
        <v>6582</v>
      </c>
      <c r="E1543" s="100" t="s">
        <v>6351</v>
      </c>
    </row>
    <row r="1544" spans="2:5" x14ac:dyDescent="0.2">
      <c r="B1544" s="65" t="s">
        <v>3289</v>
      </c>
      <c r="D1544" t="s">
        <v>6582</v>
      </c>
      <c r="E1544" s="100" t="s">
        <v>6346</v>
      </c>
    </row>
    <row r="1545" spans="2:5" x14ac:dyDescent="0.2">
      <c r="B1545" s="65" t="s">
        <v>3290</v>
      </c>
      <c r="C1545" t="s">
        <v>6347</v>
      </c>
      <c r="D1545" t="s">
        <v>6582</v>
      </c>
      <c r="E1545" s="69" t="s">
        <v>6348</v>
      </c>
    </row>
    <row r="1546" spans="2:5" x14ac:dyDescent="0.2">
      <c r="B1546" s="65" t="s">
        <v>3444</v>
      </c>
      <c r="D1546" t="s">
        <v>6582</v>
      </c>
      <c r="E1546" s="100" t="s">
        <v>6538</v>
      </c>
    </row>
    <row r="1547" spans="2:5" x14ac:dyDescent="0.2">
      <c r="B1547" s="65" t="s">
        <v>3443</v>
      </c>
      <c r="D1547" t="s">
        <v>6582</v>
      </c>
      <c r="E1547" s="100" t="s">
        <v>6537</v>
      </c>
    </row>
    <row r="1548" spans="2:5" x14ac:dyDescent="0.2">
      <c r="B1548" s="65" t="s">
        <v>3445</v>
      </c>
      <c r="D1548" t="s">
        <v>6582</v>
      </c>
      <c r="E1548" s="100" t="s">
        <v>6539</v>
      </c>
    </row>
    <row r="1549" spans="2:5" x14ac:dyDescent="0.2">
      <c r="B1549" s="65" t="s">
        <v>3446</v>
      </c>
      <c r="D1549" t="s">
        <v>6582</v>
      </c>
      <c r="E1549" s="100" t="s">
        <v>6540</v>
      </c>
    </row>
    <row r="1550" spans="2:5" x14ac:dyDescent="0.2">
      <c r="B1550" s="65" t="s">
        <v>3447</v>
      </c>
      <c r="D1550" t="s">
        <v>6582</v>
      </c>
      <c r="E1550" s="100" t="s">
        <v>6541</v>
      </c>
    </row>
    <row r="1551" spans="2:5" x14ac:dyDescent="0.2">
      <c r="B1551" s="65" t="s">
        <v>3448</v>
      </c>
      <c r="D1551" s="69" t="s">
        <v>6582</v>
      </c>
      <c r="E1551" s="100" t="s">
        <v>6542</v>
      </c>
    </row>
    <row r="1552" spans="2:5" x14ac:dyDescent="0.2">
      <c r="B1552" s="65" t="s">
        <v>3291</v>
      </c>
      <c r="C1552" t="s">
        <v>6349</v>
      </c>
      <c r="D1552" t="s">
        <v>6582</v>
      </c>
      <c r="E1552" s="69" t="s">
        <v>6350</v>
      </c>
    </row>
    <row r="1553" spans="2:5" x14ac:dyDescent="0.2">
      <c r="B1553" s="65" t="s">
        <v>3293</v>
      </c>
      <c r="D1553" t="s">
        <v>6582</v>
      </c>
      <c r="E1553" s="100" t="s">
        <v>6352</v>
      </c>
    </row>
    <row r="1554" spans="2:5" x14ac:dyDescent="0.2">
      <c r="B1554" s="65" t="s">
        <v>3440</v>
      </c>
      <c r="D1554" t="s">
        <v>6582</v>
      </c>
      <c r="E1554" s="100" t="s">
        <v>6534</v>
      </c>
    </row>
    <row r="1555" spans="2:5" x14ac:dyDescent="0.2">
      <c r="B1555" s="65" t="s">
        <v>3294</v>
      </c>
      <c r="D1555" t="s">
        <v>6582</v>
      </c>
      <c r="E1555" s="100" t="s">
        <v>6353</v>
      </c>
    </row>
    <row r="1556" spans="2:5" x14ac:dyDescent="0.2">
      <c r="B1556" s="65" t="s">
        <v>3441</v>
      </c>
      <c r="D1556" t="s">
        <v>6582</v>
      </c>
      <c r="E1556" s="100" t="s">
        <v>6535</v>
      </c>
    </row>
    <row r="1557" spans="2:5" x14ac:dyDescent="0.2">
      <c r="B1557" s="65" t="s">
        <v>3295</v>
      </c>
      <c r="C1557" t="s">
        <v>6354</v>
      </c>
      <c r="D1557" t="s">
        <v>6582</v>
      </c>
      <c r="E1557" s="69" t="s">
        <v>6355</v>
      </c>
    </row>
    <row r="1558" spans="2:5" x14ac:dyDescent="0.2">
      <c r="B1558" s="65" t="s">
        <v>3296</v>
      </c>
      <c r="C1558" t="s">
        <v>6356</v>
      </c>
      <c r="D1558" t="s">
        <v>6582</v>
      </c>
      <c r="E1558" s="69" t="s">
        <v>6355</v>
      </c>
    </row>
    <row r="1559" spans="2:5" x14ac:dyDescent="0.2">
      <c r="B1559" s="65" t="s">
        <v>3450</v>
      </c>
      <c r="D1559" t="s">
        <v>6582</v>
      </c>
      <c r="E1559" s="100" t="s">
        <v>6544</v>
      </c>
    </row>
    <row r="1560" spans="2:5" x14ac:dyDescent="0.2">
      <c r="B1560" s="65" t="s">
        <v>3451</v>
      </c>
      <c r="D1560" s="69" t="s">
        <v>6582</v>
      </c>
      <c r="E1560" s="100" t="s">
        <v>6545</v>
      </c>
    </row>
    <row r="1561" spans="2:5" x14ac:dyDescent="0.2">
      <c r="B1561" s="65" t="s">
        <v>3452</v>
      </c>
      <c r="D1561" s="69" t="s">
        <v>6582</v>
      </c>
      <c r="E1561" s="100" t="s">
        <v>6546</v>
      </c>
    </row>
    <row r="1562" spans="2:5" x14ac:dyDescent="0.2">
      <c r="B1562" s="65" t="s">
        <v>3453</v>
      </c>
      <c r="D1562" s="69" t="s">
        <v>6582</v>
      </c>
      <c r="E1562" s="100" t="s">
        <v>6547</v>
      </c>
    </row>
    <row r="1563" spans="2:5" x14ac:dyDescent="0.2">
      <c r="B1563" s="65" t="s">
        <v>3279</v>
      </c>
      <c r="D1563" s="69" t="s">
        <v>6582</v>
      </c>
      <c r="E1563" s="100" t="s">
        <v>6332</v>
      </c>
    </row>
    <row r="1564" spans="2:5" x14ac:dyDescent="0.2">
      <c r="B1564" s="65" t="s">
        <v>3454</v>
      </c>
      <c r="D1564" s="69" t="s">
        <v>6582</v>
      </c>
      <c r="E1564" s="100" t="s">
        <v>6548</v>
      </c>
    </row>
    <row r="1565" spans="2:5" x14ac:dyDescent="0.2">
      <c r="B1565" s="65" t="s">
        <v>3455</v>
      </c>
      <c r="D1565" s="69" t="s">
        <v>6582</v>
      </c>
      <c r="E1565" s="100" t="s">
        <v>6549</v>
      </c>
    </row>
    <row r="1566" spans="2:5" x14ac:dyDescent="0.2">
      <c r="B1566" s="65" t="s">
        <v>3456</v>
      </c>
      <c r="D1566" s="69" t="s">
        <v>6582</v>
      </c>
      <c r="E1566" s="100" t="s">
        <v>6550</v>
      </c>
    </row>
    <row r="1567" spans="2:5" x14ac:dyDescent="0.2">
      <c r="B1567" s="65" t="s">
        <v>3277</v>
      </c>
      <c r="D1567" s="69" t="s">
        <v>6582</v>
      </c>
      <c r="E1567" s="100" t="s">
        <v>6329</v>
      </c>
    </row>
    <row r="1568" spans="2:5" x14ac:dyDescent="0.2">
      <c r="B1568" s="65" t="s">
        <v>3278</v>
      </c>
      <c r="C1568" t="s">
        <v>6330</v>
      </c>
      <c r="D1568" s="69" t="s">
        <v>6582</v>
      </c>
      <c r="E1568" s="69" t="s">
        <v>6331</v>
      </c>
    </row>
    <row r="1569" spans="2:5" x14ac:dyDescent="0.2">
      <c r="B1569" s="65" t="s">
        <v>725</v>
      </c>
      <c r="D1569" s="69" t="s">
        <v>6580</v>
      </c>
      <c r="E1569" s="69" t="s">
        <v>5513</v>
      </c>
    </row>
    <row r="1570" spans="2:5" x14ac:dyDescent="0.2">
      <c r="B1570" s="65" t="s">
        <v>3272</v>
      </c>
      <c r="D1570" s="69" t="s">
        <v>6582</v>
      </c>
      <c r="E1570" s="100" t="s">
        <v>6323</v>
      </c>
    </row>
    <row r="1571" spans="2:5" x14ac:dyDescent="0.2">
      <c r="B1571" s="65" t="s">
        <v>3273</v>
      </c>
      <c r="C1571" t="s">
        <v>6324</v>
      </c>
      <c r="D1571" s="69" t="s">
        <v>6582</v>
      </c>
      <c r="E1571" s="69" t="s">
        <v>6325</v>
      </c>
    </row>
    <row r="1572" spans="2:5" x14ac:dyDescent="0.2">
      <c r="B1572" s="65" t="s">
        <v>3458</v>
      </c>
      <c r="D1572" s="69" t="s">
        <v>6582</v>
      </c>
      <c r="E1572" s="100" t="s">
        <v>6552</v>
      </c>
    </row>
    <row r="1573" spans="2:5" x14ac:dyDescent="0.2">
      <c r="B1573" s="65" t="s">
        <v>3459</v>
      </c>
      <c r="D1573" s="69" t="s">
        <v>6582</v>
      </c>
      <c r="E1573" s="100" t="s">
        <v>6553</v>
      </c>
    </row>
    <row r="1574" spans="2:5" x14ac:dyDescent="0.2">
      <c r="B1574" s="65" t="s">
        <v>3276</v>
      </c>
      <c r="D1574" s="69" t="s">
        <v>6582</v>
      </c>
      <c r="E1574" s="100" t="s">
        <v>6328</v>
      </c>
    </row>
    <row r="1575" spans="2:5" x14ac:dyDescent="0.2">
      <c r="B1575" s="65" t="s">
        <v>3274</v>
      </c>
      <c r="D1575" s="69" t="s">
        <v>6582</v>
      </c>
      <c r="E1575" s="100" t="s">
        <v>6326</v>
      </c>
    </row>
    <row r="1576" spans="2:5" x14ac:dyDescent="0.2">
      <c r="B1576" s="65" t="s">
        <v>3275</v>
      </c>
      <c r="D1576" s="69" t="s">
        <v>6582</v>
      </c>
      <c r="E1576" s="100" t="s">
        <v>6327</v>
      </c>
    </row>
    <row r="1577" spans="2:5" x14ac:dyDescent="0.2">
      <c r="B1577" s="65" t="s">
        <v>3394</v>
      </c>
      <c r="C1577" t="s">
        <v>6504</v>
      </c>
      <c r="D1577" s="69" t="s">
        <v>6582</v>
      </c>
      <c r="E1577" s="69" t="s">
        <v>6505</v>
      </c>
    </row>
    <row r="1578" spans="2:5" x14ac:dyDescent="0.2">
      <c r="B1578" s="65" t="s">
        <v>3395</v>
      </c>
      <c r="C1578" t="s">
        <v>6506</v>
      </c>
      <c r="D1578" s="69" t="s">
        <v>6582</v>
      </c>
      <c r="E1578" s="69" t="s">
        <v>6507</v>
      </c>
    </row>
    <row r="1579" spans="2:5" x14ac:dyDescent="0.2">
      <c r="B1579" s="65" t="s">
        <v>989</v>
      </c>
      <c r="D1579" s="69" t="s">
        <v>6582</v>
      </c>
      <c r="E1579" s="69" t="s">
        <v>6296</v>
      </c>
    </row>
    <row r="1580" spans="2:5" x14ac:dyDescent="0.2">
      <c r="B1580" s="65" t="s">
        <v>990</v>
      </c>
      <c r="D1580" s="69" t="s">
        <v>6582</v>
      </c>
      <c r="E1580" s="69" t="s">
        <v>6297</v>
      </c>
    </row>
    <row r="1581" spans="2:5" x14ac:dyDescent="0.2">
      <c r="B1581" s="65" t="s">
        <v>995</v>
      </c>
      <c r="D1581" s="69" t="s">
        <v>6582</v>
      </c>
      <c r="E1581" s="69" t="s">
        <v>6302</v>
      </c>
    </row>
    <row r="1582" spans="2:5" x14ac:dyDescent="0.2">
      <c r="B1582" s="65" t="s">
        <v>996</v>
      </c>
      <c r="D1582" s="69" t="s">
        <v>6582</v>
      </c>
      <c r="E1582" s="69" t="s">
        <v>6303</v>
      </c>
    </row>
    <row r="1583" spans="2:5" x14ac:dyDescent="0.2">
      <c r="B1583" s="65" t="s">
        <v>997</v>
      </c>
      <c r="D1583" s="69" t="s">
        <v>6582</v>
      </c>
      <c r="E1583" s="69" t="s">
        <v>6304</v>
      </c>
    </row>
    <row r="1584" spans="2:5" x14ac:dyDescent="0.2">
      <c r="B1584" s="65" t="s">
        <v>998</v>
      </c>
      <c r="D1584" s="69" t="s">
        <v>6582</v>
      </c>
      <c r="E1584" s="129" t="s">
        <v>6726</v>
      </c>
    </row>
    <row r="1585" spans="2:5" x14ac:dyDescent="0.2">
      <c r="B1585" s="65" t="s">
        <v>1003</v>
      </c>
      <c r="D1585" s="69" t="s">
        <v>6582</v>
      </c>
      <c r="E1585" s="69" t="s">
        <v>6308</v>
      </c>
    </row>
    <row r="1586" spans="2:5" x14ac:dyDescent="0.2">
      <c r="B1586" s="65" t="s">
        <v>1004</v>
      </c>
      <c r="D1586" s="69" t="s">
        <v>6582</v>
      </c>
      <c r="E1586" s="69" t="s">
        <v>6309</v>
      </c>
    </row>
    <row r="1587" spans="2:5" x14ac:dyDescent="0.2">
      <c r="B1587" s="65" t="s">
        <v>993</v>
      </c>
      <c r="D1587" s="69" t="s">
        <v>6582</v>
      </c>
      <c r="E1587" s="69" t="s">
        <v>6300</v>
      </c>
    </row>
    <row r="1588" spans="2:5" x14ac:dyDescent="0.2">
      <c r="B1588" s="65" t="s">
        <v>994</v>
      </c>
      <c r="D1588" s="69" t="s">
        <v>6582</v>
      </c>
      <c r="E1588" s="69" t="s">
        <v>6301</v>
      </c>
    </row>
    <row r="1589" spans="2:5" x14ac:dyDescent="0.2">
      <c r="B1589" s="65" t="s">
        <v>987</v>
      </c>
      <c r="D1589" s="69" t="s">
        <v>6582</v>
      </c>
      <c r="E1589" s="69" t="s">
        <v>6294</v>
      </c>
    </row>
    <row r="1590" spans="2:5" x14ac:dyDescent="0.2">
      <c r="B1590" s="65" t="s">
        <v>988</v>
      </c>
      <c r="D1590" s="69" t="s">
        <v>6582</v>
      </c>
      <c r="E1590" s="69" t="s">
        <v>6295</v>
      </c>
    </row>
    <row r="1591" spans="2:5" x14ac:dyDescent="0.2">
      <c r="B1591" s="65" t="s">
        <v>1001</v>
      </c>
      <c r="D1591" s="69" t="s">
        <v>6582</v>
      </c>
      <c r="E1591" s="69" t="s">
        <v>6307</v>
      </c>
    </row>
    <row r="1592" spans="2:5" x14ac:dyDescent="0.2">
      <c r="B1592" s="65" t="s">
        <v>1002</v>
      </c>
      <c r="D1592" s="69" t="s">
        <v>6582</v>
      </c>
      <c r="E1592" s="129" t="s">
        <v>6727</v>
      </c>
    </row>
    <row r="1593" spans="2:5" x14ac:dyDescent="0.2">
      <c r="B1593" s="65" t="s">
        <v>991</v>
      </c>
      <c r="D1593" s="69" t="s">
        <v>6582</v>
      </c>
      <c r="E1593" s="69" t="s">
        <v>6298</v>
      </c>
    </row>
    <row r="1594" spans="2:5" x14ac:dyDescent="0.2">
      <c r="B1594" s="65" t="s">
        <v>992</v>
      </c>
      <c r="D1594" s="69" t="s">
        <v>6582</v>
      </c>
      <c r="E1594" s="69" t="s">
        <v>6299</v>
      </c>
    </row>
    <row r="1595" spans="2:5" x14ac:dyDescent="0.2">
      <c r="B1595" s="65" t="s">
        <v>983</v>
      </c>
      <c r="D1595" s="69" t="s">
        <v>6582</v>
      </c>
      <c r="E1595" s="69" t="s">
        <v>6291</v>
      </c>
    </row>
    <row r="1596" spans="2:5" x14ac:dyDescent="0.2">
      <c r="B1596" s="65" t="s">
        <v>984</v>
      </c>
      <c r="D1596" s="69" t="s">
        <v>6582</v>
      </c>
      <c r="E1596" s="69" t="s">
        <v>6292</v>
      </c>
    </row>
    <row r="1597" spans="2:5" x14ac:dyDescent="0.2">
      <c r="B1597" s="65" t="s">
        <v>3252</v>
      </c>
      <c r="D1597" s="69" t="s">
        <v>6582</v>
      </c>
      <c r="E1597" s="100" t="s">
        <v>6293</v>
      </c>
    </row>
    <row r="1598" spans="2:5" x14ac:dyDescent="0.2">
      <c r="B1598" s="65" t="s">
        <v>985</v>
      </c>
      <c r="D1598" s="69" t="s">
        <v>6582</v>
      </c>
      <c r="E1598" s="69" t="s">
        <v>6288</v>
      </c>
    </row>
    <row r="1599" spans="2:5" x14ac:dyDescent="0.2">
      <c r="B1599" s="65" t="s">
        <v>3251</v>
      </c>
      <c r="D1599" s="69" t="s">
        <v>6582</v>
      </c>
      <c r="E1599" s="100" t="s">
        <v>6289</v>
      </c>
    </row>
    <row r="1600" spans="2:5" x14ac:dyDescent="0.2">
      <c r="B1600" s="65" t="s">
        <v>986</v>
      </c>
      <c r="D1600" s="69" t="s">
        <v>6582</v>
      </c>
      <c r="E1600" s="69" t="s">
        <v>6290</v>
      </c>
    </row>
    <row r="1601" spans="2:5" x14ac:dyDescent="0.2">
      <c r="B1601" s="65" t="s">
        <v>999</v>
      </c>
      <c r="D1601" s="69" t="s">
        <v>6582</v>
      </c>
      <c r="E1601" s="69" t="s">
        <v>6305</v>
      </c>
    </row>
    <row r="1602" spans="2:5" x14ac:dyDescent="0.2">
      <c r="B1602" s="65" t="s">
        <v>1000</v>
      </c>
      <c r="D1602" s="69" t="s">
        <v>6582</v>
      </c>
      <c r="E1602" s="69" t="s">
        <v>6306</v>
      </c>
    </row>
    <row r="1603" spans="2:5" x14ac:dyDescent="0.2">
      <c r="B1603" s="65" t="s">
        <v>324</v>
      </c>
      <c r="D1603" s="69" t="s">
        <v>6580</v>
      </c>
      <c r="E1603" s="69" t="s">
        <v>5514</v>
      </c>
    </row>
    <row r="1604" spans="2:5" x14ac:dyDescent="0.2">
      <c r="B1604" s="65" t="s">
        <v>1153</v>
      </c>
      <c r="D1604" s="69" t="s">
        <v>6582</v>
      </c>
      <c r="E1604" s="69" t="s">
        <v>6495</v>
      </c>
    </row>
    <row r="1605" spans="2:5" x14ac:dyDescent="0.2">
      <c r="B1605" s="65" t="s">
        <v>1154</v>
      </c>
      <c r="D1605" s="69" t="s">
        <v>6582</v>
      </c>
      <c r="E1605" s="69" t="s">
        <v>6496</v>
      </c>
    </row>
    <row r="1606" spans="2:5" x14ac:dyDescent="0.2">
      <c r="B1606" s="65" t="s">
        <v>1155</v>
      </c>
      <c r="D1606" s="69" t="s">
        <v>6582</v>
      </c>
      <c r="E1606" s="69" t="s">
        <v>6497</v>
      </c>
    </row>
    <row r="1607" spans="2:5" x14ac:dyDescent="0.2">
      <c r="B1607" s="65" t="s">
        <v>1156</v>
      </c>
      <c r="D1607" s="69" t="s">
        <v>6582</v>
      </c>
      <c r="E1607" s="69" t="s">
        <v>6498</v>
      </c>
    </row>
    <row r="1608" spans="2:5" x14ac:dyDescent="0.2">
      <c r="B1608" s="65" t="s">
        <v>1157</v>
      </c>
      <c r="D1608" s="69" t="s">
        <v>6582</v>
      </c>
      <c r="E1608" s="69" t="s">
        <v>6499</v>
      </c>
    </row>
    <row r="1609" spans="2:5" x14ac:dyDescent="0.2">
      <c r="B1609" s="65" t="s">
        <v>1158</v>
      </c>
      <c r="D1609" s="69" t="s">
        <v>6582</v>
      </c>
      <c r="E1609" s="69" t="s">
        <v>6500</v>
      </c>
    </row>
    <row r="1610" spans="2:5" x14ac:dyDescent="0.2">
      <c r="B1610" s="65" t="s">
        <v>1159</v>
      </c>
      <c r="D1610" s="69" t="s">
        <v>6582</v>
      </c>
      <c r="E1610" s="69" t="s">
        <v>6501</v>
      </c>
    </row>
    <row r="1611" spans="2:5" x14ac:dyDescent="0.2">
      <c r="B1611" s="65" t="s">
        <v>1160</v>
      </c>
      <c r="D1611" s="69" t="s">
        <v>6582</v>
      </c>
      <c r="E1611" s="69" t="s">
        <v>6502</v>
      </c>
    </row>
    <row r="1612" spans="2:5" x14ac:dyDescent="0.2">
      <c r="B1612" s="65" t="s">
        <v>1161</v>
      </c>
      <c r="D1612" s="69" t="s">
        <v>6582</v>
      </c>
      <c r="E1612" s="69" t="s">
        <v>6503</v>
      </c>
    </row>
    <row r="1613" spans="2:5" x14ac:dyDescent="0.2">
      <c r="B1613" s="65" t="s">
        <v>1152</v>
      </c>
      <c r="D1613" s="69" t="s">
        <v>6582</v>
      </c>
      <c r="E1613" s="69" t="s">
        <v>6494</v>
      </c>
    </row>
    <row r="1614" spans="2:5" x14ac:dyDescent="0.2">
      <c r="B1614" s="65" t="s">
        <v>739</v>
      </c>
      <c r="D1614" s="69" t="s">
        <v>6580</v>
      </c>
      <c r="E1614" s="69" t="s">
        <v>5517</v>
      </c>
    </row>
    <row r="1615" spans="2:5" x14ac:dyDescent="0.2">
      <c r="B1615" s="65" t="s">
        <v>741</v>
      </c>
      <c r="D1615" s="69" t="s">
        <v>6580</v>
      </c>
      <c r="E1615" s="69" t="s">
        <v>5518</v>
      </c>
    </row>
    <row r="1616" spans="2:5" x14ac:dyDescent="0.2">
      <c r="B1616" s="65" t="s">
        <v>743</v>
      </c>
      <c r="D1616" s="69" t="s">
        <v>6580</v>
      </c>
      <c r="E1616" s="69" t="s">
        <v>5519</v>
      </c>
    </row>
    <row r="1617" spans="2:5" x14ac:dyDescent="0.2">
      <c r="B1617" s="65" t="s">
        <v>749</v>
      </c>
      <c r="D1617" s="69" t="s">
        <v>6580</v>
      </c>
      <c r="E1617" s="69" t="s">
        <v>5530</v>
      </c>
    </row>
    <row r="1618" spans="2:5" x14ac:dyDescent="0.2">
      <c r="B1618" s="65" t="s">
        <v>3409</v>
      </c>
      <c r="D1618" s="69" t="s">
        <v>6580</v>
      </c>
      <c r="E1618" s="100" t="s">
        <v>5531</v>
      </c>
    </row>
    <row r="1619" spans="2:5" x14ac:dyDescent="0.2">
      <c r="B1619" s="65" t="s">
        <v>728</v>
      </c>
      <c r="D1619" s="69" t="s">
        <v>6580</v>
      </c>
      <c r="E1619" s="69" t="s">
        <v>5532</v>
      </c>
    </row>
    <row r="1620" spans="2:5" x14ac:dyDescent="0.2">
      <c r="B1620" s="65" t="s">
        <v>3410</v>
      </c>
      <c r="D1620" s="69" t="s">
        <v>6580</v>
      </c>
      <c r="E1620" s="100" t="s">
        <v>5535</v>
      </c>
    </row>
    <row r="1621" spans="2:5" x14ac:dyDescent="0.2">
      <c r="B1621" s="65" t="s">
        <v>732</v>
      </c>
      <c r="D1621" s="69" t="s">
        <v>6580</v>
      </c>
      <c r="E1621" s="69" t="s">
        <v>5538</v>
      </c>
    </row>
    <row r="1622" spans="2:5" x14ac:dyDescent="0.2">
      <c r="B1622" s="65" t="s">
        <v>735</v>
      </c>
      <c r="D1622" s="69" t="s">
        <v>6580</v>
      </c>
      <c r="E1622" s="69" t="s">
        <v>5539</v>
      </c>
    </row>
    <row r="1623" spans="2:5" x14ac:dyDescent="0.2">
      <c r="B1623" s="65" t="s">
        <v>737</v>
      </c>
      <c r="D1623" s="69" t="s">
        <v>6580</v>
      </c>
      <c r="E1623" s="69" t="s">
        <v>5540</v>
      </c>
    </row>
    <row r="1624" spans="2:5" x14ac:dyDescent="0.2">
      <c r="B1624" s="65" t="s">
        <v>1995</v>
      </c>
      <c r="D1624" s="69" t="s">
        <v>6580</v>
      </c>
      <c r="E1624" s="100" t="s">
        <v>5541</v>
      </c>
    </row>
    <row r="1625" spans="2:5" x14ac:dyDescent="0.2">
      <c r="B1625" s="65" t="s">
        <v>236</v>
      </c>
      <c r="D1625" s="69" t="s">
        <v>6580</v>
      </c>
      <c r="E1625" s="69" t="s">
        <v>5542</v>
      </c>
    </row>
    <row r="1626" spans="2:5" x14ac:dyDescent="0.2">
      <c r="B1626" s="65" t="s">
        <v>235</v>
      </c>
      <c r="D1626" s="69" t="s">
        <v>6580</v>
      </c>
      <c r="E1626" s="69" t="s">
        <v>5543</v>
      </c>
    </row>
    <row r="1627" spans="2:5" x14ac:dyDescent="0.2">
      <c r="B1627" s="65" t="s">
        <v>237</v>
      </c>
      <c r="D1627" s="69" t="s">
        <v>6580</v>
      </c>
      <c r="E1627" s="69" t="s">
        <v>5544</v>
      </c>
    </row>
    <row r="1628" spans="2:5" x14ac:dyDescent="0.2">
      <c r="B1628" s="65" t="s">
        <v>726</v>
      </c>
      <c r="D1628" s="69" t="s">
        <v>6580</v>
      </c>
      <c r="E1628" s="69" t="s">
        <v>5545</v>
      </c>
    </row>
    <row r="1629" spans="2:5" x14ac:dyDescent="0.2">
      <c r="B1629" s="65" t="s">
        <v>738</v>
      </c>
      <c r="D1629" s="69" t="s">
        <v>6580</v>
      </c>
      <c r="E1629" s="69" t="s">
        <v>5546</v>
      </c>
    </row>
    <row r="1630" spans="2:5" x14ac:dyDescent="0.2">
      <c r="B1630" s="65" t="s">
        <v>245</v>
      </c>
      <c r="D1630" s="69" t="s">
        <v>6580</v>
      </c>
      <c r="E1630" s="69" t="s">
        <v>5547</v>
      </c>
    </row>
    <row r="1631" spans="2:5" x14ac:dyDescent="0.2">
      <c r="B1631" s="65" t="s">
        <v>740</v>
      </c>
      <c r="D1631" s="69" t="s">
        <v>6580</v>
      </c>
      <c r="E1631" s="69" t="s">
        <v>5548</v>
      </c>
    </row>
    <row r="1632" spans="2:5" x14ac:dyDescent="0.2">
      <c r="B1632" s="65" t="s">
        <v>246</v>
      </c>
      <c r="D1632" s="69" t="s">
        <v>6580</v>
      </c>
      <c r="E1632" s="69" t="s">
        <v>5549</v>
      </c>
    </row>
    <row r="1633" spans="2:5" x14ac:dyDescent="0.2">
      <c r="B1633" s="65" t="s">
        <v>742</v>
      </c>
      <c r="D1633" s="69" t="s">
        <v>6580</v>
      </c>
      <c r="E1633" s="69" t="s">
        <v>5550</v>
      </c>
    </row>
    <row r="1634" spans="2:5" x14ac:dyDescent="0.2">
      <c r="B1634" s="65" t="s">
        <v>247</v>
      </c>
      <c r="D1634" s="69" t="s">
        <v>6580</v>
      </c>
      <c r="E1634" s="69" t="s">
        <v>5551</v>
      </c>
    </row>
    <row r="1635" spans="2:5" x14ac:dyDescent="0.2">
      <c r="B1635" s="65" t="s">
        <v>744</v>
      </c>
      <c r="D1635" s="69" t="s">
        <v>6580</v>
      </c>
      <c r="E1635" s="69" t="s">
        <v>5552</v>
      </c>
    </row>
    <row r="1636" spans="2:5" x14ac:dyDescent="0.2">
      <c r="B1636" s="65" t="s">
        <v>745</v>
      </c>
      <c r="D1636" s="69" t="s">
        <v>6580</v>
      </c>
      <c r="E1636" s="69" t="s">
        <v>5554</v>
      </c>
    </row>
    <row r="1637" spans="2:5" x14ac:dyDescent="0.2">
      <c r="B1637" s="65" t="s">
        <v>746</v>
      </c>
      <c r="D1637" s="69" t="s">
        <v>6580</v>
      </c>
      <c r="E1637" s="69" t="s">
        <v>5556</v>
      </c>
    </row>
    <row r="1638" spans="2:5" x14ac:dyDescent="0.2">
      <c r="B1638" s="65" t="s">
        <v>747</v>
      </c>
      <c r="D1638" s="69" t="s">
        <v>6580</v>
      </c>
      <c r="E1638" s="69" t="s">
        <v>5560</v>
      </c>
    </row>
    <row r="1639" spans="2:5" x14ac:dyDescent="0.2">
      <c r="B1639" s="65" t="s">
        <v>748</v>
      </c>
      <c r="D1639" s="69" t="s">
        <v>6580</v>
      </c>
      <c r="E1639" s="69" t="s">
        <v>5562</v>
      </c>
    </row>
    <row r="1640" spans="2:5" x14ac:dyDescent="0.2">
      <c r="B1640" s="65" t="s">
        <v>252</v>
      </c>
      <c r="D1640" s="69" t="s">
        <v>6580</v>
      </c>
      <c r="E1640" s="69" t="s">
        <v>5563</v>
      </c>
    </row>
    <row r="1641" spans="2:5" x14ac:dyDescent="0.2">
      <c r="B1641" s="65" t="s">
        <v>750</v>
      </c>
      <c r="D1641" s="69" t="s">
        <v>6580</v>
      </c>
      <c r="E1641" s="69" t="s">
        <v>5564</v>
      </c>
    </row>
    <row r="1642" spans="2:5" x14ac:dyDescent="0.2">
      <c r="B1642" s="65" t="s">
        <v>253</v>
      </c>
      <c r="D1642" s="69" t="s">
        <v>6580</v>
      </c>
      <c r="E1642" s="100" t="s">
        <v>5565</v>
      </c>
    </row>
    <row r="1643" spans="2:5" x14ac:dyDescent="0.2">
      <c r="B1643" s="65" t="s">
        <v>727</v>
      </c>
      <c r="D1643" s="69" t="s">
        <v>6580</v>
      </c>
      <c r="E1643" s="69" t="s">
        <v>5567</v>
      </c>
    </row>
    <row r="1644" spans="2:5" x14ac:dyDescent="0.2">
      <c r="B1644" s="65" t="s">
        <v>751</v>
      </c>
      <c r="D1644" s="69" t="s">
        <v>6580</v>
      </c>
      <c r="E1644" s="69" t="s">
        <v>5568</v>
      </c>
    </row>
    <row r="1645" spans="2:5" x14ac:dyDescent="0.2">
      <c r="B1645" s="65" t="s">
        <v>752</v>
      </c>
      <c r="D1645" s="69" t="s">
        <v>6580</v>
      </c>
      <c r="E1645" s="69" t="s">
        <v>5570</v>
      </c>
    </row>
    <row r="1646" spans="2:5" x14ac:dyDescent="0.2">
      <c r="B1646" s="65" t="s">
        <v>255</v>
      </c>
      <c r="D1646" s="69" t="s">
        <v>6580</v>
      </c>
      <c r="E1646" s="100" t="s">
        <v>5571</v>
      </c>
    </row>
    <row r="1647" spans="2:5" x14ac:dyDescent="0.2">
      <c r="B1647" s="65" t="s">
        <v>239</v>
      </c>
      <c r="D1647" s="69" t="s">
        <v>6580</v>
      </c>
      <c r="E1647" s="69" t="s">
        <v>5572</v>
      </c>
    </row>
    <row r="1648" spans="2:5" x14ac:dyDescent="0.2">
      <c r="B1648" s="65" t="s">
        <v>729</v>
      </c>
      <c r="D1648" s="69" t="s">
        <v>6580</v>
      </c>
      <c r="E1648" s="69" t="s">
        <v>5573</v>
      </c>
    </row>
    <row r="1649" spans="2:5" x14ac:dyDescent="0.2">
      <c r="B1649" s="65" t="s">
        <v>730</v>
      </c>
      <c r="D1649" s="69" t="s">
        <v>6580</v>
      </c>
      <c r="E1649" s="69" t="s">
        <v>5575</v>
      </c>
    </row>
    <row r="1650" spans="2:5" x14ac:dyDescent="0.2">
      <c r="B1650" s="65" t="s">
        <v>3408</v>
      </c>
      <c r="D1650" s="69" t="s">
        <v>6580</v>
      </c>
      <c r="E1650" s="100" t="s">
        <v>5576</v>
      </c>
    </row>
    <row r="1651" spans="2:5" x14ac:dyDescent="0.2">
      <c r="B1651" s="65" t="s">
        <v>731</v>
      </c>
      <c r="D1651" s="69" t="s">
        <v>6580</v>
      </c>
      <c r="E1651" s="69" t="s">
        <v>5578</v>
      </c>
    </row>
    <row r="1652" spans="2:5" x14ac:dyDescent="0.2">
      <c r="B1652" s="65" t="s">
        <v>242</v>
      </c>
      <c r="D1652" s="69" t="s">
        <v>6580</v>
      </c>
      <c r="E1652" s="69" t="s">
        <v>5579</v>
      </c>
    </row>
    <row r="1653" spans="2:5" x14ac:dyDescent="0.2">
      <c r="B1653" s="65" t="s">
        <v>733</v>
      </c>
      <c r="D1653" s="69" t="s">
        <v>6580</v>
      </c>
      <c r="E1653" s="69" t="s">
        <v>5580</v>
      </c>
    </row>
    <row r="1654" spans="2:5" x14ac:dyDescent="0.2">
      <c r="B1654" s="65" t="s">
        <v>734</v>
      </c>
      <c r="D1654" s="69" t="s">
        <v>6580</v>
      </c>
      <c r="E1654" s="69" t="s">
        <v>5581</v>
      </c>
    </row>
    <row r="1655" spans="2:5" x14ac:dyDescent="0.2">
      <c r="B1655" s="65" t="s">
        <v>243</v>
      </c>
      <c r="D1655" s="69" t="s">
        <v>6580</v>
      </c>
      <c r="E1655" s="69" t="s">
        <v>5582</v>
      </c>
    </row>
    <row r="1656" spans="2:5" x14ac:dyDescent="0.2">
      <c r="B1656" s="65" t="s">
        <v>736</v>
      </c>
      <c r="D1656" s="69" t="s">
        <v>6580</v>
      </c>
      <c r="E1656" s="69" t="s">
        <v>5583</v>
      </c>
    </row>
    <row r="1657" spans="2:5" x14ac:dyDescent="0.2">
      <c r="B1657" s="65" t="s">
        <v>244</v>
      </c>
      <c r="D1657" s="69" t="s">
        <v>6580</v>
      </c>
      <c r="E1657" s="69" t="s">
        <v>5584</v>
      </c>
    </row>
    <row r="1658" spans="2:5" x14ac:dyDescent="0.2">
      <c r="B1658" s="65" t="s">
        <v>308</v>
      </c>
      <c r="D1658" s="69" t="s">
        <v>6580</v>
      </c>
      <c r="E1658" s="69" t="s">
        <v>5585</v>
      </c>
    </row>
    <row r="1659" spans="2:5" x14ac:dyDescent="0.2">
      <c r="B1659" s="65" t="s">
        <v>310</v>
      </c>
      <c r="D1659" s="69" t="s">
        <v>6580</v>
      </c>
      <c r="E1659" s="69" t="s">
        <v>5586</v>
      </c>
    </row>
    <row r="1660" spans="2:5" x14ac:dyDescent="0.2">
      <c r="B1660" s="65" t="s">
        <v>309</v>
      </c>
      <c r="D1660" s="69" t="s">
        <v>6580</v>
      </c>
      <c r="E1660" s="69" t="s">
        <v>5587</v>
      </c>
    </row>
    <row r="1661" spans="2:5" x14ac:dyDescent="0.2">
      <c r="B1661" s="65" t="s">
        <v>311</v>
      </c>
      <c r="D1661" s="69" t="s">
        <v>6580</v>
      </c>
      <c r="E1661" s="69" t="s">
        <v>5588</v>
      </c>
    </row>
    <row r="1662" spans="2:5" x14ac:dyDescent="0.2">
      <c r="B1662" s="65" t="s">
        <v>1164</v>
      </c>
      <c r="D1662" s="69" t="s">
        <v>6582</v>
      </c>
      <c r="E1662" s="69" t="s">
        <v>6483</v>
      </c>
    </row>
    <row r="1663" spans="2:5" x14ac:dyDescent="0.2">
      <c r="B1663" s="65" t="s">
        <v>1165</v>
      </c>
      <c r="D1663" s="69" t="s">
        <v>6582</v>
      </c>
      <c r="E1663" s="69" t="s">
        <v>6484</v>
      </c>
    </row>
    <row r="1664" spans="2:5" x14ac:dyDescent="0.2">
      <c r="B1664" s="65" t="s">
        <v>1166</v>
      </c>
      <c r="D1664" s="69" t="s">
        <v>6582</v>
      </c>
      <c r="E1664" s="69" t="s">
        <v>6485</v>
      </c>
    </row>
    <row r="1665" spans="2:5" x14ac:dyDescent="0.2">
      <c r="B1665" s="65" t="s">
        <v>1167</v>
      </c>
      <c r="D1665" s="69" t="s">
        <v>6582</v>
      </c>
      <c r="E1665" s="69" t="s">
        <v>6486</v>
      </c>
    </row>
    <row r="1666" spans="2:5" x14ac:dyDescent="0.2">
      <c r="B1666" s="65" t="s">
        <v>1168</v>
      </c>
      <c r="D1666" s="69" t="s">
        <v>6582</v>
      </c>
      <c r="E1666" s="69" t="s">
        <v>6487</v>
      </c>
    </row>
    <row r="1667" spans="2:5" x14ac:dyDescent="0.2">
      <c r="B1667" s="65" t="s">
        <v>1169</v>
      </c>
      <c r="D1667" s="69" t="s">
        <v>6582</v>
      </c>
      <c r="E1667" s="69" t="s">
        <v>6488</v>
      </c>
    </row>
    <row r="1668" spans="2:5" x14ac:dyDescent="0.2">
      <c r="B1668" s="65" t="s">
        <v>1170</v>
      </c>
      <c r="D1668" s="69" t="s">
        <v>6582</v>
      </c>
      <c r="E1668" s="69" t="s">
        <v>6489</v>
      </c>
    </row>
    <row r="1669" spans="2:5" x14ac:dyDescent="0.2">
      <c r="B1669" s="65" t="s">
        <v>1171</v>
      </c>
      <c r="D1669" s="69" t="s">
        <v>6582</v>
      </c>
      <c r="E1669" s="69" t="s">
        <v>6490</v>
      </c>
    </row>
    <row r="1670" spans="2:5" x14ac:dyDescent="0.2">
      <c r="B1670" s="65" t="s">
        <v>1172</v>
      </c>
      <c r="D1670" s="69" t="s">
        <v>6582</v>
      </c>
      <c r="E1670" s="69" t="s">
        <v>6491</v>
      </c>
    </row>
    <row r="1671" spans="2:5" x14ac:dyDescent="0.2">
      <c r="B1671" s="65" t="s">
        <v>1173</v>
      </c>
      <c r="D1671" s="69" t="s">
        <v>6582</v>
      </c>
      <c r="E1671" s="69" t="s">
        <v>6492</v>
      </c>
    </row>
    <row r="1672" spans="2:5" x14ac:dyDescent="0.2">
      <c r="B1672" s="65" t="s">
        <v>1163</v>
      </c>
      <c r="D1672" s="69" t="s">
        <v>6582</v>
      </c>
      <c r="E1672" s="69" t="s">
        <v>6482</v>
      </c>
    </row>
    <row r="1673" spans="2:5" x14ac:dyDescent="0.2">
      <c r="B1673" s="65" t="s">
        <v>1162</v>
      </c>
      <c r="D1673" s="69" t="s">
        <v>6582</v>
      </c>
      <c r="E1673" s="69" t="s">
        <v>6493</v>
      </c>
    </row>
    <row r="1674" spans="2:5" x14ac:dyDescent="0.2">
      <c r="B1674" s="65" t="s">
        <v>1145</v>
      </c>
      <c r="D1674" s="69" t="s">
        <v>6582</v>
      </c>
      <c r="E1674" s="69" t="s">
        <v>6474</v>
      </c>
    </row>
    <row r="1675" spans="2:5" x14ac:dyDescent="0.2">
      <c r="B1675" s="65" t="s">
        <v>1146</v>
      </c>
      <c r="D1675" s="69" t="s">
        <v>6582</v>
      </c>
      <c r="E1675" s="69" t="s">
        <v>6475</v>
      </c>
    </row>
    <row r="1676" spans="2:5" x14ac:dyDescent="0.2">
      <c r="B1676" s="65" t="s">
        <v>1147</v>
      </c>
      <c r="D1676" s="69" t="s">
        <v>6582</v>
      </c>
      <c r="E1676" s="69" t="s">
        <v>6476</v>
      </c>
    </row>
    <row r="1677" spans="2:5" x14ac:dyDescent="0.2">
      <c r="B1677" s="65" t="s">
        <v>1148</v>
      </c>
      <c r="D1677" s="69" t="s">
        <v>6582</v>
      </c>
      <c r="E1677" s="69" t="s">
        <v>6477</v>
      </c>
    </row>
    <row r="1678" spans="2:5" x14ac:dyDescent="0.2">
      <c r="B1678" s="65" t="s">
        <v>1149</v>
      </c>
      <c r="D1678" s="69" t="s">
        <v>6582</v>
      </c>
      <c r="E1678" s="69" t="s">
        <v>6478</v>
      </c>
    </row>
    <row r="1679" spans="2:5" x14ac:dyDescent="0.2">
      <c r="B1679" s="65" t="s">
        <v>1150</v>
      </c>
      <c r="D1679" s="69" t="s">
        <v>6582</v>
      </c>
      <c r="E1679" s="69" t="s">
        <v>6479</v>
      </c>
    </row>
    <row r="1680" spans="2:5" x14ac:dyDescent="0.2">
      <c r="B1680" s="65" t="s">
        <v>1151</v>
      </c>
      <c r="D1680" s="69" t="s">
        <v>6582</v>
      </c>
      <c r="E1680" s="69" t="s">
        <v>6480</v>
      </c>
    </row>
    <row r="1681" spans="2:5" x14ac:dyDescent="0.2">
      <c r="B1681" s="65" t="s">
        <v>1144</v>
      </c>
      <c r="D1681" s="69" t="s">
        <v>6582</v>
      </c>
      <c r="E1681" s="69" t="s">
        <v>6481</v>
      </c>
    </row>
    <row r="1682" spans="2:5" x14ac:dyDescent="0.2">
      <c r="B1682" s="65" t="s">
        <v>260</v>
      </c>
      <c r="D1682" s="69" t="s">
        <v>6580</v>
      </c>
      <c r="E1682" s="69" t="s">
        <v>5589</v>
      </c>
    </row>
    <row r="1683" spans="2:5" x14ac:dyDescent="0.2">
      <c r="B1683" s="65" t="s">
        <v>257</v>
      </c>
      <c r="D1683" s="69" t="s">
        <v>6580</v>
      </c>
      <c r="E1683" s="69" t="s">
        <v>5590</v>
      </c>
    </row>
    <row r="1684" spans="2:5" x14ac:dyDescent="0.2">
      <c r="B1684" s="65" t="s">
        <v>256</v>
      </c>
      <c r="D1684" s="69" t="s">
        <v>6580</v>
      </c>
      <c r="E1684" s="69" t="s">
        <v>5591</v>
      </c>
    </row>
    <row r="1685" spans="2:5" x14ac:dyDescent="0.2">
      <c r="B1685" s="65" t="s">
        <v>259</v>
      </c>
      <c r="D1685" s="69" t="s">
        <v>6580</v>
      </c>
      <c r="E1685" s="69" t="s">
        <v>5592</v>
      </c>
    </row>
    <row r="1686" spans="2:5" x14ac:dyDescent="0.2">
      <c r="B1686" s="65" t="s">
        <v>258</v>
      </c>
      <c r="D1686" s="69" t="s">
        <v>6580</v>
      </c>
      <c r="E1686" s="69" t="s">
        <v>5593</v>
      </c>
    </row>
    <row r="1687" spans="2:5" x14ac:dyDescent="0.2">
      <c r="B1687" s="65" t="s">
        <v>263</v>
      </c>
      <c r="D1687" s="69" t="s">
        <v>6580</v>
      </c>
      <c r="E1687" s="69" t="s">
        <v>5594</v>
      </c>
    </row>
    <row r="1688" spans="2:5" x14ac:dyDescent="0.2">
      <c r="B1688" s="65" t="s">
        <v>264</v>
      </c>
      <c r="D1688" s="69" t="s">
        <v>6580</v>
      </c>
      <c r="E1688" s="69" t="s">
        <v>5595</v>
      </c>
    </row>
    <row r="1689" spans="2:5" x14ac:dyDescent="0.2">
      <c r="B1689" s="65" t="s">
        <v>265</v>
      </c>
      <c r="D1689" s="69" t="s">
        <v>6580</v>
      </c>
      <c r="E1689" s="69" t="s">
        <v>5596</v>
      </c>
    </row>
    <row r="1690" spans="2:5" x14ac:dyDescent="0.2">
      <c r="B1690" s="65" t="s">
        <v>266</v>
      </c>
      <c r="D1690" s="69" t="s">
        <v>6580</v>
      </c>
      <c r="E1690" s="69" t="s">
        <v>5597</v>
      </c>
    </row>
    <row r="1691" spans="2:5" x14ac:dyDescent="0.2">
      <c r="B1691" s="65" t="s">
        <v>267</v>
      </c>
      <c r="D1691" s="69" t="s">
        <v>6580</v>
      </c>
      <c r="E1691" s="69" t="s">
        <v>5598</v>
      </c>
    </row>
    <row r="1692" spans="2:5" x14ac:dyDescent="0.2">
      <c r="B1692" s="65" t="s">
        <v>268</v>
      </c>
      <c r="D1692" s="69" t="s">
        <v>6580</v>
      </c>
      <c r="E1692" s="69" t="s">
        <v>5599</v>
      </c>
    </row>
    <row r="1693" spans="2:5" x14ac:dyDescent="0.2">
      <c r="B1693" s="65" t="s">
        <v>269</v>
      </c>
      <c r="D1693" s="69" t="s">
        <v>6580</v>
      </c>
      <c r="E1693" s="69" t="s">
        <v>5600</v>
      </c>
    </row>
    <row r="1694" spans="2:5" x14ac:dyDescent="0.2">
      <c r="B1694" s="65" t="s">
        <v>270</v>
      </c>
      <c r="D1694" s="69" t="s">
        <v>6580</v>
      </c>
      <c r="E1694" s="69" t="s">
        <v>5601</v>
      </c>
    </row>
    <row r="1695" spans="2:5" x14ac:dyDescent="0.2">
      <c r="B1695" s="65" t="s">
        <v>271</v>
      </c>
      <c r="D1695" s="69" t="s">
        <v>6580</v>
      </c>
      <c r="E1695" s="69" t="s">
        <v>5602</v>
      </c>
    </row>
    <row r="1696" spans="2:5" x14ac:dyDescent="0.2">
      <c r="B1696" s="65" t="s">
        <v>272</v>
      </c>
      <c r="D1696" s="69" t="s">
        <v>6580</v>
      </c>
      <c r="E1696" s="69" t="s">
        <v>5603</v>
      </c>
    </row>
    <row r="1697" spans="2:5" x14ac:dyDescent="0.2">
      <c r="B1697" s="65" t="s">
        <v>273</v>
      </c>
      <c r="D1697" s="69" t="s">
        <v>6580</v>
      </c>
      <c r="E1697" s="69" t="s">
        <v>5604</v>
      </c>
    </row>
    <row r="1698" spans="2:5" x14ac:dyDescent="0.2">
      <c r="B1698" s="65" t="s">
        <v>274</v>
      </c>
      <c r="D1698" s="69" t="s">
        <v>6580</v>
      </c>
      <c r="E1698" s="69" t="s">
        <v>5605</v>
      </c>
    </row>
    <row r="1699" spans="2:5" x14ac:dyDescent="0.2">
      <c r="B1699" s="65" t="s">
        <v>275</v>
      </c>
      <c r="D1699" s="69" t="s">
        <v>6580</v>
      </c>
      <c r="E1699" s="69" t="s">
        <v>5606</v>
      </c>
    </row>
    <row r="1700" spans="2:5" x14ac:dyDescent="0.2">
      <c r="B1700" s="65" t="s">
        <v>276</v>
      </c>
      <c r="D1700" s="69" t="s">
        <v>6580</v>
      </c>
      <c r="E1700" s="69" t="s">
        <v>5607</v>
      </c>
    </row>
    <row r="1701" spans="2:5" x14ac:dyDescent="0.2">
      <c r="B1701" s="65" t="s">
        <v>277</v>
      </c>
      <c r="D1701" s="69" t="s">
        <v>6580</v>
      </c>
      <c r="E1701" s="69" t="s">
        <v>5608</v>
      </c>
    </row>
    <row r="1702" spans="2:5" x14ac:dyDescent="0.2">
      <c r="B1702" s="65" t="s">
        <v>278</v>
      </c>
      <c r="D1702" s="69" t="s">
        <v>6580</v>
      </c>
      <c r="E1702" s="69" t="s">
        <v>5609</v>
      </c>
    </row>
    <row r="1703" spans="2:5" x14ac:dyDescent="0.2">
      <c r="B1703" s="65" t="s">
        <v>279</v>
      </c>
      <c r="D1703" s="69" t="s">
        <v>6580</v>
      </c>
      <c r="E1703" s="69" t="s">
        <v>5610</v>
      </c>
    </row>
    <row r="1704" spans="2:5" x14ac:dyDescent="0.2">
      <c r="B1704" s="65" t="s">
        <v>280</v>
      </c>
      <c r="D1704" s="69" t="s">
        <v>6580</v>
      </c>
      <c r="E1704" s="69" t="s">
        <v>5611</v>
      </c>
    </row>
    <row r="1705" spans="2:5" x14ac:dyDescent="0.2">
      <c r="B1705" s="65" t="s">
        <v>261</v>
      </c>
      <c r="D1705" s="69" t="s">
        <v>6580</v>
      </c>
      <c r="E1705" s="69" t="s">
        <v>5612</v>
      </c>
    </row>
    <row r="1706" spans="2:5" x14ac:dyDescent="0.2">
      <c r="B1706" s="66" t="s">
        <v>262</v>
      </c>
      <c r="C1706" s="21"/>
      <c r="D1706" s="69" t="s">
        <v>6580</v>
      </c>
      <c r="E1706" s="71" t="s">
        <v>5613</v>
      </c>
    </row>
  </sheetData>
  <sortState xmlns:xlrd2="http://schemas.microsoft.com/office/spreadsheetml/2017/richdata2" ref="A1047:J1706">
    <sortCondition ref="B1047:B1706"/>
  </sortState>
  <conditionalFormatting sqref="D1165">
    <cfRule type="duplicateValues" dxfId="22" priority="21"/>
  </conditionalFormatting>
  <conditionalFormatting sqref="D1166">
    <cfRule type="duplicateValues" dxfId="21" priority="20"/>
  </conditionalFormatting>
  <conditionalFormatting sqref="D1167">
    <cfRule type="duplicateValues" dxfId="20" priority="19"/>
  </conditionalFormatting>
  <conditionalFormatting sqref="D1168">
    <cfRule type="duplicateValues" dxfId="19" priority="18"/>
  </conditionalFormatting>
  <conditionalFormatting sqref="D1169:D1170">
    <cfRule type="duplicateValues" dxfId="18" priority="17"/>
  </conditionalFormatting>
  <conditionalFormatting sqref="D1171:D1172">
    <cfRule type="duplicateValues" dxfId="17" priority="16"/>
  </conditionalFormatting>
  <conditionalFormatting sqref="D1175">
    <cfRule type="duplicateValues" dxfId="16" priority="15"/>
  </conditionalFormatting>
  <conditionalFormatting sqref="D1176">
    <cfRule type="duplicateValues" dxfId="15" priority="14"/>
  </conditionalFormatting>
  <conditionalFormatting sqref="D1534">
    <cfRule type="duplicateValues" dxfId="14" priority="13"/>
  </conditionalFormatting>
  <conditionalFormatting sqref="D1535">
    <cfRule type="duplicateValues" dxfId="13" priority="12"/>
  </conditionalFormatting>
  <conditionalFormatting sqref="D1536:D1542">
    <cfRule type="duplicateValues" dxfId="12" priority="11"/>
  </conditionalFormatting>
  <conditionalFormatting sqref="D1543">
    <cfRule type="duplicateValues" dxfId="11" priority="10"/>
  </conditionalFormatting>
  <conditionalFormatting sqref="D1544:D1548">
    <cfRule type="duplicateValues" dxfId="10" priority="9"/>
  </conditionalFormatting>
  <conditionalFormatting sqref="D1549">
    <cfRule type="duplicateValues" dxfId="9" priority="8"/>
  </conditionalFormatting>
  <conditionalFormatting sqref="D1552">
    <cfRule type="duplicateValues" dxfId="8" priority="7"/>
  </conditionalFormatting>
  <conditionalFormatting sqref="D1550">
    <cfRule type="duplicateValues" dxfId="7" priority="6"/>
  </conditionalFormatting>
  <conditionalFormatting sqref="D1553">
    <cfRule type="duplicateValues" dxfId="6" priority="5"/>
  </conditionalFormatting>
  <conditionalFormatting sqref="D1554">
    <cfRule type="duplicateValues" dxfId="5" priority="4"/>
  </conditionalFormatting>
  <conditionalFormatting sqref="D1555:D1558">
    <cfRule type="duplicateValues" dxfId="4" priority="3"/>
  </conditionalFormatting>
  <conditionalFormatting sqref="D1559">
    <cfRule type="duplicateValues" dxfId="3" priority="2"/>
  </conditionalFormatting>
  <conditionalFormatting sqref="B1:B1048576">
    <cfRule type="duplicateValues" dxfId="2"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09C6A-5F2F-A746-93BF-4A512821245D}">
  <dimension ref="B1:K11"/>
  <sheetViews>
    <sheetView showGridLines="0" workbookViewId="0">
      <selection activeCell="C2" sqref="C2"/>
    </sheetView>
  </sheetViews>
  <sheetFormatPr baseColWidth="10" defaultRowHeight="16" x14ac:dyDescent="0.2"/>
  <cols>
    <col min="2" max="2" width="41" customWidth="1"/>
    <col min="3" max="3" width="28.5" customWidth="1"/>
    <col min="8" max="8" width="14.5" customWidth="1"/>
    <col min="9" max="9" width="15.33203125" customWidth="1"/>
    <col min="11" max="11" width="11.6640625" bestFit="1" customWidth="1"/>
  </cols>
  <sheetData>
    <row r="1" spans="2:11" x14ac:dyDescent="0.2">
      <c r="B1" s="5"/>
      <c r="C1" s="5"/>
      <c r="D1" s="5"/>
      <c r="E1" s="5"/>
      <c r="F1" s="5"/>
      <c r="G1" s="6"/>
      <c r="H1" s="6"/>
      <c r="I1" s="6"/>
      <c r="J1" s="5"/>
      <c r="K1" s="5"/>
    </row>
    <row r="2" spans="2:11" x14ac:dyDescent="0.2">
      <c r="B2" s="53" t="s">
        <v>8533</v>
      </c>
      <c r="C2" s="5"/>
      <c r="D2" s="5"/>
      <c r="G2" s="6"/>
      <c r="H2" s="6"/>
      <c r="I2" s="6"/>
      <c r="J2" s="5"/>
      <c r="K2" s="5"/>
    </row>
    <row r="3" spans="2:11" ht="51" x14ac:dyDescent="0.2">
      <c r="B3" s="38" t="s">
        <v>0</v>
      </c>
      <c r="C3" s="38" t="s">
        <v>1</v>
      </c>
      <c r="D3" s="38"/>
      <c r="E3" s="38" t="s">
        <v>2</v>
      </c>
      <c r="F3" s="38" t="s">
        <v>3</v>
      </c>
      <c r="G3" s="39" t="s">
        <v>4</v>
      </c>
      <c r="H3" s="39" t="s">
        <v>5</v>
      </c>
      <c r="I3" s="39" t="s">
        <v>6</v>
      </c>
      <c r="J3" s="38" t="s">
        <v>56</v>
      </c>
    </row>
    <row r="4" spans="2:11" x14ac:dyDescent="0.2">
      <c r="B4" s="5" t="s">
        <v>1938</v>
      </c>
      <c r="C4" s="26" t="s">
        <v>1963</v>
      </c>
      <c r="D4" s="5"/>
      <c r="E4" s="5">
        <v>1197</v>
      </c>
      <c r="F4" s="5">
        <v>254</v>
      </c>
      <c r="G4" s="6">
        <f>254/1197</f>
        <v>0.21219715956558061</v>
      </c>
      <c r="H4" s="6">
        <v>3.3E-3</v>
      </c>
      <c r="I4" s="6">
        <f>(1197-254-4)/1197</f>
        <v>0.78446115288220553</v>
      </c>
      <c r="J4" s="5"/>
      <c r="K4" s="4"/>
    </row>
    <row r="5" spans="2:11" x14ac:dyDescent="0.2">
      <c r="B5" s="5" t="s">
        <v>1939</v>
      </c>
      <c r="D5" s="5"/>
      <c r="E5" s="5"/>
      <c r="F5" s="5">
        <v>15</v>
      </c>
      <c r="G5" s="6"/>
      <c r="H5" s="11"/>
      <c r="I5" s="6"/>
      <c r="J5" s="5"/>
      <c r="K5" s="5"/>
    </row>
    <row r="6" spans="2:11" x14ac:dyDescent="0.2">
      <c r="B6" s="5" t="s">
        <v>1940</v>
      </c>
      <c r="C6" s="26"/>
      <c r="D6" s="5"/>
      <c r="E6" s="5"/>
      <c r="F6" s="5">
        <v>239</v>
      </c>
      <c r="G6" s="6"/>
      <c r="H6" s="6"/>
      <c r="I6" s="6"/>
      <c r="J6" s="5"/>
      <c r="K6" s="5"/>
    </row>
    <row r="7" spans="2:11" x14ac:dyDescent="0.2">
      <c r="B7" s="5" t="s">
        <v>1936</v>
      </c>
      <c r="C7" s="7" t="s">
        <v>1964</v>
      </c>
      <c r="D7" s="7"/>
      <c r="E7" s="5">
        <v>182</v>
      </c>
      <c r="F7" s="5">
        <v>91</v>
      </c>
      <c r="G7" s="6">
        <f>91/182</f>
        <v>0.5</v>
      </c>
      <c r="H7" s="6">
        <v>0</v>
      </c>
      <c r="I7" s="6">
        <f>(182-91)/182</f>
        <v>0.5</v>
      </c>
      <c r="J7" s="5"/>
      <c r="K7" s="5"/>
    </row>
    <row r="8" spans="2:11" x14ac:dyDescent="0.2">
      <c r="B8" t="s">
        <v>1937</v>
      </c>
      <c r="C8" t="s">
        <v>1965</v>
      </c>
      <c r="E8">
        <v>760</v>
      </c>
      <c r="F8">
        <v>76</v>
      </c>
      <c r="G8" s="24">
        <f>74/760</f>
        <v>9.7368421052631576E-2</v>
      </c>
      <c r="H8" s="24">
        <v>0</v>
      </c>
      <c r="I8" s="24">
        <f>(760-74)/760</f>
        <v>0.90263157894736845</v>
      </c>
    </row>
    <row r="9" spans="2:11" x14ac:dyDescent="0.2">
      <c r="B9" s="5" t="s">
        <v>1939</v>
      </c>
      <c r="E9" s="96"/>
      <c r="F9" s="97">
        <v>2</v>
      </c>
      <c r="G9" s="98"/>
      <c r="H9" s="98"/>
      <c r="I9" s="24"/>
    </row>
    <row r="10" spans="2:11" x14ac:dyDescent="0.2">
      <c r="B10" s="5" t="s">
        <v>1940</v>
      </c>
      <c r="E10" s="96"/>
      <c r="F10" s="97">
        <v>74</v>
      </c>
      <c r="G10" s="98"/>
      <c r="H10" s="98"/>
      <c r="I10" s="24"/>
    </row>
    <row r="11" spans="2:11" x14ac:dyDescent="0.2">
      <c r="E11" s="96"/>
      <c r="F11" s="96"/>
      <c r="G11" s="96"/>
      <c r="H11" s="96"/>
    </row>
  </sheetData>
  <pageMargins left="0.7" right="0.7" top="0.75" bottom="0.75" header="0.3" footer="0.3"/>
  <pageSetup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2DDEC-DBC7-9141-8FBC-E9C5F0355CA9}">
  <dimension ref="B2:F21"/>
  <sheetViews>
    <sheetView showGridLines="0" workbookViewId="0">
      <selection activeCell="L18" sqref="L18"/>
    </sheetView>
  </sheetViews>
  <sheetFormatPr baseColWidth="10" defaultRowHeight="16" x14ac:dyDescent="0.2"/>
  <cols>
    <col min="2" max="2" width="12.6640625" customWidth="1"/>
    <col min="3" max="3" width="22.6640625" customWidth="1"/>
    <col min="4" max="4" width="12.83203125" customWidth="1"/>
    <col min="5" max="5" width="15.6640625" customWidth="1"/>
    <col min="6" max="6" width="23.6640625" customWidth="1"/>
  </cols>
  <sheetData>
    <row r="2" spans="2:6" x14ac:dyDescent="0.2">
      <c r="B2" s="51" t="s">
        <v>8534</v>
      </c>
    </row>
    <row r="3" spans="2:6" x14ac:dyDescent="0.2">
      <c r="B3" s="51"/>
    </row>
    <row r="4" spans="2:6" ht="21" customHeight="1" x14ac:dyDescent="0.2">
      <c r="B4" s="124" t="s">
        <v>6696</v>
      </c>
      <c r="C4" s="124" t="s">
        <v>6697</v>
      </c>
      <c r="D4" s="124" t="s">
        <v>6698</v>
      </c>
      <c r="E4" s="124" t="s">
        <v>6722</v>
      </c>
      <c r="F4" s="124" t="s">
        <v>6699</v>
      </c>
    </row>
    <row r="5" spans="2:6" ht="16" customHeight="1" x14ac:dyDescent="0.2">
      <c r="B5" s="62" t="s">
        <v>1730</v>
      </c>
      <c r="C5" s="62" t="s">
        <v>6700</v>
      </c>
      <c r="D5" s="125">
        <v>49735</v>
      </c>
      <c r="E5" s="126">
        <v>0.216</v>
      </c>
      <c r="F5" s="62" t="s">
        <v>6701</v>
      </c>
    </row>
    <row r="6" spans="2:6" ht="17" x14ac:dyDescent="0.2">
      <c r="B6" s="126" t="s">
        <v>1731</v>
      </c>
      <c r="C6" s="126" t="s">
        <v>6702</v>
      </c>
      <c r="D6" s="125">
        <v>46321</v>
      </c>
      <c r="E6" s="126" t="s">
        <v>6703</v>
      </c>
      <c r="F6" s="126" t="s">
        <v>6704</v>
      </c>
    </row>
    <row r="7" spans="2:6" ht="17" x14ac:dyDescent="0.2">
      <c r="B7" s="126" t="s">
        <v>1732</v>
      </c>
      <c r="C7" s="126" t="s">
        <v>6705</v>
      </c>
      <c r="D7" s="125">
        <v>43777</v>
      </c>
      <c r="E7" s="126">
        <v>0.11799999999999999</v>
      </c>
      <c r="F7" s="126" t="s">
        <v>6706</v>
      </c>
    </row>
    <row r="8" spans="2:6" ht="17" x14ac:dyDescent="0.2">
      <c r="B8" s="126" t="s">
        <v>1740</v>
      </c>
      <c r="C8" s="126" t="s">
        <v>6707</v>
      </c>
      <c r="D8" s="125">
        <v>101962</v>
      </c>
      <c r="E8" s="126" t="s">
        <v>6708</v>
      </c>
      <c r="F8" s="126" t="s">
        <v>6709</v>
      </c>
    </row>
    <row r="9" spans="2:6" ht="17" x14ac:dyDescent="0.2">
      <c r="B9" s="126" t="s">
        <v>1733</v>
      </c>
      <c r="C9" s="125">
        <v>175163</v>
      </c>
      <c r="D9" s="125">
        <v>175163</v>
      </c>
      <c r="E9" s="126">
        <v>5.5800000000000002E-2</v>
      </c>
      <c r="F9" s="126" t="s">
        <v>6710</v>
      </c>
    </row>
    <row r="10" spans="2:6" ht="17" x14ac:dyDescent="0.2">
      <c r="B10" s="126" t="s">
        <v>1734</v>
      </c>
      <c r="C10" s="126" t="s">
        <v>6711</v>
      </c>
      <c r="D10" s="125">
        <v>449149</v>
      </c>
      <c r="E10" s="126">
        <v>8.8999999999999996E-2</v>
      </c>
      <c r="F10" s="126" t="s">
        <v>6712</v>
      </c>
    </row>
    <row r="11" spans="2:6" ht="17" x14ac:dyDescent="0.2">
      <c r="B11" s="126" t="s">
        <v>1735</v>
      </c>
      <c r="C11" s="126" t="s">
        <v>6713</v>
      </c>
      <c r="D11" s="125">
        <v>7281</v>
      </c>
      <c r="E11" s="126">
        <v>0.25</v>
      </c>
      <c r="F11" s="126" t="s">
        <v>6714</v>
      </c>
    </row>
    <row r="12" spans="2:6" ht="17" x14ac:dyDescent="0.2">
      <c r="B12" s="126" t="s">
        <v>1736</v>
      </c>
      <c r="C12" s="125">
        <v>435563</v>
      </c>
      <c r="D12" s="125">
        <v>435563</v>
      </c>
      <c r="E12" s="126">
        <v>6.8000000000000005E-2</v>
      </c>
      <c r="F12" s="126" t="s">
        <v>6715</v>
      </c>
    </row>
    <row r="13" spans="2:6" ht="17" x14ac:dyDescent="0.2">
      <c r="B13" s="126" t="s">
        <v>1737</v>
      </c>
      <c r="C13" s="126" t="s">
        <v>6716</v>
      </c>
      <c r="D13" s="125">
        <v>70332</v>
      </c>
      <c r="E13" s="126">
        <v>0.05</v>
      </c>
      <c r="F13" s="126" t="s">
        <v>6717</v>
      </c>
    </row>
    <row r="14" spans="2:6" ht="17" x14ac:dyDescent="0.2">
      <c r="B14" s="126" t="s">
        <v>1738</v>
      </c>
      <c r="C14" s="126" t="s">
        <v>6718</v>
      </c>
      <c r="D14" s="125">
        <v>157013</v>
      </c>
      <c r="E14" s="126">
        <v>0.24</v>
      </c>
      <c r="F14" s="126" t="s">
        <v>6719</v>
      </c>
    </row>
    <row r="15" spans="2:6" ht="17" x14ac:dyDescent="0.2">
      <c r="B15" s="127" t="s">
        <v>1739</v>
      </c>
      <c r="C15" s="127" t="s">
        <v>6720</v>
      </c>
      <c r="D15" s="128">
        <v>12140</v>
      </c>
      <c r="E15" s="127">
        <v>0.21</v>
      </c>
      <c r="F15" s="127" t="s">
        <v>6721</v>
      </c>
    </row>
    <row r="16" spans="2:6" ht="16" customHeight="1" x14ac:dyDescent="0.2">
      <c r="B16" s="137" t="s">
        <v>6723</v>
      </c>
      <c r="C16" s="137"/>
      <c r="D16" s="137"/>
      <c r="E16" s="137"/>
      <c r="F16" s="137"/>
    </row>
    <row r="17" spans="2:6" x14ac:dyDescent="0.2">
      <c r="B17" s="135"/>
      <c r="C17" s="135"/>
      <c r="D17" s="135"/>
      <c r="E17" s="135"/>
      <c r="F17" s="135"/>
    </row>
    <row r="18" spans="2:6" x14ac:dyDescent="0.2">
      <c r="B18" s="135"/>
      <c r="C18" s="135"/>
      <c r="D18" s="135"/>
      <c r="E18" s="135"/>
      <c r="F18" s="135"/>
    </row>
    <row r="19" spans="2:6" x14ac:dyDescent="0.2">
      <c r="B19" s="135"/>
      <c r="C19" s="135"/>
      <c r="D19" s="135"/>
      <c r="E19" s="135"/>
      <c r="F19" s="135"/>
    </row>
    <row r="20" spans="2:6" x14ac:dyDescent="0.2">
      <c r="B20" s="135"/>
      <c r="C20" s="135"/>
      <c r="D20" s="135"/>
      <c r="E20" s="135"/>
      <c r="F20" s="135"/>
    </row>
    <row r="21" spans="2:6" x14ac:dyDescent="0.2">
      <c r="B21" s="135"/>
      <c r="C21" s="135"/>
      <c r="D21" s="135"/>
      <c r="E21" s="135"/>
      <c r="F21" s="135"/>
    </row>
  </sheetData>
  <mergeCells count="1">
    <mergeCell ref="B16:F2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7A46C-58B4-F94C-BEBA-0BBCE71FEF29}">
  <dimension ref="B2:G21"/>
  <sheetViews>
    <sheetView showGridLines="0" workbookViewId="0">
      <selection activeCell="R23" sqref="R23"/>
    </sheetView>
  </sheetViews>
  <sheetFormatPr baseColWidth="10" defaultRowHeight="16" x14ac:dyDescent="0.2"/>
  <cols>
    <col min="3" max="3" width="16.6640625" customWidth="1"/>
    <col min="4" max="4" width="13.1640625" customWidth="1"/>
  </cols>
  <sheetData>
    <row r="2" spans="2:7" x14ac:dyDescent="0.2">
      <c r="B2" s="51" t="s">
        <v>8535</v>
      </c>
    </row>
    <row r="3" spans="2:7" x14ac:dyDescent="0.2">
      <c r="B3" s="51" t="s">
        <v>1894</v>
      </c>
      <c r="C3" s="51" t="s">
        <v>1895</v>
      </c>
      <c r="D3" s="51" t="s">
        <v>1899</v>
      </c>
      <c r="E3" s="51" t="s">
        <v>1896</v>
      </c>
      <c r="F3" s="51" t="s">
        <v>1897</v>
      </c>
      <c r="G3" s="51" t="s">
        <v>1898</v>
      </c>
    </row>
    <row r="4" spans="2:7" x14ac:dyDescent="0.2">
      <c r="B4" s="59">
        <v>1</v>
      </c>
      <c r="C4" s="59" t="s">
        <v>1900</v>
      </c>
      <c r="D4" s="59" t="s">
        <v>1901</v>
      </c>
      <c r="E4" s="59">
        <v>2</v>
      </c>
      <c r="F4" s="59">
        <v>54127754</v>
      </c>
      <c r="G4" s="79">
        <v>3.7037657517799999E-8</v>
      </c>
    </row>
    <row r="5" spans="2:7" x14ac:dyDescent="0.2">
      <c r="B5" s="59">
        <v>2</v>
      </c>
      <c r="C5" s="59" t="s">
        <v>1902</v>
      </c>
      <c r="D5" s="59" t="s">
        <v>1903</v>
      </c>
      <c r="E5" s="59">
        <v>3</v>
      </c>
      <c r="F5" s="59">
        <v>48718388</v>
      </c>
      <c r="G5" s="79">
        <v>4.6864625372600001E-15</v>
      </c>
    </row>
    <row r="6" spans="2:7" x14ac:dyDescent="0.2">
      <c r="B6" s="59">
        <v>2</v>
      </c>
      <c r="C6" s="59" t="s">
        <v>1904</v>
      </c>
      <c r="D6" s="59" t="s">
        <v>1905</v>
      </c>
      <c r="E6" s="59">
        <v>3</v>
      </c>
      <c r="F6" s="59">
        <v>48724811</v>
      </c>
      <c r="G6" s="79">
        <v>1.3043406489199999E-8</v>
      </c>
    </row>
    <row r="7" spans="2:7" x14ac:dyDescent="0.2">
      <c r="B7" s="59">
        <v>2</v>
      </c>
      <c r="C7" s="59" t="s">
        <v>1906</v>
      </c>
      <c r="D7" s="59" t="s">
        <v>1907</v>
      </c>
      <c r="E7" s="59">
        <v>3</v>
      </c>
      <c r="F7" s="59">
        <v>48938762</v>
      </c>
      <c r="G7" s="79">
        <v>2.4181522245700001E-10</v>
      </c>
    </row>
    <row r="8" spans="2:7" x14ac:dyDescent="0.2">
      <c r="B8" s="59">
        <v>2</v>
      </c>
      <c r="C8" s="59" t="s">
        <v>1908</v>
      </c>
      <c r="D8" s="59" t="s">
        <v>1909</v>
      </c>
      <c r="E8" s="59">
        <v>3</v>
      </c>
      <c r="F8" s="59">
        <v>48940875</v>
      </c>
      <c r="G8" s="79">
        <v>1.1827438801200001E-8</v>
      </c>
    </row>
    <row r="9" spans="2:7" x14ac:dyDescent="0.2">
      <c r="B9" s="59">
        <v>2</v>
      </c>
      <c r="C9" s="59" t="s">
        <v>1910</v>
      </c>
      <c r="D9" s="59" t="s">
        <v>1911</v>
      </c>
      <c r="E9" s="59">
        <v>3</v>
      </c>
      <c r="F9" s="59">
        <v>49113729</v>
      </c>
      <c r="G9" s="79">
        <v>7.4487115515199998E-14</v>
      </c>
    </row>
    <row r="10" spans="2:7" x14ac:dyDescent="0.2">
      <c r="B10" s="59">
        <v>2</v>
      </c>
      <c r="C10" s="59" t="s">
        <v>1912</v>
      </c>
      <c r="D10" s="59" t="s">
        <v>1913</v>
      </c>
      <c r="E10" s="59">
        <v>3</v>
      </c>
      <c r="F10" s="59">
        <v>49200137</v>
      </c>
      <c r="G10" s="79">
        <v>1.4904101760900001E-8</v>
      </c>
    </row>
    <row r="11" spans="2:7" x14ac:dyDescent="0.2">
      <c r="B11" s="59">
        <v>2</v>
      </c>
      <c r="C11" s="59" t="s">
        <v>1914</v>
      </c>
      <c r="D11" s="59" t="s">
        <v>1915</v>
      </c>
      <c r="E11" s="59">
        <v>3</v>
      </c>
      <c r="F11" s="59">
        <v>50189531</v>
      </c>
      <c r="G11" s="79">
        <v>1.28403612181E-12</v>
      </c>
    </row>
    <row r="12" spans="2:7" x14ac:dyDescent="0.2">
      <c r="B12" s="59">
        <v>3</v>
      </c>
      <c r="C12" s="59" t="s">
        <v>1916</v>
      </c>
      <c r="D12" s="59" t="s">
        <v>1917</v>
      </c>
      <c r="E12" s="59">
        <v>3</v>
      </c>
      <c r="F12" s="59">
        <v>62560804</v>
      </c>
      <c r="G12" s="79">
        <v>3.6075471076699999E-9</v>
      </c>
    </row>
    <row r="13" spans="2:7" x14ac:dyDescent="0.2">
      <c r="B13" s="59">
        <v>4</v>
      </c>
      <c r="C13" s="59" t="s">
        <v>1918</v>
      </c>
      <c r="D13" s="59" t="s">
        <v>1919</v>
      </c>
      <c r="E13" s="59">
        <v>4</v>
      </c>
      <c r="F13" s="59">
        <v>109933872</v>
      </c>
      <c r="G13" s="79">
        <v>4.4347786901400001E-8</v>
      </c>
    </row>
    <row r="14" spans="2:7" x14ac:dyDescent="0.2">
      <c r="B14" s="59">
        <v>5</v>
      </c>
      <c r="C14" s="59" t="s">
        <v>1920</v>
      </c>
      <c r="D14" s="59" t="s">
        <v>1921</v>
      </c>
      <c r="E14" s="59">
        <v>5</v>
      </c>
      <c r="F14" s="59">
        <v>106513762</v>
      </c>
      <c r="G14" s="79">
        <v>1.9198800547700002E-8</v>
      </c>
    </row>
    <row r="15" spans="2:7" x14ac:dyDescent="0.2">
      <c r="B15" s="59">
        <v>6</v>
      </c>
      <c r="C15" s="59" t="s">
        <v>1922</v>
      </c>
      <c r="D15" s="59" t="s">
        <v>1923</v>
      </c>
      <c r="E15" s="59">
        <v>7</v>
      </c>
      <c r="F15" s="59">
        <v>93910024</v>
      </c>
      <c r="G15" s="79">
        <v>2.1856536840300001E-8</v>
      </c>
    </row>
    <row r="16" spans="2:7" x14ac:dyDescent="0.2">
      <c r="B16" s="59">
        <v>7</v>
      </c>
      <c r="C16" s="59" t="s">
        <v>1924</v>
      </c>
      <c r="D16" s="59" t="s">
        <v>1925</v>
      </c>
      <c r="E16" s="59">
        <v>8</v>
      </c>
      <c r="F16" s="59">
        <v>143316970</v>
      </c>
      <c r="G16" s="79">
        <v>7.0759959739699996E-9</v>
      </c>
    </row>
    <row r="17" spans="2:7" x14ac:dyDescent="0.2">
      <c r="B17" s="59">
        <v>8</v>
      </c>
      <c r="C17" s="59" t="s">
        <v>1926</v>
      </c>
      <c r="D17" s="59" t="s">
        <v>1927</v>
      </c>
      <c r="E17" s="59">
        <v>10</v>
      </c>
      <c r="F17" s="59">
        <v>75864372</v>
      </c>
      <c r="G17" s="79">
        <v>6.4573637679400003E-9</v>
      </c>
    </row>
    <row r="18" spans="2:7" x14ac:dyDescent="0.2">
      <c r="B18" s="59">
        <v>9</v>
      </c>
      <c r="C18" s="59" t="s">
        <v>1928</v>
      </c>
      <c r="D18" s="59" t="s">
        <v>1929</v>
      </c>
      <c r="E18" s="59">
        <v>11</v>
      </c>
      <c r="F18" s="59">
        <v>58767127</v>
      </c>
      <c r="G18" s="79">
        <v>5.56480007334E-9</v>
      </c>
    </row>
    <row r="19" spans="2:7" x14ac:dyDescent="0.2">
      <c r="B19" s="59">
        <v>10</v>
      </c>
      <c r="C19" s="59" t="s">
        <v>1930</v>
      </c>
      <c r="D19" s="59" t="s">
        <v>1931</v>
      </c>
      <c r="E19" s="59">
        <v>11</v>
      </c>
      <c r="F19" s="59">
        <v>115096956</v>
      </c>
      <c r="G19" s="79">
        <v>6.1097384675700002E-9</v>
      </c>
    </row>
    <row r="20" spans="2:7" x14ac:dyDescent="0.2">
      <c r="B20" s="59">
        <v>10</v>
      </c>
      <c r="C20" s="59" t="s">
        <v>1932</v>
      </c>
      <c r="D20" s="59" t="s">
        <v>1933</v>
      </c>
      <c r="E20" s="59">
        <v>11</v>
      </c>
      <c r="F20" s="59">
        <v>115134635</v>
      </c>
      <c r="G20" s="79">
        <v>2.2671971331E-9</v>
      </c>
    </row>
    <row r="21" spans="2:7" x14ac:dyDescent="0.2">
      <c r="B21" s="59">
        <v>11</v>
      </c>
      <c r="C21" s="59" t="s">
        <v>1934</v>
      </c>
      <c r="D21" s="59" t="s">
        <v>1935</v>
      </c>
      <c r="E21" s="59">
        <v>12</v>
      </c>
      <c r="F21" s="59">
        <v>49887733</v>
      </c>
      <c r="G21" s="79">
        <v>4.6279506957500003E-8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B76D7-6450-0A4E-BF98-8335E6035AC8}">
  <dimension ref="B2:H665"/>
  <sheetViews>
    <sheetView showGridLines="0" workbookViewId="0">
      <selection activeCell="O24" sqref="O24"/>
    </sheetView>
  </sheetViews>
  <sheetFormatPr baseColWidth="10" defaultRowHeight="16" x14ac:dyDescent="0.2"/>
  <cols>
    <col min="3" max="3" width="17.33203125" customWidth="1"/>
    <col min="4" max="4" width="13.1640625" customWidth="1"/>
  </cols>
  <sheetData>
    <row r="2" spans="2:8" x14ac:dyDescent="0.2">
      <c r="B2" s="51" t="s">
        <v>8536</v>
      </c>
    </row>
    <row r="3" spans="2:8" x14ac:dyDescent="0.2">
      <c r="B3" s="51" t="s">
        <v>1894</v>
      </c>
      <c r="C3" s="51" t="s">
        <v>1895</v>
      </c>
      <c r="D3" s="51" t="s">
        <v>1899</v>
      </c>
      <c r="E3" s="51" t="s">
        <v>1896</v>
      </c>
      <c r="F3" s="51" t="s">
        <v>1897</v>
      </c>
      <c r="G3" s="51" t="s">
        <v>1898</v>
      </c>
    </row>
    <row r="4" spans="2:8" x14ac:dyDescent="0.2">
      <c r="B4" s="59">
        <v>1</v>
      </c>
      <c r="C4" s="59" t="s">
        <v>6728</v>
      </c>
      <c r="D4" s="59" t="s">
        <v>6729</v>
      </c>
      <c r="E4" s="59">
        <v>1</v>
      </c>
      <c r="F4" s="59">
        <v>30437268</v>
      </c>
      <c r="G4" s="79">
        <v>1.0723981864600001E-10</v>
      </c>
      <c r="H4" s="59"/>
    </row>
    <row r="5" spans="2:8" x14ac:dyDescent="0.2">
      <c r="B5" s="59">
        <v>2</v>
      </c>
      <c r="C5" s="59" t="s">
        <v>6730</v>
      </c>
      <c r="D5" s="59" t="s">
        <v>6731</v>
      </c>
      <c r="E5" s="59">
        <v>1</v>
      </c>
      <c r="F5" s="59">
        <v>41841503</v>
      </c>
      <c r="G5" s="79">
        <v>9.3802082348300002E-9</v>
      </c>
      <c r="H5" s="59"/>
    </row>
    <row r="6" spans="2:8" x14ac:dyDescent="0.2">
      <c r="B6" s="59">
        <v>3</v>
      </c>
      <c r="C6" s="59" t="s">
        <v>6732</v>
      </c>
      <c r="D6" s="59" t="s">
        <v>6733</v>
      </c>
      <c r="E6" s="59">
        <v>1</v>
      </c>
      <c r="F6" s="59">
        <v>44100084</v>
      </c>
      <c r="G6" s="79">
        <v>1.29397429012E-16</v>
      </c>
      <c r="H6" s="59"/>
    </row>
    <row r="7" spans="2:8" x14ac:dyDescent="0.2">
      <c r="B7" s="59">
        <v>3</v>
      </c>
      <c r="C7" s="59" t="s">
        <v>6734</v>
      </c>
      <c r="D7" s="59" t="s">
        <v>6735</v>
      </c>
      <c r="E7" s="59">
        <v>1</v>
      </c>
      <c r="F7" s="59">
        <v>44105789</v>
      </c>
      <c r="G7" s="79">
        <v>3.9351112015300002E-10</v>
      </c>
      <c r="H7" s="59"/>
    </row>
    <row r="8" spans="2:8" x14ac:dyDescent="0.2">
      <c r="B8" s="59">
        <v>3</v>
      </c>
      <c r="C8" s="59" t="s">
        <v>6736</v>
      </c>
      <c r="D8" s="59" t="s">
        <v>6737</v>
      </c>
      <c r="E8" s="59">
        <v>1</v>
      </c>
      <c r="F8" s="59">
        <v>44296439</v>
      </c>
      <c r="G8" s="79">
        <v>3.8194966390799999E-8</v>
      </c>
      <c r="H8" s="59"/>
    </row>
    <row r="9" spans="2:8" x14ac:dyDescent="0.2">
      <c r="B9" s="59">
        <v>3</v>
      </c>
      <c r="C9" s="59" t="s">
        <v>6738</v>
      </c>
      <c r="D9" s="59" t="s">
        <v>6739</v>
      </c>
      <c r="E9" s="59">
        <v>1</v>
      </c>
      <c r="F9" s="59">
        <v>44369444</v>
      </c>
      <c r="G9" s="79">
        <v>7.8215219336800006E-9</v>
      </c>
      <c r="H9" s="59"/>
    </row>
    <row r="10" spans="2:8" x14ac:dyDescent="0.2">
      <c r="B10" s="59">
        <v>4</v>
      </c>
      <c r="C10" s="59" t="s">
        <v>6740</v>
      </c>
      <c r="D10" s="59" t="s">
        <v>6741</v>
      </c>
      <c r="E10" s="59">
        <v>1</v>
      </c>
      <c r="F10" s="59">
        <v>50113591</v>
      </c>
      <c r="G10" s="79">
        <v>1.50936145523E-8</v>
      </c>
      <c r="H10" s="59"/>
    </row>
    <row r="11" spans="2:8" x14ac:dyDescent="0.2">
      <c r="B11" s="59">
        <v>5</v>
      </c>
      <c r="C11" s="59" t="s">
        <v>6742</v>
      </c>
      <c r="D11" s="59" t="s">
        <v>6743</v>
      </c>
      <c r="E11" s="59">
        <v>1</v>
      </c>
      <c r="F11" s="59">
        <v>53712727</v>
      </c>
      <c r="G11" s="79">
        <v>3.7296061956600002E-8</v>
      </c>
      <c r="H11" s="59"/>
    </row>
    <row r="12" spans="2:8" x14ac:dyDescent="0.2">
      <c r="B12" s="59">
        <v>6</v>
      </c>
      <c r="C12" s="59" t="s">
        <v>6744</v>
      </c>
      <c r="D12" s="59" t="s">
        <v>6745</v>
      </c>
      <c r="E12" s="59">
        <v>1</v>
      </c>
      <c r="F12" s="59">
        <v>61044050</v>
      </c>
      <c r="G12" s="79">
        <v>3.34077586524E-9</v>
      </c>
      <c r="H12" s="59"/>
    </row>
    <row r="13" spans="2:8" x14ac:dyDescent="0.2">
      <c r="B13" s="59">
        <v>6</v>
      </c>
      <c r="C13" s="59" t="s">
        <v>6746</v>
      </c>
      <c r="D13" s="59" t="s">
        <v>6747</v>
      </c>
      <c r="E13" s="59">
        <v>1</v>
      </c>
      <c r="F13" s="59">
        <v>61077199</v>
      </c>
      <c r="G13" s="79">
        <v>2.9719645712599997E-11</v>
      </c>
      <c r="H13" s="59"/>
    </row>
    <row r="14" spans="2:8" x14ac:dyDescent="0.2">
      <c r="B14" s="59">
        <v>7</v>
      </c>
      <c r="C14" s="59" t="s">
        <v>6748</v>
      </c>
      <c r="D14" s="59" t="s">
        <v>6749</v>
      </c>
      <c r="E14" s="59">
        <v>1</v>
      </c>
      <c r="F14" s="59">
        <v>73293332</v>
      </c>
      <c r="G14" s="79">
        <v>3.1805415920399997E-11</v>
      </c>
      <c r="H14" s="59"/>
    </row>
    <row r="15" spans="2:8" x14ac:dyDescent="0.2">
      <c r="B15" s="59">
        <v>7</v>
      </c>
      <c r="C15" s="59" t="s">
        <v>6750</v>
      </c>
      <c r="D15" s="59" t="s">
        <v>6751</v>
      </c>
      <c r="E15" s="59">
        <v>1</v>
      </c>
      <c r="F15" s="59">
        <v>73643834</v>
      </c>
      <c r="G15" s="79">
        <v>3.6726976996300001E-13</v>
      </c>
      <c r="H15" s="59"/>
    </row>
    <row r="16" spans="2:8" x14ac:dyDescent="0.2">
      <c r="B16" s="59">
        <v>7</v>
      </c>
      <c r="C16" s="59" t="s">
        <v>6752</v>
      </c>
      <c r="D16" s="59" t="s">
        <v>6753</v>
      </c>
      <c r="E16" s="59">
        <v>1</v>
      </c>
      <c r="F16" s="59">
        <v>73816564</v>
      </c>
      <c r="G16" s="79">
        <v>1.02077174275E-17</v>
      </c>
      <c r="H16" s="59"/>
    </row>
    <row r="17" spans="2:8" x14ac:dyDescent="0.2">
      <c r="B17" s="59">
        <v>7</v>
      </c>
      <c r="C17" s="59" t="s">
        <v>6754</v>
      </c>
      <c r="D17" s="59" t="s">
        <v>6755</v>
      </c>
      <c r="E17" s="59">
        <v>1</v>
      </c>
      <c r="F17" s="59">
        <v>73851340</v>
      </c>
      <c r="G17" s="79">
        <v>1.02013012484E-10</v>
      </c>
      <c r="H17" s="59"/>
    </row>
    <row r="18" spans="2:8" x14ac:dyDescent="0.2">
      <c r="B18" s="59">
        <v>7</v>
      </c>
      <c r="C18" s="59" t="s">
        <v>6756</v>
      </c>
      <c r="D18" s="59" t="s">
        <v>6757</v>
      </c>
      <c r="E18" s="59">
        <v>1</v>
      </c>
      <c r="F18" s="59">
        <v>73888982</v>
      </c>
      <c r="G18" s="79">
        <v>3.9104947968999998E-14</v>
      </c>
      <c r="H18" s="59"/>
    </row>
    <row r="19" spans="2:8" x14ac:dyDescent="0.2">
      <c r="B19" s="59">
        <v>7</v>
      </c>
      <c r="C19" s="59" t="s">
        <v>6758</v>
      </c>
      <c r="D19" s="59" t="s">
        <v>6759</v>
      </c>
      <c r="E19" s="59">
        <v>1</v>
      </c>
      <c r="F19" s="59">
        <v>74076528</v>
      </c>
      <c r="G19" s="79">
        <v>3.0499049872700001E-9</v>
      </c>
      <c r="H19" s="59"/>
    </row>
    <row r="20" spans="2:8" x14ac:dyDescent="0.2">
      <c r="B20" s="59">
        <v>8</v>
      </c>
      <c r="C20" s="59" t="s">
        <v>6760</v>
      </c>
      <c r="D20" s="59" t="s">
        <v>6761</v>
      </c>
      <c r="E20" s="59">
        <v>1</v>
      </c>
      <c r="F20" s="59">
        <v>115618781</v>
      </c>
      <c r="G20" s="79">
        <v>2.45638937615E-8</v>
      </c>
      <c r="H20" s="59"/>
    </row>
    <row r="21" spans="2:8" x14ac:dyDescent="0.2">
      <c r="B21" s="59">
        <v>9</v>
      </c>
      <c r="C21" s="59" t="s">
        <v>6762</v>
      </c>
      <c r="D21" s="59" t="s">
        <v>6763</v>
      </c>
      <c r="E21" s="59">
        <v>1</v>
      </c>
      <c r="F21" s="59">
        <v>150022827</v>
      </c>
      <c r="G21" s="79">
        <v>3.3134654273E-10</v>
      </c>
      <c r="H21" s="59"/>
    </row>
    <row r="22" spans="2:8" x14ac:dyDescent="0.2">
      <c r="B22" s="59">
        <v>9</v>
      </c>
      <c r="C22" s="59" t="s">
        <v>6764</v>
      </c>
      <c r="D22" s="59" t="s">
        <v>6765</v>
      </c>
      <c r="E22" s="59">
        <v>1</v>
      </c>
      <c r="F22" s="59">
        <v>150130096</v>
      </c>
      <c r="G22" s="79">
        <v>9.8544173277900003E-9</v>
      </c>
      <c r="H22" s="59"/>
    </row>
    <row r="23" spans="2:8" x14ac:dyDescent="0.2">
      <c r="B23" s="59">
        <v>9</v>
      </c>
      <c r="C23" s="59" t="s">
        <v>6766</v>
      </c>
      <c r="D23" s="59" t="s">
        <v>6767</v>
      </c>
      <c r="E23" s="59">
        <v>1</v>
      </c>
      <c r="F23" s="59">
        <v>150138709</v>
      </c>
      <c r="G23" s="79">
        <v>4.9930922594600004E-12</v>
      </c>
      <c r="H23" s="59"/>
    </row>
    <row r="24" spans="2:8" x14ac:dyDescent="0.2">
      <c r="B24" s="59">
        <v>9</v>
      </c>
      <c r="C24" s="59" t="s">
        <v>6768</v>
      </c>
      <c r="D24" s="59" t="s">
        <v>6769</v>
      </c>
      <c r="E24" s="59">
        <v>1</v>
      </c>
      <c r="F24" s="59">
        <v>150454143</v>
      </c>
      <c r="G24" s="79">
        <v>1.3181830821700001E-8</v>
      </c>
      <c r="H24" s="59"/>
    </row>
    <row r="25" spans="2:8" x14ac:dyDescent="0.2">
      <c r="B25" s="59">
        <v>10</v>
      </c>
      <c r="C25" s="59" t="s">
        <v>6770</v>
      </c>
      <c r="D25" s="59" t="s">
        <v>6771</v>
      </c>
      <c r="E25" s="59">
        <v>1</v>
      </c>
      <c r="F25" s="59">
        <v>154911798</v>
      </c>
      <c r="G25" s="79">
        <v>4.7048338735499997E-8</v>
      </c>
      <c r="H25" s="59"/>
    </row>
    <row r="26" spans="2:8" x14ac:dyDescent="0.2">
      <c r="B26" s="59">
        <v>10</v>
      </c>
      <c r="C26" s="59" t="s">
        <v>6772</v>
      </c>
      <c r="D26" s="59" t="s">
        <v>6773</v>
      </c>
      <c r="E26" s="59">
        <v>1</v>
      </c>
      <c r="F26" s="59">
        <v>155001281</v>
      </c>
      <c r="G26" s="79">
        <v>3.6383240944700001E-8</v>
      </c>
      <c r="H26" s="59"/>
    </row>
    <row r="27" spans="2:8" x14ac:dyDescent="0.2">
      <c r="B27" s="59">
        <v>10</v>
      </c>
      <c r="C27" s="59" t="s">
        <v>6774</v>
      </c>
      <c r="D27" s="59" t="s">
        <v>6775</v>
      </c>
      <c r="E27" s="59">
        <v>1</v>
      </c>
      <c r="F27" s="59">
        <v>155087411</v>
      </c>
      <c r="G27" s="79">
        <v>2.43619763846E-9</v>
      </c>
      <c r="H27" s="59"/>
    </row>
    <row r="28" spans="2:8" x14ac:dyDescent="0.2">
      <c r="B28" s="59">
        <v>11</v>
      </c>
      <c r="C28" s="59" t="s">
        <v>6776</v>
      </c>
      <c r="D28" s="59" t="s">
        <v>6777</v>
      </c>
      <c r="E28" s="59">
        <v>1</v>
      </c>
      <c r="F28" s="59">
        <v>163582980</v>
      </c>
      <c r="G28" s="79">
        <v>3.6515809315500001E-9</v>
      </c>
      <c r="H28" s="59"/>
    </row>
    <row r="29" spans="2:8" x14ac:dyDescent="0.2">
      <c r="B29" s="59">
        <v>11</v>
      </c>
      <c r="C29" s="59" t="s">
        <v>6778</v>
      </c>
      <c r="D29" s="59" t="s">
        <v>6779</v>
      </c>
      <c r="E29" s="59">
        <v>1</v>
      </c>
      <c r="F29" s="59">
        <v>163764928</v>
      </c>
      <c r="G29" s="79">
        <v>1.63136842023E-13</v>
      </c>
      <c r="H29" s="59"/>
    </row>
    <row r="30" spans="2:8" x14ac:dyDescent="0.2">
      <c r="B30" s="59">
        <v>11</v>
      </c>
      <c r="C30" s="59" t="s">
        <v>6780</v>
      </c>
      <c r="D30" s="59" t="s">
        <v>6781</v>
      </c>
      <c r="E30" s="59">
        <v>1</v>
      </c>
      <c r="F30" s="59">
        <v>163790947</v>
      </c>
      <c r="G30" s="79">
        <v>8.9109757384300005E-10</v>
      </c>
      <c r="H30" s="59"/>
    </row>
    <row r="31" spans="2:8" x14ac:dyDescent="0.2">
      <c r="B31" s="59">
        <v>12</v>
      </c>
      <c r="C31" s="59" t="s">
        <v>6782</v>
      </c>
      <c r="D31" s="59" t="s">
        <v>6783</v>
      </c>
      <c r="E31" s="59">
        <v>1</v>
      </c>
      <c r="F31" s="59">
        <v>179319868</v>
      </c>
      <c r="G31" s="79">
        <v>9.7153174951600007E-9</v>
      </c>
      <c r="H31" s="59"/>
    </row>
    <row r="32" spans="2:8" x14ac:dyDescent="0.2">
      <c r="B32" s="59">
        <v>12</v>
      </c>
      <c r="C32" s="59" t="s">
        <v>6784</v>
      </c>
      <c r="D32" s="59" t="s">
        <v>6785</v>
      </c>
      <c r="E32" s="59">
        <v>1</v>
      </c>
      <c r="F32" s="59">
        <v>179320578</v>
      </c>
      <c r="G32" s="79">
        <v>1.66160602729E-8</v>
      </c>
      <c r="H32" s="59"/>
    </row>
    <row r="33" spans="2:8" x14ac:dyDescent="0.2">
      <c r="B33" s="59">
        <v>13</v>
      </c>
      <c r="C33" s="59" t="s">
        <v>6786</v>
      </c>
      <c r="D33" s="59" t="s">
        <v>6787</v>
      </c>
      <c r="E33" s="59">
        <v>1</v>
      </c>
      <c r="F33" s="59">
        <v>191090626</v>
      </c>
      <c r="G33" s="79">
        <v>2.9841965198799998E-8</v>
      </c>
      <c r="H33" s="59"/>
    </row>
    <row r="34" spans="2:8" x14ac:dyDescent="0.2">
      <c r="B34" s="59">
        <v>14</v>
      </c>
      <c r="C34" s="59" t="s">
        <v>6788</v>
      </c>
      <c r="D34" s="59" t="s">
        <v>6789</v>
      </c>
      <c r="E34" s="59">
        <v>1</v>
      </c>
      <c r="F34" s="59">
        <v>196018808</v>
      </c>
      <c r="G34" s="79">
        <v>2.45838963432E-9</v>
      </c>
      <c r="H34" s="59"/>
    </row>
    <row r="35" spans="2:8" x14ac:dyDescent="0.2">
      <c r="B35" s="59">
        <v>15</v>
      </c>
      <c r="C35" s="59" t="s">
        <v>6790</v>
      </c>
      <c r="D35" s="59" t="s">
        <v>6791</v>
      </c>
      <c r="E35" s="59">
        <v>1</v>
      </c>
      <c r="F35" s="59">
        <v>200963825</v>
      </c>
      <c r="G35" s="79">
        <v>3.8783421721199998E-8</v>
      </c>
      <c r="H35" s="59"/>
    </row>
    <row r="36" spans="2:8" x14ac:dyDescent="0.2">
      <c r="B36" s="59">
        <v>16</v>
      </c>
      <c r="C36" s="59" t="s">
        <v>6792</v>
      </c>
      <c r="D36" s="59" t="s">
        <v>6793</v>
      </c>
      <c r="E36" s="59">
        <v>1</v>
      </c>
      <c r="F36" s="59">
        <v>214423797</v>
      </c>
      <c r="G36" s="79">
        <v>2.17208524595E-8</v>
      </c>
      <c r="H36" s="59"/>
    </row>
    <row r="37" spans="2:8" x14ac:dyDescent="0.2">
      <c r="B37" s="59">
        <v>17</v>
      </c>
      <c r="C37" s="59" t="s">
        <v>6794</v>
      </c>
      <c r="D37" s="59" t="s">
        <v>6795</v>
      </c>
      <c r="E37" s="59">
        <v>1</v>
      </c>
      <c r="F37" s="59">
        <v>239296644</v>
      </c>
      <c r="G37" s="79">
        <v>4.8378516209400002E-9</v>
      </c>
      <c r="H37" s="59"/>
    </row>
    <row r="38" spans="2:8" x14ac:dyDescent="0.2">
      <c r="B38" s="59">
        <v>18</v>
      </c>
      <c r="C38" s="59" t="s">
        <v>6796</v>
      </c>
      <c r="D38" s="59" t="s">
        <v>6797</v>
      </c>
      <c r="E38" s="59">
        <v>1</v>
      </c>
      <c r="F38" s="59">
        <v>243428152</v>
      </c>
      <c r="G38" s="79">
        <v>3.9362097301300002E-8</v>
      </c>
      <c r="H38" s="59"/>
    </row>
    <row r="39" spans="2:8" x14ac:dyDescent="0.2">
      <c r="B39" s="59">
        <v>19</v>
      </c>
      <c r="C39" s="59" t="s">
        <v>6798</v>
      </c>
      <c r="D39" s="59" t="s">
        <v>6799</v>
      </c>
      <c r="E39" s="59">
        <v>2</v>
      </c>
      <c r="F39" s="59">
        <v>2334877</v>
      </c>
      <c r="G39" s="79">
        <v>4.71424303233E-9</v>
      </c>
      <c r="H39" s="59"/>
    </row>
    <row r="40" spans="2:8" x14ac:dyDescent="0.2">
      <c r="B40" s="59">
        <v>20</v>
      </c>
      <c r="C40" s="59" t="s">
        <v>6800</v>
      </c>
      <c r="D40" s="59" t="s">
        <v>6801</v>
      </c>
      <c r="E40" s="59">
        <v>2</v>
      </c>
      <c r="F40" s="59">
        <v>22546852</v>
      </c>
      <c r="G40" s="79">
        <v>4.4093788256E-9</v>
      </c>
      <c r="H40" s="59"/>
    </row>
    <row r="41" spans="2:8" x14ac:dyDescent="0.2">
      <c r="B41" s="59">
        <v>20</v>
      </c>
      <c r="C41" s="59" t="s">
        <v>6802</v>
      </c>
      <c r="D41" s="59" t="s">
        <v>6803</v>
      </c>
      <c r="E41" s="59">
        <v>2</v>
      </c>
      <c r="F41" s="59">
        <v>22611482</v>
      </c>
      <c r="G41" s="79">
        <v>2.4668908312000001E-9</v>
      </c>
      <c r="H41" s="59"/>
    </row>
    <row r="42" spans="2:8" x14ac:dyDescent="0.2">
      <c r="B42" s="59">
        <v>20</v>
      </c>
      <c r="C42" s="59" t="s">
        <v>6804</v>
      </c>
      <c r="D42" s="59" t="s">
        <v>6805</v>
      </c>
      <c r="E42" s="59">
        <v>2</v>
      </c>
      <c r="F42" s="59">
        <v>22623392</v>
      </c>
      <c r="G42" s="79">
        <v>2.6871963395700001E-10</v>
      </c>
      <c r="H42" s="59"/>
    </row>
    <row r="43" spans="2:8" x14ac:dyDescent="0.2">
      <c r="B43" s="59">
        <v>21</v>
      </c>
      <c r="C43" s="59" t="s">
        <v>6806</v>
      </c>
      <c r="D43" s="59" t="s">
        <v>6807</v>
      </c>
      <c r="E43" s="59">
        <v>2</v>
      </c>
      <c r="F43" s="59">
        <v>27939071</v>
      </c>
      <c r="G43" s="79">
        <v>1.0391774892800001E-8</v>
      </c>
      <c r="H43" s="59"/>
    </row>
    <row r="44" spans="2:8" x14ac:dyDescent="0.2">
      <c r="B44" s="59">
        <v>21</v>
      </c>
      <c r="C44" s="59" t="s">
        <v>6808</v>
      </c>
      <c r="D44" s="59" t="s">
        <v>6809</v>
      </c>
      <c r="E44" s="59">
        <v>2</v>
      </c>
      <c r="F44" s="59">
        <v>28033538</v>
      </c>
      <c r="G44" s="79">
        <v>7.0124741860399997E-10</v>
      </c>
      <c r="H44" s="59"/>
    </row>
    <row r="45" spans="2:8" x14ac:dyDescent="0.2">
      <c r="B45" s="59">
        <v>21</v>
      </c>
      <c r="C45" s="59" t="s">
        <v>6810</v>
      </c>
      <c r="D45" s="59" t="s">
        <v>6811</v>
      </c>
      <c r="E45" s="59">
        <v>2</v>
      </c>
      <c r="F45" s="59">
        <v>28182006</v>
      </c>
      <c r="G45" s="79">
        <v>3.2614159331699999E-8</v>
      </c>
      <c r="H45" s="59"/>
    </row>
    <row r="46" spans="2:8" x14ac:dyDescent="0.2">
      <c r="B46" s="59">
        <v>21</v>
      </c>
      <c r="C46" s="59" t="s">
        <v>6812</v>
      </c>
      <c r="D46" s="59" t="s">
        <v>6813</v>
      </c>
      <c r="E46" s="59">
        <v>2</v>
      </c>
      <c r="F46" s="59">
        <v>28290347</v>
      </c>
      <c r="G46" s="79">
        <v>8.1054352684300003E-9</v>
      </c>
      <c r="H46" s="59"/>
    </row>
    <row r="47" spans="2:8" x14ac:dyDescent="0.2">
      <c r="B47" s="59">
        <v>22</v>
      </c>
      <c r="C47" s="59" t="s">
        <v>6814</v>
      </c>
      <c r="D47" s="59" t="s">
        <v>6815</v>
      </c>
      <c r="E47" s="59">
        <v>2</v>
      </c>
      <c r="F47" s="59">
        <v>37388656</v>
      </c>
      <c r="G47" s="79">
        <v>1.72419758871E-8</v>
      </c>
      <c r="H47" s="59"/>
    </row>
    <row r="48" spans="2:8" x14ac:dyDescent="0.2">
      <c r="B48" s="59">
        <v>23</v>
      </c>
      <c r="C48" s="59" t="s">
        <v>6816</v>
      </c>
      <c r="D48" s="59" t="s">
        <v>6817</v>
      </c>
      <c r="E48" s="59">
        <v>2</v>
      </c>
      <c r="F48" s="59">
        <v>48554955</v>
      </c>
      <c r="G48" s="79">
        <v>8.4399313479300006E-9</v>
      </c>
      <c r="H48" s="59"/>
    </row>
    <row r="49" spans="2:8" x14ac:dyDescent="0.2">
      <c r="B49" s="59">
        <v>24</v>
      </c>
      <c r="C49" s="59" t="s">
        <v>6818</v>
      </c>
      <c r="D49" s="59" t="s">
        <v>6819</v>
      </c>
      <c r="E49" s="59">
        <v>2</v>
      </c>
      <c r="F49" s="59">
        <v>57950104</v>
      </c>
      <c r="G49" s="79">
        <v>3.66431149546E-9</v>
      </c>
      <c r="H49" s="59"/>
    </row>
    <row r="50" spans="2:8" x14ac:dyDescent="0.2">
      <c r="B50" s="59">
        <v>24</v>
      </c>
      <c r="C50" s="59" t="s">
        <v>6820</v>
      </c>
      <c r="D50" s="59" t="s">
        <v>6821</v>
      </c>
      <c r="E50" s="59">
        <v>2</v>
      </c>
      <c r="F50" s="59">
        <v>57988194</v>
      </c>
      <c r="G50" s="79">
        <v>3.2089561670199999E-16</v>
      </c>
      <c r="H50" s="59"/>
    </row>
    <row r="51" spans="2:8" x14ac:dyDescent="0.2">
      <c r="B51" s="59">
        <v>24</v>
      </c>
      <c r="C51" s="59" t="s">
        <v>6822</v>
      </c>
      <c r="D51" s="59" t="s">
        <v>6823</v>
      </c>
      <c r="E51" s="59">
        <v>2</v>
      </c>
      <c r="F51" s="59">
        <v>57995348</v>
      </c>
      <c r="G51" s="79">
        <v>1.01667483887E-8</v>
      </c>
      <c r="H51" s="59"/>
    </row>
    <row r="52" spans="2:8" x14ac:dyDescent="0.2">
      <c r="B52" s="59">
        <v>24</v>
      </c>
      <c r="C52" s="59" t="s">
        <v>6824</v>
      </c>
      <c r="D52" s="59" t="s">
        <v>6825</v>
      </c>
      <c r="E52" s="59">
        <v>2</v>
      </c>
      <c r="F52" s="59">
        <v>58070482</v>
      </c>
      <c r="G52" s="79">
        <v>4.2750665745699999E-8</v>
      </c>
      <c r="H52" s="59"/>
    </row>
    <row r="53" spans="2:8" x14ac:dyDescent="0.2">
      <c r="B53" s="59">
        <v>24</v>
      </c>
      <c r="C53" s="59" t="s">
        <v>6826</v>
      </c>
      <c r="D53" s="59" t="s">
        <v>6827</v>
      </c>
      <c r="E53" s="59">
        <v>2</v>
      </c>
      <c r="F53" s="59">
        <v>58082205</v>
      </c>
      <c r="G53" s="79">
        <v>1.07494084538E-13</v>
      </c>
      <c r="H53" s="59"/>
    </row>
    <row r="54" spans="2:8" x14ac:dyDescent="0.2">
      <c r="B54" s="59">
        <v>24</v>
      </c>
      <c r="C54" s="59" t="s">
        <v>6828</v>
      </c>
      <c r="D54" s="59" t="s">
        <v>6829</v>
      </c>
      <c r="E54" s="59">
        <v>2</v>
      </c>
      <c r="F54" s="59">
        <v>58155829</v>
      </c>
      <c r="G54" s="79">
        <v>2.2029398202299999E-13</v>
      </c>
      <c r="H54" s="59"/>
    </row>
    <row r="55" spans="2:8" x14ac:dyDescent="0.2">
      <c r="B55" s="59">
        <v>24</v>
      </c>
      <c r="C55" s="59" t="s">
        <v>6830</v>
      </c>
      <c r="D55" s="59" t="s">
        <v>6831</v>
      </c>
      <c r="E55" s="59">
        <v>2</v>
      </c>
      <c r="F55" s="59">
        <v>58211509</v>
      </c>
      <c r="G55" s="79">
        <v>8.65394090923E-16</v>
      </c>
      <c r="H55" s="59"/>
    </row>
    <row r="56" spans="2:8" x14ac:dyDescent="0.2">
      <c r="B56" s="59">
        <v>24</v>
      </c>
      <c r="C56" s="59" t="s">
        <v>6832</v>
      </c>
      <c r="D56" s="59" t="s">
        <v>6833</v>
      </c>
      <c r="E56" s="59">
        <v>2</v>
      </c>
      <c r="F56" s="59">
        <v>58383820</v>
      </c>
      <c r="G56" s="79">
        <v>5.8613549873399997E-17</v>
      </c>
      <c r="H56" s="59"/>
    </row>
    <row r="57" spans="2:8" x14ac:dyDescent="0.2">
      <c r="B57" s="59">
        <v>24</v>
      </c>
      <c r="C57" s="59" t="s">
        <v>6834</v>
      </c>
      <c r="D57" s="59" t="s">
        <v>6835</v>
      </c>
      <c r="E57" s="59">
        <v>2</v>
      </c>
      <c r="F57" s="59">
        <v>58388696</v>
      </c>
      <c r="G57" s="79">
        <v>1.30780767435E-11</v>
      </c>
      <c r="H57" s="59"/>
    </row>
    <row r="58" spans="2:8" x14ac:dyDescent="0.2">
      <c r="B58" s="59">
        <v>24</v>
      </c>
      <c r="C58" s="59" t="s">
        <v>6836</v>
      </c>
      <c r="D58" s="59" t="s">
        <v>6837</v>
      </c>
      <c r="E58" s="59">
        <v>2</v>
      </c>
      <c r="F58" s="59">
        <v>58493260</v>
      </c>
      <c r="G58" s="79">
        <v>7.23806688285E-12</v>
      </c>
      <c r="H58" s="59"/>
    </row>
    <row r="59" spans="2:8" x14ac:dyDescent="0.2">
      <c r="B59" s="59">
        <v>25</v>
      </c>
      <c r="C59" s="59" t="s">
        <v>6838</v>
      </c>
      <c r="D59" s="59" t="s">
        <v>6839</v>
      </c>
      <c r="E59" s="59">
        <v>2</v>
      </c>
      <c r="F59" s="59">
        <v>60718347</v>
      </c>
      <c r="G59" s="79">
        <v>2.1480281883E-9</v>
      </c>
      <c r="H59" s="59"/>
    </row>
    <row r="60" spans="2:8" x14ac:dyDescent="0.2">
      <c r="B60" s="59">
        <v>26</v>
      </c>
      <c r="C60" s="59" t="s">
        <v>6840</v>
      </c>
      <c r="D60" s="59" t="s">
        <v>6841</v>
      </c>
      <c r="E60" s="59">
        <v>2</v>
      </c>
      <c r="F60" s="59">
        <v>73553397</v>
      </c>
      <c r="G60" s="79">
        <v>5.7051900970199998E-9</v>
      </c>
      <c r="H60" s="59"/>
    </row>
    <row r="61" spans="2:8" x14ac:dyDescent="0.2">
      <c r="B61" s="59">
        <v>26</v>
      </c>
      <c r="C61" s="59" t="s">
        <v>6842</v>
      </c>
      <c r="D61" s="59" t="s">
        <v>6843</v>
      </c>
      <c r="E61" s="59">
        <v>2</v>
      </c>
      <c r="F61" s="59">
        <v>73637519</v>
      </c>
      <c r="G61" s="79">
        <v>3.4582620528000001E-11</v>
      </c>
      <c r="H61" s="59"/>
    </row>
    <row r="62" spans="2:8" x14ac:dyDescent="0.2">
      <c r="B62" s="59">
        <v>27</v>
      </c>
      <c r="C62" s="59" t="s">
        <v>6844</v>
      </c>
      <c r="D62" s="59" t="s">
        <v>6845</v>
      </c>
      <c r="E62" s="59">
        <v>2</v>
      </c>
      <c r="F62" s="59">
        <v>97428320</v>
      </c>
      <c r="G62" s="79">
        <v>7.6409828081800005E-9</v>
      </c>
      <c r="H62" s="59"/>
    </row>
    <row r="63" spans="2:8" x14ac:dyDescent="0.2">
      <c r="B63" s="59">
        <v>27</v>
      </c>
      <c r="C63" s="59" t="s">
        <v>6846</v>
      </c>
      <c r="D63" s="59" t="s">
        <v>6847</v>
      </c>
      <c r="E63" s="59">
        <v>2</v>
      </c>
      <c r="F63" s="59">
        <v>97500775</v>
      </c>
      <c r="G63" s="79">
        <v>5.9942948236499999E-13</v>
      </c>
      <c r="H63" s="59"/>
    </row>
    <row r="64" spans="2:8" x14ac:dyDescent="0.2">
      <c r="B64" s="59">
        <v>27</v>
      </c>
      <c r="C64" s="59" t="s">
        <v>6848</v>
      </c>
      <c r="D64" s="59" t="s">
        <v>6849</v>
      </c>
      <c r="E64" s="59">
        <v>2</v>
      </c>
      <c r="F64" s="59">
        <v>98534734</v>
      </c>
      <c r="G64" s="79">
        <v>1.9351055328799999E-8</v>
      </c>
      <c r="H64" s="59"/>
    </row>
    <row r="65" spans="2:8" x14ac:dyDescent="0.2">
      <c r="B65" s="59">
        <v>28</v>
      </c>
      <c r="C65" s="59" t="s">
        <v>6850</v>
      </c>
      <c r="D65" s="59" t="s">
        <v>6851</v>
      </c>
      <c r="E65" s="59">
        <v>2</v>
      </c>
      <c r="F65" s="59">
        <v>104984277</v>
      </c>
      <c r="G65" s="79">
        <v>3.64092347547E-9</v>
      </c>
      <c r="H65" s="59"/>
    </row>
    <row r="66" spans="2:8" x14ac:dyDescent="0.2">
      <c r="B66" s="59">
        <v>29</v>
      </c>
      <c r="C66" s="59" t="s">
        <v>6852</v>
      </c>
      <c r="D66" s="59" t="s">
        <v>6853</v>
      </c>
      <c r="E66" s="59">
        <v>2</v>
      </c>
      <c r="F66" s="59">
        <v>134844407</v>
      </c>
      <c r="G66" s="79">
        <v>2.7542589965300001E-9</v>
      </c>
      <c r="H66" s="59"/>
    </row>
    <row r="67" spans="2:8" x14ac:dyDescent="0.2">
      <c r="B67" s="59">
        <v>30</v>
      </c>
      <c r="C67" s="59" t="s">
        <v>6854</v>
      </c>
      <c r="D67" s="59" t="s">
        <v>6855</v>
      </c>
      <c r="E67" s="59">
        <v>2</v>
      </c>
      <c r="F67" s="59">
        <v>145137352</v>
      </c>
      <c r="G67" s="79">
        <v>2.3690569548100001E-10</v>
      </c>
      <c r="H67" s="59"/>
    </row>
    <row r="68" spans="2:8" x14ac:dyDescent="0.2">
      <c r="B68" s="59">
        <v>30</v>
      </c>
      <c r="C68" s="59" t="s">
        <v>6856</v>
      </c>
      <c r="D68" s="59" t="s">
        <v>6857</v>
      </c>
      <c r="E68" s="59">
        <v>2</v>
      </c>
      <c r="F68" s="59">
        <v>145141541</v>
      </c>
      <c r="G68" s="79">
        <v>1.7243853590799999E-11</v>
      </c>
      <c r="H68" s="59"/>
    </row>
    <row r="69" spans="2:8" x14ac:dyDescent="0.2">
      <c r="B69" s="59">
        <v>30</v>
      </c>
      <c r="C69" s="59" t="s">
        <v>6858</v>
      </c>
      <c r="D69" s="59" t="s">
        <v>6859</v>
      </c>
      <c r="E69" s="59">
        <v>2</v>
      </c>
      <c r="F69" s="59">
        <v>145183851</v>
      </c>
      <c r="G69" s="79">
        <v>7.2870686719500001E-10</v>
      </c>
      <c r="H69" s="59"/>
    </row>
    <row r="70" spans="2:8" x14ac:dyDescent="0.2">
      <c r="B70" s="59">
        <v>31</v>
      </c>
      <c r="C70" s="59" t="s">
        <v>6860</v>
      </c>
      <c r="D70" s="59" t="s">
        <v>6861</v>
      </c>
      <c r="E70" s="59">
        <v>2</v>
      </c>
      <c r="F70" s="59">
        <v>156846952</v>
      </c>
      <c r="G70" s="79">
        <v>3.9668231293699996E-9</v>
      </c>
      <c r="H70" s="59"/>
    </row>
    <row r="71" spans="2:8" x14ac:dyDescent="0.2">
      <c r="B71" s="59">
        <v>32</v>
      </c>
      <c r="C71" s="59" t="s">
        <v>6862</v>
      </c>
      <c r="D71" s="59" t="s">
        <v>6863</v>
      </c>
      <c r="E71" s="59">
        <v>2</v>
      </c>
      <c r="F71" s="59">
        <v>162836272</v>
      </c>
      <c r="G71" s="79">
        <v>2.13503533917E-8</v>
      </c>
      <c r="H71" s="59"/>
    </row>
    <row r="72" spans="2:8" x14ac:dyDescent="0.2">
      <c r="B72" s="59">
        <v>33</v>
      </c>
      <c r="C72" s="59" t="s">
        <v>6864</v>
      </c>
      <c r="D72" s="59" t="s">
        <v>6865</v>
      </c>
      <c r="E72" s="59">
        <v>2</v>
      </c>
      <c r="F72" s="59">
        <v>166152389</v>
      </c>
      <c r="G72" s="79">
        <v>1.51139207088E-9</v>
      </c>
      <c r="H72" s="59"/>
    </row>
    <row r="73" spans="2:8" x14ac:dyDescent="0.2">
      <c r="B73" s="59">
        <v>34</v>
      </c>
      <c r="C73" s="59" t="s">
        <v>6866</v>
      </c>
      <c r="D73" s="59" t="s">
        <v>6867</v>
      </c>
      <c r="E73" s="59">
        <v>2</v>
      </c>
      <c r="F73" s="59">
        <v>169391903</v>
      </c>
      <c r="G73" s="79">
        <v>3.04978217551E-8</v>
      </c>
      <c r="H73" s="59"/>
    </row>
    <row r="74" spans="2:8" x14ac:dyDescent="0.2">
      <c r="B74" s="59">
        <v>34</v>
      </c>
      <c r="C74" s="59" t="s">
        <v>6868</v>
      </c>
      <c r="D74" s="59" t="s">
        <v>6869</v>
      </c>
      <c r="E74" s="59">
        <v>2</v>
      </c>
      <c r="F74" s="59">
        <v>169406169</v>
      </c>
      <c r="G74" s="79">
        <v>2.9903478750799998E-9</v>
      </c>
      <c r="H74" s="59"/>
    </row>
    <row r="75" spans="2:8" x14ac:dyDescent="0.2">
      <c r="B75" s="59">
        <v>34</v>
      </c>
      <c r="C75" s="59" t="s">
        <v>6870</v>
      </c>
      <c r="D75" s="59" t="s">
        <v>6871</v>
      </c>
      <c r="E75" s="59">
        <v>2</v>
      </c>
      <c r="F75" s="59">
        <v>169481837</v>
      </c>
      <c r="G75" s="79">
        <v>6.2771210051599999E-12</v>
      </c>
      <c r="H75" s="59"/>
    </row>
    <row r="76" spans="2:8" x14ac:dyDescent="0.2">
      <c r="B76" s="59">
        <v>35</v>
      </c>
      <c r="C76" s="59" t="s">
        <v>6872</v>
      </c>
      <c r="D76" s="59" t="s">
        <v>6873</v>
      </c>
      <c r="E76" s="59">
        <v>2</v>
      </c>
      <c r="F76" s="59">
        <v>172957643</v>
      </c>
      <c r="G76" s="79">
        <v>8.9574410509600005E-9</v>
      </c>
      <c r="H76" s="59"/>
    </row>
    <row r="77" spans="2:8" x14ac:dyDescent="0.2">
      <c r="B77" s="59">
        <v>36</v>
      </c>
      <c r="C77" s="59" t="s">
        <v>6874</v>
      </c>
      <c r="D77" s="59" t="s">
        <v>6875</v>
      </c>
      <c r="E77" s="59">
        <v>2</v>
      </c>
      <c r="F77" s="59">
        <v>174951182</v>
      </c>
      <c r="G77" s="79">
        <v>1.0040648927200001E-8</v>
      </c>
      <c r="H77" s="59"/>
    </row>
    <row r="78" spans="2:8" x14ac:dyDescent="0.2">
      <c r="B78" s="59">
        <v>36</v>
      </c>
      <c r="C78" s="59" t="s">
        <v>6876</v>
      </c>
      <c r="D78" s="59" t="s">
        <v>6877</v>
      </c>
      <c r="E78" s="59">
        <v>2</v>
      </c>
      <c r="F78" s="59">
        <v>175079733</v>
      </c>
      <c r="G78" s="79">
        <v>2.71548373128E-9</v>
      </c>
      <c r="H78" s="59"/>
    </row>
    <row r="79" spans="2:8" x14ac:dyDescent="0.2">
      <c r="B79" s="59">
        <v>37</v>
      </c>
      <c r="C79" s="59" t="s">
        <v>6878</v>
      </c>
      <c r="D79" s="59" t="s">
        <v>6879</v>
      </c>
      <c r="E79" s="59">
        <v>2</v>
      </c>
      <c r="F79" s="59">
        <v>180835792</v>
      </c>
      <c r="G79" s="79">
        <v>2.4737800019E-8</v>
      </c>
      <c r="H79" s="59"/>
    </row>
    <row r="80" spans="2:8" x14ac:dyDescent="0.2">
      <c r="B80" s="59">
        <v>38</v>
      </c>
      <c r="C80" s="59" t="s">
        <v>6880</v>
      </c>
      <c r="D80" s="59" t="s">
        <v>6881</v>
      </c>
      <c r="E80" s="59">
        <v>2</v>
      </c>
      <c r="F80" s="59">
        <v>185414279</v>
      </c>
      <c r="G80" s="79">
        <v>7.2302523597799998E-9</v>
      </c>
      <c r="H80" s="59"/>
    </row>
    <row r="81" spans="2:8" x14ac:dyDescent="0.2">
      <c r="B81" s="59">
        <v>38</v>
      </c>
      <c r="C81" s="59" t="s">
        <v>6882</v>
      </c>
      <c r="D81" s="59" t="s">
        <v>6883</v>
      </c>
      <c r="E81" s="59">
        <v>2</v>
      </c>
      <c r="F81" s="59">
        <v>185462041</v>
      </c>
      <c r="G81" s="79">
        <v>9.2209502495900006E-11</v>
      </c>
      <c r="H81" s="59"/>
    </row>
    <row r="82" spans="2:8" x14ac:dyDescent="0.2">
      <c r="B82" s="59">
        <v>38</v>
      </c>
      <c r="C82" s="59" t="s">
        <v>6884</v>
      </c>
      <c r="D82" s="59" t="s">
        <v>6885</v>
      </c>
      <c r="E82" s="59">
        <v>2</v>
      </c>
      <c r="F82" s="59">
        <v>185533580</v>
      </c>
      <c r="G82" s="79">
        <v>6.7933862640200001E-15</v>
      </c>
      <c r="H82" s="59"/>
    </row>
    <row r="83" spans="2:8" x14ac:dyDescent="0.2">
      <c r="B83" s="59">
        <v>38</v>
      </c>
      <c r="C83" s="59" t="s">
        <v>6886</v>
      </c>
      <c r="D83" s="59" t="s">
        <v>6887</v>
      </c>
      <c r="E83" s="59">
        <v>2</v>
      </c>
      <c r="F83" s="59">
        <v>185609004</v>
      </c>
      <c r="G83" s="79">
        <v>4.8760734906999998E-8</v>
      </c>
      <c r="H83" s="59"/>
    </row>
    <row r="84" spans="2:8" x14ac:dyDescent="0.2">
      <c r="B84" s="59">
        <v>38</v>
      </c>
      <c r="C84" s="59" t="s">
        <v>6888</v>
      </c>
      <c r="D84" s="59" t="s">
        <v>6889</v>
      </c>
      <c r="E84" s="59">
        <v>2</v>
      </c>
      <c r="F84" s="59">
        <v>185626426</v>
      </c>
      <c r="G84" s="79">
        <v>3.2660142526199998E-11</v>
      </c>
      <c r="H84" s="59"/>
    </row>
    <row r="85" spans="2:8" x14ac:dyDescent="0.2">
      <c r="B85" s="59">
        <v>38</v>
      </c>
      <c r="C85" s="59" t="s">
        <v>6890</v>
      </c>
      <c r="D85" s="59" t="s">
        <v>6891</v>
      </c>
      <c r="E85" s="59">
        <v>2</v>
      </c>
      <c r="F85" s="59">
        <v>185778428</v>
      </c>
      <c r="G85" s="79">
        <v>3.0477961997699999E-16</v>
      </c>
      <c r="H85" s="59"/>
    </row>
    <row r="86" spans="2:8" x14ac:dyDescent="0.2">
      <c r="B86" s="59">
        <v>38</v>
      </c>
      <c r="C86" s="59" t="s">
        <v>6892</v>
      </c>
      <c r="D86" s="59" t="s">
        <v>6893</v>
      </c>
      <c r="E86" s="59">
        <v>2</v>
      </c>
      <c r="F86" s="59">
        <v>185783141</v>
      </c>
      <c r="G86" s="79">
        <v>4.2856271289299997E-9</v>
      </c>
      <c r="H86" s="59"/>
    </row>
    <row r="87" spans="2:8" x14ac:dyDescent="0.2">
      <c r="B87" s="59">
        <v>38</v>
      </c>
      <c r="C87" s="59" t="s">
        <v>6894</v>
      </c>
      <c r="D87" s="59" t="s">
        <v>6895</v>
      </c>
      <c r="E87" s="59">
        <v>2</v>
      </c>
      <c r="F87" s="59">
        <v>185787586</v>
      </c>
      <c r="G87" s="79">
        <v>2.79688965085E-12</v>
      </c>
      <c r="H87" s="59"/>
    </row>
    <row r="88" spans="2:8" x14ac:dyDescent="0.2">
      <c r="B88" s="59">
        <v>38</v>
      </c>
      <c r="C88" s="59" t="s">
        <v>6896</v>
      </c>
      <c r="D88" s="59" t="s">
        <v>6897</v>
      </c>
      <c r="E88" s="59">
        <v>2</v>
      </c>
      <c r="F88" s="59">
        <v>185796345</v>
      </c>
      <c r="G88" s="79">
        <v>3.21438026477E-11</v>
      </c>
      <c r="H88" s="59"/>
    </row>
    <row r="89" spans="2:8" x14ac:dyDescent="0.2">
      <c r="B89" s="59">
        <v>38</v>
      </c>
      <c r="C89" s="59" t="s">
        <v>6898</v>
      </c>
      <c r="D89" s="59" t="s">
        <v>6899</v>
      </c>
      <c r="E89" s="59">
        <v>2</v>
      </c>
      <c r="F89" s="59">
        <v>185822703</v>
      </c>
      <c r="G89" s="79">
        <v>1.0877987540900001E-8</v>
      </c>
      <c r="H89" s="59"/>
    </row>
    <row r="90" spans="2:8" x14ac:dyDescent="0.2">
      <c r="B90" s="59">
        <v>38</v>
      </c>
      <c r="C90" s="59" t="s">
        <v>6900</v>
      </c>
      <c r="D90" s="59" t="s">
        <v>6901</v>
      </c>
      <c r="E90" s="59">
        <v>2</v>
      </c>
      <c r="F90" s="59">
        <v>186032938</v>
      </c>
      <c r="G90" s="79">
        <v>8.8359784776300008E-9</v>
      </c>
      <c r="H90" s="59"/>
    </row>
    <row r="91" spans="2:8" x14ac:dyDescent="0.2">
      <c r="B91" s="59">
        <v>38</v>
      </c>
      <c r="C91" s="59" t="s">
        <v>6902</v>
      </c>
      <c r="D91" s="59" t="s">
        <v>6903</v>
      </c>
      <c r="E91" s="59">
        <v>2</v>
      </c>
      <c r="F91" s="59">
        <v>186033255</v>
      </c>
      <c r="G91" s="79">
        <v>1.4960422581900001E-10</v>
      </c>
      <c r="H91" s="59"/>
    </row>
    <row r="92" spans="2:8" x14ac:dyDescent="0.2">
      <c r="B92" s="59">
        <v>38</v>
      </c>
      <c r="C92" s="59" t="s">
        <v>6904</v>
      </c>
      <c r="D92" s="59" t="s">
        <v>6905</v>
      </c>
      <c r="E92" s="59">
        <v>2</v>
      </c>
      <c r="F92" s="59">
        <v>186050380</v>
      </c>
      <c r="G92" s="79">
        <v>7.1457699506500004E-10</v>
      </c>
      <c r="H92" s="59"/>
    </row>
    <row r="93" spans="2:8" x14ac:dyDescent="0.2">
      <c r="B93" s="59">
        <v>39</v>
      </c>
      <c r="C93" s="59" t="s">
        <v>6906</v>
      </c>
      <c r="D93" s="59" t="s">
        <v>6907</v>
      </c>
      <c r="E93" s="59">
        <v>2</v>
      </c>
      <c r="F93" s="59">
        <v>193441245</v>
      </c>
      <c r="G93" s="79">
        <v>6.6928649712400002E-10</v>
      </c>
      <c r="H93" s="59"/>
    </row>
    <row r="94" spans="2:8" x14ac:dyDescent="0.2">
      <c r="B94" s="59">
        <v>39</v>
      </c>
      <c r="C94" s="59" t="s">
        <v>6908</v>
      </c>
      <c r="D94" s="59" t="s">
        <v>6909</v>
      </c>
      <c r="E94" s="59">
        <v>2</v>
      </c>
      <c r="F94" s="59">
        <v>193603096</v>
      </c>
      <c r="G94" s="79">
        <v>2.5510208003299999E-8</v>
      </c>
      <c r="H94" s="59"/>
    </row>
    <row r="95" spans="2:8" x14ac:dyDescent="0.2">
      <c r="B95" s="59">
        <v>39</v>
      </c>
      <c r="C95" s="59" t="s">
        <v>6910</v>
      </c>
      <c r="D95" s="59" t="s">
        <v>6911</v>
      </c>
      <c r="E95" s="59">
        <v>2</v>
      </c>
      <c r="F95" s="59">
        <v>193710229</v>
      </c>
      <c r="G95" s="79">
        <v>3.7298485659400002E-8</v>
      </c>
      <c r="H95" s="59"/>
    </row>
    <row r="96" spans="2:8" x14ac:dyDescent="0.2">
      <c r="B96" s="59">
        <v>39</v>
      </c>
      <c r="C96" s="59" t="s">
        <v>6912</v>
      </c>
      <c r="D96" s="59" t="s">
        <v>6913</v>
      </c>
      <c r="E96" s="59">
        <v>2</v>
      </c>
      <c r="F96" s="59">
        <v>193741525</v>
      </c>
      <c r="G96" s="79">
        <v>2.4210726908900001E-11</v>
      </c>
      <c r="H96" s="59"/>
    </row>
    <row r="97" spans="2:8" x14ac:dyDescent="0.2">
      <c r="B97" s="59">
        <v>39</v>
      </c>
      <c r="C97" s="59" t="s">
        <v>6914</v>
      </c>
      <c r="D97" s="59" t="s">
        <v>6915</v>
      </c>
      <c r="E97" s="59">
        <v>2</v>
      </c>
      <c r="F97" s="59">
        <v>193742999</v>
      </c>
      <c r="G97" s="79">
        <v>5.1377732444000003E-12</v>
      </c>
      <c r="H97" s="59"/>
    </row>
    <row r="98" spans="2:8" x14ac:dyDescent="0.2">
      <c r="B98" s="59">
        <v>39</v>
      </c>
      <c r="C98" s="59" t="s">
        <v>6916</v>
      </c>
      <c r="D98" s="59" t="s">
        <v>6917</v>
      </c>
      <c r="E98" s="59">
        <v>2</v>
      </c>
      <c r="F98" s="59">
        <v>193848340</v>
      </c>
      <c r="G98" s="79">
        <v>3.89823202135E-11</v>
      </c>
      <c r="H98" s="59"/>
    </row>
    <row r="99" spans="2:8" x14ac:dyDescent="0.2">
      <c r="B99" s="59">
        <v>39</v>
      </c>
      <c r="C99" s="59" t="s">
        <v>6918</v>
      </c>
      <c r="D99" s="59" t="s">
        <v>6919</v>
      </c>
      <c r="E99" s="59">
        <v>2</v>
      </c>
      <c r="F99" s="59">
        <v>193954458</v>
      </c>
      <c r="G99" s="79">
        <v>4.4909766015200001E-8</v>
      </c>
      <c r="H99" s="59"/>
    </row>
    <row r="100" spans="2:8" x14ac:dyDescent="0.2">
      <c r="B100" s="59">
        <v>39</v>
      </c>
      <c r="C100" s="59" t="s">
        <v>6920</v>
      </c>
      <c r="D100" s="59" t="s">
        <v>6921</v>
      </c>
      <c r="E100" s="59">
        <v>2</v>
      </c>
      <c r="F100" s="59">
        <v>193995291</v>
      </c>
      <c r="G100" s="79">
        <v>2.9147587779899998E-9</v>
      </c>
      <c r="H100" s="59"/>
    </row>
    <row r="101" spans="2:8" x14ac:dyDescent="0.2">
      <c r="B101" s="59">
        <v>39</v>
      </c>
      <c r="C101" s="59" t="s">
        <v>6922</v>
      </c>
      <c r="D101" s="59" t="s">
        <v>6923</v>
      </c>
      <c r="E101" s="59">
        <v>2</v>
      </c>
      <c r="F101" s="59">
        <v>194296294</v>
      </c>
      <c r="G101" s="79">
        <v>4.6923554331900001E-8</v>
      </c>
      <c r="H101" s="59"/>
    </row>
    <row r="102" spans="2:8" x14ac:dyDescent="0.2">
      <c r="B102" s="59">
        <v>39</v>
      </c>
      <c r="C102" s="59" t="s">
        <v>6924</v>
      </c>
      <c r="D102" s="59" t="s">
        <v>6925</v>
      </c>
      <c r="E102" s="59">
        <v>2</v>
      </c>
      <c r="F102" s="59">
        <v>194437889</v>
      </c>
      <c r="G102" s="79">
        <v>5.2211425937200001E-9</v>
      </c>
      <c r="H102" s="59"/>
    </row>
    <row r="103" spans="2:8" x14ac:dyDescent="0.2">
      <c r="B103" s="59">
        <v>40</v>
      </c>
      <c r="C103" s="59" t="s">
        <v>6926</v>
      </c>
      <c r="D103" s="59" t="s">
        <v>6927</v>
      </c>
      <c r="E103" s="59">
        <v>2</v>
      </c>
      <c r="F103" s="59">
        <v>198310389</v>
      </c>
      <c r="G103" s="79">
        <v>2.3150755876200002E-9</v>
      </c>
      <c r="H103" s="59"/>
    </row>
    <row r="104" spans="2:8" x14ac:dyDescent="0.2">
      <c r="B104" s="59">
        <v>40</v>
      </c>
      <c r="C104" s="59" t="s">
        <v>6928</v>
      </c>
      <c r="D104" s="59" t="s">
        <v>6929</v>
      </c>
      <c r="E104" s="59">
        <v>2</v>
      </c>
      <c r="F104" s="59">
        <v>198478320</v>
      </c>
      <c r="G104" s="79">
        <v>9.2030511706899998E-16</v>
      </c>
      <c r="H104" s="59"/>
    </row>
    <row r="105" spans="2:8" x14ac:dyDescent="0.2">
      <c r="B105" s="59">
        <v>41</v>
      </c>
      <c r="C105" s="59" t="s">
        <v>6930</v>
      </c>
      <c r="D105" s="59" t="s">
        <v>6931</v>
      </c>
      <c r="E105" s="59">
        <v>2</v>
      </c>
      <c r="F105" s="59">
        <v>200054222</v>
      </c>
      <c r="G105" s="79">
        <v>1.9260507677599999E-14</v>
      </c>
      <c r="H105" s="59"/>
    </row>
    <row r="106" spans="2:8" x14ac:dyDescent="0.2">
      <c r="B106" s="59">
        <v>42</v>
      </c>
      <c r="C106" s="59" t="s">
        <v>6932</v>
      </c>
      <c r="D106" s="59" t="s">
        <v>6933</v>
      </c>
      <c r="E106" s="59">
        <v>2</v>
      </c>
      <c r="F106" s="59">
        <v>200830137</v>
      </c>
      <c r="G106" s="79">
        <v>1.1617031480599999E-16</v>
      </c>
      <c r="H106" s="59"/>
    </row>
    <row r="107" spans="2:8" x14ac:dyDescent="0.2">
      <c r="B107" s="59">
        <v>42</v>
      </c>
      <c r="C107" s="59" t="s">
        <v>6934</v>
      </c>
      <c r="D107" s="59" t="s">
        <v>6935</v>
      </c>
      <c r="E107" s="59">
        <v>2</v>
      </c>
      <c r="F107" s="59">
        <v>201076401</v>
      </c>
      <c r="G107" s="79">
        <v>3.6284536327799998E-10</v>
      </c>
      <c r="H107" s="59"/>
    </row>
    <row r="108" spans="2:8" x14ac:dyDescent="0.2">
      <c r="B108" s="59">
        <v>42</v>
      </c>
      <c r="C108" s="59" t="s">
        <v>6936</v>
      </c>
      <c r="D108" s="59" t="s">
        <v>6937</v>
      </c>
      <c r="E108" s="59">
        <v>2</v>
      </c>
      <c r="F108" s="59">
        <v>201086663</v>
      </c>
      <c r="G108" s="79">
        <v>3.19193341836E-8</v>
      </c>
      <c r="H108" s="59"/>
    </row>
    <row r="109" spans="2:8" x14ac:dyDescent="0.2">
      <c r="B109" s="59">
        <v>42</v>
      </c>
      <c r="C109" s="59" t="s">
        <v>6938</v>
      </c>
      <c r="D109" s="59" t="s">
        <v>6939</v>
      </c>
      <c r="E109" s="59">
        <v>2</v>
      </c>
      <c r="F109" s="59">
        <v>201088171</v>
      </c>
      <c r="G109" s="79">
        <v>6.19366515283E-12</v>
      </c>
      <c r="H109" s="59"/>
    </row>
    <row r="110" spans="2:8" x14ac:dyDescent="0.2">
      <c r="B110" s="59">
        <v>42</v>
      </c>
      <c r="C110" s="59" t="s">
        <v>6940</v>
      </c>
      <c r="D110" s="59" t="s">
        <v>6941</v>
      </c>
      <c r="E110" s="59">
        <v>2</v>
      </c>
      <c r="F110" s="59">
        <v>201095739</v>
      </c>
      <c r="G110" s="79">
        <v>4.4901276472400002E-12</v>
      </c>
      <c r="H110" s="59"/>
    </row>
    <row r="111" spans="2:8" x14ac:dyDescent="0.2">
      <c r="B111" s="59">
        <v>42</v>
      </c>
      <c r="C111" s="59" t="s">
        <v>6942</v>
      </c>
      <c r="D111" s="59" t="s">
        <v>6943</v>
      </c>
      <c r="E111" s="59">
        <v>2</v>
      </c>
      <c r="F111" s="59">
        <v>201199831</v>
      </c>
      <c r="G111" s="79">
        <v>8.1449896830000004E-13</v>
      </c>
      <c r="H111" s="59"/>
    </row>
    <row r="112" spans="2:8" x14ac:dyDescent="0.2">
      <c r="B112" s="59">
        <v>42</v>
      </c>
      <c r="C112" s="59" t="s">
        <v>6944</v>
      </c>
      <c r="D112" s="59" t="s">
        <v>6945</v>
      </c>
      <c r="E112" s="59">
        <v>2</v>
      </c>
      <c r="F112" s="59">
        <v>201240086</v>
      </c>
      <c r="G112" s="79">
        <v>2.4897425359499998E-16</v>
      </c>
      <c r="H112" s="59"/>
    </row>
    <row r="113" spans="2:8" x14ac:dyDescent="0.2">
      <c r="B113" s="59">
        <v>42</v>
      </c>
      <c r="C113" s="59" t="s">
        <v>6946</v>
      </c>
      <c r="D113" s="59" t="s">
        <v>6947</v>
      </c>
      <c r="E113" s="59">
        <v>2</v>
      </c>
      <c r="F113" s="59">
        <v>201245550</v>
      </c>
      <c r="G113" s="79">
        <v>5.1996170775800005E-10</v>
      </c>
      <c r="H113" s="59"/>
    </row>
    <row r="114" spans="2:8" x14ac:dyDescent="0.2">
      <c r="B114" s="59">
        <v>42</v>
      </c>
      <c r="C114" s="59" t="s">
        <v>6948</v>
      </c>
      <c r="D114" s="59" t="s">
        <v>6949</v>
      </c>
      <c r="E114" s="59">
        <v>2</v>
      </c>
      <c r="F114" s="59">
        <v>201247479</v>
      </c>
      <c r="G114" s="79">
        <v>8.86772383048E-12</v>
      </c>
      <c r="H114" s="59"/>
    </row>
    <row r="115" spans="2:8" x14ac:dyDescent="0.2">
      <c r="B115" s="59">
        <v>42</v>
      </c>
      <c r="C115" s="59" t="s">
        <v>6950</v>
      </c>
      <c r="D115" s="59" t="s">
        <v>6951</v>
      </c>
      <c r="E115" s="59">
        <v>2</v>
      </c>
      <c r="F115" s="59">
        <v>201282338</v>
      </c>
      <c r="G115" s="79">
        <v>1.13793973202E-10</v>
      </c>
      <c r="H115" s="59"/>
    </row>
    <row r="116" spans="2:8" x14ac:dyDescent="0.2">
      <c r="B116" s="59">
        <v>42</v>
      </c>
      <c r="C116" s="59" t="s">
        <v>6952</v>
      </c>
      <c r="D116" s="59" t="s">
        <v>6953</v>
      </c>
      <c r="E116" s="59">
        <v>2</v>
      </c>
      <c r="F116" s="59">
        <v>201308117</v>
      </c>
      <c r="G116" s="79">
        <v>6.2534622142099996E-11</v>
      </c>
      <c r="H116" s="59"/>
    </row>
    <row r="117" spans="2:8" x14ac:dyDescent="0.2">
      <c r="B117" s="59">
        <v>42</v>
      </c>
      <c r="C117" s="59" t="s">
        <v>6954</v>
      </c>
      <c r="D117" s="59" t="s">
        <v>6955</v>
      </c>
      <c r="E117" s="59">
        <v>2</v>
      </c>
      <c r="F117" s="59">
        <v>201314274</v>
      </c>
      <c r="G117" s="79">
        <v>1.97300908883E-9</v>
      </c>
      <c r="H117" s="59"/>
    </row>
    <row r="118" spans="2:8" x14ac:dyDescent="0.2">
      <c r="B118" s="59">
        <v>43</v>
      </c>
      <c r="C118" s="59" t="s">
        <v>6956</v>
      </c>
      <c r="D118" s="59" t="s">
        <v>6957</v>
      </c>
      <c r="E118" s="59">
        <v>2</v>
      </c>
      <c r="F118" s="59">
        <v>208426257</v>
      </c>
      <c r="G118" s="79">
        <v>1.5888419493999999E-8</v>
      </c>
      <c r="H118" s="59"/>
    </row>
    <row r="119" spans="2:8" x14ac:dyDescent="0.2">
      <c r="B119" s="59">
        <v>44</v>
      </c>
      <c r="C119" s="59" t="s">
        <v>6958</v>
      </c>
      <c r="D119" s="59" t="s">
        <v>6959</v>
      </c>
      <c r="E119" s="59">
        <v>2</v>
      </c>
      <c r="F119" s="59">
        <v>225342597</v>
      </c>
      <c r="G119" s="79">
        <v>3.3740651833900002E-13</v>
      </c>
      <c r="H119" s="59"/>
    </row>
    <row r="120" spans="2:8" x14ac:dyDescent="0.2">
      <c r="B120" s="59">
        <v>44</v>
      </c>
      <c r="C120" s="59" t="s">
        <v>6960</v>
      </c>
      <c r="D120" s="59" t="s">
        <v>6961</v>
      </c>
      <c r="E120" s="59">
        <v>2</v>
      </c>
      <c r="F120" s="59">
        <v>225368321</v>
      </c>
      <c r="G120" s="79">
        <v>4.2918260148599997E-8</v>
      </c>
      <c r="H120" s="59"/>
    </row>
    <row r="121" spans="2:8" x14ac:dyDescent="0.2">
      <c r="B121" s="59">
        <v>45</v>
      </c>
      <c r="C121" s="59" t="s">
        <v>6962</v>
      </c>
      <c r="D121" s="59" t="s">
        <v>6963</v>
      </c>
      <c r="E121" s="59">
        <v>2</v>
      </c>
      <c r="F121" s="59">
        <v>233551530</v>
      </c>
      <c r="G121" s="79">
        <v>1.9591120729599998E-9</v>
      </c>
      <c r="H121" s="59"/>
    </row>
    <row r="122" spans="2:8" x14ac:dyDescent="0.2">
      <c r="B122" s="59">
        <v>45</v>
      </c>
      <c r="C122" s="59" t="s">
        <v>6964</v>
      </c>
      <c r="D122" s="59" t="s">
        <v>6965</v>
      </c>
      <c r="E122" s="59">
        <v>2</v>
      </c>
      <c r="F122" s="59">
        <v>233593499</v>
      </c>
      <c r="G122" s="79">
        <v>3.6365360916000002E-13</v>
      </c>
      <c r="H122" s="59"/>
    </row>
    <row r="123" spans="2:8" x14ac:dyDescent="0.2">
      <c r="B123" s="59">
        <v>45</v>
      </c>
      <c r="C123" s="59" t="s">
        <v>6966</v>
      </c>
      <c r="D123" s="59" t="s">
        <v>6967</v>
      </c>
      <c r="E123" s="59">
        <v>2</v>
      </c>
      <c r="F123" s="59">
        <v>233741256</v>
      </c>
      <c r="G123" s="79">
        <v>1.3122578686099999E-9</v>
      </c>
      <c r="H123" s="59"/>
    </row>
    <row r="124" spans="2:8" x14ac:dyDescent="0.2">
      <c r="B124" s="59">
        <v>45</v>
      </c>
      <c r="C124" s="59" t="s">
        <v>6968</v>
      </c>
      <c r="D124" s="59" t="s">
        <v>6969</v>
      </c>
      <c r="E124" s="59">
        <v>2</v>
      </c>
      <c r="F124" s="59">
        <v>233753340</v>
      </c>
      <c r="G124" s="79">
        <v>1.7653885991399999E-8</v>
      </c>
      <c r="H124" s="59"/>
    </row>
    <row r="125" spans="2:8" x14ac:dyDescent="0.2">
      <c r="B125" s="59">
        <v>45</v>
      </c>
      <c r="C125" s="59" t="s">
        <v>6970</v>
      </c>
      <c r="D125" s="59" t="s">
        <v>6971</v>
      </c>
      <c r="E125" s="59">
        <v>2</v>
      </c>
      <c r="F125" s="59">
        <v>233793211</v>
      </c>
      <c r="G125" s="79">
        <v>4.3665450647199999E-11</v>
      </c>
      <c r="H125" s="59"/>
    </row>
    <row r="126" spans="2:8" x14ac:dyDescent="0.2">
      <c r="B126" s="59">
        <v>45</v>
      </c>
      <c r="C126" s="59" t="s">
        <v>6972</v>
      </c>
      <c r="D126" s="59" t="s">
        <v>6973</v>
      </c>
      <c r="E126" s="59">
        <v>2</v>
      </c>
      <c r="F126" s="59">
        <v>233802683</v>
      </c>
      <c r="G126" s="79">
        <v>2.6334932731600001E-11</v>
      </c>
      <c r="H126" s="59"/>
    </row>
    <row r="127" spans="2:8" x14ac:dyDescent="0.2">
      <c r="B127" s="59">
        <v>45</v>
      </c>
      <c r="C127" s="59" t="s">
        <v>6974</v>
      </c>
      <c r="D127" s="59" t="s">
        <v>6975</v>
      </c>
      <c r="E127" s="59">
        <v>2</v>
      </c>
      <c r="F127" s="59">
        <v>233806771</v>
      </c>
      <c r="G127" s="79">
        <v>1.32473373198E-14</v>
      </c>
      <c r="H127" s="59"/>
    </row>
    <row r="128" spans="2:8" x14ac:dyDescent="0.2">
      <c r="B128" s="59">
        <v>45</v>
      </c>
      <c r="C128" s="59" t="s">
        <v>6976</v>
      </c>
      <c r="D128" s="59" t="s">
        <v>6977</v>
      </c>
      <c r="E128" s="59">
        <v>2</v>
      </c>
      <c r="F128" s="59">
        <v>233810762</v>
      </c>
      <c r="G128" s="79">
        <v>3.8449844375500002E-9</v>
      </c>
      <c r="H128" s="59"/>
    </row>
    <row r="129" spans="2:8" x14ac:dyDescent="0.2">
      <c r="B129" s="59">
        <v>46</v>
      </c>
      <c r="C129" s="59" t="s">
        <v>6978</v>
      </c>
      <c r="D129" s="59" t="s">
        <v>6979</v>
      </c>
      <c r="E129" s="59">
        <v>3</v>
      </c>
      <c r="F129" s="59">
        <v>2561691</v>
      </c>
      <c r="G129" s="79">
        <v>9.3177602800299997E-9</v>
      </c>
      <c r="H129" s="59"/>
    </row>
    <row r="130" spans="2:8" x14ac:dyDescent="0.2">
      <c r="B130" s="59">
        <v>47</v>
      </c>
      <c r="C130" s="59" t="s">
        <v>6980</v>
      </c>
      <c r="D130" s="59" t="s">
        <v>6981</v>
      </c>
      <c r="E130" s="59">
        <v>3</v>
      </c>
      <c r="F130" s="59">
        <v>24215611</v>
      </c>
      <c r="G130" s="79">
        <v>2.2397630373900001E-8</v>
      </c>
      <c r="H130" s="59"/>
    </row>
    <row r="131" spans="2:8" x14ac:dyDescent="0.2">
      <c r="B131" s="59">
        <v>48</v>
      </c>
      <c r="C131" s="59" t="s">
        <v>6982</v>
      </c>
      <c r="D131" s="59" t="s">
        <v>6983</v>
      </c>
      <c r="E131" s="59">
        <v>3</v>
      </c>
      <c r="F131" s="59">
        <v>29780743</v>
      </c>
      <c r="G131" s="79">
        <v>3.9283702365299999E-8</v>
      </c>
      <c r="H131" s="59"/>
    </row>
    <row r="132" spans="2:8" x14ac:dyDescent="0.2">
      <c r="B132" s="59">
        <v>48</v>
      </c>
      <c r="C132" s="59" t="s">
        <v>6984</v>
      </c>
      <c r="D132" s="59" t="s">
        <v>6985</v>
      </c>
      <c r="E132" s="59">
        <v>3</v>
      </c>
      <c r="F132" s="59">
        <v>30076363</v>
      </c>
      <c r="G132" s="79">
        <v>3.11375187201E-8</v>
      </c>
      <c r="H132" s="59"/>
    </row>
    <row r="133" spans="2:8" x14ac:dyDescent="0.2">
      <c r="B133" s="59">
        <v>49</v>
      </c>
      <c r="C133" s="59" t="s">
        <v>6986</v>
      </c>
      <c r="D133" s="59" t="s">
        <v>6987</v>
      </c>
      <c r="E133" s="59">
        <v>3</v>
      </c>
      <c r="F133" s="59">
        <v>34689301</v>
      </c>
      <c r="G133" s="79">
        <v>3.5908278702699998E-8</v>
      </c>
      <c r="H133" s="59"/>
    </row>
    <row r="134" spans="2:8" x14ac:dyDescent="0.2">
      <c r="B134" s="59">
        <v>50</v>
      </c>
      <c r="C134" s="59" t="s">
        <v>6988</v>
      </c>
      <c r="D134" s="59" t="s">
        <v>6989</v>
      </c>
      <c r="E134" s="59">
        <v>3</v>
      </c>
      <c r="F134" s="59">
        <v>36850660</v>
      </c>
      <c r="G134" s="79">
        <v>3.2209418515299999E-11</v>
      </c>
      <c r="H134" s="59"/>
    </row>
    <row r="135" spans="2:8" x14ac:dyDescent="0.2">
      <c r="B135" s="59">
        <v>50</v>
      </c>
      <c r="C135" s="59" t="s">
        <v>6990</v>
      </c>
      <c r="D135" s="59" t="s">
        <v>6991</v>
      </c>
      <c r="E135" s="59">
        <v>3</v>
      </c>
      <c r="F135" s="59">
        <v>36856030</v>
      </c>
      <c r="G135" s="79">
        <v>1.85598243023E-20</v>
      </c>
      <c r="H135" s="59"/>
    </row>
    <row r="136" spans="2:8" x14ac:dyDescent="0.2">
      <c r="B136" s="59">
        <v>50</v>
      </c>
      <c r="C136" s="59" t="s">
        <v>6992</v>
      </c>
      <c r="D136" s="59" t="s">
        <v>6993</v>
      </c>
      <c r="E136" s="59">
        <v>3</v>
      </c>
      <c r="F136" s="59">
        <v>36872193</v>
      </c>
      <c r="G136" s="79">
        <v>3.6106222752199998E-15</v>
      </c>
      <c r="H136" s="59"/>
    </row>
    <row r="137" spans="2:8" x14ac:dyDescent="0.2">
      <c r="B137" s="59">
        <v>50</v>
      </c>
      <c r="C137" s="59" t="s">
        <v>6994</v>
      </c>
      <c r="D137" s="59" t="s">
        <v>6995</v>
      </c>
      <c r="E137" s="59">
        <v>3</v>
      </c>
      <c r="F137" s="59">
        <v>36876154</v>
      </c>
      <c r="G137" s="79">
        <v>3.1469651838700002E-11</v>
      </c>
      <c r="H137" s="59"/>
    </row>
    <row r="138" spans="2:8" x14ac:dyDescent="0.2">
      <c r="B138" s="59">
        <v>50</v>
      </c>
      <c r="C138" s="59" t="s">
        <v>6996</v>
      </c>
      <c r="D138" s="59" t="s">
        <v>6997</v>
      </c>
      <c r="E138" s="59">
        <v>3</v>
      </c>
      <c r="F138" s="59">
        <v>36900944</v>
      </c>
      <c r="G138" s="79">
        <v>1.09022454666E-12</v>
      </c>
      <c r="H138" s="59"/>
    </row>
    <row r="139" spans="2:8" x14ac:dyDescent="0.2">
      <c r="B139" s="59">
        <v>50</v>
      </c>
      <c r="C139" s="59" t="s">
        <v>6998</v>
      </c>
      <c r="D139" s="59" t="s">
        <v>6999</v>
      </c>
      <c r="E139" s="59">
        <v>3</v>
      </c>
      <c r="F139" s="59">
        <v>36962388</v>
      </c>
      <c r="G139" s="79">
        <v>5.7279270987699999E-11</v>
      </c>
      <c r="H139" s="59"/>
    </row>
    <row r="140" spans="2:8" x14ac:dyDescent="0.2">
      <c r="B140" s="59">
        <v>51</v>
      </c>
      <c r="C140" s="59" t="s">
        <v>7000</v>
      </c>
      <c r="D140" s="59" t="s">
        <v>7001</v>
      </c>
      <c r="E140" s="59">
        <v>3</v>
      </c>
      <c r="F140" s="59">
        <v>37969695</v>
      </c>
      <c r="G140" s="79">
        <v>7.0247919975699997E-9</v>
      </c>
      <c r="H140" s="59"/>
    </row>
    <row r="141" spans="2:8" x14ac:dyDescent="0.2">
      <c r="B141" s="59">
        <v>52</v>
      </c>
      <c r="C141" s="59" t="s">
        <v>7002</v>
      </c>
      <c r="D141" s="59" t="s">
        <v>7003</v>
      </c>
      <c r="E141" s="59">
        <v>3</v>
      </c>
      <c r="F141" s="59">
        <v>50109044</v>
      </c>
      <c r="G141" s="79">
        <v>3.0453063356499999E-8</v>
      </c>
      <c r="H141" s="59"/>
    </row>
    <row r="142" spans="2:8" x14ac:dyDescent="0.2">
      <c r="B142" s="59">
        <v>52</v>
      </c>
      <c r="C142" s="59" t="s">
        <v>7004</v>
      </c>
      <c r="D142" s="59" t="s">
        <v>7005</v>
      </c>
      <c r="E142" s="59">
        <v>3</v>
      </c>
      <c r="F142" s="59">
        <v>50292324</v>
      </c>
      <c r="G142" s="79">
        <v>2.5085781949E-9</v>
      </c>
      <c r="H142" s="59"/>
    </row>
    <row r="143" spans="2:8" x14ac:dyDescent="0.2">
      <c r="B143" s="59">
        <v>52</v>
      </c>
      <c r="C143" s="59" t="s">
        <v>7006</v>
      </c>
      <c r="D143" s="59" t="s">
        <v>7007</v>
      </c>
      <c r="E143" s="59">
        <v>3</v>
      </c>
      <c r="F143" s="59">
        <v>50505395</v>
      </c>
      <c r="G143" s="79">
        <v>2.02377589929E-11</v>
      </c>
      <c r="H143" s="59"/>
    </row>
    <row r="144" spans="2:8" x14ac:dyDescent="0.2">
      <c r="B144" s="59">
        <v>53</v>
      </c>
      <c r="C144" s="59" t="s">
        <v>7008</v>
      </c>
      <c r="D144" s="59" t="s">
        <v>7009</v>
      </c>
      <c r="E144" s="59">
        <v>3</v>
      </c>
      <c r="F144" s="59">
        <v>52261031</v>
      </c>
      <c r="G144" s="79">
        <v>7.7558110421000004E-18</v>
      </c>
      <c r="H144" s="59"/>
    </row>
    <row r="145" spans="2:8" x14ac:dyDescent="0.2">
      <c r="B145" s="59">
        <v>53</v>
      </c>
      <c r="C145" s="59" t="s">
        <v>7010</v>
      </c>
      <c r="D145" s="59" t="s">
        <v>7011</v>
      </c>
      <c r="E145" s="59">
        <v>3</v>
      </c>
      <c r="F145" s="59">
        <v>52491046</v>
      </c>
      <c r="G145" s="79">
        <v>2.3915952595899999E-8</v>
      </c>
      <c r="H145" s="59"/>
    </row>
    <row r="146" spans="2:8" x14ac:dyDescent="0.2">
      <c r="B146" s="59">
        <v>53</v>
      </c>
      <c r="C146" s="59" t="s">
        <v>7012</v>
      </c>
      <c r="D146" s="59" t="s">
        <v>7013</v>
      </c>
      <c r="E146" s="59">
        <v>3</v>
      </c>
      <c r="F146" s="59">
        <v>52532291</v>
      </c>
      <c r="G146" s="79">
        <v>2.5313773576100002E-10</v>
      </c>
      <c r="H146" s="59"/>
    </row>
    <row r="147" spans="2:8" x14ac:dyDescent="0.2">
      <c r="B147" s="59">
        <v>53</v>
      </c>
      <c r="C147" s="59" t="s">
        <v>7014</v>
      </c>
      <c r="D147" s="59" t="s">
        <v>7015</v>
      </c>
      <c r="E147" s="59">
        <v>3</v>
      </c>
      <c r="F147" s="59">
        <v>52538300</v>
      </c>
      <c r="G147" s="79">
        <v>1.54939224892E-9</v>
      </c>
      <c r="H147" s="59"/>
    </row>
    <row r="148" spans="2:8" x14ac:dyDescent="0.2">
      <c r="B148" s="59">
        <v>53</v>
      </c>
      <c r="C148" s="59" t="s">
        <v>7016</v>
      </c>
      <c r="D148" s="59" t="s">
        <v>7017</v>
      </c>
      <c r="E148" s="59">
        <v>3</v>
      </c>
      <c r="F148" s="59">
        <v>52556890</v>
      </c>
      <c r="G148" s="79">
        <v>1.8201479178800002E-12</v>
      </c>
      <c r="H148" s="59"/>
    </row>
    <row r="149" spans="2:8" x14ac:dyDescent="0.2">
      <c r="B149" s="59">
        <v>53</v>
      </c>
      <c r="C149" s="59" t="s">
        <v>7018</v>
      </c>
      <c r="D149" s="59" t="s">
        <v>7019</v>
      </c>
      <c r="E149" s="59">
        <v>3</v>
      </c>
      <c r="F149" s="59">
        <v>52624387</v>
      </c>
      <c r="G149" s="79">
        <v>1.2998902344E-14</v>
      </c>
      <c r="H149" s="59"/>
    </row>
    <row r="150" spans="2:8" x14ac:dyDescent="0.2">
      <c r="B150" s="59">
        <v>53</v>
      </c>
      <c r="C150" s="59" t="s">
        <v>7020</v>
      </c>
      <c r="D150" s="59" t="s">
        <v>7021</v>
      </c>
      <c r="E150" s="59">
        <v>3</v>
      </c>
      <c r="F150" s="59">
        <v>52864135</v>
      </c>
      <c r="G150" s="79">
        <v>2.4570839684299999E-14</v>
      </c>
      <c r="H150" s="59"/>
    </row>
    <row r="151" spans="2:8" x14ac:dyDescent="0.2">
      <c r="B151" s="59">
        <v>53</v>
      </c>
      <c r="C151" s="59" t="s">
        <v>7022</v>
      </c>
      <c r="D151" s="59" t="s">
        <v>7023</v>
      </c>
      <c r="E151" s="59">
        <v>3</v>
      </c>
      <c r="F151" s="59">
        <v>52982296</v>
      </c>
      <c r="G151" s="79">
        <v>7.7814282972699995E-10</v>
      </c>
      <c r="H151" s="59"/>
    </row>
    <row r="152" spans="2:8" x14ac:dyDescent="0.2">
      <c r="B152" s="59">
        <v>53</v>
      </c>
      <c r="C152" s="59" t="s">
        <v>7024</v>
      </c>
      <c r="D152" s="59" t="s">
        <v>7025</v>
      </c>
      <c r="E152" s="59">
        <v>3</v>
      </c>
      <c r="F152" s="59">
        <v>53060637</v>
      </c>
      <c r="G152" s="79">
        <v>1.3526836118699999E-10</v>
      </c>
      <c r="H152" s="59"/>
    </row>
    <row r="153" spans="2:8" x14ac:dyDescent="0.2">
      <c r="B153" s="59">
        <v>53</v>
      </c>
      <c r="C153" s="59" t="s">
        <v>7026</v>
      </c>
      <c r="D153" s="59" t="s">
        <v>7027</v>
      </c>
      <c r="E153" s="59">
        <v>3</v>
      </c>
      <c r="F153" s="59">
        <v>53442466</v>
      </c>
      <c r="G153" s="79">
        <v>3.6270443010200003E-8</v>
      </c>
      <c r="H153" s="59"/>
    </row>
    <row r="154" spans="2:8" x14ac:dyDescent="0.2">
      <c r="B154" s="59">
        <v>53</v>
      </c>
      <c r="C154" s="59" t="s">
        <v>7028</v>
      </c>
      <c r="D154" s="59" t="s">
        <v>7029</v>
      </c>
      <c r="E154" s="59">
        <v>3</v>
      </c>
      <c r="F154" s="59">
        <v>53443354</v>
      </c>
      <c r="G154" s="79">
        <v>1.99687468137E-10</v>
      </c>
      <c r="H154" s="59"/>
    </row>
    <row r="155" spans="2:8" x14ac:dyDescent="0.2">
      <c r="B155" s="59">
        <v>53</v>
      </c>
      <c r="C155" s="59" t="s">
        <v>7030</v>
      </c>
      <c r="D155" s="59" t="s">
        <v>7031</v>
      </c>
      <c r="E155" s="59">
        <v>3</v>
      </c>
      <c r="F155" s="59">
        <v>53514416</v>
      </c>
      <c r="G155" s="79">
        <v>4.7246829728400002E-10</v>
      </c>
      <c r="H155" s="59"/>
    </row>
    <row r="156" spans="2:8" x14ac:dyDescent="0.2">
      <c r="B156" s="59">
        <v>53</v>
      </c>
      <c r="C156" s="59" t="s">
        <v>7032</v>
      </c>
      <c r="D156" s="59" t="s">
        <v>7033</v>
      </c>
      <c r="E156" s="59">
        <v>3</v>
      </c>
      <c r="F156" s="59">
        <v>53516203</v>
      </c>
      <c r="G156" s="79">
        <v>4.2401424580299999E-9</v>
      </c>
      <c r="H156" s="59"/>
    </row>
    <row r="157" spans="2:8" x14ac:dyDescent="0.2">
      <c r="B157" s="59">
        <v>54</v>
      </c>
      <c r="C157" s="59" t="s">
        <v>7034</v>
      </c>
      <c r="D157" s="59" t="s">
        <v>7035</v>
      </c>
      <c r="E157" s="59">
        <v>3</v>
      </c>
      <c r="F157" s="59">
        <v>63867355</v>
      </c>
      <c r="G157" s="79">
        <v>3.0869645243699999E-9</v>
      </c>
      <c r="H157" s="59"/>
    </row>
    <row r="158" spans="2:8" x14ac:dyDescent="0.2">
      <c r="B158" s="59">
        <v>55</v>
      </c>
      <c r="C158" s="59" t="s">
        <v>7036</v>
      </c>
      <c r="D158" s="59" t="s">
        <v>7037</v>
      </c>
      <c r="E158" s="59">
        <v>3</v>
      </c>
      <c r="F158" s="59">
        <v>70472800</v>
      </c>
      <c r="G158" s="79">
        <v>7.2628992813100001E-9</v>
      </c>
      <c r="H158" s="59"/>
    </row>
    <row r="159" spans="2:8" x14ac:dyDescent="0.2">
      <c r="B159" s="59">
        <v>55</v>
      </c>
      <c r="C159" s="59" t="s">
        <v>7038</v>
      </c>
      <c r="D159" s="59" t="s">
        <v>7039</v>
      </c>
      <c r="E159" s="59">
        <v>3</v>
      </c>
      <c r="F159" s="59">
        <v>70480493</v>
      </c>
      <c r="G159" s="79">
        <v>2.2958931448900001E-11</v>
      </c>
      <c r="H159" s="59"/>
    </row>
    <row r="160" spans="2:8" x14ac:dyDescent="0.2">
      <c r="B160" s="59">
        <v>55</v>
      </c>
      <c r="C160" s="59" t="s">
        <v>7040</v>
      </c>
      <c r="D160" s="59" t="s">
        <v>7041</v>
      </c>
      <c r="E160" s="59">
        <v>3</v>
      </c>
      <c r="F160" s="59">
        <v>70559303</v>
      </c>
      <c r="G160" s="79">
        <v>2.1909966466100001E-8</v>
      </c>
      <c r="H160" s="59"/>
    </row>
    <row r="161" spans="2:8" x14ac:dyDescent="0.2">
      <c r="B161" s="59">
        <v>56</v>
      </c>
      <c r="C161" s="59" t="s">
        <v>7042</v>
      </c>
      <c r="D161" s="59" t="s">
        <v>7043</v>
      </c>
      <c r="E161" s="59">
        <v>3</v>
      </c>
      <c r="F161" s="59">
        <v>84892686</v>
      </c>
      <c r="G161" s="79">
        <v>8.0337331387799992E-9</v>
      </c>
      <c r="H161" s="59"/>
    </row>
    <row r="162" spans="2:8" x14ac:dyDescent="0.2">
      <c r="B162" s="59">
        <v>57</v>
      </c>
      <c r="C162" s="59" t="s">
        <v>7044</v>
      </c>
      <c r="D162" s="59" t="s">
        <v>7045</v>
      </c>
      <c r="E162" s="59">
        <v>3</v>
      </c>
      <c r="F162" s="59">
        <v>107201428</v>
      </c>
      <c r="G162" s="79">
        <v>2.2300008126599999E-9</v>
      </c>
      <c r="H162" s="59"/>
    </row>
    <row r="163" spans="2:8" x14ac:dyDescent="0.2">
      <c r="B163" s="59">
        <v>57</v>
      </c>
      <c r="C163" s="59" t="s">
        <v>7046</v>
      </c>
      <c r="D163" s="59" t="s">
        <v>7047</v>
      </c>
      <c r="E163" s="59">
        <v>3</v>
      </c>
      <c r="F163" s="59">
        <v>107295392</v>
      </c>
      <c r="G163" s="79">
        <v>1.2741125729E-11</v>
      </c>
      <c r="H163" s="59"/>
    </row>
    <row r="164" spans="2:8" x14ac:dyDescent="0.2">
      <c r="B164" s="59">
        <v>57</v>
      </c>
      <c r="C164" s="59" t="s">
        <v>7048</v>
      </c>
      <c r="D164" s="59" t="s">
        <v>7049</v>
      </c>
      <c r="E164" s="59">
        <v>3</v>
      </c>
      <c r="F164" s="59">
        <v>107296969</v>
      </c>
      <c r="G164" s="79">
        <v>7.5684788841499998E-10</v>
      </c>
      <c r="H164" s="59"/>
    </row>
    <row r="165" spans="2:8" x14ac:dyDescent="0.2">
      <c r="B165" s="59">
        <v>57</v>
      </c>
      <c r="C165" s="59" t="s">
        <v>7050</v>
      </c>
      <c r="D165" s="59" t="s">
        <v>7051</v>
      </c>
      <c r="E165" s="59">
        <v>3</v>
      </c>
      <c r="F165" s="59">
        <v>107548934</v>
      </c>
      <c r="G165" s="79">
        <v>2.7658540271600001E-8</v>
      </c>
      <c r="H165" s="59"/>
    </row>
    <row r="166" spans="2:8" x14ac:dyDescent="0.2">
      <c r="B166" s="59">
        <v>57</v>
      </c>
      <c r="C166" s="59" t="s">
        <v>7052</v>
      </c>
      <c r="D166" s="59" t="s">
        <v>7053</v>
      </c>
      <c r="E166" s="59">
        <v>3</v>
      </c>
      <c r="F166" s="59">
        <v>107564459</v>
      </c>
      <c r="G166" s="79">
        <v>1.9897120821400001E-8</v>
      </c>
      <c r="H166" s="59"/>
    </row>
    <row r="167" spans="2:8" x14ac:dyDescent="0.2">
      <c r="B167" s="59">
        <v>57</v>
      </c>
      <c r="C167" s="59" t="s">
        <v>7054</v>
      </c>
      <c r="D167" s="59" t="s">
        <v>7055</v>
      </c>
      <c r="E167" s="59">
        <v>3</v>
      </c>
      <c r="F167" s="59">
        <v>107785344</v>
      </c>
      <c r="G167" s="79">
        <v>6.7393767326100004E-11</v>
      </c>
      <c r="H167" s="59"/>
    </row>
    <row r="168" spans="2:8" x14ac:dyDescent="0.2">
      <c r="B168" s="59">
        <v>57</v>
      </c>
      <c r="C168" s="59" t="s">
        <v>7056</v>
      </c>
      <c r="D168" s="59" t="s">
        <v>7057</v>
      </c>
      <c r="E168" s="59">
        <v>3</v>
      </c>
      <c r="F168" s="59">
        <v>107798578</v>
      </c>
      <c r="G168" s="79">
        <v>1.10861041074E-9</v>
      </c>
      <c r="H168" s="59"/>
    </row>
    <row r="169" spans="2:8" x14ac:dyDescent="0.2">
      <c r="B169" s="59">
        <v>57</v>
      </c>
      <c r="C169" s="59" t="s">
        <v>7058</v>
      </c>
      <c r="D169" s="59" t="s">
        <v>7059</v>
      </c>
      <c r="E169" s="59">
        <v>3</v>
      </c>
      <c r="F169" s="59">
        <v>107869895</v>
      </c>
      <c r="G169" s="79">
        <v>5.3599668813299995E-10</v>
      </c>
      <c r="H169" s="59"/>
    </row>
    <row r="170" spans="2:8" x14ac:dyDescent="0.2">
      <c r="B170" s="59">
        <v>58</v>
      </c>
      <c r="C170" s="59" t="s">
        <v>7060</v>
      </c>
      <c r="D170" s="59" t="s">
        <v>7061</v>
      </c>
      <c r="E170" s="59">
        <v>3</v>
      </c>
      <c r="F170" s="59">
        <v>117632263</v>
      </c>
      <c r="G170" s="79">
        <v>6.0081726362999994E-11</v>
      </c>
      <c r="H170" s="59"/>
    </row>
    <row r="171" spans="2:8" x14ac:dyDescent="0.2">
      <c r="B171" s="59">
        <v>59</v>
      </c>
      <c r="C171" s="59" t="s">
        <v>7062</v>
      </c>
      <c r="D171" s="59" t="s">
        <v>7063</v>
      </c>
      <c r="E171" s="59">
        <v>3</v>
      </c>
      <c r="F171" s="59">
        <v>136195788</v>
      </c>
      <c r="G171" s="79">
        <v>1.0123370621700001E-10</v>
      </c>
      <c r="H171" s="59"/>
    </row>
    <row r="172" spans="2:8" x14ac:dyDescent="0.2">
      <c r="B172" s="59">
        <v>60</v>
      </c>
      <c r="C172" s="59" t="s">
        <v>7064</v>
      </c>
      <c r="D172" s="59" t="s">
        <v>7065</v>
      </c>
      <c r="E172" s="59">
        <v>3</v>
      </c>
      <c r="F172" s="59">
        <v>161709235</v>
      </c>
      <c r="G172" s="79">
        <v>2.1430229584800001E-9</v>
      </c>
      <c r="H172" s="59"/>
    </row>
    <row r="173" spans="2:8" x14ac:dyDescent="0.2">
      <c r="B173" s="59">
        <v>60</v>
      </c>
      <c r="C173" s="59" t="s">
        <v>7066</v>
      </c>
      <c r="D173" s="59" t="s">
        <v>7067</v>
      </c>
      <c r="E173" s="59">
        <v>3</v>
      </c>
      <c r="F173" s="59">
        <v>161777035</v>
      </c>
      <c r="G173" s="79">
        <v>2.62821687456E-9</v>
      </c>
      <c r="H173" s="59"/>
    </row>
    <row r="174" spans="2:8" x14ac:dyDescent="0.2">
      <c r="B174" s="59">
        <v>61</v>
      </c>
      <c r="C174" s="59" t="s">
        <v>7068</v>
      </c>
      <c r="D174" s="59" t="s">
        <v>7069</v>
      </c>
      <c r="E174" s="59">
        <v>3</v>
      </c>
      <c r="F174" s="59">
        <v>180774428</v>
      </c>
      <c r="G174" s="79">
        <v>2.4391205403200002E-12</v>
      </c>
      <c r="H174" s="59"/>
    </row>
    <row r="175" spans="2:8" x14ac:dyDescent="0.2">
      <c r="B175" s="59">
        <v>61</v>
      </c>
      <c r="C175" s="59" t="s">
        <v>7070</v>
      </c>
      <c r="D175" s="59" t="s">
        <v>7071</v>
      </c>
      <c r="E175" s="59">
        <v>3</v>
      </c>
      <c r="F175" s="59">
        <v>180826524</v>
      </c>
      <c r="G175" s="79">
        <v>9.6791534493700001E-10</v>
      </c>
      <c r="H175" s="59"/>
    </row>
    <row r="176" spans="2:8" x14ac:dyDescent="0.2">
      <c r="B176" s="59">
        <v>61</v>
      </c>
      <c r="C176" s="59" t="s">
        <v>7072</v>
      </c>
      <c r="D176" s="59" t="s">
        <v>7073</v>
      </c>
      <c r="E176" s="59">
        <v>3</v>
      </c>
      <c r="F176" s="59">
        <v>180840488</v>
      </c>
      <c r="G176" s="79">
        <v>6.2626929250100005E-14</v>
      </c>
      <c r="H176" s="59"/>
    </row>
    <row r="177" spans="2:8" x14ac:dyDescent="0.2">
      <c r="B177" s="59">
        <v>61</v>
      </c>
      <c r="C177" s="59" t="s">
        <v>7074</v>
      </c>
      <c r="D177" s="59" t="s">
        <v>7075</v>
      </c>
      <c r="E177" s="59">
        <v>3</v>
      </c>
      <c r="F177" s="59">
        <v>181090035</v>
      </c>
      <c r="G177" s="79">
        <v>1.72688400207E-9</v>
      </c>
      <c r="H177" s="59"/>
    </row>
    <row r="178" spans="2:8" x14ac:dyDescent="0.2">
      <c r="B178" s="59">
        <v>61</v>
      </c>
      <c r="C178" s="59" t="s">
        <v>7076</v>
      </c>
      <c r="D178" s="59" t="s">
        <v>7077</v>
      </c>
      <c r="E178" s="59">
        <v>3</v>
      </c>
      <c r="F178" s="59">
        <v>181188505</v>
      </c>
      <c r="G178" s="79">
        <v>1.73368352453E-13</v>
      </c>
      <c r="H178" s="59"/>
    </row>
    <row r="179" spans="2:8" x14ac:dyDescent="0.2">
      <c r="B179" s="59">
        <v>62</v>
      </c>
      <c r="C179" s="59" t="s">
        <v>7078</v>
      </c>
      <c r="D179" s="59" t="s">
        <v>7079</v>
      </c>
      <c r="E179" s="59">
        <v>4</v>
      </c>
      <c r="F179" s="59">
        <v>23377121</v>
      </c>
      <c r="G179" s="79">
        <v>2.20387737637E-8</v>
      </c>
      <c r="H179" s="59"/>
    </row>
    <row r="180" spans="2:8" x14ac:dyDescent="0.2">
      <c r="B180" s="59">
        <v>63</v>
      </c>
      <c r="C180" s="59" t="s">
        <v>7080</v>
      </c>
      <c r="D180" s="59" t="s">
        <v>7081</v>
      </c>
      <c r="E180" s="59">
        <v>4</v>
      </c>
      <c r="F180" s="59">
        <v>33649928</v>
      </c>
      <c r="G180" s="79">
        <v>4.5309531157799998E-9</v>
      </c>
      <c r="H180" s="59"/>
    </row>
    <row r="181" spans="2:8" x14ac:dyDescent="0.2">
      <c r="B181" s="59">
        <v>64</v>
      </c>
      <c r="C181" s="59" t="s">
        <v>7082</v>
      </c>
      <c r="D181" s="59" t="s">
        <v>7083</v>
      </c>
      <c r="E181" s="59">
        <v>4</v>
      </c>
      <c r="F181" s="59">
        <v>37248811</v>
      </c>
      <c r="G181" s="79">
        <v>1.51977682218E-9</v>
      </c>
      <c r="H181" s="59"/>
    </row>
    <row r="182" spans="2:8" x14ac:dyDescent="0.2">
      <c r="B182" s="59">
        <v>65</v>
      </c>
      <c r="C182" s="59" t="s">
        <v>7084</v>
      </c>
      <c r="D182" s="59" t="s">
        <v>7085</v>
      </c>
      <c r="E182" s="59">
        <v>4</v>
      </c>
      <c r="F182" s="59">
        <v>80198876</v>
      </c>
      <c r="G182" s="79">
        <v>5.1443216013799999E-9</v>
      </c>
      <c r="H182" s="59"/>
    </row>
    <row r="183" spans="2:8" x14ac:dyDescent="0.2">
      <c r="B183" s="59">
        <v>66</v>
      </c>
      <c r="C183" s="59" t="s">
        <v>7086</v>
      </c>
      <c r="D183" s="59" t="s">
        <v>7087</v>
      </c>
      <c r="E183" s="59">
        <v>4</v>
      </c>
      <c r="F183" s="59">
        <v>118545387</v>
      </c>
      <c r="G183" s="79">
        <v>5.6994923807199999E-9</v>
      </c>
      <c r="H183" s="59"/>
    </row>
    <row r="184" spans="2:8" x14ac:dyDescent="0.2">
      <c r="B184" s="59">
        <v>66</v>
      </c>
      <c r="C184" s="59" t="s">
        <v>7088</v>
      </c>
      <c r="D184" s="59" t="s">
        <v>7089</v>
      </c>
      <c r="E184" s="59">
        <v>4</v>
      </c>
      <c r="F184" s="59">
        <v>118648360</v>
      </c>
      <c r="G184" s="79">
        <v>1.44747764241E-8</v>
      </c>
      <c r="H184" s="59"/>
    </row>
    <row r="185" spans="2:8" x14ac:dyDescent="0.2">
      <c r="B185" s="59">
        <v>66</v>
      </c>
      <c r="C185" s="59" t="s">
        <v>7090</v>
      </c>
      <c r="D185" s="59" t="s">
        <v>7091</v>
      </c>
      <c r="E185" s="59">
        <v>4</v>
      </c>
      <c r="F185" s="59">
        <v>118782785</v>
      </c>
      <c r="G185" s="79">
        <v>1.0606423156399999E-10</v>
      </c>
      <c r="H185" s="59"/>
    </row>
    <row r="186" spans="2:8" x14ac:dyDescent="0.2">
      <c r="B186" s="59">
        <v>66</v>
      </c>
      <c r="C186" s="59" t="s">
        <v>7092</v>
      </c>
      <c r="D186" s="59" t="s">
        <v>7093</v>
      </c>
      <c r="E186" s="59">
        <v>4</v>
      </c>
      <c r="F186" s="59">
        <v>118886489</v>
      </c>
      <c r="G186" s="79">
        <v>1.51978024008E-10</v>
      </c>
      <c r="H186" s="59"/>
    </row>
    <row r="187" spans="2:8" x14ac:dyDescent="0.2">
      <c r="B187" s="59">
        <v>67</v>
      </c>
      <c r="C187" s="59" t="s">
        <v>7094</v>
      </c>
      <c r="D187" s="59" t="s">
        <v>7095</v>
      </c>
      <c r="E187" s="59">
        <v>4</v>
      </c>
      <c r="F187" s="59">
        <v>123026869</v>
      </c>
      <c r="G187" s="79">
        <v>1.90805405565E-9</v>
      </c>
      <c r="H187" s="59"/>
    </row>
    <row r="188" spans="2:8" x14ac:dyDescent="0.2">
      <c r="B188" s="59">
        <v>67</v>
      </c>
      <c r="C188" s="59" t="s">
        <v>7096</v>
      </c>
      <c r="D188" s="59" t="s">
        <v>7097</v>
      </c>
      <c r="E188" s="59">
        <v>4</v>
      </c>
      <c r="F188" s="59">
        <v>123122856</v>
      </c>
      <c r="G188" s="79">
        <v>1.6558508184099999E-8</v>
      </c>
      <c r="H188" s="59"/>
    </row>
    <row r="189" spans="2:8" x14ac:dyDescent="0.2">
      <c r="B189" s="59">
        <v>68</v>
      </c>
      <c r="C189" s="59" t="s">
        <v>7098</v>
      </c>
      <c r="D189" s="59" t="s">
        <v>7099</v>
      </c>
      <c r="E189" s="59">
        <v>4</v>
      </c>
      <c r="F189" s="59">
        <v>143654534</v>
      </c>
      <c r="G189" s="79">
        <v>1.2507863108299999E-10</v>
      </c>
      <c r="H189" s="59"/>
    </row>
    <row r="190" spans="2:8" x14ac:dyDescent="0.2">
      <c r="B190" s="59">
        <v>68</v>
      </c>
      <c r="C190" s="59" t="s">
        <v>7100</v>
      </c>
      <c r="D190" s="59" t="s">
        <v>7101</v>
      </c>
      <c r="E190" s="59">
        <v>4</v>
      </c>
      <c r="F190" s="59">
        <v>143781534</v>
      </c>
      <c r="G190" s="79">
        <v>2.36376854505E-8</v>
      </c>
      <c r="H190" s="59"/>
    </row>
    <row r="191" spans="2:8" x14ac:dyDescent="0.2">
      <c r="B191" s="59">
        <v>68</v>
      </c>
      <c r="C191" s="59" t="s">
        <v>7102</v>
      </c>
      <c r="D191" s="59" t="s">
        <v>7103</v>
      </c>
      <c r="E191" s="59">
        <v>4</v>
      </c>
      <c r="F191" s="59">
        <v>143873787</v>
      </c>
      <c r="G191" s="79">
        <v>1.67564534712E-13</v>
      </c>
      <c r="H191" s="59"/>
    </row>
    <row r="192" spans="2:8" x14ac:dyDescent="0.2">
      <c r="B192" s="59">
        <v>69</v>
      </c>
      <c r="C192" s="59" t="s">
        <v>7104</v>
      </c>
      <c r="D192" s="59" t="s">
        <v>7105</v>
      </c>
      <c r="E192" s="59">
        <v>4</v>
      </c>
      <c r="F192" s="59">
        <v>149318212</v>
      </c>
      <c r="G192" s="79">
        <v>2.1489373446100001E-8</v>
      </c>
      <c r="H192" s="59"/>
    </row>
    <row r="193" spans="2:8" x14ac:dyDescent="0.2">
      <c r="B193" s="59">
        <v>70</v>
      </c>
      <c r="C193" s="59" t="s">
        <v>7106</v>
      </c>
      <c r="D193" s="59" t="s">
        <v>7107</v>
      </c>
      <c r="E193" s="59">
        <v>4</v>
      </c>
      <c r="F193" s="59">
        <v>167953146</v>
      </c>
      <c r="G193" s="79">
        <v>1.4706118962300001E-8</v>
      </c>
      <c r="H193" s="59"/>
    </row>
    <row r="194" spans="2:8" x14ac:dyDescent="0.2">
      <c r="B194" s="59">
        <v>71</v>
      </c>
      <c r="C194" s="59" t="s">
        <v>7108</v>
      </c>
      <c r="D194" s="59" t="s">
        <v>7109</v>
      </c>
      <c r="E194" s="59">
        <v>4</v>
      </c>
      <c r="F194" s="59">
        <v>170309455</v>
      </c>
      <c r="G194" s="79">
        <v>2.9263528203199999E-9</v>
      </c>
      <c r="H194" s="59"/>
    </row>
    <row r="195" spans="2:8" x14ac:dyDescent="0.2">
      <c r="B195" s="59">
        <v>71</v>
      </c>
      <c r="C195" s="59" t="s">
        <v>7110</v>
      </c>
      <c r="D195" s="59" t="s">
        <v>7111</v>
      </c>
      <c r="E195" s="59">
        <v>4</v>
      </c>
      <c r="F195" s="59">
        <v>170638466</v>
      </c>
      <c r="G195" s="79">
        <v>7.7120401735199992E-9</v>
      </c>
      <c r="H195" s="59"/>
    </row>
    <row r="196" spans="2:8" x14ac:dyDescent="0.2">
      <c r="B196" s="59">
        <v>72</v>
      </c>
      <c r="C196" s="59" t="s">
        <v>7112</v>
      </c>
      <c r="D196" s="59" t="s">
        <v>7113</v>
      </c>
      <c r="E196" s="59">
        <v>4</v>
      </c>
      <c r="F196" s="59">
        <v>176728614</v>
      </c>
      <c r="G196" s="79">
        <v>3.6007939283000002E-9</v>
      </c>
      <c r="H196" s="59"/>
    </row>
    <row r="197" spans="2:8" x14ac:dyDescent="0.2">
      <c r="B197" s="59">
        <v>72</v>
      </c>
      <c r="C197" s="59" t="s">
        <v>7114</v>
      </c>
      <c r="D197" s="59" t="s">
        <v>7115</v>
      </c>
      <c r="E197" s="59">
        <v>4</v>
      </c>
      <c r="F197" s="59">
        <v>176739754</v>
      </c>
      <c r="G197" s="79">
        <v>4.2623348592499999E-10</v>
      </c>
      <c r="H197" s="59"/>
    </row>
    <row r="198" spans="2:8" x14ac:dyDescent="0.2">
      <c r="B198" s="59">
        <v>72</v>
      </c>
      <c r="C198" s="59" t="s">
        <v>7116</v>
      </c>
      <c r="D198" s="59" t="s">
        <v>7117</v>
      </c>
      <c r="E198" s="59">
        <v>4</v>
      </c>
      <c r="F198" s="59">
        <v>176859992</v>
      </c>
      <c r="G198" s="79">
        <v>2.2699235861599999E-11</v>
      </c>
      <c r="H198" s="59"/>
    </row>
    <row r="199" spans="2:8" x14ac:dyDescent="0.2">
      <c r="B199" s="59">
        <v>73</v>
      </c>
      <c r="C199" s="59" t="s">
        <v>7118</v>
      </c>
      <c r="D199" s="59" t="s">
        <v>7119</v>
      </c>
      <c r="E199" s="59">
        <v>5</v>
      </c>
      <c r="F199" s="59">
        <v>44914579</v>
      </c>
      <c r="G199" s="79">
        <v>4.1462527694E-9</v>
      </c>
      <c r="H199" s="59"/>
    </row>
    <row r="200" spans="2:8" x14ac:dyDescent="0.2">
      <c r="B200" s="59">
        <v>73</v>
      </c>
      <c r="C200" s="59" t="s">
        <v>7120</v>
      </c>
      <c r="D200" s="59" t="s">
        <v>7121</v>
      </c>
      <c r="E200" s="59">
        <v>5</v>
      </c>
      <c r="F200" s="59">
        <v>45252500</v>
      </c>
      <c r="G200" s="79">
        <v>2.8781705218000001E-11</v>
      </c>
      <c r="H200" s="59"/>
    </row>
    <row r="201" spans="2:8" x14ac:dyDescent="0.2">
      <c r="B201" s="59">
        <v>73</v>
      </c>
      <c r="C201" s="59" t="s">
        <v>7122</v>
      </c>
      <c r="D201" s="59" t="s">
        <v>7123</v>
      </c>
      <c r="E201" s="59">
        <v>5</v>
      </c>
      <c r="F201" s="59">
        <v>45309477</v>
      </c>
      <c r="G201" s="79">
        <v>2.5770966784000001E-11</v>
      </c>
      <c r="H201" s="59"/>
    </row>
    <row r="202" spans="2:8" x14ac:dyDescent="0.2">
      <c r="B202" s="59">
        <v>73</v>
      </c>
      <c r="C202" s="59" t="s">
        <v>7124</v>
      </c>
      <c r="D202" s="59" t="s">
        <v>7125</v>
      </c>
      <c r="E202" s="59">
        <v>5</v>
      </c>
      <c r="F202" s="59">
        <v>45770252</v>
      </c>
      <c r="G202" s="79">
        <v>3.3391556216700001E-9</v>
      </c>
      <c r="H202" s="59"/>
    </row>
    <row r="203" spans="2:8" x14ac:dyDescent="0.2">
      <c r="B203" s="59">
        <v>74</v>
      </c>
      <c r="C203" s="59" t="s">
        <v>7126</v>
      </c>
      <c r="D203" s="59" t="s">
        <v>7127</v>
      </c>
      <c r="E203" s="59">
        <v>5</v>
      </c>
      <c r="F203" s="59">
        <v>60484660</v>
      </c>
      <c r="G203" s="79">
        <v>1.4142407391000001E-10</v>
      </c>
      <c r="H203" s="59"/>
    </row>
    <row r="204" spans="2:8" x14ac:dyDescent="0.2">
      <c r="B204" s="59">
        <v>74</v>
      </c>
      <c r="C204" s="59" t="s">
        <v>7128</v>
      </c>
      <c r="D204" s="59" t="s">
        <v>7129</v>
      </c>
      <c r="E204" s="59">
        <v>5</v>
      </c>
      <c r="F204" s="59">
        <v>60525210</v>
      </c>
      <c r="G204" s="79">
        <v>2.6826149146800001E-11</v>
      </c>
      <c r="H204" s="59"/>
    </row>
    <row r="205" spans="2:8" x14ac:dyDescent="0.2">
      <c r="B205" s="59">
        <v>74</v>
      </c>
      <c r="C205" s="59" t="s">
        <v>7130</v>
      </c>
      <c r="D205" s="59" t="s">
        <v>7131</v>
      </c>
      <c r="E205" s="59">
        <v>5</v>
      </c>
      <c r="F205" s="59">
        <v>60660401</v>
      </c>
      <c r="G205" s="79">
        <v>9.0052917774500005E-14</v>
      </c>
      <c r="H205" s="59"/>
    </row>
    <row r="206" spans="2:8" x14ac:dyDescent="0.2">
      <c r="B206" s="59">
        <v>75</v>
      </c>
      <c r="C206" s="59" t="s">
        <v>7132</v>
      </c>
      <c r="D206" s="59" t="s">
        <v>7133</v>
      </c>
      <c r="E206" s="59">
        <v>5</v>
      </c>
      <c r="F206" s="59">
        <v>78849505</v>
      </c>
      <c r="G206" s="79">
        <v>6.2874220019099995E-10</v>
      </c>
      <c r="H206" s="59"/>
    </row>
    <row r="207" spans="2:8" x14ac:dyDescent="0.2">
      <c r="B207" s="59">
        <v>76</v>
      </c>
      <c r="C207" s="59" t="s">
        <v>7134</v>
      </c>
      <c r="D207" s="59" t="s">
        <v>7135</v>
      </c>
      <c r="E207" s="59">
        <v>5</v>
      </c>
      <c r="F207" s="59">
        <v>88696876</v>
      </c>
      <c r="G207" s="79">
        <v>4.9821838160300002E-8</v>
      </c>
      <c r="H207" s="59"/>
    </row>
    <row r="208" spans="2:8" x14ac:dyDescent="0.2">
      <c r="B208" s="59">
        <v>77</v>
      </c>
      <c r="C208" s="59" t="s">
        <v>7136</v>
      </c>
      <c r="D208" s="59" t="s">
        <v>7137</v>
      </c>
      <c r="E208" s="59">
        <v>5</v>
      </c>
      <c r="F208" s="59">
        <v>92449246</v>
      </c>
      <c r="G208" s="79">
        <v>4.9069647330699998E-8</v>
      </c>
      <c r="H208" s="59"/>
    </row>
    <row r="209" spans="2:8" x14ac:dyDescent="0.2">
      <c r="B209" s="59">
        <v>78</v>
      </c>
      <c r="C209" s="59" t="s">
        <v>7138</v>
      </c>
      <c r="D209" s="59" t="s">
        <v>7139</v>
      </c>
      <c r="E209" s="59">
        <v>5</v>
      </c>
      <c r="F209" s="59">
        <v>101637315</v>
      </c>
      <c r="G209" s="79">
        <v>4.1698695623600003E-8</v>
      </c>
      <c r="H209" s="59"/>
    </row>
    <row r="210" spans="2:8" x14ac:dyDescent="0.2">
      <c r="B210" s="59">
        <v>79</v>
      </c>
      <c r="C210" s="59" t="s">
        <v>7140</v>
      </c>
      <c r="D210" s="59" t="s">
        <v>7141</v>
      </c>
      <c r="E210" s="59">
        <v>5</v>
      </c>
      <c r="F210" s="59">
        <v>104088117</v>
      </c>
      <c r="G210" s="79">
        <v>4.6940622654499998E-8</v>
      </c>
      <c r="H210" s="59"/>
    </row>
    <row r="211" spans="2:8" x14ac:dyDescent="0.2">
      <c r="B211" s="59">
        <v>80</v>
      </c>
      <c r="C211" s="59" t="s">
        <v>7142</v>
      </c>
      <c r="D211" s="59" t="s">
        <v>7143</v>
      </c>
      <c r="E211" s="59">
        <v>5</v>
      </c>
      <c r="F211" s="59">
        <v>106625682</v>
      </c>
      <c r="G211" s="79">
        <v>1.01574295159E-8</v>
      </c>
      <c r="H211" s="59"/>
    </row>
    <row r="212" spans="2:8" x14ac:dyDescent="0.2">
      <c r="B212" s="59">
        <v>80</v>
      </c>
      <c r="C212" s="59" t="s">
        <v>7144</v>
      </c>
      <c r="D212" s="59" t="s">
        <v>7145</v>
      </c>
      <c r="E212" s="59">
        <v>5</v>
      </c>
      <c r="F212" s="59">
        <v>106736417</v>
      </c>
      <c r="G212" s="79">
        <v>2.6396979758100001E-8</v>
      </c>
      <c r="H212" s="59"/>
    </row>
    <row r="213" spans="2:8" x14ac:dyDescent="0.2">
      <c r="B213" s="59">
        <v>81</v>
      </c>
      <c r="C213" s="59" t="s">
        <v>7146</v>
      </c>
      <c r="D213" s="59" t="s">
        <v>7147</v>
      </c>
      <c r="E213" s="59">
        <v>5</v>
      </c>
      <c r="F213" s="59">
        <v>137745700</v>
      </c>
      <c r="G213" s="79">
        <v>6.9136671121799997E-11</v>
      </c>
      <c r="H213" s="59"/>
    </row>
    <row r="214" spans="2:8" x14ac:dyDescent="0.2">
      <c r="B214" s="59">
        <v>81</v>
      </c>
      <c r="C214" s="59" t="s">
        <v>7148</v>
      </c>
      <c r="D214" s="59" t="s">
        <v>7149</v>
      </c>
      <c r="E214" s="59">
        <v>5</v>
      </c>
      <c r="F214" s="59">
        <v>137775581</v>
      </c>
      <c r="G214" s="79">
        <v>1.75309703889E-11</v>
      </c>
      <c r="H214" s="59"/>
    </row>
    <row r="215" spans="2:8" x14ac:dyDescent="0.2">
      <c r="B215" s="59">
        <v>81</v>
      </c>
      <c r="C215" s="59" t="s">
        <v>7150</v>
      </c>
      <c r="D215" s="59" t="s">
        <v>7151</v>
      </c>
      <c r="E215" s="59">
        <v>5</v>
      </c>
      <c r="F215" s="59">
        <v>137798306</v>
      </c>
      <c r="G215" s="79">
        <v>3.0900977095000002E-8</v>
      </c>
      <c r="H215" s="59"/>
    </row>
    <row r="216" spans="2:8" x14ac:dyDescent="0.2">
      <c r="B216" s="59">
        <v>81</v>
      </c>
      <c r="C216" s="59" t="s">
        <v>7152</v>
      </c>
      <c r="D216" s="59" t="s">
        <v>7153</v>
      </c>
      <c r="E216" s="59">
        <v>5</v>
      </c>
      <c r="F216" s="59">
        <v>137802404</v>
      </c>
      <c r="G216" s="79">
        <v>4.1830204478799998E-9</v>
      </c>
      <c r="H216" s="59"/>
    </row>
    <row r="217" spans="2:8" x14ac:dyDescent="0.2">
      <c r="B217" s="59">
        <v>81</v>
      </c>
      <c r="C217" s="59" t="s">
        <v>7154</v>
      </c>
      <c r="D217" s="59" t="s">
        <v>7155</v>
      </c>
      <c r="E217" s="59">
        <v>5</v>
      </c>
      <c r="F217" s="59">
        <v>137892170</v>
      </c>
      <c r="G217" s="79">
        <v>6.33616188634E-13</v>
      </c>
      <c r="H217" s="59"/>
    </row>
    <row r="218" spans="2:8" x14ac:dyDescent="0.2">
      <c r="B218" s="59">
        <v>81</v>
      </c>
      <c r="C218" s="59" t="s">
        <v>7156</v>
      </c>
      <c r="D218" s="59" t="s">
        <v>7157</v>
      </c>
      <c r="E218" s="59">
        <v>5</v>
      </c>
      <c r="F218" s="59">
        <v>137902339</v>
      </c>
      <c r="G218" s="79">
        <v>2.5777599488599999E-10</v>
      </c>
      <c r="H218" s="59"/>
    </row>
    <row r="219" spans="2:8" x14ac:dyDescent="0.2">
      <c r="B219" s="59">
        <v>82</v>
      </c>
      <c r="C219" s="59" t="s">
        <v>7158</v>
      </c>
      <c r="D219" s="59" t="s">
        <v>7159</v>
      </c>
      <c r="E219" s="59">
        <v>5</v>
      </c>
      <c r="F219" s="59">
        <v>139993266</v>
      </c>
      <c r="G219" s="79">
        <v>4.6316263496699998E-8</v>
      </c>
      <c r="H219" s="59"/>
    </row>
    <row r="220" spans="2:8" x14ac:dyDescent="0.2">
      <c r="B220" s="59">
        <v>82</v>
      </c>
      <c r="C220" s="59" t="s">
        <v>7160</v>
      </c>
      <c r="D220" s="59" t="s">
        <v>7161</v>
      </c>
      <c r="E220" s="59">
        <v>5</v>
      </c>
      <c r="F220" s="59">
        <v>140142174</v>
      </c>
      <c r="G220" s="79">
        <v>3.5383174518100001E-9</v>
      </c>
      <c r="H220" s="59"/>
    </row>
    <row r="221" spans="2:8" x14ac:dyDescent="0.2">
      <c r="B221" s="59">
        <v>82</v>
      </c>
      <c r="C221" s="59" t="s">
        <v>7162</v>
      </c>
      <c r="D221" s="59" t="s">
        <v>7163</v>
      </c>
      <c r="E221" s="59">
        <v>5</v>
      </c>
      <c r="F221" s="59">
        <v>140146894</v>
      </c>
      <c r="G221" s="79">
        <v>2.1394391504099999E-9</v>
      </c>
      <c r="H221" s="59"/>
    </row>
    <row r="222" spans="2:8" x14ac:dyDescent="0.2">
      <c r="B222" s="59">
        <v>82</v>
      </c>
      <c r="C222" s="59" t="s">
        <v>7164</v>
      </c>
      <c r="D222" s="59" t="s">
        <v>7165</v>
      </c>
      <c r="E222" s="59">
        <v>5</v>
      </c>
      <c r="F222" s="59">
        <v>140163328</v>
      </c>
      <c r="G222" s="79">
        <v>2.3455861660899998E-10</v>
      </c>
      <c r="H222" s="59"/>
    </row>
    <row r="223" spans="2:8" x14ac:dyDescent="0.2">
      <c r="B223" s="59">
        <v>82</v>
      </c>
      <c r="C223" s="59" t="s">
        <v>7166</v>
      </c>
      <c r="D223" s="59" t="s">
        <v>7167</v>
      </c>
      <c r="E223" s="59">
        <v>5</v>
      </c>
      <c r="F223" s="59">
        <v>140317371</v>
      </c>
      <c r="G223" s="79">
        <v>1.7998850985399999E-9</v>
      </c>
      <c r="H223" s="59"/>
    </row>
    <row r="224" spans="2:8" x14ac:dyDescent="0.2">
      <c r="B224" s="59">
        <v>82</v>
      </c>
      <c r="C224" s="59" t="s">
        <v>7168</v>
      </c>
      <c r="D224" s="59" t="s">
        <v>7169</v>
      </c>
      <c r="E224" s="59">
        <v>5</v>
      </c>
      <c r="F224" s="59">
        <v>140333952</v>
      </c>
      <c r="G224" s="79">
        <v>1.04751729252E-9</v>
      </c>
      <c r="H224" s="59"/>
    </row>
    <row r="225" spans="2:8" x14ac:dyDescent="0.2">
      <c r="B225" s="59">
        <v>83</v>
      </c>
      <c r="C225" s="59" t="s">
        <v>7170</v>
      </c>
      <c r="D225" s="59" t="s">
        <v>7171</v>
      </c>
      <c r="E225" s="59">
        <v>5</v>
      </c>
      <c r="F225" s="59">
        <v>152249082</v>
      </c>
      <c r="G225" s="79">
        <v>3.1470238052400002E-14</v>
      </c>
      <c r="H225" s="59"/>
    </row>
    <row r="226" spans="2:8" x14ac:dyDescent="0.2">
      <c r="B226" s="59">
        <v>83</v>
      </c>
      <c r="C226" s="59" t="s">
        <v>7172</v>
      </c>
      <c r="D226" s="59" t="s">
        <v>7173</v>
      </c>
      <c r="E226" s="59">
        <v>5</v>
      </c>
      <c r="F226" s="59">
        <v>152340090</v>
      </c>
      <c r="G226" s="79">
        <v>3.77159050031E-8</v>
      </c>
      <c r="H226" s="59"/>
    </row>
    <row r="227" spans="2:8" x14ac:dyDescent="0.2">
      <c r="B227" s="59">
        <v>83</v>
      </c>
      <c r="C227" s="59" t="s">
        <v>7174</v>
      </c>
      <c r="D227" s="59" t="s">
        <v>7175</v>
      </c>
      <c r="E227" s="59">
        <v>5</v>
      </c>
      <c r="F227" s="59">
        <v>152540354</v>
      </c>
      <c r="G227" s="79">
        <v>5.1539480901599998E-11</v>
      </c>
      <c r="H227" s="59"/>
    </row>
    <row r="228" spans="2:8" x14ac:dyDescent="0.2">
      <c r="B228" s="59">
        <v>84</v>
      </c>
      <c r="C228" s="59" t="s">
        <v>7176</v>
      </c>
      <c r="D228" s="59" t="s">
        <v>7177</v>
      </c>
      <c r="E228" s="59">
        <v>5</v>
      </c>
      <c r="F228" s="59">
        <v>153405414</v>
      </c>
      <c r="G228" s="79">
        <v>5.6071079182799998E-9</v>
      </c>
      <c r="H228" s="59"/>
    </row>
    <row r="229" spans="2:8" x14ac:dyDescent="0.2">
      <c r="B229" s="59">
        <v>84</v>
      </c>
      <c r="C229" s="59" t="s">
        <v>7178</v>
      </c>
      <c r="D229" s="59" t="s">
        <v>7179</v>
      </c>
      <c r="E229" s="59">
        <v>5</v>
      </c>
      <c r="F229" s="59">
        <v>153450790</v>
      </c>
      <c r="G229" s="79">
        <v>3.7774749726599998E-8</v>
      </c>
      <c r="H229" s="59"/>
    </row>
    <row r="230" spans="2:8" x14ac:dyDescent="0.2">
      <c r="B230" s="59">
        <v>85</v>
      </c>
      <c r="C230" s="59" t="s">
        <v>7180</v>
      </c>
      <c r="D230" s="59" t="s">
        <v>7181</v>
      </c>
      <c r="E230" s="59">
        <v>5</v>
      </c>
      <c r="F230" s="59">
        <v>155775075</v>
      </c>
      <c r="G230" s="79">
        <v>4.0491015495900002E-8</v>
      </c>
      <c r="H230" s="59"/>
    </row>
    <row r="231" spans="2:8" x14ac:dyDescent="0.2">
      <c r="B231" s="59">
        <v>85</v>
      </c>
      <c r="C231" s="59" t="s">
        <v>7182</v>
      </c>
      <c r="D231" s="59" t="s">
        <v>7183</v>
      </c>
      <c r="E231" s="59">
        <v>5</v>
      </c>
      <c r="F231" s="59">
        <v>155843556</v>
      </c>
      <c r="G231" s="79">
        <v>1.38353487776E-8</v>
      </c>
      <c r="H231" s="59"/>
    </row>
    <row r="232" spans="2:8" x14ac:dyDescent="0.2">
      <c r="B232" s="59">
        <v>86</v>
      </c>
      <c r="C232" s="59" t="s">
        <v>7184</v>
      </c>
      <c r="D232" s="59" t="s">
        <v>7185</v>
      </c>
      <c r="E232" s="59">
        <v>5</v>
      </c>
      <c r="F232" s="59">
        <v>174682553</v>
      </c>
      <c r="G232" s="79">
        <v>4.44207067725E-8</v>
      </c>
      <c r="H232" s="59"/>
    </row>
    <row r="233" spans="2:8" x14ac:dyDescent="0.2">
      <c r="B233" s="59">
        <v>87</v>
      </c>
      <c r="C233" s="59" t="s">
        <v>7186</v>
      </c>
      <c r="D233" s="59" t="s">
        <v>7187</v>
      </c>
      <c r="E233" s="59">
        <v>6</v>
      </c>
      <c r="F233" s="59">
        <v>25170668</v>
      </c>
      <c r="G233" s="79">
        <v>4.1734262596599999E-8</v>
      </c>
      <c r="H233" s="59"/>
    </row>
    <row r="234" spans="2:8" x14ac:dyDescent="0.2">
      <c r="B234" s="59">
        <v>87</v>
      </c>
      <c r="C234" s="59" t="s">
        <v>7188</v>
      </c>
      <c r="D234" s="59" t="s">
        <v>7189</v>
      </c>
      <c r="E234" s="59">
        <v>6</v>
      </c>
      <c r="F234" s="59">
        <v>25171526</v>
      </c>
      <c r="G234" s="79">
        <v>3.63324259023E-9</v>
      </c>
      <c r="H234" s="59"/>
    </row>
    <row r="235" spans="2:8" x14ac:dyDescent="0.2">
      <c r="B235" s="59">
        <v>87</v>
      </c>
      <c r="C235" s="59" t="s">
        <v>7190</v>
      </c>
      <c r="D235" s="59" t="s">
        <v>7191</v>
      </c>
      <c r="E235" s="59">
        <v>6</v>
      </c>
      <c r="F235" s="59">
        <v>25208585</v>
      </c>
      <c r="G235" s="79">
        <v>7.8368661561200005E-10</v>
      </c>
      <c r="H235" s="59"/>
    </row>
    <row r="236" spans="2:8" x14ac:dyDescent="0.2">
      <c r="B236" s="59">
        <v>87</v>
      </c>
      <c r="C236" s="59" t="s">
        <v>7192</v>
      </c>
      <c r="D236" s="59" t="s">
        <v>7193</v>
      </c>
      <c r="E236" s="59">
        <v>6</v>
      </c>
      <c r="F236" s="59">
        <v>25384361</v>
      </c>
      <c r="G236" s="79">
        <v>1.6441314251199999E-21</v>
      </c>
      <c r="H236" s="59"/>
    </row>
    <row r="237" spans="2:8" x14ac:dyDescent="0.2">
      <c r="B237" s="59">
        <v>87</v>
      </c>
      <c r="C237" s="59" t="s">
        <v>7194</v>
      </c>
      <c r="D237" s="59" t="s">
        <v>7195</v>
      </c>
      <c r="E237" s="59">
        <v>6</v>
      </c>
      <c r="F237" s="59">
        <v>25449269</v>
      </c>
      <c r="G237" s="79">
        <v>1.0262553066799999E-10</v>
      </c>
      <c r="H237" s="59"/>
    </row>
    <row r="238" spans="2:8" x14ac:dyDescent="0.2">
      <c r="B238" s="59">
        <v>87</v>
      </c>
      <c r="C238" s="59" t="s">
        <v>7196</v>
      </c>
      <c r="D238" s="59" t="s">
        <v>7197</v>
      </c>
      <c r="E238" s="59">
        <v>6</v>
      </c>
      <c r="F238" s="59">
        <v>25514179</v>
      </c>
      <c r="G238" s="79">
        <v>4.5162645599000003E-22</v>
      </c>
      <c r="H238" s="59"/>
    </row>
    <row r="239" spans="2:8" x14ac:dyDescent="0.2">
      <c r="B239" s="59">
        <v>87</v>
      </c>
      <c r="C239" s="59" t="s">
        <v>7198</v>
      </c>
      <c r="D239" s="59" t="s">
        <v>7199</v>
      </c>
      <c r="E239" s="59">
        <v>6</v>
      </c>
      <c r="F239" s="59">
        <v>25588815</v>
      </c>
      <c r="G239" s="79">
        <v>1.6056968918599999E-15</v>
      </c>
      <c r="H239" s="59"/>
    </row>
    <row r="240" spans="2:8" x14ac:dyDescent="0.2">
      <c r="B240" s="59">
        <v>87</v>
      </c>
      <c r="C240" s="59" t="s">
        <v>7200</v>
      </c>
      <c r="D240" s="59" t="s">
        <v>7201</v>
      </c>
      <c r="E240" s="59">
        <v>6</v>
      </c>
      <c r="F240" s="59">
        <v>25772639</v>
      </c>
      <c r="G240" s="79">
        <v>2.82370050369E-9</v>
      </c>
      <c r="H240" s="59"/>
    </row>
    <row r="241" spans="2:8" x14ac:dyDescent="0.2">
      <c r="B241" s="59">
        <v>87</v>
      </c>
      <c r="C241" s="59" t="s">
        <v>7202</v>
      </c>
      <c r="D241" s="59" t="s">
        <v>7203</v>
      </c>
      <c r="E241" s="59">
        <v>6</v>
      </c>
      <c r="F241" s="59">
        <v>25818755</v>
      </c>
      <c r="G241" s="79">
        <v>7.5282297077500001E-12</v>
      </c>
      <c r="H241" s="59"/>
    </row>
    <row r="242" spans="2:8" x14ac:dyDescent="0.2">
      <c r="B242" s="59">
        <v>87</v>
      </c>
      <c r="C242" s="59" t="s">
        <v>7204</v>
      </c>
      <c r="D242" s="59" t="s">
        <v>7205</v>
      </c>
      <c r="E242" s="59">
        <v>6</v>
      </c>
      <c r="F242" s="59">
        <v>25872579</v>
      </c>
      <c r="G242" s="79">
        <v>5.89100831992E-16</v>
      </c>
      <c r="H242" s="59"/>
    </row>
    <row r="243" spans="2:8" x14ac:dyDescent="0.2">
      <c r="B243" s="59">
        <v>87</v>
      </c>
      <c r="C243" s="59" t="s">
        <v>7206</v>
      </c>
      <c r="D243" s="59" t="s">
        <v>7207</v>
      </c>
      <c r="E243" s="59">
        <v>6</v>
      </c>
      <c r="F243" s="59">
        <v>25873883</v>
      </c>
      <c r="G243" s="79">
        <v>3.6776189066400001E-9</v>
      </c>
      <c r="H243" s="59"/>
    </row>
    <row r="244" spans="2:8" x14ac:dyDescent="0.2">
      <c r="B244" s="59">
        <v>87</v>
      </c>
      <c r="C244" s="59" t="s">
        <v>7208</v>
      </c>
      <c r="D244" s="59" t="s">
        <v>7209</v>
      </c>
      <c r="E244" s="59">
        <v>6</v>
      </c>
      <c r="F244" s="59">
        <v>26090452</v>
      </c>
      <c r="G244" s="79">
        <v>4.2359221054799998E-8</v>
      </c>
      <c r="H244" s="59"/>
    </row>
    <row r="245" spans="2:8" x14ac:dyDescent="0.2">
      <c r="B245" s="59">
        <v>87</v>
      </c>
      <c r="C245" s="59" t="s">
        <v>7210</v>
      </c>
      <c r="D245" s="59" t="s">
        <v>7211</v>
      </c>
      <c r="E245" s="59">
        <v>6</v>
      </c>
      <c r="F245" s="59">
        <v>26111271</v>
      </c>
      <c r="G245" s="79">
        <v>3.80637152915E-20</v>
      </c>
      <c r="H245" s="59"/>
    </row>
    <row r="246" spans="2:8" x14ac:dyDescent="0.2">
      <c r="B246" s="59">
        <v>87</v>
      </c>
      <c r="C246" s="59" t="s">
        <v>7212</v>
      </c>
      <c r="D246" s="59" t="s">
        <v>7213</v>
      </c>
      <c r="E246" s="59">
        <v>6</v>
      </c>
      <c r="F246" s="59">
        <v>26173478</v>
      </c>
      <c r="G246" s="79">
        <v>6.0114784122599999E-32</v>
      </c>
      <c r="H246" s="59"/>
    </row>
    <row r="247" spans="2:8" x14ac:dyDescent="0.2">
      <c r="B247" s="59">
        <v>87</v>
      </c>
      <c r="C247" s="59" t="s">
        <v>7214</v>
      </c>
      <c r="D247" s="59" t="s">
        <v>7215</v>
      </c>
      <c r="E247" s="59">
        <v>6</v>
      </c>
      <c r="F247" s="59">
        <v>26196593</v>
      </c>
      <c r="G247" s="79">
        <v>5.6666359645699999E-14</v>
      </c>
      <c r="H247" s="59"/>
    </row>
    <row r="248" spans="2:8" x14ac:dyDescent="0.2">
      <c r="B248" s="59">
        <v>87</v>
      </c>
      <c r="C248" s="59" t="s">
        <v>7216</v>
      </c>
      <c r="D248" s="59" t="s">
        <v>7217</v>
      </c>
      <c r="E248" s="59">
        <v>6</v>
      </c>
      <c r="F248" s="59">
        <v>26226032</v>
      </c>
      <c r="G248" s="79">
        <v>4.8873120164200004E-10</v>
      </c>
      <c r="H248" s="59"/>
    </row>
    <row r="249" spans="2:8" x14ac:dyDescent="0.2">
      <c r="B249" s="59">
        <v>87</v>
      </c>
      <c r="C249" s="59" t="s">
        <v>7218</v>
      </c>
      <c r="D249" s="59" t="s">
        <v>7219</v>
      </c>
      <c r="E249" s="59">
        <v>6</v>
      </c>
      <c r="F249" s="59">
        <v>26285683</v>
      </c>
      <c r="G249" s="79">
        <v>5.3987247798500002E-10</v>
      </c>
      <c r="H249" s="59"/>
    </row>
    <row r="250" spans="2:8" x14ac:dyDescent="0.2">
      <c r="B250" s="59">
        <v>87</v>
      </c>
      <c r="C250" s="59" t="s">
        <v>7220</v>
      </c>
      <c r="D250" s="59" t="s">
        <v>7221</v>
      </c>
      <c r="E250" s="59">
        <v>6</v>
      </c>
      <c r="F250" s="59">
        <v>26295926</v>
      </c>
      <c r="G250" s="79">
        <v>1.2549113524199999E-11</v>
      </c>
      <c r="H250" s="59"/>
    </row>
    <row r="251" spans="2:8" x14ac:dyDescent="0.2">
      <c r="B251" s="59">
        <v>87</v>
      </c>
      <c r="C251" s="59" t="s">
        <v>7222</v>
      </c>
      <c r="D251" s="59" t="s">
        <v>7223</v>
      </c>
      <c r="E251" s="59">
        <v>6</v>
      </c>
      <c r="F251" s="59">
        <v>26316982</v>
      </c>
      <c r="G251" s="79">
        <v>3.91165062383E-19</v>
      </c>
      <c r="H251" s="59"/>
    </row>
    <row r="252" spans="2:8" x14ac:dyDescent="0.2">
      <c r="B252" s="59">
        <v>87</v>
      </c>
      <c r="C252" s="59" t="s">
        <v>7224</v>
      </c>
      <c r="D252" s="59" t="s">
        <v>7225</v>
      </c>
      <c r="E252" s="59">
        <v>6</v>
      </c>
      <c r="F252" s="59">
        <v>26336838</v>
      </c>
      <c r="G252" s="79">
        <v>4.0186101852199999E-11</v>
      </c>
      <c r="H252" s="59"/>
    </row>
    <row r="253" spans="2:8" x14ac:dyDescent="0.2">
      <c r="B253" s="59">
        <v>87</v>
      </c>
      <c r="C253" s="59" t="s">
        <v>7226</v>
      </c>
      <c r="D253" s="59" t="s">
        <v>7227</v>
      </c>
      <c r="E253" s="59">
        <v>6</v>
      </c>
      <c r="F253" s="59">
        <v>26343057</v>
      </c>
      <c r="G253" s="79">
        <v>7.4206642594200003E-21</v>
      </c>
      <c r="H253" s="59"/>
    </row>
    <row r="254" spans="2:8" x14ac:dyDescent="0.2">
      <c r="B254" s="59">
        <v>87</v>
      </c>
      <c r="C254" s="59" t="s">
        <v>7228</v>
      </c>
      <c r="D254" s="59" t="s">
        <v>7229</v>
      </c>
      <c r="E254" s="59">
        <v>6</v>
      </c>
      <c r="F254" s="59">
        <v>26367218</v>
      </c>
      <c r="G254" s="79">
        <v>1.9709052873100001E-11</v>
      </c>
      <c r="H254" s="59"/>
    </row>
    <row r="255" spans="2:8" x14ac:dyDescent="0.2">
      <c r="B255" s="59">
        <v>87</v>
      </c>
      <c r="C255" s="59" t="s">
        <v>7230</v>
      </c>
      <c r="D255" s="59" t="s">
        <v>7231</v>
      </c>
      <c r="E255" s="59">
        <v>6</v>
      </c>
      <c r="F255" s="59">
        <v>26370707</v>
      </c>
      <c r="G255" s="79">
        <v>3.7019124442699997E-15</v>
      </c>
      <c r="H255" s="59"/>
    </row>
    <row r="256" spans="2:8" x14ac:dyDescent="0.2">
      <c r="B256" s="59">
        <v>87</v>
      </c>
      <c r="C256" s="59" t="s">
        <v>7232</v>
      </c>
      <c r="D256" s="59" t="s">
        <v>7233</v>
      </c>
      <c r="E256" s="59">
        <v>6</v>
      </c>
      <c r="F256" s="59">
        <v>26374658</v>
      </c>
      <c r="G256" s="79">
        <v>1.24463403489E-8</v>
      </c>
      <c r="H256" s="59"/>
    </row>
    <row r="257" spans="2:8" x14ac:dyDescent="0.2">
      <c r="B257" s="59">
        <v>87</v>
      </c>
      <c r="C257" s="59" t="s">
        <v>7234</v>
      </c>
      <c r="D257" s="59" t="s">
        <v>7235</v>
      </c>
      <c r="E257" s="59">
        <v>6</v>
      </c>
      <c r="F257" s="59">
        <v>26376868</v>
      </c>
      <c r="G257" s="79">
        <v>1.17916293691E-15</v>
      </c>
      <c r="H257" s="59"/>
    </row>
    <row r="258" spans="2:8" x14ac:dyDescent="0.2">
      <c r="B258" s="59">
        <v>87</v>
      </c>
      <c r="C258" s="59" t="s">
        <v>7236</v>
      </c>
      <c r="D258" s="59" t="s">
        <v>7237</v>
      </c>
      <c r="E258" s="59">
        <v>6</v>
      </c>
      <c r="F258" s="59">
        <v>26388672</v>
      </c>
      <c r="G258" s="79">
        <v>5.8776497688499999E-11</v>
      </c>
      <c r="H258" s="59"/>
    </row>
    <row r="259" spans="2:8" x14ac:dyDescent="0.2">
      <c r="B259" s="59">
        <v>87</v>
      </c>
      <c r="C259" s="59" t="s">
        <v>7238</v>
      </c>
      <c r="D259" s="59" t="s">
        <v>7239</v>
      </c>
      <c r="E259" s="59">
        <v>6</v>
      </c>
      <c r="F259" s="59">
        <v>26404958</v>
      </c>
      <c r="G259" s="79">
        <v>6.4222026190200002E-11</v>
      </c>
      <c r="H259" s="59"/>
    </row>
    <row r="260" spans="2:8" x14ac:dyDescent="0.2">
      <c r="B260" s="59">
        <v>87</v>
      </c>
      <c r="C260" s="59" t="s">
        <v>7240</v>
      </c>
      <c r="D260" s="59" t="s">
        <v>7241</v>
      </c>
      <c r="E260" s="59">
        <v>6</v>
      </c>
      <c r="F260" s="59">
        <v>26466035</v>
      </c>
      <c r="G260" s="79">
        <v>4.5216300932699997E-14</v>
      </c>
      <c r="H260" s="59"/>
    </row>
    <row r="261" spans="2:8" x14ac:dyDescent="0.2">
      <c r="B261" s="59">
        <v>87</v>
      </c>
      <c r="C261" s="59" t="s">
        <v>7242</v>
      </c>
      <c r="D261" s="59" t="s">
        <v>7243</v>
      </c>
      <c r="E261" s="59">
        <v>6</v>
      </c>
      <c r="F261" s="59">
        <v>26477143</v>
      </c>
      <c r="G261" s="79">
        <v>2.3071505752800002E-25</v>
      </c>
      <c r="H261" s="59"/>
    </row>
    <row r="262" spans="2:8" x14ac:dyDescent="0.2">
      <c r="B262" s="59">
        <v>87</v>
      </c>
      <c r="C262" s="59" t="s">
        <v>7244</v>
      </c>
      <c r="D262" s="59" t="s">
        <v>7245</v>
      </c>
      <c r="E262" s="59">
        <v>6</v>
      </c>
      <c r="F262" s="59">
        <v>26498758</v>
      </c>
      <c r="G262" s="79">
        <v>6.1659839061799999E-50</v>
      </c>
      <c r="H262" s="59"/>
    </row>
    <row r="263" spans="2:8" x14ac:dyDescent="0.2">
      <c r="B263" s="59">
        <v>87</v>
      </c>
      <c r="C263" s="59" t="s">
        <v>7246</v>
      </c>
      <c r="D263" s="59" t="s">
        <v>7247</v>
      </c>
      <c r="E263" s="59">
        <v>6</v>
      </c>
      <c r="F263" s="59">
        <v>26590578</v>
      </c>
      <c r="G263" s="79">
        <v>4.2610749690600004E-31</v>
      </c>
      <c r="H263" s="59"/>
    </row>
    <row r="264" spans="2:8" x14ac:dyDescent="0.2">
      <c r="B264" s="59">
        <v>87</v>
      </c>
      <c r="C264" s="59" t="s">
        <v>7248</v>
      </c>
      <c r="D264" s="59" t="s">
        <v>7249</v>
      </c>
      <c r="E264" s="59">
        <v>6</v>
      </c>
      <c r="F264" s="59">
        <v>27009512</v>
      </c>
      <c r="G264" s="79">
        <v>1.53032488946E-11</v>
      </c>
      <c r="H264" s="59"/>
    </row>
    <row r="265" spans="2:8" x14ac:dyDescent="0.2">
      <c r="B265" s="59">
        <v>87</v>
      </c>
      <c r="C265" s="59" t="s">
        <v>7250</v>
      </c>
      <c r="D265" s="59" t="s">
        <v>7251</v>
      </c>
      <c r="E265" s="59">
        <v>6</v>
      </c>
      <c r="F265" s="59">
        <v>27032711</v>
      </c>
      <c r="G265" s="79">
        <v>3.4237792655200001E-15</v>
      </c>
      <c r="H265" s="59"/>
    </row>
    <row r="266" spans="2:8" x14ac:dyDescent="0.2">
      <c r="B266" s="59">
        <v>87</v>
      </c>
      <c r="C266" s="59" t="s">
        <v>7252</v>
      </c>
      <c r="D266" s="59" t="s">
        <v>7253</v>
      </c>
      <c r="E266" s="59">
        <v>6</v>
      </c>
      <c r="F266" s="59">
        <v>27054497</v>
      </c>
      <c r="G266" s="79">
        <v>2.1037384492300001E-8</v>
      </c>
      <c r="H266" s="59"/>
    </row>
    <row r="267" spans="2:8" x14ac:dyDescent="0.2">
      <c r="B267" s="59">
        <v>87</v>
      </c>
      <c r="C267" s="59" t="s">
        <v>7254</v>
      </c>
      <c r="D267" s="59" t="s">
        <v>7255</v>
      </c>
      <c r="E267" s="59">
        <v>6</v>
      </c>
      <c r="F267" s="59">
        <v>27091425</v>
      </c>
      <c r="G267" s="79">
        <v>9.5350194603399998E-33</v>
      </c>
      <c r="H267" s="59"/>
    </row>
    <row r="268" spans="2:8" x14ac:dyDescent="0.2">
      <c r="B268" s="59">
        <v>87</v>
      </c>
      <c r="C268" s="59" t="s">
        <v>7256</v>
      </c>
      <c r="D268" s="59" t="s">
        <v>7257</v>
      </c>
      <c r="E268" s="59">
        <v>6</v>
      </c>
      <c r="F268" s="59">
        <v>27114052</v>
      </c>
      <c r="G268" s="79">
        <v>5.01659357724E-11</v>
      </c>
      <c r="H268" s="59"/>
    </row>
    <row r="269" spans="2:8" x14ac:dyDescent="0.2">
      <c r="B269" s="59">
        <v>87</v>
      </c>
      <c r="C269" s="59" t="s">
        <v>7258</v>
      </c>
      <c r="D269" s="59" t="s">
        <v>7259</v>
      </c>
      <c r="E269" s="59">
        <v>6</v>
      </c>
      <c r="F269" s="59">
        <v>27249202</v>
      </c>
      <c r="G269" s="79">
        <v>3.7295018923899998E-9</v>
      </c>
      <c r="H269" s="59"/>
    </row>
    <row r="270" spans="2:8" x14ac:dyDescent="0.2">
      <c r="B270" s="59">
        <v>87</v>
      </c>
      <c r="C270" s="59" t="s">
        <v>7260</v>
      </c>
      <c r="D270" s="59" t="s">
        <v>7261</v>
      </c>
      <c r="E270" s="59">
        <v>6</v>
      </c>
      <c r="F270" s="59">
        <v>27254475</v>
      </c>
      <c r="G270" s="79">
        <v>5.37855520524E-26</v>
      </c>
      <c r="H270" s="59"/>
    </row>
    <row r="271" spans="2:8" x14ac:dyDescent="0.2">
      <c r="B271" s="59">
        <v>87</v>
      </c>
      <c r="C271" s="59" t="s">
        <v>7262</v>
      </c>
      <c r="D271" s="59" t="s">
        <v>7263</v>
      </c>
      <c r="E271" s="59">
        <v>6</v>
      </c>
      <c r="F271" s="59">
        <v>27254967</v>
      </c>
      <c r="G271" s="79">
        <v>3.5553470299899998E-15</v>
      </c>
      <c r="H271" s="59"/>
    </row>
    <row r="272" spans="2:8" x14ac:dyDescent="0.2">
      <c r="B272" s="59">
        <v>87</v>
      </c>
      <c r="C272" s="59" t="s">
        <v>7264</v>
      </c>
      <c r="D272" s="59" t="s">
        <v>7265</v>
      </c>
      <c r="E272" s="59">
        <v>6</v>
      </c>
      <c r="F272" s="59">
        <v>27261324</v>
      </c>
      <c r="G272" s="79">
        <v>7.9976558174099995E-34</v>
      </c>
      <c r="H272" s="59"/>
    </row>
    <row r="273" spans="2:8" x14ac:dyDescent="0.2">
      <c r="B273" s="59">
        <v>87</v>
      </c>
      <c r="C273" s="59" t="s">
        <v>7266</v>
      </c>
      <c r="D273" s="59" t="s">
        <v>7267</v>
      </c>
      <c r="E273" s="59">
        <v>6</v>
      </c>
      <c r="F273" s="59">
        <v>27270261</v>
      </c>
      <c r="G273" s="79">
        <v>4.5166990950099999E-11</v>
      </c>
      <c r="H273" s="59"/>
    </row>
    <row r="274" spans="2:8" x14ac:dyDescent="0.2">
      <c r="B274" s="59">
        <v>87</v>
      </c>
      <c r="C274" s="59" t="s">
        <v>7268</v>
      </c>
      <c r="D274" s="59" t="s">
        <v>7269</v>
      </c>
      <c r="E274" s="59">
        <v>6</v>
      </c>
      <c r="F274" s="59">
        <v>27307817</v>
      </c>
      <c r="G274" s="79">
        <v>1.8387763762999999E-8</v>
      </c>
      <c r="H274" s="59"/>
    </row>
    <row r="275" spans="2:8" x14ac:dyDescent="0.2">
      <c r="B275" s="59">
        <v>87</v>
      </c>
      <c r="C275" s="59" t="s">
        <v>7270</v>
      </c>
      <c r="D275" s="59" t="s">
        <v>7271</v>
      </c>
      <c r="E275" s="59">
        <v>6</v>
      </c>
      <c r="F275" s="59">
        <v>27311658</v>
      </c>
      <c r="G275" s="79">
        <v>8.2039971923300003E-12</v>
      </c>
      <c r="H275" s="59"/>
    </row>
    <row r="276" spans="2:8" x14ac:dyDescent="0.2">
      <c r="B276" s="59">
        <v>87</v>
      </c>
      <c r="C276" s="59" t="s">
        <v>7272</v>
      </c>
      <c r="D276" s="59" t="s">
        <v>7273</v>
      </c>
      <c r="E276" s="59">
        <v>6</v>
      </c>
      <c r="F276" s="59">
        <v>27430126</v>
      </c>
      <c r="G276" s="79">
        <v>7.80255345554E-11</v>
      </c>
      <c r="H276" s="59"/>
    </row>
    <row r="277" spans="2:8" x14ac:dyDescent="0.2">
      <c r="B277" s="59">
        <v>87</v>
      </c>
      <c r="C277" s="59" t="s">
        <v>7274</v>
      </c>
      <c r="D277" s="59" t="s">
        <v>7275</v>
      </c>
      <c r="E277" s="59">
        <v>6</v>
      </c>
      <c r="F277" s="59">
        <v>27455138</v>
      </c>
      <c r="G277" s="79">
        <v>2.6970442254899998E-8</v>
      </c>
      <c r="H277" s="59"/>
    </row>
    <row r="278" spans="2:8" x14ac:dyDescent="0.2">
      <c r="B278" s="59">
        <v>87</v>
      </c>
      <c r="C278" s="59" t="s">
        <v>7276</v>
      </c>
      <c r="D278" s="59" t="s">
        <v>7277</v>
      </c>
      <c r="E278" s="59">
        <v>6</v>
      </c>
      <c r="F278" s="59">
        <v>27689939</v>
      </c>
      <c r="G278" s="79">
        <v>3.3785071859499997E-27</v>
      </c>
      <c r="H278" s="59"/>
    </row>
    <row r="279" spans="2:8" x14ac:dyDescent="0.2">
      <c r="B279" s="59">
        <v>87</v>
      </c>
      <c r="C279" s="59" t="s">
        <v>7278</v>
      </c>
      <c r="D279" s="59" t="s">
        <v>7279</v>
      </c>
      <c r="E279" s="59">
        <v>6</v>
      </c>
      <c r="F279" s="59">
        <v>27710165</v>
      </c>
      <c r="G279" s="79">
        <v>1.8282480585600001E-50</v>
      </c>
      <c r="H279" s="59"/>
    </row>
    <row r="280" spans="2:8" x14ac:dyDescent="0.2">
      <c r="B280" s="59">
        <v>87</v>
      </c>
      <c r="C280" s="59" t="s">
        <v>7280</v>
      </c>
      <c r="D280" s="59" t="s">
        <v>7281</v>
      </c>
      <c r="E280" s="59">
        <v>6</v>
      </c>
      <c r="F280" s="59">
        <v>27731755</v>
      </c>
      <c r="G280" s="79">
        <v>4.9050020476899999E-17</v>
      </c>
      <c r="H280" s="59"/>
    </row>
    <row r="281" spans="2:8" x14ac:dyDescent="0.2">
      <c r="B281" s="59">
        <v>87</v>
      </c>
      <c r="C281" s="59" t="s">
        <v>7282</v>
      </c>
      <c r="D281" s="59" t="s">
        <v>7283</v>
      </c>
      <c r="E281" s="59">
        <v>6</v>
      </c>
      <c r="F281" s="59">
        <v>27835930</v>
      </c>
      <c r="G281" s="79">
        <v>3.7931374692900002E-10</v>
      </c>
      <c r="H281" s="59"/>
    </row>
    <row r="282" spans="2:8" x14ac:dyDescent="0.2">
      <c r="B282" s="59">
        <v>87</v>
      </c>
      <c r="C282" s="59" t="s">
        <v>7284</v>
      </c>
      <c r="D282" s="59" t="s">
        <v>7285</v>
      </c>
      <c r="E282" s="59">
        <v>6</v>
      </c>
      <c r="F282" s="59">
        <v>27839746</v>
      </c>
      <c r="G282" s="79">
        <v>1.84646140006E-20</v>
      </c>
      <c r="H282" s="59"/>
    </row>
    <row r="283" spans="2:8" x14ac:dyDescent="0.2">
      <c r="B283" s="59">
        <v>87</v>
      </c>
      <c r="C283" s="59" t="s">
        <v>7286</v>
      </c>
      <c r="D283" s="59" t="s">
        <v>7287</v>
      </c>
      <c r="E283" s="59">
        <v>6</v>
      </c>
      <c r="F283" s="59">
        <v>27866384</v>
      </c>
      <c r="G283" s="79">
        <v>1.3001857280299999E-19</v>
      </c>
      <c r="H283" s="59"/>
    </row>
    <row r="284" spans="2:8" x14ac:dyDescent="0.2">
      <c r="B284" s="59">
        <v>87</v>
      </c>
      <c r="C284" s="59" t="s">
        <v>7288</v>
      </c>
      <c r="D284" s="59" t="s">
        <v>7289</v>
      </c>
      <c r="E284" s="59">
        <v>6</v>
      </c>
      <c r="F284" s="59">
        <v>28011516</v>
      </c>
      <c r="G284" s="79">
        <v>2.06977799832E-27</v>
      </c>
      <c r="H284" s="59"/>
    </row>
    <row r="285" spans="2:8" x14ac:dyDescent="0.2">
      <c r="B285" s="59">
        <v>87</v>
      </c>
      <c r="C285" s="59" t="s">
        <v>7290</v>
      </c>
      <c r="D285" s="59" t="s">
        <v>7291</v>
      </c>
      <c r="E285" s="59">
        <v>6</v>
      </c>
      <c r="F285" s="59">
        <v>28039586</v>
      </c>
      <c r="G285" s="79">
        <v>4.7953109417900004E-16</v>
      </c>
      <c r="H285" s="59"/>
    </row>
    <row r="286" spans="2:8" x14ac:dyDescent="0.2">
      <c r="B286" s="59">
        <v>87</v>
      </c>
      <c r="C286" s="59" t="s">
        <v>7292</v>
      </c>
      <c r="D286" s="59" t="s">
        <v>7293</v>
      </c>
      <c r="E286" s="59">
        <v>6</v>
      </c>
      <c r="F286" s="59">
        <v>28199937</v>
      </c>
      <c r="G286" s="79">
        <v>1.35856836238E-11</v>
      </c>
      <c r="H286" s="59"/>
    </row>
    <row r="287" spans="2:8" x14ac:dyDescent="0.2">
      <c r="B287" s="59">
        <v>87</v>
      </c>
      <c r="C287" s="59" t="s">
        <v>7294</v>
      </c>
      <c r="D287" s="59" t="s">
        <v>7295</v>
      </c>
      <c r="E287" s="59">
        <v>6</v>
      </c>
      <c r="F287" s="59">
        <v>28240991</v>
      </c>
      <c r="G287" s="79">
        <v>2.05448684537E-8</v>
      </c>
      <c r="H287" s="59"/>
    </row>
    <row r="288" spans="2:8" x14ac:dyDescent="0.2">
      <c r="B288" s="59">
        <v>87</v>
      </c>
      <c r="C288" s="59" t="s">
        <v>7296</v>
      </c>
      <c r="D288" s="59" t="s">
        <v>7297</v>
      </c>
      <c r="E288" s="59">
        <v>6</v>
      </c>
      <c r="F288" s="59">
        <v>28279100</v>
      </c>
      <c r="G288" s="79">
        <v>1.1084028706E-19</v>
      </c>
      <c r="H288" s="59"/>
    </row>
    <row r="289" spans="2:8" x14ac:dyDescent="0.2">
      <c r="B289" s="59">
        <v>87</v>
      </c>
      <c r="C289" s="59" t="s">
        <v>7298</v>
      </c>
      <c r="D289" s="59" t="s">
        <v>7299</v>
      </c>
      <c r="E289" s="59">
        <v>6</v>
      </c>
      <c r="F289" s="59">
        <v>28301099</v>
      </c>
      <c r="G289" s="79">
        <v>6.6971808398299993E-27</v>
      </c>
      <c r="H289" s="59"/>
    </row>
    <row r="290" spans="2:8" x14ac:dyDescent="0.2">
      <c r="B290" s="59">
        <v>87</v>
      </c>
      <c r="C290" s="59" t="s">
        <v>7300</v>
      </c>
      <c r="D290" s="59" t="s">
        <v>7301</v>
      </c>
      <c r="E290" s="59">
        <v>6</v>
      </c>
      <c r="F290" s="59">
        <v>28330264</v>
      </c>
      <c r="G290" s="79">
        <v>1.0613911538200001E-12</v>
      </c>
      <c r="H290" s="59"/>
    </row>
    <row r="291" spans="2:8" x14ac:dyDescent="0.2">
      <c r="B291" s="59">
        <v>87</v>
      </c>
      <c r="C291" s="59" t="s">
        <v>7302</v>
      </c>
      <c r="D291" s="59" t="s">
        <v>7303</v>
      </c>
      <c r="E291" s="59">
        <v>6</v>
      </c>
      <c r="F291" s="59">
        <v>28415572</v>
      </c>
      <c r="G291" s="79">
        <v>8.6015677600299995E-12</v>
      </c>
      <c r="H291" s="59"/>
    </row>
    <row r="292" spans="2:8" x14ac:dyDescent="0.2">
      <c r="B292" s="59">
        <v>87</v>
      </c>
      <c r="C292" s="59" t="s">
        <v>7304</v>
      </c>
      <c r="D292" s="59" t="s">
        <v>7305</v>
      </c>
      <c r="E292" s="59">
        <v>6</v>
      </c>
      <c r="F292" s="59">
        <v>28418039</v>
      </c>
      <c r="G292" s="79">
        <v>4.7323035700399998E-10</v>
      </c>
      <c r="H292" s="59"/>
    </row>
    <row r="293" spans="2:8" x14ac:dyDescent="0.2">
      <c r="B293" s="59">
        <v>88</v>
      </c>
      <c r="C293" s="59" t="s">
        <v>7306</v>
      </c>
      <c r="D293" s="59" t="s">
        <v>7307</v>
      </c>
      <c r="E293" s="59">
        <v>6</v>
      </c>
      <c r="F293" s="59">
        <v>33395199</v>
      </c>
      <c r="G293" s="79">
        <v>2.63197870976E-14</v>
      </c>
      <c r="H293" s="59"/>
    </row>
    <row r="294" spans="2:8" x14ac:dyDescent="0.2">
      <c r="B294" s="59">
        <v>88</v>
      </c>
      <c r="C294" s="59" t="s">
        <v>7308</v>
      </c>
      <c r="D294" s="59" t="s">
        <v>7309</v>
      </c>
      <c r="E294" s="59">
        <v>6</v>
      </c>
      <c r="F294" s="59">
        <v>33401291</v>
      </c>
      <c r="G294" s="79">
        <v>9.9463815034299997E-10</v>
      </c>
      <c r="H294" s="59"/>
    </row>
    <row r="295" spans="2:8" x14ac:dyDescent="0.2">
      <c r="B295" s="59">
        <v>88</v>
      </c>
      <c r="C295" s="59" t="s">
        <v>7310</v>
      </c>
      <c r="D295" s="59" t="s">
        <v>7311</v>
      </c>
      <c r="E295" s="59">
        <v>6</v>
      </c>
      <c r="F295" s="59">
        <v>33518977</v>
      </c>
      <c r="G295" s="79">
        <v>2.2419492383E-11</v>
      </c>
      <c r="H295" s="59"/>
    </row>
    <row r="296" spans="2:8" x14ac:dyDescent="0.2">
      <c r="B296" s="59">
        <v>88</v>
      </c>
      <c r="C296" s="59" t="s">
        <v>7312</v>
      </c>
      <c r="D296" s="59" t="s">
        <v>7313</v>
      </c>
      <c r="E296" s="59">
        <v>6</v>
      </c>
      <c r="F296" s="59">
        <v>33537546</v>
      </c>
      <c r="G296" s="79">
        <v>1.2020270486100001E-11</v>
      </c>
      <c r="H296" s="59"/>
    </row>
    <row r="297" spans="2:8" x14ac:dyDescent="0.2">
      <c r="B297" s="59">
        <v>88</v>
      </c>
      <c r="C297" s="59" t="s">
        <v>7314</v>
      </c>
      <c r="D297" s="59" t="s">
        <v>7315</v>
      </c>
      <c r="E297" s="59">
        <v>6</v>
      </c>
      <c r="F297" s="59">
        <v>33545340</v>
      </c>
      <c r="G297" s="79">
        <v>1.0849221593899999E-9</v>
      </c>
      <c r="H297" s="59"/>
    </row>
    <row r="298" spans="2:8" x14ac:dyDescent="0.2">
      <c r="B298" s="59">
        <v>88</v>
      </c>
      <c r="C298" s="59" t="s">
        <v>7316</v>
      </c>
      <c r="D298" s="59" t="s">
        <v>7317</v>
      </c>
      <c r="E298" s="59">
        <v>6</v>
      </c>
      <c r="F298" s="59">
        <v>33622436</v>
      </c>
      <c r="G298" s="79">
        <v>6.3746562061E-9</v>
      </c>
      <c r="H298" s="59"/>
    </row>
    <row r="299" spans="2:8" x14ac:dyDescent="0.2">
      <c r="B299" s="59">
        <v>88</v>
      </c>
      <c r="C299" s="59" t="s">
        <v>7318</v>
      </c>
      <c r="D299" s="59" t="s">
        <v>7319</v>
      </c>
      <c r="E299" s="59">
        <v>6</v>
      </c>
      <c r="F299" s="59">
        <v>33627077</v>
      </c>
      <c r="G299" s="79">
        <v>7.0597690780499998E-9</v>
      </c>
      <c r="H299" s="59"/>
    </row>
    <row r="300" spans="2:8" x14ac:dyDescent="0.2">
      <c r="B300" s="59">
        <v>88</v>
      </c>
      <c r="C300" s="59" t="s">
        <v>7320</v>
      </c>
      <c r="D300" s="59" t="s">
        <v>7321</v>
      </c>
      <c r="E300" s="59">
        <v>6</v>
      </c>
      <c r="F300" s="59">
        <v>33650812</v>
      </c>
      <c r="G300" s="79">
        <v>7.6470511254099993E-12</v>
      </c>
      <c r="H300" s="59"/>
    </row>
    <row r="301" spans="2:8" x14ac:dyDescent="0.2">
      <c r="B301" s="59">
        <v>88</v>
      </c>
      <c r="C301" s="59" t="s">
        <v>7322</v>
      </c>
      <c r="D301" s="59" t="s">
        <v>7323</v>
      </c>
      <c r="E301" s="59">
        <v>6</v>
      </c>
      <c r="F301" s="59">
        <v>33662265</v>
      </c>
      <c r="G301" s="79">
        <v>1.39442776188E-8</v>
      </c>
      <c r="H301" s="59"/>
    </row>
    <row r="302" spans="2:8" x14ac:dyDescent="0.2">
      <c r="B302" s="59">
        <v>88</v>
      </c>
      <c r="C302" s="59" t="s">
        <v>7324</v>
      </c>
      <c r="D302" s="59" t="s">
        <v>7325</v>
      </c>
      <c r="E302" s="59">
        <v>6</v>
      </c>
      <c r="F302" s="59">
        <v>33734419</v>
      </c>
      <c r="G302" s="79">
        <v>1.4962453294800001E-8</v>
      </c>
      <c r="H302" s="59"/>
    </row>
    <row r="303" spans="2:8" x14ac:dyDescent="0.2">
      <c r="B303" s="59">
        <v>88</v>
      </c>
      <c r="C303" s="59" t="s">
        <v>7326</v>
      </c>
      <c r="D303" s="59" t="s">
        <v>7327</v>
      </c>
      <c r="E303" s="59">
        <v>6</v>
      </c>
      <c r="F303" s="59">
        <v>33767727</v>
      </c>
      <c r="G303" s="79">
        <v>5.3876963285200001E-11</v>
      </c>
      <c r="H303" s="59"/>
    </row>
    <row r="304" spans="2:8" x14ac:dyDescent="0.2">
      <c r="B304" s="59">
        <v>88</v>
      </c>
      <c r="C304" s="59" t="s">
        <v>7328</v>
      </c>
      <c r="D304" s="59" t="s">
        <v>7329</v>
      </c>
      <c r="E304" s="59">
        <v>6</v>
      </c>
      <c r="F304" s="59">
        <v>33796794</v>
      </c>
      <c r="G304" s="79">
        <v>8.9933866613699994E-11</v>
      </c>
      <c r="H304" s="59"/>
    </row>
    <row r="305" spans="2:8" x14ac:dyDescent="0.2">
      <c r="B305" s="59">
        <v>89</v>
      </c>
      <c r="C305" s="59" t="s">
        <v>7330</v>
      </c>
      <c r="D305" s="59" t="s">
        <v>7331</v>
      </c>
      <c r="E305" s="59">
        <v>6</v>
      </c>
      <c r="F305" s="59">
        <v>43152573</v>
      </c>
      <c r="G305" s="79">
        <v>2.7629472965300001E-12</v>
      </c>
      <c r="H305" s="59"/>
    </row>
    <row r="306" spans="2:8" x14ac:dyDescent="0.2">
      <c r="B306" s="59">
        <v>89</v>
      </c>
      <c r="C306" s="59" t="s">
        <v>7332</v>
      </c>
      <c r="D306" s="59" t="s">
        <v>7333</v>
      </c>
      <c r="E306" s="59">
        <v>6</v>
      </c>
      <c r="F306" s="59">
        <v>43157222</v>
      </c>
      <c r="G306" s="79">
        <v>7.9270516814899994E-11</v>
      </c>
      <c r="H306" s="59"/>
    </row>
    <row r="307" spans="2:8" x14ac:dyDescent="0.2">
      <c r="B307" s="59">
        <v>89</v>
      </c>
      <c r="C307" s="59" t="s">
        <v>7334</v>
      </c>
      <c r="D307" s="59" t="s">
        <v>7335</v>
      </c>
      <c r="E307" s="59">
        <v>6</v>
      </c>
      <c r="F307" s="59">
        <v>43160375</v>
      </c>
      <c r="G307" s="79">
        <v>7.0591585971599997E-12</v>
      </c>
      <c r="H307" s="59"/>
    </row>
    <row r="308" spans="2:8" x14ac:dyDescent="0.2">
      <c r="B308" s="59">
        <v>89</v>
      </c>
      <c r="C308" s="59" t="s">
        <v>7336</v>
      </c>
      <c r="D308" s="59" t="s">
        <v>7337</v>
      </c>
      <c r="E308" s="59">
        <v>6</v>
      </c>
      <c r="F308" s="59">
        <v>43189375</v>
      </c>
      <c r="G308" s="79">
        <v>3.6225064816499999E-8</v>
      </c>
      <c r="H308" s="59"/>
    </row>
    <row r="309" spans="2:8" x14ac:dyDescent="0.2">
      <c r="B309" s="59">
        <v>89</v>
      </c>
      <c r="C309" s="59" t="s">
        <v>7338</v>
      </c>
      <c r="D309" s="59" t="s">
        <v>7339</v>
      </c>
      <c r="E309" s="59">
        <v>6</v>
      </c>
      <c r="F309" s="59">
        <v>43230970</v>
      </c>
      <c r="G309" s="79">
        <v>9.2146623513400004E-9</v>
      </c>
      <c r="H309" s="59"/>
    </row>
    <row r="310" spans="2:8" x14ac:dyDescent="0.2">
      <c r="B310" s="59">
        <v>89</v>
      </c>
      <c r="C310" s="59" t="s">
        <v>7340</v>
      </c>
      <c r="D310" s="59" t="s">
        <v>7341</v>
      </c>
      <c r="E310" s="59">
        <v>6</v>
      </c>
      <c r="F310" s="59">
        <v>43234901</v>
      </c>
      <c r="G310" s="79">
        <v>1.2882620499299999E-9</v>
      </c>
      <c r="H310" s="59"/>
    </row>
    <row r="311" spans="2:8" x14ac:dyDescent="0.2">
      <c r="B311" s="59">
        <v>89</v>
      </c>
      <c r="C311" s="59" t="s">
        <v>7342</v>
      </c>
      <c r="D311" s="59" t="s">
        <v>7343</v>
      </c>
      <c r="E311" s="59">
        <v>6</v>
      </c>
      <c r="F311" s="59">
        <v>43279144</v>
      </c>
      <c r="G311" s="79">
        <v>5.9789556454600002E-9</v>
      </c>
      <c r="H311" s="59"/>
    </row>
    <row r="312" spans="2:8" x14ac:dyDescent="0.2">
      <c r="B312" s="59">
        <v>90</v>
      </c>
      <c r="C312" s="59" t="s">
        <v>7344</v>
      </c>
      <c r="D312" s="59" t="s">
        <v>7345</v>
      </c>
      <c r="E312" s="59">
        <v>6</v>
      </c>
      <c r="F312" s="59">
        <v>50848522</v>
      </c>
      <c r="G312" s="79">
        <v>1.4385390038100001E-9</v>
      </c>
      <c r="H312" s="59"/>
    </row>
    <row r="313" spans="2:8" x14ac:dyDescent="0.2">
      <c r="B313" s="59">
        <v>91</v>
      </c>
      <c r="C313" s="59" t="s">
        <v>7346</v>
      </c>
      <c r="D313" s="59" t="s">
        <v>7347</v>
      </c>
      <c r="E313" s="59">
        <v>6</v>
      </c>
      <c r="F313" s="59">
        <v>69677917</v>
      </c>
      <c r="G313" s="79">
        <v>1.8660924558899999E-8</v>
      </c>
      <c r="H313" s="59"/>
    </row>
    <row r="314" spans="2:8" x14ac:dyDescent="0.2">
      <c r="B314" s="59">
        <v>92</v>
      </c>
      <c r="C314" s="59" t="s">
        <v>7348</v>
      </c>
      <c r="D314" s="59" t="s">
        <v>7349</v>
      </c>
      <c r="E314" s="59">
        <v>6</v>
      </c>
      <c r="F314" s="59">
        <v>73123371</v>
      </c>
      <c r="G314" s="79">
        <v>2.0478982160400001E-8</v>
      </c>
      <c r="H314" s="59"/>
    </row>
    <row r="315" spans="2:8" x14ac:dyDescent="0.2">
      <c r="B315" s="59">
        <v>92</v>
      </c>
      <c r="C315" s="59" t="s">
        <v>7350</v>
      </c>
      <c r="D315" s="59" t="s">
        <v>7351</v>
      </c>
      <c r="E315" s="59">
        <v>6</v>
      </c>
      <c r="F315" s="59">
        <v>73157926</v>
      </c>
      <c r="G315" s="79">
        <v>8.4043713942200002E-10</v>
      </c>
      <c r="H315" s="59"/>
    </row>
    <row r="316" spans="2:8" x14ac:dyDescent="0.2">
      <c r="B316" s="59">
        <v>93</v>
      </c>
      <c r="C316" s="59" t="s">
        <v>7352</v>
      </c>
      <c r="D316" s="59" t="s">
        <v>7353</v>
      </c>
      <c r="E316" s="59">
        <v>6</v>
      </c>
      <c r="F316" s="59">
        <v>77937077</v>
      </c>
      <c r="G316" s="79">
        <v>3.0526182857500001E-8</v>
      </c>
      <c r="H316" s="59"/>
    </row>
    <row r="317" spans="2:8" x14ac:dyDescent="0.2">
      <c r="B317" s="59">
        <v>93</v>
      </c>
      <c r="C317" s="59" t="s">
        <v>7354</v>
      </c>
      <c r="D317" s="59" t="s">
        <v>7355</v>
      </c>
      <c r="E317" s="59">
        <v>6</v>
      </c>
      <c r="F317" s="59">
        <v>77944652</v>
      </c>
      <c r="G317" s="79">
        <v>4.33588618076E-8</v>
      </c>
      <c r="H317" s="59"/>
    </row>
    <row r="318" spans="2:8" x14ac:dyDescent="0.2">
      <c r="B318" s="59">
        <v>94</v>
      </c>
      <c r="C318" s="59" t="s">
        <v>7356</v>
      </c>
      <c r="D318" s="59" t="s">
        <v>7357</v>
      </c>
      <c r="E318" s="59">
        <v>6</v>
      </c>
      <c r="F318" s="59">
        <v>84257557</v>
      </c>
      <c r="G318" s="79">
        <v>1.44699443207E-8</v>
      </c>
      <c r="H318" s="59"/>
    </row>
    <row r="319" spans="2:8" x14ac:dyDescent="0.2">
      <c r="B319" s="59">
        <v>94</v>
      </c>
      <c r="C319" s="59" t="s">
        <v>7358</v>
      </c>
      <c r="D319" s="59" t="s">
        <v>7359</v>
      </c>
      <c r="E319" s="59">
        <v>6</v>
      </c>
      <c r="F319" s="59">
        <v>84293271</v>
      </c>
      <c r="G319" s="79">
        <v>1.5088060555499999E-10</v>
      </c>
      <c r="H319" s="59"/>
    </row>
    <row r="320" spans="2:8" x14ac:dyDescent="0.2">
      <c r="B320" s="59">
        <v>95</v>
      </c>
      <c r="C320" s="59" t="s">
        <v>7360</v>
      </c>
      <c r="D320" s="59" t="s">
        <v>7361</v>
      </c>
      <c r="E320" s="59">
        <v>6</v>
      </c>
      <c r="F320" s="59">
        <v>90857028</v>
      </c>
      <c r="G320" s="79">
        <v>2.68020482019E-8</v>
      </c>
      <c r="H320" s="59"/>
    </row>
    <row r="321" spans="2:8" x14ac:dyDescent="0.2">
      <c r="B321" s="59">
        <v>96</v>
      </c>
      <c r="C321" s="59" t="s">
        <v>7362</v>
      </c>
      <c r="D321" s="59" t="s">
        <v>7363</v>
      </c>
      <c r="E321" s="59">
        <v>6</v>
      </c>
      <c r="F321" s="59">
        <v>93067628</v>
      </c>
      <c r="G321" s="79">
        <v>2.5020014365699999E-8</v>
      </c>
      <c r="H321" s="59"/>
    </row>
    <row r="322" spans="2:8" x14ac:dyDescent="0.2">
      <c r="B322" s="59">
        <v>96</v>
      </c>
      <c r="C322" s="59" t="s">
        <v>7364</v>
      </c>
      <c r="D322" s="59" t="s">
        <v>7365</v>
      </c>
      <c r="E322" s="59">
        <v>6</v>
      </c>
      <c r="F322" s="59">
        <v>93077500</v>
      </c>
      <c r="G322" s="79">
        <v>8.2379053795499997E-10</v>
      </c>
      <c r="H322" s="59"/>
    </row>
    <row r="323" spans="2:8" x14ac:dyDescent="0.2">
      <c r="B323" s="59">
        <v>96</v>
      </c>
      <c r="C323" s="59" t="s">
        <v>7366</v>
      </c>
      <c r="D323" s="59" t="s">
        <v>7367</v>
      </c>
      <c r="E323" s="59">
        <v>6</v>
      </c>
      <c r="F323" s="59">
        <v>93148341</v>
      </c>
      <c r="G323" s="79">
        <v>6.7143490300499997E-10</v>
      </c>
      <c r="H323" s="59"/>
    </row>
    <row r="324" spans="2:8" x14ac:dyDescent="0.2">
      <c r="B324" s="59">
        <v>97</v>
      </c>
      <c r="C324" s="59" t="s">
        <v>7368</v>
      </c>
      <c r="D324" s="59" t="s">
        <v>7369</v>
      </c>
      <c r="E324" s="59">
        <v>6</v>
      </c>
      <c r="F324" s="59">
        <v>108988184</v>
      </c>
      <c r="G324" s="79">
        <v>9.3260261693700002E-9</v>
      </c>
      <c r="H324" s="59"/>
    </row>
    <row r="325" spans="2:8" x14ac:dyDescent="0.2">
      <c r="B325" s="59">
        <v>98</v>
      </c>
      <c r="C325" s="59" t="s">
        <v>7370</v>
      </c>
      <c r="D325" s="59" t="s">
        <v>7371</v>
      </c>
      <c r="E325" s="59">
        <v>6</v>
      </c>
      <c r="F325" s="59">
        <v>111822689</v>
      </c>
      <c r="G325" s="79">
        <v>4.6232979223200002E-8</v>
      </c>
      <c r="H325" s="59"/>
    </row>
    <row r="326" spans="2:8" x14ac:dyDescent="0.2">
      <c r="B326" s="59">
        <v>99</v>
      </c>
      <c r="C326" s="59" t="s">
        <v>7372</v>
      </c>
      <c r="D326" s="59" t="s">
        <v>7373</v>
      </c>
      <c r="E326" s="59">
        <v>6</v>
      </c>
      <c r="F326" s="59">
        <v>125027239</v>
      </c>
      <c r="G326" s="79">
        <v>6.30939937469E-9</v>
      </c>
      <c r="H326" s="59"/>
    </row>
    <row r="327" spans="2:8" x14ac:dyDescent="0.2">
      <c r="B327" s="59">
        <v>100</v>
      </c>
      <c r="C327" s="59" t="s">
        <v>7374</v>
      </c>
      <c r="D327" s="59" t="s">
        <v>7375</v>
      </c>
      <c r="E327" s="59">
        <v>6</v>
      </c>
      <c r="F327" s="59">
        <v>146743039</v>
      </c>
      <c r="G327" s="79">
        <v>1.39220226261E-8</v>
      </c>
      <c r="H327" s="59"/>
    </row>
    <row r="328" spans="2:8" x14ac:dyDescent="0.2">
      <c r="B328" s="59">
        <v>101</v>
      </c>
      <c r="C328" s="59" t="s">
        <v>7376</v>
      </c>
      <c r="D328" s="59" t="s">
        <v>7377</v>
      </c>
      <c r="E328" s="59">
        <v>6</v>
      </c>
      <c r="F328" s="59">
        <v>152833038</v>
      </c>
      <c r="G328" s="79">
        <v>3.7782729707200002E-8</v>
      </c>
      <c r="H328" s="59"/>
    </row>
    <row r="329" spans="2:8" x14ac:dyDescent="0.2">
      <c r="B329" s="59">
        <v>102</v>
      </c>
      <c r="C329" s="59" t="s">
        <v>7378</v>
      </c>
      <c r="D329" s="59" t="s">
        <v>7379</v>
      </c>
      <c r="E329" s="59">
        <v>6</v>
      </c>
      <c r="F329" s="59">
        <v>163833535</v>
      </c>
      <c r="G329" s="79">
        <v>1.68510953149E-8</v>
      </c>
      <c r="H329" s="59"/>
    </row>
    <row r="330" spans="2:8" x14ac:dyDescent="0.2">
      <c r="B330" s="59">
        <v>103</v>
      </c>
      <c r="C330" s="59" t="s">
        <v>7380</v>
      </c>
      <c r="D330" s="59" t="s">
        <v>7381</v>
      </c>
      <c r="E330" s="59">
        <v>7</v>
      </c>
      <c r="F330" s="59">
        <v>1858618</v>
      </c>
      <c r="G330" s="79">
        <v>2.92776130766E-8</v>
      </c>
      <c r="H330" s="59"/>
    </row>
    <row r="331" spans="2:8" x14ac:dyDescent="0.2">
      <c r="B331" s="59">
        <v>103</v>
      </c>
      <c r="C331" s="59" t="s">
        <v>7382</v>
      </c>
      <c r="D331" s="59" t="s">
        <v>7383</v>
      </c>
      <c r="E331" s="59">
        <v>7</v>
      </c>
      <c r="F331" s="59">
        <v>1873756</v>
      </c>
      <c r="G331" s="79">
        <v>4.1196637097699998E-8</v>
      </c>
      <c r="H331" s="59"/>
    </row>
    <row r="332" spans="2:8" x14ac:dyDescent="0.2">
      <c r="B332" s="59">
        <v>103</v>
      </c>
      <c r="C332" s="59" t="s">
        <v>7384</v>
      </c>
      <c r="D332" s="59" t="s">
        <v>7385</v>
      </c>
      <c r="E332" s="59">
        <v>7</v>
      </c>
      <c r="F332" s="59">
        <v>1903100</v>
      </c>
      <c r="G332" s="79">
        <v>1.7100410590599999E-16</v>
      </c>
      <c r="H332" s="59"/>
    </row>
    <row r="333" spans="2:8" x14ac:dyDescent="0.2">
      <c r="B333" s="59">
        <v>103</v>
      </c>
      <c r="C333" s="59" t="s">
        <v>7386</v>
      </c>
      <c r="D333" s="59" t="s">
        <v>7387</v>
      </c>
      <c r="E333" s="59">
        <v>7</v>
      </c>
      <c r="F333" s="59">
        <v>1953615</v>
      </c>
      <c r="G333" s="79">
        <v>4.4943692496400002E-13</v>
      </c>
      <c r="H333" s="59"/>
    </row>
    <row r="334" spans="2:8" x14ac:dyDescent="0.2">
      <c r="B334" s="59">
        <v>103</v>
      </c>
      <c r="C334" s="59" t="s">
        <v>7388</v>
      </c>
      <c r="D334" s="59" t="s">
        <v>7389</v>
      </c>
      <c r="E334" s="59">
        <v>7</v>
      </c>
      <c r="F334" s="59">
        <v>2020995</v>
      </c>
      <c r="G334" s="79">
        <v>8.1089100305499999E-30</v>
      </c>
      <c r="H334" s="59"/>
    </row>
    <row r="335" spans="2:8" x14ac:dyDescent="0.2">
      <c r="B335" s="59">
        <v>103</v>
      </c>
      <c r="C335" s="59" t="s">
        <v>7390</v>
      </c>
      <c r="D335" s="59" t="s">
        <v>7391</v>
      </c>
      <c r="E335" s="59">
        <v>7</v>
      </c>
      <c r="F335" s="59">
        <v>2061111</v>
      </c>
      <c r="G335" s="79">
        <v>4.5060667832700002E-11</v>
      </c>
      <c r="H335" s="59"/>
    </row>
    <row r="336" spans="2:8" x14ac:dyDescent="0.2">
      <c r="B336" s="59">
        <v>103</v>
      </c>
      <c r="C336" s="59" t="s">
        <v>7392</v>
      </c>
      <c r="D336" s="59" t="s">
        <v>7393</v>
      </c>
      <c r="E336" s="59">
        <v>7</v>
      </c>
      <c r="F336" s="59">
        <v>2092885</v>
      </c>
      <c r="G336" s="79">
        <v>2.4130755625099999E-8</v>
      </c>
      <c r="H336" s="59"/>
    </row>
    <row r="337" spans="2:8" x14ac:dyDescent="0.2">
      <c r="B337" s="59">
        <v>103</v>
      </c>
      <c r="C337" s="59" t="s">
        <v>7394</v>
      </c>
      <c r="D337" s="59" t="s">
        <v>7395</v>
      </c>
      <c r="E337" s="59">
        <v>7</v>
      </c>
      <c r="F337" s="59">
        <v>2112506</v>
      </c>
      <c r="G337" s="79">
        <v>5.5364192504499999E-16</v>
      </c>
      <c r="H337" s="59"/>
    </row>
    <row r="338" spans="2:8" x14ac:dyDescent="0.2">
      <c r="B338" s="59">
        <v>103</v>
      </c>
      <c r="C338" s="59" t="s">
        <v>7396</v>
      </c>
      <c r="D338" s="59" t="s">
        <v>7397</v>
      </c>
      <c r="E338" s="59">
        <v>7</v>
      </c>
      <c r="F338" s="59">
        <v>2163800</v>
      </c>
      <c r="G338" s="79">
        <v>1.5208208431799999E-8</v>
      </c>
      <c r="H338" s="59"/>
    </row>
    <row r="339" spans="2:8" x14ac:dyDescent="0.2">
      <c r="B339" s="59">
        <v>103</v>
      </c>
      <c r="C339" s="59" t="s">
        <v>7398</v>
      </c>
      <c r="D339" s="59" t="s">
        <v>7399</v>
      </c>
      <c r="E339" s="59">
        <v>7</v>
      </c>
      <c r="F339" s="59">
        <v>2175313</v>
      </c>
      <c r="G339" s="79">
        <v>1.32002373376E-12</v>
      </c>
      <c r="H339" s="59"/>
    </row>
    <row r="340" spans="2:8" x14ac:dyDescent="0.2">
      <c r="B340" s="59">
        <v>103</v>
      </c>
      <c r="C340" s="59" t="s">
        <v>7400</v>
      </c>
      <c r="D340" s="59" t="s">
        <v>7401</v>
      </c>
      <c r="E340" s="59">
        <v>7</v>
      </c>
      <c r="F340" s="59">
        <v>2212923</v>
      </c>
      <c r="G340" s="79">
        <v>4.72336137973E-9</v>
      </c>
      <c r="H340" s="59"/>
    </row>
    <row r="341" spans="2:8" x14ac:dyDescent="0.2">
      <c r="B341" s="59">
        <v>103</v>
      </c>
      <c r="C341" s="59" t="s">
        <v>7402</v>
      </c>
      <c r="D341" s="59" t="s">
        <v>7403</v>
      </c>
      <c r="E341" s="59">
        <v>7</v>
      </c>
      <c r="F341" s="59">
        <v>2220053</v>
      </c>
      <c r="G341" s="79">
        <v>1.10879452297E-9</v>
      </c>
      <c r="H341" s="59"/>
    </row>
    <row r="342" spans="2:8" x14ac:dyDescent="0.2">
      <c r="B342" s="59">
        <v>103</v>
      </c>
      <c r="C342" s="59" t="s">
        <v>7404</v>
      </c>
      <c r="D342" s="59" t="s">
        <v>7405</v>
      </c>
      <c r="E342" s="59">
        <v>7</v>
      </c>
      <c r="F342" s="59">
        <v>2228848</v>
      </c>
      <c r="G342" s="79">
        <v>6.8337334540699997E-14</v>
      </c>
      <c r="H342" s="59"/>
    </row>
    <row r="343" spans="2:8" x14ac:dyDescent="0.2">
      <c r="B343" s="59">
        <v>103</v>
      </c>
      <c r="C343" s="59" t="s">
        <v>7406</v>
      </c>
      <c r="D343" s="59" t="s">
        <v>7407</v>
      </c>
      <c r="E343" s="59">
        <v>7</v>
      </c>
      <c r="F343" s="59">
        <v>2262941</v>
      </c>
      <c r="G343" s="79">
        <v>2.51946471054E-13</v>
      </c>
      <c r="H343" s="59"/>
    </row>
    <row r="344" spans="2:8" x14ac:dyDescent="0.2">
      <c r="B344" s="59">
        <v>103</v>
      </c>
      <c r="C344" s="59" t="s">
        <v>7408</v>
      </c>
      <c r="D344" s="59" t="s">
        <v>7409</v>
      </c>
      <c r="E344" s="59">
        <v>7</v>
      </c>
      <c r="F344" s="59">
        <v>2286487</v>
      </c>
      <c r="G344" s="79">
        <v>3.7530418855299998E-11</v>
      </c>
      <c r="H344" s="59"/>
    </row>
    <row r="345" spans="2:8" x14ac:dyDescent="0.2">
      <c r="B345" s="59">
        <v>104</v>
      </c>
      <c r="C345" s="59" t="s">
        <v>7410</v>
      </c>
      <c r="D345" s="59" t="s">
        <v>7411</v>
      </c>
      <c r="E345" s="59">
        <v>7</v>
      </c>
      <c r="F345" s="59">
        <v>11871787</v>
      </c>
      <c r="G345" s="79">
        <v>1.2131800619600001E-10</v>
      </c>
      <c r="H345" s="59"/>
    </row>
    <row r="346" spans="2:8" x14ac:dyDescent="0.2">
      <c r="B346" s="59">
        <v>105</v>
      </c>
      <c r="C346" s="59" t="s">
        <v>7412</v>
      </c>
      <c r="D346" s="59" t="s">
        <v>7413</v>
      </c>
      <c r="E346" s="59">
        <v>7</v>
      </c>
      <c r="F346" s="59">
        <v>21474610</v>
      </c>
      <c r="G346" s="79">
        <v>1.1971003254900001E-13</v>
      </c>
      <c r="H346" s="59"/>
    </row>
    <row r="347" spans="2:8" x14ac:dyDescent="0.2">
      <c r="B347" s="59">
        <v>105</v>
      </c>
      <c r="C347" s="59" t="s">
        <v>7414</v>
      </c>
      <c r="D347" s="59" t="s">
        <v>7415</v>
      </c>
      <c r="E347" s="59">
        <v>7</v>
      </c>
      <c r="F347" s="59">
        <v>21483605</v>
      </c>
      <c r="G347" s="79">
        <v>1.9566589783300001E-11</v>
      </c>
      <c r="H347" s="59"/>
    </row>
    <row r="348" spans="2:8" x14ac:dyDescent="0.2">
      <c r="B348" s="59">
        <v>105</v>
      </c>
      <c r="C348" s="59" t="s">
        <v>7416</v>
      </c>
      <c r="D348" s="59" t="s">
        <v>7417</v>
      </c>
      <c r="E348" s="59">
        <v>7</v>
      </c>
      <c r="F348" s="59">
        <v>21485102</v>
      </c>
      <c r="G348" s="79">
        <v>2.9641684969099999E-10</v>
      </c>
      <c r="H348" s="59"/>
    </row>
    <row r="349" spans="2:8" x14ac:dyDescent="0.2">
      <c r="B349" s="59">
        <v>105</v>
      </c>
      <c r="C349" s="59" t="s">
        <v>7418</v>
      </c>
      <c r="D349" s="59" t="s">
        <v>7419</v>
      </c>
      <c r="E349" s="59">
        <v>7</v>
      </c>
      <c r="F349" s="59">
        <v>21520212</v>
      </c>
      <c r="G349" s="79">
        <v>1.8418732216000001E-8</v>
      </c>
      <c r="H349" s="59"/>
    </row>
    <row r="350" spans="2:8" x14ac:dyDescent="0.2">
      <c r="B350" s="59">
        <v>106</v>
      </c>
      <c r="C350" s="59" t="s">
        <v>7420</v>
      </c>
      <c r="D350" s="59" t="s">
        <v>7421</v>
      </c>
      <c r="E350" s="59">
        <v>7</v>
      </c>
      <c r="F350" s="59">
        <v>24606157</v>
      </c>
      <c r="G350" s="79">
        <v>6.2471253282899999E-10</v>
      </c>
      <c r="H350" s="59"/>
    </row>
    <row r="351" spans="2:8" x14ac:dyDescent="0.2">
      <c r="B351" s="59">
        <v>106</v>
      </c>
      <c r="C351" s="59" t="s">
        <v>7422</v>
      </c>
      <c r="D351" s="59" t="s">
        <v>7423</v>
      </c>
      <c r="E351" s="59">
        <v>7</v>
      </c>
      <c r="F351" s="59">
        <v>24647222</v>
      </c>
      <c r="G351" s="79">
        <v>8.3462961217500004E-13</v>
      </c>
      <c r="H351" s="59"/>
    </row>
    <row r="352" spans="2:8" x14ac:dyDescent="0.2">
      <c r="B352" s="59">
        <v>106</v>
      </c>
      <c r="C352" s="59" t="s">
        <v>7424</v>
      </c>
      <c r="D352" s="59" t="s">
        <v>7425</v>
      </c>
      <c r="E352" s="59">
        <v>7</v>
      </c>
      <c r="F352" s="59">
        <v>24719606</v>
      </c>
      <c r="G352" s="79">
        <v>1.0209381611099999E-8</v>
      </c>
      <c r="H352" s="59"/>
    </row>
    <row r="353" spans="2:8" x14ac:dyDescent="0.2">
      <c r="B353" s="59">
        <v>106</v>
      </c>
      <c r="C353" s="59" t="s">
        <v>7426</v>
      </c>
      <c r="D353" s="59" t="s">
        <v>7427</v>
      </c>
      <c r="E353" s="59">
        <v>7</v>
      </c>
      <c r="F353" s="59">
        <v>24799227</v>
      </c>
      <c r="G353" s="79">
        <v>3.9677736028999998E-10</v>
      </c>
      <c r="H353" s="59"/>
    </row>
    <row r="354" spans="2:8" x14ac:dyDescent="0.2">
      <c r="B354" s="59">
        <v>106</v>
      </c>
      <c r="C354" s="59" t="s">
        <v>7428</v>
      </c>
      <c r="D354" s="59" t="s">
        <v>7429</v>
      </c>
      <c r="E354" s="59">
        <v>7</v>
      </c>
      <c r="F354" s="59">
        <v>24835729</v>
      </c>
      <c r="G354" s="79">
        <v>1.42556559688E-8</v>
      </c>
      <c r="H354" s="59"/>
    </row>
    <row r="355" spans="2:8" x14ac:dyDescent="0.2">
      <c r="B355" s="59">
        <v>107</v>
      </c>
      <c r="C355" s="59" t="s">
        <v>7430</v>
      </c>
      <c r="D355" s="59" t="s">
        <v>7431</v>
      </c>
      <c r="E355" s="59">
        <v>7</v>
      </c>
      <c r="F355" s="59">
        <v>70771134</v>
      </c>
      <c r="G355" s="79">
        <v>1.1443207527500001E-9</v>
      </c>
      <c r="H355" s="59"/>
    </row>
    <row r="356" spans="2:8" x14ac:dyDescent="0.2">
      <c r="B356" s="59">
        <v>107</v>
      </c>
      <c r="C356" s="59" t="s">
        <v>7432</v>
      </c>
      <c r="D356" s="59" t="s">
        <v>7433</v>
      </c>
      <c r="E356" s="59">
        <v>7</v>
      </c>
      <c r="F356" s="59">
        <v>70776918</v>
      </c>
      <c r="G356" s="79">
        <v>2.37040082276E-8</v>
      </c>
      <c r="H356" s="59"/>
    </row>
    <row r="357" spans="2:8" x14ac:dyDescent="0.2">
      <c r="B357" s="59">
        <v>108</v>
      </c>
      <c r="C357" s="59" t="s">
        <v>7434</v>
      </c>
      <c r="D357" s="59" t="s">
        <v>7435</v>
      </c>
      <c r="E357" s="59">
        <v>7</v>
      </c>
      <c r="F357" s="59">
        <v>71819852</v>
      </c>
      <c r="G357" s="79">
        <v>2.0792195743999999E-10</v>
      </c>
      <c r="H357" s="59"/>
    </row>
    <row r="358" spans="2:8" x14ac:dyDescent="0.2">
      <c r="B358" s="59">
        <v>109</v>
      </c>
      <c r="C358" s="59" t="s">
        <v>7436</v>
      </c>
      <c r="D358" s="59" t="s">
        <v>7437</v>
      </c>
      <c r="E358" s="59">
        <v>7</v>
      </c>
      <c r="F358" s="59">
        <v>82514138</v>
      </c>
      <c r="G358" s="79">
        <v>4.01526003286E-8</v>
      </c>
      <c r="H358" s="59"/>
    </row>
    <row r="359" spans="2:8" x14ac:dyDescent="0.2">
      <c r="B359" s="59">
        <v>110</v>
      </c>
      <c r="C359" s="59" t="s">
        <v>7438</v>
      </c>
      <c r="D359" s="59" t="s">
        <v>7439</v>
      </c>
      <c r="E359" s="59">
        <v>7</v>
      </c>
      <c r="F359" s="59">
        <v>86222651</v>
      </c>
      <c r="G359" s="79">
        <v>1.2654572204600001E-11</v>
      </c>
      <c r="H359" s="59"/>
    </row>
    <row r="360" spans="2:8" x14ac:dyDescent="0.2">
      <c r="B360" s="59">
        <v>110</v>
      </c>
      <c r="C360" s="59" t="s">
        <v>7440</v>
      </c>
      <c r="D360" s="59" t="s">
        <v>7441</v>
      </c>
      <c r="E360" s="59">
        <v>7</v>
      </c>
      <c r="F360" s="59">
        <v>86403263</v>
      </c>
      <c r="G360" s="79">
        <v>2.0055686715400001E-16</v>
      </c>
      <c r="H360" s="59"/>
    </row>
    <row r="361" spans="2:8" x14ac:dyDescent="0.2">
      <c r="B361" s="59">
        <v>110</v>
      </c>
      <c r="C361" s="59" t="s">
        <v>7442</v>
      </c>
      <c r="D361" s="59" t="s">
        <v>7443</v>
      </c>
      <c r="E361" s="59">
        <v>7</v>
      </c>
      <c r="F361" s="59">
        <v>86422141</v>
      </c>
      <c r="G361" s="79">
        <v>5.32946236242E-11</v>
      </c>
      <c r="H361" s="59"/>
    </row>
    <row r="362" spans="2:8" x14ac:dyDescent="0.2">
      <c r="B362" s="59">
        <v>110</v>
      </c>
      <c r="C362" s="59" t="s">
        <v>7444</v>
      </c>
      <c r="D362" s="59" t="s">
        <v>7445</v>
      </c>
      <c r="E362" s="59">
        <v>7</v>
      </c>
      <c r="F362" s="59">
        <v>86447945</v>
      </c>
      <c r="G362" s="79">
        <v>1.33499277143E-8</v>
      </c>
      <c r="H362" s="59"/>
    </row>
    <row r="363" spans="2:8" x14ac:dyDescent="0.2">
      <c r="B363" s="59">
        <v>110</v>
      </c>
      <c r="C363" s="59" t="s">
        <v>7446</v>
      </c>
      <c r="D363" s="59" t="s">
        <v>7447</v>
      </c>
      <c r="E363" s="59">
        <v>7</v>
      </c>
      <c r="F363" s="59">
        <v>86571305</v>
      </c>
      <c r="G363" s="79">
        <v>6.0352944105000002E-9</v>
      </c>
      <c r="H363" s="59"/>
    </row>
    <row r="364" spans="2:8" x14ac:dyDescent="0.2">
      <c r="B364" s="59">
        <v>111</v>
      </c>
      <c r="C364" s="59" t="s">
        <v>7448</v>
      </c>
      <c r="D364" s="59" t="s">
        <v>7449</v>
      </c>
      <c r="E364" s="59">
        <v>7</v>
      </c>
      <c r="F364" s="59">
        <v>103812171</v>
      </c>
      <c r="G364" s="79">
        <v>5.2889735078800005E-10</v>
      </c>
      <c r="H364" s="59"/>
    </row>
    <row r="365" spans="2:8" x14ac:dyDescent="0.2">
      <c r="B365" s="59">
        <v>112</v>
      </c>
      <c r="C365" s="59" t="s">
        <v>7450</v>
      </c>
      <c r="D365" s="59" t="s">
        <v>7451</v>
      </c>
      <c r="E365" s="59">
        <v>7</v>
      </c>
      <c r="F365" s="59">
        <v>104581510</v>
      </c>
      <c r="G365" s="79">
        <v>3.3522894412099998E-10</v>
      </c>
      <c r="H365" s="59"/>
    </row>
    <row r="366" spans="2:8" x14ac:dyDescent="0.2">
      <c r="B366" s="59">
        <v>112</v>
      </c>
      <c r="C366" s="59" t="s">
        <v>7452</v>
      </c>
      <c r="D366" s="59" t="s">
        <v>7453</v>
      </c>
      <c r="E366" s="59">
        <v>7</v>
      </c>
      <c r="F366" s="59">
        <v>104653265</v>
      </c>
      <c r="G366" s="79">
        <v>1.1423402140599999E-12</v>
      </c>
      <c r="H366" s="59"/>
    </row>
    <row r="367" spans="2:8" x14ac:dyDescent="0.2">
      <c r="B367" s="59">
        <v>112</v>
      </c>
      <c r="C367" s="59" t="s">
        <v>7454</v>
      </c>
      <c r="D367" s="59" t="s">
        <v>7455</v>
      </c>
      <c r="E367" s="59">
        <v>7</v>
      </c>
      <c r="F367" s="59">
        <v>105043229</v>
      </c>
      <c r="G367" s="79">
        <v>8.1713791708900002E-10</v>
      </c>
      <c r="H367" s="59"/>
    </row>
    <row r="368" spans="2:8" x14ac:dyDescent="0.2">
      <c r="B368" s="59">
        <v>112</v>
      </c>
      <c r="C368" s="59" t="s">
        <v>7456</v>
      </c>
      <c r="D368" s="59" t="s">
        <v>7457</v>
      </c>
      <c r="E368" s="59">
        <v>7</v>
      </c>
      <c r="F368" s="59">
        <v>105061779</v>
      </c>
      <c r="G368" s="79">
        <v>1.9417828147600001E-8</v>
      </c>
      <c r="H368" s="59"/>
    </row>
    <row r="369" spans="2:8" x14ac:dyDescent="0.2">
      <c r="B369" s="59">
        <v>113</v>
      </c>
      <c r="C369" s="59" t="s">
        <v>7458</v>
      </c>
      <c r="D369" s="59" t="s">
        <v>7459</v>
      </c>
      <c r="E369" s="59">
        <v>7</v>
      </c>
      <c r="F369" s="59">
        <v>108179726</v>
      </c>
      <c r="G369" s="79">
        <v>2.9062937514500002E-8</v>
      </c>
      <c r="H369" s="59"/>
    </row>
    <row r="370" spans="2:8" x14ac:dyDescent="0.2">
      <c r="B370" s="59">
        <v>114</v>
      </c>
      <c r="C370" s="59" t="s">
        <v>7460</v>
      </c>
      <c r="D370" s="59" t="s">
        <v>7461</v>
      </c>
      <c r="E370" s="59">
        <v>7</v>
      </c>
      <c r="F370" s="59">
        <v>110069015</v>
      </c>
      <c r="G370" s="79">
        <v>7.4819334287100005E-12</v>
      </c>
      <c r="H370" s="59"/>
    </row>
    <row r="371" spans="2:8" x14ac:dyDescent="0.2">
      <c r="B371" s="59">
        <v>115</v>
      </c>
      <c r="C371" s="59" t="s">
        <v>7462</v>
      </c>
      <c r="D371" s="59" t="s">
        <v>7463</v>
      </c>
      <c r="E371" s="59">
        <v>7</v>
      </c>
      <c r="F371" s="59">
        <v>110975636</v>
      </c>
      <c r="G371" s="79">
        <v>6.2342341624099996E-9</v>
      </c>
      <c r="H371" s="59"/>
    </row>
    <row r="372" spans="2:8" x14ac:dyDescent="0.2">
      <c r="B372" s="59">
        <v>116</v>
      </c>
      <c r="C372" s="59" t="s">
        <v>7464</v>
      </c>
      <c r="D372" s="59" t="s">
        <v>7465</v>
      </c>
      <c r="E372" s="59">
        <v>7</v>
      </c>
      <c r="F372" s="59">
        <v>115031575</v>
      </c>
      <c r="G372" s="79">
        <v>8.6452748143599997E-10</v>
      </c>
      <c r="H372" s="59"/>
    </row>
    <row r="373" spans="2:8" x14ac:dyDescent="0.2">
      <c r="B373" s="59">
        <v>117</v>
      </c>
      <c r="C373" s="59" t="s">
        <v>7466</v>
      </c>
      <c r="D373" s="59" t="s">
        <v>7467</v>
      </c>
      <c r="E373" s="59">
        <v>7</v>
      </c>
      <c r="F373" s="59">
        <v>131619847</v>
      </c>
      <c r="G373" s="79">
        <v>1.16693963874E-10</v>
      </c>
      <c r="H373" s="59"/>
    </row>
    <row r="374" spans="2:8" x14ac:dyDescent="0.2">
      <c r="B374" s="59">
        <v>118</v>
      </c>
      <c r="C374" s="59" t="s">
        <v>7468</v>
      </c>
      <c r="D374" s="59" t="s">
        <v>7469</v>
      </c>
      <c r="E374" s="59">
        <v>7</v>
      </c>
      <c r="F374" s="59">
        <v>137032717</v>
      </c>
      <c r="G374" s="79">
        <v>2.5464299371799999E-8</v>
      </c>
      <c r="H374" s="59"/>
    </row>
    <row r="375" spans="2:8" x14ac:dyDescent="0.2">
      <c r="B375" s="59">
        <v>118</v>
      </c>
      <c r="C375" s="59" t="s">
        <v>7470</v>
      </c>
      <c r="D375" s="59" t="s">
        <v>7471</v>
      </c>
      <c r="E375" s="59">
        <v>7</v>
      </c>
      <c r="F375" s="59">
        <v>137069055</v>
      </c>
      <c r="G375" s="79">
        <v>8.1266587442E-9</v>
      </c>
      <c r="H375" s="59"/>
    </row>
    <row r="376" spans="2:8" x14ac:dyDescent="0.2">
      <c r="B376" s="59">
        <v>118</v>
      </c>
      <c r="C376" s="59" t="s">
        <v>7472</v>
      </c>
      <c r="D376" s="59" t="s">
        <v>7473</v>
      </c>
      <c r="E376" s="59">
        <v>7</v>
      </c>
      <c r="F376" s="59">
        <v>137073259</v>
      </c>
      <c r="G376" s="79">
        <v>3.3168337836300002E-18</v>
      </c>
      <c r="H376" s="59"/>
    </row>
    <row r="377" spans="2:8" x14ac:dyDescent="0.2">
      <c r="B377" s="59">
        <v>119</v>
      </c>
      <c r="C377" s="59" t="s">
        <v>7474</v>
      </c>
      <c r="D377" s="59" t="s">
        <v>7475</v>
      </c>
      <c r="E377" s="59">
        <v>7</v>
      </c>
      <c r="F377" s="59">
        <v>140499107</v>
      </c>
      <c r="G377" s="79">
        <v>5.92924525349E-9</v>
      </c>
      <c r="H377" s="59"/>
    </row>
    <row r="378" spans="2:8" x14ac:dyDescent="0.2">
      <c r="B378" s="59">
        <v>119</v>
      </c>
      <c r="C378" s="59" t="s">
        <v>7476</v>
      </c>
      <c r="D378" s="59" t="s">
        <v>7477</v>
      </c>
      <c r="E378" s="59">
        <v>7</v>
      </c>
      <c r="F378" s="59">
        <v>140691762</v>
      </c>
      <c r="G378" s="79">
        <v>2.5041311213900002E-8</v>
      </c>
      <c r="H378" s="59"/>
    </row>
    <row r="379" spans="2:8" x14ac:dyDescent="0.2">
      <c r="B379" s="59">
        <v>120</v>
      </c>
      <c r="C379" s="59" t="s">
        <v>7478</v>
      </c>
      <c r="D379" s="59" t="s">
        <v>7479</v>
      </c>
      <c r="E379" s="59">
        <v>8</v>
      </c>
      <c r="F379" s="59">
        <v>4180491</v>
      </c>
      <c r="G379" s="79">
        <v>8.0045854847399998E-9</v>
      </c>
      <c r="H379" s="59"/>
    </row>
    <row r="380" spans="2:8" x14ac:dyDescent="0.2">
      <c r="B380" s="59">
        <v>121</v>
      </c>
      <c r="C380" s="59" t="s">
        <v>7480</v>
      </c>
      <c r="D380" s="59" t="s">
        <v>7481</v>
      </c>
      <c r="E380" s="59">
        <v>8</v>
      </c>
      <c r="F380" s="59">
        <v>9655426</v>
      </c>
      <c r="G380" s="79">
        <v>4.17518414079E-9</v>
      </c>
      <c r="H380" s="59"/>
    </row>
    <row r="381" spans="2:8" x14ac:dyDescent="0.2">
      <c r="B381" s="59">
        <v>121</v>
      </c>
      <c r="C381" s="59" t="s">
        <v>7482</v>
      </c>
      <c r="D381" s="59" t="s">
        <v>7483</v>
      </c>
      <c r="E381" s="59">
        <v>8</v>
      </c>
      <c r="F381" s="59">
        <v>9692541</v>
      </c>
      <c r="G381" s="79">
        <v>1.67636420895E-9</v>
      </c>
      <c r="H381" s="59"/>
    </row>
    <row r="382" spans="2:8" x14ac:dyDescent="0.2">
      <c r="B382" s="59">
        <v>121</v>
      </c>
      <c r="C382" s="59" t="s">
        <v>7484</v>
      </c>
      <c r="D382" s="59" t="s">
        <v>7485</v>
      </c>
      <c r="E382" s="59">
        <v>8</v>
      </c>
      <c r="F382" s="59">
        <v>9732063</v>
      </c>
      <c r="G382" s="79">
        <v>3.6293394546400003E-8</v>
      </c>
      <c r="H382" s="59"/>
    </row>
    <row r="383" spans="2:8" x14ac:dyDescent="0.2">
      <c r="B383" s="59">
        <v>121</v>
      </c>
      <c r="C383" s="59" t="s">
        <v>7486</v>
      </c>
      <c r="D383" s="59" t="s">
        <v>7487</v>
      </c>
      <c r="E383" s="59">
        <v>8</v>
      </c>
      <c r="F383" s="59">
        <v>9753573</v>
      </c>
      <c r="G383" s="79">
        <v>5.0029446133400004E-9</v>
      </c>
      <c r="H383" s="59"/>
    </row>
    <row r="384" spans="2:8" x14ac:dyDescent="0.2">
      <c r="B384" s="59">
        <v>121</v>
      </c>
      <c r="C384" s="59" t="s">
        <v>7488</v>
      </c>
      <c r="D384" s="59" t="s">
        <v>7489</v>
      </c>
      <c r="E384" s="59">
        <v>8</v>
      </c>
      <c r="F384" s="59">
        <v>9777555</v>
      </c>
      <c r="G384" s="79">
        <v>2.79597555108E-9</v>
      </c>
      <c r="H384" s="59"/>
    </row>
    <row r="385" spans="2:8" x14ac:dyDescent="0.2">
      <c r="B385" s="59">
        <v>121</v>
      </c>
      <c r="C385" s="59" t="s">
        <v>7490</v>
      </c>
      <c r="D385" s="59" t="s">
        <v>7491</v>
      </c>
      <c r="E385" s="59">
        <v>8</v>
      </c>
      <c r="F385" s="59">
        <v>9782037</v>
      </c>
      <c r="G385" s="79">
        <v>1.14111583364E-10</v>
      </c>
      <c r="H385" s="59"/>
    </row>
    <row r="386" spans="2:8" x14ac:dyDescent="0.2">
      <c r="B386" s="59">
        <v>121</v>
      </c>
      <c r="C386" s="59" t="s">
        <v>7492</v>
      </c>
      <c r="D386" s="59" t="s">
        <v>7493</v>
      </c>
      <c r="E386" s="59">
        <v>8</v>
      </c>
      <c r="F386" s="59">
        <v>9787808</v>
      </c>
      <c r="G386" s="79">
        <v>3.8585627324200003E-9</v>
      </c>
      <c r="H386" s="59"/>
    </row>
    <row r="387" spans="2:8" x14ac:dyDescent="0.2">
      <c r="B387" s="59">
        <v>121</v>
      </c>
      <c r="C387" s="59" t="s">
        <v>7494</v>
      </c>
      <c r="D387" s="59" t="s">
        <v>7495</v>
      </c>
      <c r="E387" s="59">
        <v>8</v>
      </c>
      <c r="F387" s="59">
        <v>9828939</v>
      </c>
      <c r="G387" s="79">
        <v>2.3937824587900001E-8</v>
      </c>
      <c r="H387" s="59"/>
    </row>
    <row r="388" spans="2:8" x14ac:dyDescent="0.2">
      <c r="B388" s="59">
        <v>121</v>
      </c>
      <c r="C388" s="59" t="s">
        <v>7496</v>
      </c>
      <c r="D388" s="59" t="s">
        <v>7497</v>
      </c>
      <c r="E388" s="59">
        <v>8</v>
      </c>
      <c r="F388" s="59">
        <v>9881009</v>
      </c>
      <c r="G388" s="79">
        <v>1.9552923438599999E-11</v>
      </c>
      <c r="H388" s="59"/>
    </row>
    <row r="389" spans="2:8" x14ac:dyDescent="0.2">
      <c r="B389" s="59">
        <v>121</v>
      </c>
      <c r="C389" s="59" t="s">
        <v>7498</v>
      </c>
      <c r="D389" s="59" t="s">
        <v>7499</v>
      </c>
      <c r="E389" s="59">
        <v>8</v>
      </c>
      <c r="F389" s="59">
        <v>9887171</v>
      </c>
      <c r="G389" s="79">
        <v>5.9263434446200004E-10</v>
      </c>
      <c r="H389" s="59"/>
    </row>
    <row r="390" spans="2:8" x14ac:dyDescent="0.2">
      <c r="B390" s="59">
        <v>121</v>
      </c>
      <c r="C390" s="59" t="s">
        <v>7500</v>
      </c>
      <c r="D390" s="59" t="s">
        <v>7501</v>
      </c>
      <c r="E390" s="59">
        <v>8</v>
      </c>
      <c r="F390" s="59">
        <v>9902198</v>
      </c>
      <c r="G390" s="79">
        <v>1.8174665773200002E-8</v>
      </c>
      <c r="H390" s="59"/>
    </row>
    <row r="391" spans="2:8" x14ac:dyDescent="0.2">
      <c r="B391" s="59">
        <v>121</v>
      </c>
      <c r="C391" s="59" t="s">
        <v>7502</v>
      </c>
      <c r="D391" s="59" t="s">
        <v>7503</v>
      </c>
      <c r="E391" s="59">
        <v>8</v>
      </c>
      <c r="F391" s="59">
        <v>10000309</v>
      </c>
      <c r="G391" s="79">
        <v>1.3495833824700001E-10</v>
      </c>
      <c r="H391" s="59"/>
    </row>
    <row r="392" spans="2:8" x14ac:dyDescent="0.2">
      <c r="B392" s="59">
        <v>121</v>
      </c>
      <c r="C392" s="59" t="s">
        <v>7504</v>
      </c>
      <c r="D392" s="59" t="s">
        <v>7505</v>
      </c>
      <c r="E392" s="59">
        <v>8</v>
      </c>
      <c r="F392" s="59">
        <v>10032894</v>
      </c>
      <c r="G392" s="79">
        <v>6.7756669672E-10</v>
      </c>
      <c r="H392" s="59"/>
    </row>
    <row r="393" spans="2:8" x14ac:dyDescent="0.2">
      <c r="B393" s="59">
        <v>121</v>
      </c>
      <c r="C393" s="59" t="s">
        <v>7506</v>
      </c>
      <c r="D393" s="59" t="s">
        <v>7507</v>
      </c>
      <c r="E393" s="59">
        <v>8</v>
      </c>
      <c r="F393" s="59">
        <v>10137891</v>
      </c>
      <c r="G393" s="79">
        <v>1.94598752963E-8</v>
      </c>
      <c r="H393" s="59"/>
    </row>
    <row r="394" spans="2:8" x14ac:dyDescent="0.2">
      <c r="B394" s="59">
        <v>121</v>
      </c>
      <c r="C394" s="59" t="s">
        <v>7508</v>
      </c>
      <c r="D394" s="59" t="s">
        <v>7509</v>
      </c>
      <c r="E394" s="59">
        <v>8</v>
      </c>
      <c r="F394" s="59">
        <v>10139865</v>
      </c>
      <c r="G394" s="79">
        <v>4.8744655618299997E-10</v>
      </c>
      <c r="H394" s="59"/>
    </row>
    <row r="395" spans="2:8" x14ac:dyDescent="0.2">
      <c r="B395" s="59">
        <v>121</v>
      </c>
      <c r="C395" s="59" t="s">
        <v>7510</v>
      </c>
      <c r="D395" s="59" t="s">
        <v>7511</v>
      </c>
      <c r="E395" s="59">
        <v>8</v>
      </c>
      <c r="F395" s="59">
        <v>10180328</v>
      </c>
      <c r="G395" s="79">
        <v>2.0983574163000001E-8</v>
      </c>
      <c r="H395" s="59"/>
    </row>
    <row r="396" spans="2:8" x14ac:dyDescent="0.2">
      <c r="B396" s="59">
        <v>121</v>
      </c>
      <c r="C396" s="59" t="s">
        <v>7512</v>
      </c>
      <c r="D396" s="59" t="s">
        <v>7513</v>
      </c>
      <c r="E396" s="59">
        <v>8</v>
      </c>
      <c r="F396" s="59">
        <v>10226355</v>
      </c>
      <c r="G396" s="79">
        <v>7.7690709595399995E-12</v>
      </c>
      <c r="H396" s="59"/>
    </row>
    <row r="397" spans="2:8" x14ac:dyDescent="0.2">
      <c r="B397" s="59">
        <v>121</v>
      </c>
      <c r="C397" s="59" t="s">
        <v>7514</v>
      </c>
      <c r="D397" s="59" t="s">
        <v>7515</v>
      </c>
      <c r="E397" s="59">
        <v>8</v>
      </c>
      <c r="F397" s="59">
        <v>10283426</v>
      </c>
      <c r="G397" s="79">
        <v>3.5118775638000002E-8</v>
      </c>
      <c r="H397" s="59"/>
    </row>
    <row r="398" spans="2:8" x14ac:dyDescent="0.2">
      <c r="B398" s="59">
        <v>122</v>
      </c>
      <c r="C398" s="59" t="s">
        <v>7516</v>
      </c>
      <c r="D398" s="59" t="s">
        <v>7517</v>
      </c>
      <c r="E398" s="59">
        <v>8</v>
      </c>
      <c r="F398" s="59">
        <v>17028091</v>
      </c>
      <c r="G398" s="79">
        <v>8.8279863745200002E-10</v>
      </c>
      <c r="H398" s="59"/>
    </row>
    <row r="399" spans="2:8" x14ac:dyDescent="0.2">
      <c r="B399" s="59">
        <v>123</v>
      </c>
      <c r="C399" s="59" t="s">
        <v>7518</v>
      </c>
      <c r="D399" s="59" t="s">
        <v>7519</v>
      </c>
      <c r="E399" s="59">
        <v>8</v>
      </c>
      <c r="F399" s="59">
        <v>18420955</v>
      </c>
      <c r="G399" s="79">
        <v>3.3719001500700001E-9</v>
      </c>
      <c r="H399" s="59"/>
    </row>
    <row r="400" spans="2:8" x14ac:dyDescent="0.2">
      <c r="B400" s="59">
        <v>124</v>
      </c>
      <c r="C400" s="59" t="s">
        <v>7520</v>
      </c>
      <c r="D400" s="59" t="s">
        <v>7521</v>
      </c>
      <c r="E400" s="59">
        <v>8</v>
      </c>
      <c r="F400" s="59">
        <v>26264363</v>
      </c>
      <c r="G400" s="79">
        <v>7.9748685311300007E-9</v>
      </c>
      <c r="H400" s="59"/>
    </row>
    <row r="401" spans="2:8" x14ac:dyDescent="0.2">
      <c r="B401" s="59">
        <v>125</v>
      </c>
      <c r="C401" s="59" t="s">
        <v>7522</v>
      </c>
      <c r="D401" s="59" t="s">
        <v>7523</v>
      </c>
      <c r="E401" s="59">
        <v>8</v>
      </c>
      <c r="F401" s="59">
        <v>33604120</v>
      </c>
      <c r="G401" s="79">
        <v>3.8226738823599997E-8</v>
      </c>
      <c r="H401" s="59"/>
    </row>
    <row r="402" spans="2:8" x14ac:dyDescent="0.2">
      <c r="B402" s="59">
        <v>125</v>
      </c>
      <c r="C402" s="59" t="s">
        <v>7524</v>
      </c>
      <c r="D402" s="59" t="s">
        <v>7525</v>
      </c>
      <c r="E402" s="59">
        <v>8</v>
      </c>
      <c r="F402" s="59">
        <v>33734709</v>
      </c>
      <c r="G402" s="79">
        <v>1.9618326494199999E-8</v>
      </c>
      <c r="H402" s="59"/>
    </row>
    <row r="403" spans="2:8" x14ac:dyDescent="0.2">
      <c r="B403" s="59">
        <v>126</v>
      </c>
      <c r="C403" s="59" t="s">
        <v>7526</v>
      </c>
      <c r="D403" s="59" t="s">
        <v>7527</v>
      </c>
      <c r="E403" s="59">
        <v>8</v>
      </c>
      <c r="F403" s="59">
        <v>38029708</v>
      </c>
      <c r="G403" s="79">
        <v>1.22239128844E-8</v>
      </c>
      <c r="H403" s="59"/>
    </row>
    <row r="404" spans="2:8" x14ac:dyDescent="0.2">
      <c r="B404" s="59">
        <v>126</v>
      </c>
      <c r="C404" s="59" t="s">
        <v>7528</v>
      </c>
      <c r="D404" s="59" t="s">
        <v>7529</v>
      </c>
      <c r="E404" s="59">
        <v>8</v>
      </c>
      <c r="F404" s="59">
        <v>38272582</v>
      </c>
      <c r="G404" s="79">
        <v>1.94293940112E-11</v>
      </c>
      <c r="H404" s="59"/>
    </row>
    <row r="405" spans="2:8" x14ac:dyDescent="0.2">
      <c r="B405" s="59">
        <v>127</v>
      </c>
      <c r="C405" s="59" t="s">
        <v>7530</v>
      </c>
      <c r="D405" s="59" t="s">
        <v>7531</v>
      </c>
      <c r="E405" s="59">
        <v>8</v>
      </c>
      <c r="F405" s="59">
        <v>64507475</v>
      </c>
      <c r="G405" s="79">
        <v>2.5550488267300001E-8</v>
      </c>
      <c r="H405" s="59"/>
    </row>
    <row r="406" spans="2:8" x14ac:dyDescent="0.2">
      <c r="B406" s="59">
        <v>128</v>
      </c>
      <c r="C406" s="59" t="s">
        <v>7532</v>
      </c>
      <c r="D406" s="59" t="s">
        <v>7533</v>
      </c>
      <c r="E406" s="59">
        <v>8</v>
      </c>
      <c r="F406" s="59">
        <v>65463991</v>
      </c>
      <c r="G406" s="79">
        <v>8.47503138663E-9</v>
      </c>
      <c r="H406" s="59"/>
    </row>
    <row r="407" spans="2:8" x14ac:dyDescent="0.2">
      <c r="B407" s="59">
        <v>128</v>
      </c>
      <c r="C407" s="59" t="s">
        <v>7534</v>
      </c>
      <c r="D407" s="59" t="s">
        <v>7535</v>
      </c>
      <c r="E407" s="59">
        <v>8</v>
      </c>
      <c r="F407" s="59">
        <v>65608361</v>
      </c>
      <c r="G407" s="79">
        <v>2.3714119025299999E-8</v>
      </c>
      <c r="H407" s="59"/>
    </row>
    <row r="408" spans="2:8" x14ac:dyDescent="0.2">
      <c r="B408" s="59">
        <v>129</v>
      </c>
      <c r="C408" s="59" t="s">
        <v>7536</v>
      </c>
      <c r="D408" s="59" t="s">
        <v>7537</v>
      </c>
      <c r="E408" s="59">
        <v>8</v>
      </c>
      <c r="F408" s="59">
        <v>103668320</v>
      </c>
      <c r="G408" s="79">
        <v>7.4411284556599997E-9</v>
      </c>
      <c r="H408" s="59"/>
    </row>
    <row r="409" spans="2:8" x14ac:dyDescent="0.2">
      <c r="B409" s="59">
        <v>130</v>
      </c>
      <c r="C409" s="59" t="s">
        <v>7538</v>
      </c>
      <c r="D409" s="59" t="s">
        <v>7539</v>
      </c>
      <c r="E409" s="59">
        <v>8</v>
      </c>
      <c r="F409" s="59">
        <v>143305461</v>
      </c>
      <c r="G409" s="79">
        <v>1.00771037591E-10</v>
      </c>
      <c r="H409" s="59"/>
    </row>
    <row r="410" spans="2:8" x14ac:dyDescent="0.2">
      <c r="B410" s="59">
        <v>130</v>
      </c>
      <c r="C410" s="59" t="s">
        <v>7540</v>
      </c>
      <c r="D410" s="59" t="s">
        <v>7541</v>
      </c>
      <c r="E410" s="59">
        <v>8</v>
      </c>
      <c r="F410" s="59">
        <v>143312933</v>
      </c>
      <c r="G410" s="79">
        <v>2.11919449171E-18</v>
      </c>
      <c r="H410" s="59"/>
    </row>
    <row r="411" spans="2:8" x14ac:dyDescent="0.2">
      <c r="B411" s="59">
        <v>130</v>
      </c>
      <c r="C411" s="59" t="s">
        <v>7542</v>
      </c>
      <c r="D411" s="59" t="s">
        <v>7543</v>
      </c>
      <c r="E411" s="59">
        <v>8</v>
      </c>
      <c r="F411" s="59">
        <v>143322470</v>
      </c>
      <c r="G411" s="79">
        <v>2.2260956647199999E-17</v>
      </c>
      <c r="H411" s="59"/>
    </row>
    <row r="412" spans="2:8" x14ac:dyDescent="0.2">
      <c r="B412" s="59">
        <v>130</v>
      </c>
      <c r="C412" s="59" t="s">
        <v>7544</v>
      </c>
      <c r="D412" s="59" t="s">
        <v>7545</v>
      </c>
      <c r="E412" s="59">
        <v>8</v>
      </c>
      <c r="F412" s="59">
        <v>143333525</v>
      </c>
      <c r="G412" s="79">
        <v>1.8598073392000001E-8</v>
      </c>
      <c r="H412" s="59"/>
    </row>
    <row r="413" spans="2:8" x14ac:dyDescent="0.2">
      <c r="B413" s="59">
        <v>130</v>
      </c>
      <c r="C413" s="59" t="s">
        <v>7546</v>
      </c>
      <c r="D413" s="59" t="s">
        <v>7547</v>
      </c>
      <c r="E413" s="59">
        <v>8</v>
      </c>
      <c r="F413" s="59">
        <v>143343398</v>
      </c>
      <c r="G413" s="79">
        <v>2.21247697295E-9</v>
      </c>
      <c r="H413" s="59"/>
    </row>
    <row r="414" spans="2:8" x14ac:dyDescent="0.2">
      <c r="B414" s="59">
        <v>130</v>
      </c>
      <c r="C414" s="59" t="s">
        <v>7548</v>
      </c>
      <c r="D414" s="59" t="s">
        <v>7549</v>
      </c>
      <c r="E414" s="59">
        <v>8</v>
      </c>
      <c r="F414" s="59">
        <v>143345885</v>
      </c>
      <c r="G414" s="79">
        <v>3.3562890790300002E-11</v>
      </c>
      <c r="H414" s="59"/>
    </row>
    <row r="415" spans="2:8" x14ac:dyDescent="0.2">
      <c r="B415" s="59">
        <v>130</v>
      </c>
      <c r="C415" s="59" t="s">
        <v>7550</v>
      </c>
      <c r="D415" s="59" t="s">
        <v>7551</v>
      </c>
      <c r="E415" s="59">
        <v>8</v>
      </c>
      <c r="F415" s="59">
        <v>143354963</v>
      </c>
      <c r="G415" s="79">
        <v>1.58486931794E-10</v>
      </c>
      <c r="H415" s="59"/>
    </row>
    <row r="416" spans="2:8" x14ac:dyDescent="0.2">
      <c r="B416" s="59">
        <v>130</v>
      </c>
      <c r="C416" s="59" t="s">
        <v>7552</v>
      </c>
      <c r="D416" s="59" t="s">
        <v>7553</v>
      </c>
      <c r="E416" s="59">
        <v>8</v>
      </c>
      <c r="F416" s="59">
        <v>143355875</v>
      </c>
      <c r="G416" s="79">
        <v>1.6644077567700001E-11</v>
      </c>
      <c r="H416" s="59"/>
    </row>
    <row r="417" spans="2:8" x14ac:dyDescent="0.2">
      <c r="B417" s="59">
        <v>130</v>
      </c>
      <c r="C417" s="59" t="s">
        <v>7554</v>
      </c>
      <c r="D417" s="59" t="s">
        <v>7555</v>
      </c>
      <c r="E417" s="59">
        <v>8</v>
      </c>
      <c r="F417" s="59">
        <v>143363277</v>
      </c>
      <c r="G417" s="79">
        <v>4.7113587887000003E-13</v>
      </c>
      <c r="H417" s="59"/>
    </row>
    <row r="418" spans="2:8" x14ac:dyDescent="0.2">
      <c r="B418" s="59">
        <v>130</v>
      </c>
      <c r="C418" s="59" t="s">
        <v>7556</v>
      </c>
      <c r="D418" s="59" t="s">
        <v>7557</v>
      </c>
      <c r="E418" s="59">
        <v>8</v>
      </c>
      <c r="F418" s="59">
        <v>143368484</v>
      </c>
      <c r="G418" s="79">
        <v>7.1009173968499998E-9</v>
      </c>
      <c r="H418" s="59"/>
    </row>
    <row r="419" spans="2:8" x14ac:dyDescent="0.2">
      <c r="B419" s="59">
        <v>130</v>
      </c>
      <c r="C419" s="59" t="s">
        <v>7558</v>
      </c>
      <c r="D419" s="59" t="s">
        <v>7559</v>
      </c>
      <c r="E419" s="59">
        <v>8</v>
      </c>
      <c r="F419" s="59">
        <v>143369368</v>
      </c>
      <c r="G419" s="79">
        <v>1.7286347592499999E-14</v>
      </c>
      <c r="H419" s="59"/>
    </row>
    <row r="420" spans="2:8" x14ac:dyDescent="0.2">
      <c r="B420" s="59">
        <v>131</v>
      </c>
      <c r="C420" s="59" t="s">
        <v>7560</v>
      </c>
      <c r="D420" s="59" t="s">
        <v>7561</v>
      </c>
      <c r="E420" s="59">
        <v>9</v>
      </c>
      <c r="F420" s="59">
        <v>84311800</v>
      </c>
      <c r="G420" s="79">
        <v>1.10775745238E-9</v>
      </c>
      <c r="H420" s="59"/>
    </row>
    <row r="421" spans="2:8" x14ac:dyDescent="0.2">
      <c r="B421" s="59">
        <v>132</v>
      </c>
      <c r="C421" s="59" t="s">
        <v>7562</v>
      </c>
      <c r="D421" s="59" t="s">
        <v>7563</v>
      </c>
      <c r="E421" s="59">
        <v>9</v>
      </c>
      <c r="F421" s="59">
        <v>96237373</v>
      </c>
      <c r="G421" s="79">
        <v>1.9990315089200001E-8</v>
      </c>
      <c r="H421" s="59"/>
    </row>
    <row r="422" spans="2:8" x14ac:dyDescent="0.2">
      <c r="B422" s="59">
        <v>133</v>
      </c>
      <c r="C422" s="59" t="s">
        <v>7564</v>
      </c>
      <c r="D422" s="59" t="s">
        <v>7565</v>
      </c>
      <c r="E422" s="59">
        <v>9</v>
      </c>
      <c r="F422" s="59">
        <v>101070487</v>
      </c>
      <c r="G422" s="79">
        <v>4.4929228684399999E-8</v>
      </c>
      <c r="H422" s="59"/>
    </row>
    <row r="423" spans="2:8" x14ac:dyDescent="0.2">
      <c r="B423" s="59">
        <v>134</v>
      </c>
      <c r="C423" s="59" t="s">
        <v>7566</v>
      </c>
      <c r="D423" s="59" t="s">
        <v>7567</v>
      </c>
      <c r="E423" s="59">
        <v>9</v>
      </c>
      <c r="F423" s="59">
        <v>131800524</v>
      </c>
      <c r="G423" s="79">
        <v>3.4910476888800002E-8</v>
      </c>
      <c r="H423" s="59"/>
    </row>
    <row r="424" spans="2:8" x14ac:dyDescent="0.2">
      <c r="B424" s="59">
        <v>135</v>
      </c>
      <c r="C424" s="59" t="s">
        <v>7568</v>
      </c>
      <c r="D424" s="59" t="s">
        <v>7569</v>
      </c>
      <c r="E424" s="59">
        <v>10</v>
      </c>
      <c r="F424" s="59">
        <v>18547378</v>
      </c>
      <c r="G424" s="79">
        <v>1.8308437657700002E-8</v>
      </c>
      <c r="H424" s="59"/>
    </row>
    <row r="425" spans="2:8" x14ac:dyDescent="0.2">
      <c r="B425" s="59">
        <v>135</v>
      </c>
      <c r="C425" s="59" t="s">
        <v>7570</v>
      </c>
      <c r="D425" s="59" t="s">
        <v>7571</v>
      </c>
      <c r="E425" s="59">
        <v>10</v>
      </c>
      <c r="F425" s="59">
        <v>18549016</v>
      </c>
      <c r="G425" s="79">
        <v>2.0326470209E-8</v>
      </c>
      <c r="H425" s="59"/>
    </row>
    <row r="426" spans="2:8" x14ac:dyDescent="0.2">
      <c r="B426" s="59">
        <v>135</v>
      </c>
      <c r="C426" s="59" t="s">
        <v>7572</v>
      </c>
      <c r="D426" s="59" t="s">
        <v>7573</v>
      </c>
      <c r="E426" s="59">
        <v>10</v>
      </c>
      <c r="F426" s="59">
        <v>18601928</v>
      </c>
      <c r="G426" s="79">
        <v>8.2207071657700005E-11</v>
      </c>
      <c r="H426" s="59"/>
    </row>
    <row r="427" spans="2:8" x14ac:dyDescent="0.2">
      <c r="B427" s="59">
        <v>135</v>
      </c>
      <c r="C427" s="59" t="s">
        <v>7574</v>
      </c>
      <c r="D427" s="59" t="s">
        <v>7575</v>
      </c>
      <c r="E427" s="59">
        <v>10</v>
      </c>
      <c r="F427" s="59">
        <v>18742254</v>
      </c>
      <c r="G427" s="79">
        <v>1.4267183839200001E-17</v>
      </c>
      <c r="H427" s="59"/>
    </row>
    <row r="428" spans="2:8" x14ac:dyDescent="0.2">
      <c r="B428" s="59">
        <v>135</v>
      </c>
      <c r="C428" s="59" t="s">
        <v>7576</v>
      </c>
      <c r="D428" s="59" t="s">
        <v>7577</v>
      </c>
      <c r="E428" s="59">
        <v>10</v>
      </c>
      <c r="F428" s="59">
        <v>18755664</v>
      </c>
      <c r="G428" s="79">
        <v>1.1017009916400001E-8</v>
      </c>
      <c r="H428" s="59"/>
    </row>
    <row r="429" spans="2:8" x14ac:dyDescent="0.2">
      <c r="B429" s="59">
        <v>135</v>
      </c>
      <c r="C429" s="59" t="s">
        <v>7578</v>
      </c>
      <c r="D429" s="59" t="s">
        <v>7579</v>
      </c>
      <c r="E429" s="59">
        <v>10</v>
      </c>
      <c r="F429" s="59">
        <v>18761315</v>
      </c>
      <c r="G429" s="79">
        <v>1.5736452310099999E-10</v>
      </c>
      <c r="H429" s="59"/>
    </row>
    <row r="430" spans="2:8" x14ac:dyDescent="0.2">
      <c r="B430" s="59">
        <v>135</v>
      </c>
      <c r="C430" s="59" t="s">
        <v>7580</v>
      </c>
      <c r="D430" s="59" t="s">
        <v>7581</v>
      </c>
      <c r="E430" s="59">
        <v>10</v>
      </c>
      <c r="F430" s="59">
        <v>18802554</v>
      </c>
      <c r="G430" s="79">
        <v>4.0531697812099996E-9</v>
      </c>
      <c r="H430" s="59"/>
    </row>
    <row r="431" spans="2:8" x14ac:dyDescent="0.2">
      <c r="B431" s="59">
        <v>136</v>
      </c>
      <c r="C431" s="59" t="s">
        <v>7582</v>
      </c>
      <c r="D431" s="59" t="s">
        <v>7583</v>
      </c>
      <c r="E431" s="59">
        <v>10</v>
      </c>
      <c r="F431" s="59">
        <v>62222107</v>
      </c>
      <c r="G431" s="79">
        <v>4.6281192092499999E-11</v>
      </c>
      <c r="H431" s="59"/>
    </row>
    <row r="432" spans="2:8" x14ac:dyDescent="0.2">
      <c r="B432" s="59">
        <v>136</v>
      </c>
      <c r="C432" s="59" t="s">
        <v>7584</v>
      </c>
      <c r="D432" s="59" t="s">
        <v>7585</v>
      </c>
      <c r="E432" s="59">
        <v>10</v>
      </c>
      <c r="F432" s="59">
        <v>62326687</v>
      </c>
      <c r="G432" s="79">
        <v>2.0463998114199999E-10</v>
      </c>
      <c r="H432" s="59"/>
    </row>
    <row r="433" spans="2:8" x14ac:dyDescent="0.2">
      <c r="B433" s="59">
        <v>137</v>
      </c>
      <c r="C433" s="59" t="s">
        <v>7586</v>
      </c>
      <c r="D433" s="59" t="s">
        <v>7587</v>
      </c>
      <c r="E433" s="59">
        <v>10</v>
      </c>
      <c r="F433" s="59">
        <v>64387108</v>
      </c>
      <c r="G433" s="79">
        <v>1.3572587329199999E-9</v>
      </c>
      <c r="H433" s="59"/>
    </row>
    <row r="434" spans="2:8" x14ac:dyDescent="0.2">
      <c r="B434" s="59">
        <v>137</v>
      </c>
      <c r="C434" s="59" t="s">
        <v>7588</v>
      </c>
      <c r="D434" s="59" t="s">
        <v>7589</v>
      </c>
      <c r="E434" s="59">
        <v>10</v>
      </c>
      <c r="F434" s="59">
        <v>64418656</v>
      </c>
      <c r="G434" s="79">
        <v>5.7372255770599999E-11</v>
      </c>
      <c r="H434" s="59"/>
    </row>
    <row r="435" spans="2:8" x14ac:dyDescent="0.2">
      <c r="B435" s="59">
        <v>138</v>
      </c>
      <c r="C435" s="59" t="s">
        <v>7590</v>
      </c>
      <c r="D435" s="59" t="s">
        <v>7591</v>
      </c>
      <c r="E435" s="59">
        <v>10</v>
      </c>
      <c r="F435" s="59">
        <v>92789488</v>
      </c>
      <c r="G435" s="79">
        <v>3.6003014936800003E-8</v>
      </c>
      <c r="H435" s="59"/>
    </row>
    <row r="436" spans="2:8" x14ac:dyDescent="0.2">
      <c r="B436" s="59">
        <v>139</v>
      </c>
      <c r="C436" s="59" t="s">
        <v>7592</v>
      </c>
      <c r="D436" s="59" t="s">
        <v>7593</v>
      </c>
      <c r="E436" s="59">
        <v>10</v>
      </c>
      <c r="F436" s="59">
        <v>104222377</v>
      </c>
      <c r="G436" s="79">
        <v>9.2639291620599997E-11</v>
      </c>
      <c r="H436" s="59"/>
    </row>
    <row r="437" spans="2:8" x14ac:dyDescent="0.2">
      <c r="B437" s="59">
        <v>139</v>
      </c>
      <c r="C437" s="59" t="s">
        <v>7594</v>
      </c>
      <c r="D437" s="59" t="s">
        <v>7595</v>
      </c>
      <c r="E437" s="59">
        <v>10</v>
      </c>
      <c r="F437" s="59">
        <v>104285086</v>
      </c>
      <c r="G437" s="79">
        <v>4.6171793992400003E-18</v>
      </c>
      <c r="H437" s="59"/>
    </row>
    <row r="438" spans="2:8" x14ac:dyDescent="0.2">
      <c r="B438" s="59">
        <v>139</v>
      </c>
      <c r="C438" s="59" t="s">
        <v>7596</v>
      </c>
      <c r="D438" s="59" t="s">
        <v>7597</v>
      </c>
      <c r="E438" s="59">
        <v>10</v>
      </c>
      <c r="F438" s="59">
        <v>104392497</v>
      </c>
      <c r="G438" s="79">
        <v>8.42679537491E-13</v>
      </c>
      <c r="H438" s="59"/>
    </row>
    <row r="439" spans="2:8" x14ac:dyDescent="0.2">
      <c r="B439" s="59">
        <v>139</v>
      </c>
      <c r="C439" s="59" t="s">
        <v>7598</v>
      </c>
      <c r="D439" s="59" t="s">
        <v>7599</v>
      </c>
      <c r="E439" s="59">
        <v>10</v>
      </c>
      <c r="F439" s="59">
        <v>104500988</v>
      </c>
      <c r="G439" s="79">
        <v>7.2675424977800001E-12</v>
      </c>
      <c r="H439" s="59"/>
    </row>
    <row r="440" spans="2:8" x14ac:dyDescent="0.2">
      <c r="B440" s="59">
        <v>139</v>
      </c>
      <c r="C440" s="59" t="s">
        <v>7600</v>
      </c>
      <c r="D440" s="59" t="s">
        <v>7601</v>
      </c>
      <c r="E440" s="59">
        <v>10</v>
      </c>
      <c r="F440" s="59">
        <v>104556054</v>
      </c>
      <c r="G440" s="79">
        <v>4.5127258672299997E-11</v>
      </c>
      <c r="H440" s="59"/>
    </row>
    <row r="441" spans="2:8" x14ac:dyDescent="0.2">
      <c r="B441" s="59">
        <v>139</v>
      </c>
      <c r="C441" s="59" t="s">
        <v>7602</v>
      </c>
      <c r="D441" s="59" t="s">
        <v>7603</v>
      </c>
      <c r="E441" s="59">
        <v>10</v>
      </c>
      <c r="F441" s="59">
        <v>104574562</v>
      </c>
      <c r="G441" s="79">
        <v>2.4724446660199999E-9</v>
      </c>
      <c r="H441" s="59"/>
    </row>
    <row r="442" spans="2:8" x14ac:dyDescent="0.2">
      <c r="B442" s="59">
        <v>139</v>
      </c>
      <c r="C442" s="59" t="s">
        <v>7604</v>
      </c>
      <c r="D442" s="59" t="s">
        <v>7605</v>
      </c>
      <c r="E442" s="59">
        <v>10</v>
      </c>
      <c r="F442" s="59">
        <v>104613361</v>
      </c>
      <c r="G442" s="79">
        <v>1.1554409073299999E-16</v>
      </c>
      <c r="H442" s="59"/>
    </row>
    <row r="443" spans="2:8" x14ac:dyDescent="0.2">
      <c r="B443" s="59">
        <v>139</v>
      </c>
      <c r="C443" s="59" t="s">
        <v>7606</v>
      </c>
      <c r="D443" s="59" t="s">
        <v>7607</v>
      </c>
      <c r="E443" s="59">
        <v>10</v>
      </c>
      <c r="F443" s="59">
        <v>104635103</v>
      </c>
      <c r="G443" s="79">
        <v>1.4602381310800001E-16</v>
      </c>
      <c r="H443" s="59"/>
    </row>
    <row r="444" spans="2:8" x14ac:dyDescent="0.2">
      <c r="B444" s="59">
        <v>139</v>
      </c>
      <c r="C444" s="59" t="s">
        <v>7608</v>
      </c>
      <c r="D444" s="59" t="s">
        <v>7609</v>
      </c>
      <c r="E444" s="59">
        <v>10</v>
      </c>
      <c r="F444" s="59">
        <v>104636655</v>
      </c>
      <c r="G444" s="79">
        <v>4.0155115623799998E-13</v>
      </c>
      <c r="H444" s="59"/>
    </row>
    <row r="445" spans="2:8" x14ac:dyDescent="0.2">
      <c r="B445" s="59">
        <v>139</v>
      </c>
      <c r="C445" s="59" t="s">
        <v>7610</v>
      </c>
      <c r="D445" s="59" t="s">
        <v>7611</v>
      </c>
      <c r="E445" s="59">
        <v>10</v>
      </c>
      <c r="F445" s="59">
        <v>104697781</v>
      </c>
      <c r="G445" s="79">
        <v>4.4099055590700001E-14</v>
      </c>
      <c r="H445" s="59"/>
    </row>
    <row r="446" spans="2:8" x14ac:dyDescent="0.2">
      <c r="B446" s="59">
        <v>139</v>
      </c>
      <c r="C446" s="59" t="s">
        <v>7612</v>
      </c>
      <c r="D446" s="59" t="s">
        <v>7613</v>
      </c>
      <c r="E446" s="59">
        <v>10</v>
      </c>
      <c r="F446" s="59">
        <v>104793904</v>
      </c>
      <c r="G446" s="79">
        <v>1.2340478398400001E-22</v>
      </c>
      <c r="H446" s="59"/>
    </row>
    <row r="447" spans="2:8" x14ac:dyDescent="0.2">
      <c r="B447" s="59">
        <v>139</v>
      </c>
      <c r="C447" s="59" t="s">
        <v>7614</v>
      </c>
      <c r="D447" s="59" t="s">
        <v>7615</v>
      </c>
      <c r="E447" s="59">
        <v>10</v>
      </c>
      <c r="F447" s="59">
        <v>104844872</v>
      </c>
      <c r="G447" s="79">
        <v>1.2669866691999999E-12</v>
      </c>
      <c r="H447" s="59"/>
    </row>
    <row r="448" spans="2:8" x14ac:dyDescent="0.2">
      <c r="B448" s="59">
        <v>140</v>
      </c>
      <c r="C448" s="59" t="s">
        <v>7616</v>
      </c>
      <c r="D448" s="59" t="s">
        <v>7617</v>
      </c>
      <c r="E448" s="59">
        <v>10</v>
      </c>
      <c r="F448" s="59">
        <v>106539062</v>
      </c>
      <c r="G448" s="79">
        <v>1.9561522279400001E-9</v>
      </c>
      <c r="H448" s="59"/>
    </row>
    <row r="449" spans="2:8" x14ac:dyDescent="0.2">
      <c r="B449" s="59">
        <v>140</v>
      </c>
      <c r="C449" s="59" t="s">
        <v>7618</v>
      </c>
      <c r="D449" s="59" t="s">
        <v>7619</v>
      </c>
      <c r="E449" s="59">
        <v>10</v>
      </c>
      <c r="F449" s="59">
        <v>106600343</v>
      </c>
      <c r="G449" s="79">
        <v>3.2516047322799998E-8</v>
      </c>
      <c r="H449" s="59"/>
    </row>
    <row r="450" spans="2:8" x14ac:dyDescent="0.2">
      <c r="B450" s="59">
        <v>141</v>
      </c>
      <c r="C450" s="59" t="s">
        <v>7620</v>
      </c>
      <c r="D450" s="59" t="s">
        <v>7621</v>
      </c>
      <c r="E450" s="59">
        <v>11</v>
      </c>
      <c r="F450" s="59">
        <v>18001915</v>
      </c>
      <c r="G450" s="79">
        <v>3.1825345368199998E-9</v>
      </c>
      <c r="H450" s="59"/>
    </row>
    <row r="451" spans="2:8" x14ac:dyDescent="0.2">
      <c r="B451" s="59">
        <v>142</v>
      </c>
      <c r="C451" s="59" t="s">
        <v>7622</v>
      </c>
      <c r="D451" s="59" t="s">
        <v>7623</v>
      </c>
      <c r="E451" s="59">
        <v>11</v>
      </c>
      <c r="F451" s="59">
        <v>28642653</v>
      </c>
      <c r="G451" s="79">
        <v>3.2348749972200002E-9</v>
      </c>
      <c r="H451" s="59"/>
    </row>
    <row r="452" spans="2:8" x14ac:dyDescent="0.2">
      <c r="B452" s="59">
        <v>143</v>
      </c>
      <c r="C452" s="59" t="s">
        <v>7624</v>
      </c>
      <c r="D452" s="59" t="s">
        <v>7625</v>
      </c>
      <c r="E452" s="59">
        <v>11</v>
      </c>
      <c r="F452" s="59">
        <v>29895929</v>
      </c>
      <c r="G452" s="79">
        <v>9.5224988353199994E-9</v>
      </c>
      <c r="H452" s="59"/>
    </row>
    <row r="453" spans="2:8" x14ac:dyDescent="0.2">
      <c r="B453" s="59">
        <v>144</v>
      </c>
      <c r="C453" s="59" t="s">
        <v>7626</v>
      </c>
      <c r="D453" s="59" t="s">
        <v>7627</v>
      </c>
      <c r="E453" s="59">
        <v>11</v>
      </c>
      <c r="F453" s="59">
        <v>45245778</v>
      </c>
      <c r="G453" s="79">
        <v>3.8396030184800002E-8</v>
      </c>
      <c r="H453" s="59"/>
    </row>
    <row r="454" spans="2:8" x14ac:dyDescent="0.2">
      <c r="B454" s="59">
        <v>145</v>
      </c>
      <c r="C454" s="59" t="s">
        <v>7628</v>
      </c>
      <c r="D454" s="59" t="s">
        <v>7629</v>
      </c>
      <c r="E454" s="59">
        <v>11</v>
      </c>
      <c r="F454" s="59">
        <v>46446264</v>
      </c>
      <c r="G454" s="79">
        <v>1.2878812457599999E-16</v>
      </c>
      <c r="H454" s="59"/>
    </row>
    <row r="455" spans="2:8" x14ac:dyDescent="0.2">
      <c r="B455" s="59">
        <v>145</v>
      </c>
      <c r="C455" s="59" t="s">
        <v>7630</v>
      </c>
      <c r="D455" s="59" t="s">
        <v>7631</v>
      </c>
      <c r="E455" s="59">
        <v>11</v>
      </c>
      <c r="F455" s="59">
        <v>46686260</v>
      </c>
      <c r="G455" s="79">
        <v>2.7447532752599999E-12</v>
      </c>
      <c r="H455" s="59"/>
    </row>
    <row r="456" spans="2:8" x14ac:dyDescent="0.2">
      <c r="B456" s="59">
        <v>145</v>
      </c>
      <c r="C456" s="59" t="s">
        <v>7632</v>
      </c>
      <c r="D456" s="59" t="s">
        <v>7633</v>
      </c>
      <c r="E456" s="59">
        <v>11</v>
      </c>
      <c r="F456" s="59">
        <v>46691737</v>
      </c>
      <c r="G456" s="79">
        <v>1.0735457025300001E-8</v>
      </c>
      <c r="H456" s="59"/>
    </row>
    <row r="457" spans="2:8" x14ac:dyDescent="0.2">
      <c r="B457" s="59">
        <v>145</v>
      </c>
      <c r="C457" s="59" t="s">
        <v>7634</v>
      </c>
      <c r="D457" s="59" t="s">
        <v>7635</v>
      </c>
      <c r="E457" s="59">
        <v>11</v>
      </c>
      <c r="F457" s="59">
        <v>46692870</v>
      </c>
      <c r="G457" s="79">
        <v>3.1851939855900002E-8</v>
      </c>
      <c r="H457" s="59"/>
    </row>
    <row r="458" spans="2:8" x14ac:dyDescent="0.2">
      <c r="B458" s="59">
        <v>145</v>
      </c>
      <c r="C458" s="59" t="s">
        <v>7636</v>
      </c>
      <c r="D458" s="59" t="s">
        <v>7637</v>
      </c>
      <c r="E458" s="59">
        <v>11</v>
      </c>
      <c r="F458" s="59">
        <v>46929954</v>
      </c>
      <c r="G458" s="79">
        <v>3.45383005481E-12</v>
      </c>
      <c r="H458" s="59"/>
    </row>
    <row r="459" spans="2:8" x14ac:dyDescent="0.2">
      <c r="B459" s="59">
        <v>145</v>
      </c>
      <c r="C459" s="59" t="s">
        <v>7638</v>
      </c>
      <c r="D459" s="59" t="s">
        <v>7639</v>
      </c>
      <c r="E459" s="59">
        <v>11</v>
      </c>
      <c r="F459" s="59">
        <v>47232038</v>
      </c>
      <c r="G459" s="79">
        <v>6.2411153286199998E-9</v>
      </c>
      <c r="H459" s="59"/>
    </row>
    <row r="460" spans="2:8" x14ac:dyDescent="0.2">
      <c r="B460" s="59">
        <v>146</v>
      </c>
      <c r="C460" s="59" t="s">
        <v>7640</v>
      </c>
      <c r="D460" s="59" t="s">
        <v>7641</v>
      </c>
      <c r="E460" s="59">
        <v>11</v>
      </c>
      <c r="F460" s="59">
        <v>61448384</v>
      </c>
      <c r="G460" s="79">
        <v>7.2590326748599996E-9</v>
      </c>
      <c r="H460" s="59"/>
    </row>
    <row r="461" spans="2:8" x14ac:dyDescent="0.2">
      <c r="B461" s="59">
        <v>146</v>
      </c>
      <c r="C461" s="59" t="s">
        <v>7642</v>
      </c>
      <c r="D461" s="59" t="s">
        <v>7643</v>
      </c>
      <c r="E461" s="59">
        <v>11</v>
      </c>
      <c r="F461" s="59">
        <v>61543499</v>
      </c>
      <c r="G461" s="79">
        <v>4.3752586897699998E-10</v>
      </c>
      <c r="H461" s="59"/>
    </row>
    <row r="462" spans="2:8" x14ac:dyDescent="0.2">
      <c r="B462" s="59">
        <v>147</v>
      </c>
      <c r="C462" s="59" t="s">
        <v>7644</v>
      </c>
      <c r="D462" s="59" t="s">
        <v>7645</v>
      </c>
      <c r="E462" s="59">
        <v>11</v>
      </c>
      <c r="F462" s="59">
        <v>63648573</v>
      </c>
      <c r="G462" s="79">
        <v>2.2433273096699998E-8</v>
      </c>
      <c r="H462" s="59"/>
    </row>
    <row r="463" spans="2:8" x14ac:dyDescent="0.2">
      <c r="B463" s="59">
        <v>147</v>
      </c>
      <c r="C463" s="59" t="s">
        <v>7646</v>
      </c>
      <c r="D463" s="59" t="s">
        <v>7647</v>
      </c>
      <c r="E463" s="59">
        <v>11</v>
      </c>
      <c r="F463" s="59">
        <v>63670387</v>
      </c>
      <c r="G463" s="79">
        <v>5.4922343052000003E-11</v>
      </c>
      <c r="H463" s="59"/>
    </row>
    <row r="464" spans="2:8" x14ac:dyDescent="0.2">
      <c r="B464" s="59">
        <v>147</v>
      </c>
      <c r="C464" s="59" t="s">
        <v>7648</v>
      </c>
      <c r="D464" s="59" t="s">
        <v>7649</v>
      </c>
      <c r="E464" s="59">
        <v>11</v>
      </c>
      <c r="F464" s="59">
        <v>63790931</v>
      </c>
      <c r="G464" s="79">
        <v>6.28312317643E-9</v>
      </c>
      <c r="H464" s="59"/>
    </row>
    <row r="465" spans="2:8" x14ac:dyDescent="0.2">
      <c r="B465" s="59">
        <v>147</v>
      </c>
      <c r="C465" s="59" t="s">
        <v>7650</v>
      </c>
      <c r="D465" s="59" t="s">
        <v>7651</v>
      </c>
      <c r="E465" s="59">
        <v>11</v>
      </c>
      <c r="F465" s="59">
        <v>63815822</v>
      </c>
      <c r="G465" s="79">
        <v>5.3735336583100002E-10</v>
      </c>
      <c r="H465" s="59"/>
    </row>
    <row r="466" spans="2:8" x14ac:dyDescent="0.2">
      <c r="B466" s="59">
        <v>147</v>
      </c>
      <c r="C466" s="59" t="s">
        <v>7652</v>
      </c>
      <c r="D466" s="59" t="s">
        <v>7653</v>
      </c>
      <c r="E466" s="59">
        <v>11</v>
      </c>
      <c r="F466" s="59">
        <v>64009879</v>
      </c>
      <c r="G466" s="79">
        <v>2.0829244591300001E-8</v>
      </c>
      <c r="H466" s="59"/>
    </row>
    <row r="467" spans="2:8" x14ac:dyDescent="0.2">
      <c r="B467" s="59">
        <v>148</v>
      </c>
      <c r="C467" s="59" t="s">
        <v>7654</v>
      </c>
      <c r="D467" s="59" t="s">
        <v>7655</v>
      </c>
      <c r="E467" s="59">
        <v>11</v>
      </c>
      <c r="F467" s="59">
        <v>66125461</v>
      </c>
      <c r="G467" s="79">
        <v>3.2886435865599999E-8</v>
      </c>
      <c r="H467" s="59"/>
    </row>
    <row r="468" spans="2:8" x14ac:dyDescent="0.2">
      <c r="B468" s="59">
        <v>148</v>
      </c>
      <c r="C468" s="59" t="s">
        <v>7656</v>
      </c>
      <c r="D468" s="59" t="s">
        <v>7657</v>
      </c>
      <c r="E468" s="59">
        <v>11</v>
      </c>
      <c r="F468" s="59">
        <v>66483265</v>
      </c>
      <c r="G468" s="79">
        <v>3.5048126530500002E-8</v>
      </c>
      <c r="H468" s="59"/>
    </row>
    <row r="469" spans="2:8" x14ac:dyDescent="0.2">
      <c r="B469" s="59">
        <v>148</v>
      </c>
      <c r="C469" s="59" t="s">
        <v>7658</v>
      </c>
      <c r="D469" s="59" t="s">
        <v>7659</v>
      </c>
      <c r="E469" s="59">
        <v>11</v>
      </c>
      <c r="F469" s="59">
        <v>66549740</v>
      </c>
      <c r="G469" s="79">
        <v>4.2513744148899998E-8</v>
      </c>
      <c r="H469" s="59"/>
    </row>
    <row r="470" spans="2:8" x14ac:dyDescent="0.2">
      <c r="B470" s="59">
        <v>148</v>
      </c>
      <c r="C470" s="59" t="s">
        <v>7660</v>
      </c>
      <c r="D470" s="59" t="s">
        <v>7661</v>
      </c>
      <c r="E470" s="59">
        <v>11</v>
      </c>
      <c r="F470" s="59">
        <v>66784715</v>
      </c>
      <c r="G470" s="79">
        <v>4.4383718608400001E-9</v>
      </c>
      <c r="H470" s="59"/>
    </row>
    <row r="471" spans="2:8" x14ac:dyDescent="0.2">
      <c r="B471" s="59">
        <v>149</v>
      </c>
      <c r="C471" s="59" t="s">
        <v>7662</v>
      </c>
      <c r="D471" s="59" t="s">
        <v>7663</v>
      </c>
      <c r="E471" s="59">
        <v>11</v>
      </c>
      <c r="F471" s="59">
        <v>70560051</v>
      </c>
      <c r="G471" s="79">
        <v>8.5402984334899995E-10</v>
      </c>
      <c r="H471" s="59"/>
    </row>
    <row r="472" spans="2:8" x14ac:dyDescent="0.2">
      <c r="B472" s="59">
        <v>150</v>
      </c>
      <c r="C472" s="59" t="s">
        <v>7664</v>
      </c>
      <c r="D472" s="59" t="s">
        <v>7665</v>
      </c>
      <c r="E472" s="59">
        <v>11</v>
      </c>
      <c r="F472" s="59">
        <v>112917111</v>
      </c>
      <c r="G472" s="79">
        <v>3.7728243114199996E-9</v>
      </c>
      <c r="H472" s="59"/>
    </row>
    <row r="473" spans="2:8" x14ac:dyDescent="0.2">
      <c r="B473" s="59">
        <v>150</v>
      </c>
      <c r="C473" s="59" t="s">
        <v>7666</v>
      </c>
      <c r="D473" s="59" t="s">
        <v>7667</v>
      </c>
      <c r="E473" s="59">
        <v>11</v>
      </c>
      <c r="F473" s="59">
        <v>113306893</v>
      </c>
      <c r="G473" s="79">
        <v>6.0830328364399996E-9</v>
      </c>
      <c r="H473" s="59"/>
    </row>
    <row r="474" spans="2:8" x14ac:dyDescent="0.2">
      <c r="B474" s="59">
        <v>150</v>
      </c>
      <c r="C474" s="59" t="s">
        <v>7668</v>
      </c>
      <c r="D474" s="59" t="s">
        <v>7669</v>
      </c>
      <c r="E474" s="59">
        <v>11</v>
      </c>
      <c r="F474" s="59">
        <v>113329774</v>
      </c>
      <c r="G474" s="79">
        <v>3.4775503983799999E-8</v>
      </c>
      <c r="H474" s="59"/>
    </row>
    <row r="475" spans="2:8" x14ac:dyDescent="0.2">
      <c r="B475" s="59">
        <v>150</v>
      </c>
      <c r="C475" s="59" t="s">
        <v>7670</v>
      </c>
      <c r="D475" s="59" t="s">
        <v>7671</v>
      </c>
      <c r="E475" s="59">
        <v>11</v>
      </c>
      <c r="F475" s="59">
        <v>113374684</v>
      </c>
      <c r="G475" s="79">
        <v>8.7590296690300003E-12</v>
      </c>
      <c r="H475" s="59"/>
    </row>
    <row r="476" spans="2:8" x14ac:dyDescent="0.2">
      <c r="B476" s="59">
        <v>150</v>
      </c>
      <c r="C476" s="59" t="s">
        <v>7672</v>
      </c>
      <c r="D476" s="59" t="s">
        <v>7673</v>
      </c>
      <c r="E476" s="59">
        <v>11</v>
      </c>
      <c r="F476" s="59">
        <v>113392994</v>
      </c>
      <c r="G476" s="79">
        <v>1.27876990142E-21</v>
      </c>
      <c r="H476" s="59"/>
    </row>
    <row r="477" spans="2:8" x14ac:dyDescent="0.2">
      <c r="B477" s="59">
        <v>150</v>
      </c>
      <c r="C477" s="59" t="s">
        <v>7674</v>
      </c>
      <c r="D477" s="59" t="s">
        <v>7675</v>
      </c>
      <c r="E477" s="59">
        <v>11</v>
      </c>
      <c r="F477" s="59">
        <v>113400497</v>
      </c>
      <c r="G477" s="79">
        <v>1.5278583275299998E-8</v>
      </c>
      <c r="H477" s="59"/>
    </row>
    <row r="478" spans="2:8" x14ac:dyDescent="0.2">
      <c r="B478" s="59">
        <v>150</v>
      </c>
      <c r="C478" s="59" t="s">
        <v>7676</v>
      </c>
      <c r="D478" s="59" t="s">
        <v>7677</v>
      </c>
      <c r="E478" s="59">
        <v>11</v>
      </c>
      <c r="F478" s="59">
        <v>113410000</v>
      </c>
      <c r="G478" s="79">
        <v>1.3641281413499999E-8</v>
      </c>
      <c r="H478" s="59"/>
    </row>
    <row r="479" spans="2:8" x14ac:dyDescent="0.2">
      <c r="B479" s="59">
        <v>150</v>
      </c>
      <c r="C479" s="59" t="s">
        <v>7678</v>
      </c>
      <c r="D479" s="59" t="s">
        <v>7679</v>
      </c>
      <c r="E479" s="59">
        <v>11</v>
      </c>
      <c r="F479" s="59">
        <v>113418371</v>
      </c>
      <c r="G479" s="79">
        <v>4.0409786265E-15</v>
      </c>
      <c r="H479" s="59"/>
    </row>
    <row r="480" spans="2:8" x14ac:dyDescent="0.2">
      <c r="B480" s="59">
        <v>150</v>
      </c>
      <c r="C480" s="59" t="s">
        <v>7680</v>
      </c>
      <c r="D480" s="59" t="s">
        <v>7681</v>
      </c>
      <c r="E480" s="59">
        <v>11</v>
      </c>
      <c r="F480" s="59">
        <v>113424558</v>
      </c>
      <c r="G480" s="79">
        <v>9.888784845269999E-10</v>
      </c>
      <c r="H480" s="59"/>
    </row>
    <row r="481" spans="2:8" x14ac:dyDescent="0.2">
      <c r="B481" s="59">
        <v>150</v>
      </c>
      <c r="C481" s="59" t="s">
        <v>7682</v>
      </c>
      <c r="D481" s="59" t="s">
        <v>7683</v>
      </c>
      <c r="E481" s="59">
        <v>11</v>
      </c>
      <c r="F481" s="59">
        <v>113430486</v>
      </c>
      <c r="G481" s="79">
        <v>1.86619484357E-10</v>
      </c>
      <c r="H481" s="59"/>
    </row>
    <row r="482" spans="2:8" x14ac:dyDescent="0.2">
      <c r="B482" s="59">
        <v>150</v>
      </c>
      <c r="C482" s="59" t="s">
        <v>7684</v>
      </c>
      <c r="D482" s="59" t="s">
        <v>7685</v>
      </c>
      <c r="E482" s="59">
        <v>11</v>
      </c>
      <c r="F482" s="59">
        <v>113443753</v>
      </c>
      <c r="G482" s="79">
        <v>4.1986599565800003E-15</v>
      </c>
      <c r="H482" s="59"/>
    </row>
    <row r="483" spans="2:8" x14ac:dyDescent="0.2">
      <c r="B483" s="59">
        <v>151</v>
      </c>
      <c r="C483" s="59" t="s">
        <v>7686</v>
      </c>
      <c r="D483" s="59" t="s">
        <v>7687</v>
      </c>
      <c r="E483" s="59">
        <v>11</v>
      </c>
      <c r="F483" s="59">
        <v>124613957</v>
      </c>
      <c r="G483" s="79">
        <v>8.3246227872999999E-13</v>
      </c>
      <c r="H483" s="59"/>
    </row>
    <row r="484" spans="2:8" x14ac:dyDescent="0.2">
      <c r="B484" s="59">
        <v>151</v>
      </c>
      <c r="C484" s="59" t="s">
        <v>7688</v>
      </c>
      <c r="D484" s="59" t="s">
        <v>7689</v>
      </c>
      <c r="E484" s="59">
        <v>11</v>
      </c>
      <c r="F484" s="59">
        <v>124623492</v>
      </c>
      <c r="G484" s="79">
        <v>3.6422172030599998E-12</v>
      </c>
      <c r="H484" s="59"/>
    </row>
    <row r="485" spans="2:8" x14ac:dyDescent="0.2">
      <c r="B485" s="59">
        <v>151</v>
      </c>
      <c r="C485" s="59" t="s">
        <v>7690</v>
      </c>
      <c r="D485" s="59" t="s">
        <v>7691</v>
      </c>
      <c r="E485" s="59">
        <v>11</v>
      </c>
      <c r="F485" s="59">
        <v>124633640</v>
      </c>
      <c r="G485" s="79">
        <v>1.6448663512999999E-11</v>
      </c>
      <c r="H485" s="59"/>
    </row>
    <row r="486" spans="2:8" x14ac:dyDescent="0.2">
      <c r="B486" s="59">
        <v>152</v>
      </c>
      <c r="C486" s="59" t="s">
        <v>7692</v>
      </c>
      <c r="D486" s="59" t="s">
        <v>7693</v>
      </c>
      <c r="E486" s="59">
        <v>11</v>
      </c>
      <c r="F486" s="59">
        <v>130803634</v>
      </c>
      <c r="G486" s="79">
        <v>1.3092022601099999E-10</v>
      </c>
      <c r="H486" s="59"/>
    </row>
    <row r="487" spans="2:8" x14ac:dyDescent="0.2">
      <c r="B487" s="59">
        <v>153</v>
      </c>
      <c r="C487" s="59" t="s">
        <v>7694</v>
      </c>
      <c r="D487" s="59" t="s">
        <v>7695</v>
      </c>
      <c r="E487" s="59">
        <v>11</v>
      </c>
      <c r="F487" s="59">
        <v>131395813</v>
      </c>
      <c r="G487" s="79">
        <v>7.2144554139700002E-10</v>
      </c>
      <c r="H487" s="59"/>
    </row>
    <row r="488" spans="2:8" x14ac:dyDescent="0.2">
      <c r="B488" s="59">
        <v>154</v>
      </c>
      <c r="C488" s="59" t="s">
        <v>7696</v>
      </c>
      <c r="D488" s="59" t="s">
        <v>7697</v>
      </c>
      <c r="E488" s="59">
        <v>11</v>
      </c>
      <c r="F488" s="59">
        <v>132573390</v>
      </c>
      <c r="G488" s="79">
        <v>1.38477233573E-10</v>
      </c>
      <c r="H488" s="59"/>
    </row>
    <row r="489" spans="2:8" x14ac:dyDescent="0.2">
      <c r="B489" s="59">
        <v>155</v>
      </c>
      <c r="C489" s="59" t="s">
        <v>7698</v>
      </c>
      <c r="D489" s="59" t="s">
        <v>7699</v>
      </c>
      <c r="E489" s="59">
        <v>11</v>
      </c>
      <c r="F489" s="59">
        <v>133834104</v>
      </c>
      <c r="G489" s="79">
        <v>4.4055981558300004E-9</v>
      </c>
      <c r="H489" s="59"/>
    </row>
    <row r="490" spans="2:8" x14ac:dyDescent="0.2">
      <c r="B490" s="59">
        <v>155</v>
      </c>
      <c r="C490" s="59" t="s">
        <v>7700</v>
      </c>
      <c r="D490" s="59" t="s">
        <v>7701</v>
      </c>
      <c r="E490" s="59">
        <v>11</v>
      </c>
      <c r="F490" s="59">
        <v>133852684</v>
      </c>
      <c r="G490" s="79">
        <v>5.4957215738800001E-11</v>
      </c>
      <c r="H490" s="59"/>
    </row>
    <row r="491" spans="2:8" x14ac:dyDescent="0.2">
      <c r="B491" s="59">
        <v>156</v>
      </c>
      <c r="C491" s="59" t="s">
        <v>7702</v>
      </c>
      <c r="D491" s="59" t="s">
        <v>7703</v>
      </c>
      <c r="E491" s="59">
        <v>11</v>
      </c>
      <c r="F491" s="59">
        <v>134247315</v>
      </c>
      <c r="G491" s="79">
        <v>5.6624472153300001E-9</v>
      </c>
      <c r="H491" s="59"/>
    </row>
    <row r="492" spans="2:8" x14ac:dyDescent="0.2">
      <c r="B492" s="59">
        <v>156</v>
      </c>
      <c r="C492" s="59" t="s">
        <v>7704</v>
      </c>
      <c r="D492" s="59" t="s">
        <v>7705</v>
      </c>
      <c r="E492" s="59">
        <v>11</v>
      </c>
      <c r="F492" s="59">
        <v>134258416</v>
      </c>
      <c r="G492" s="79">
        <v>2.0952418452999999E-9</v>
      </c>
      <c r="H492" s="59"/>
    </row>
    <row r="493" spans="2:8" x14ac:dyDescent="0.2">
      <c r="B493" s="59">
        <v>156</v>
      </c>
      <c r="C493" s="59" t="s">
        <v>7706</v>
      </c>
      <c r="D493" s="59" t="s">
        <v>7707</v>
      </c>
      <c r="E493" s="59">
        <v>11</v>
      </c>
      <c r="F493" s="59">
        <v>134262338</v>
      </c>
      <c r="G493" s="79">
        <v>1.04211955753E-8</v>
      </c>
      <c r="H493" s="59"/>
    </row>
    <row r="494" spans="2:8" x14ac:dyDescent="0.2">
      <c r="B494" s="59">
        <v>156</v>
      </c>
      <c r="C494" s="59" t="s">
        <v>7708</v>
      </c>
      <c r="D494" s="59" t="s">
        <v>7709</v>
      </c>
      <c r="E494" s="59">
        <v>11</v>
      </c>
      <c r="F494" s="59">
        <v>134278010</v>
      </c>
      <c r="G494" s="79">
        <v>1.9740372170499999E-8</v>
      </c>
      <c r="H494" s="59"/>
    </row>
    <row r="495" spans="2:8" x14ac:dyDescent="0.2">
      <c r="B495" s="59">
        <v>156</v>
      </c>
      <c r="C495" s="59" t="s">
        <v>7710</v>
      </c>
      <c r="D495" s="59" t="s">
        <v>7711</v>
      </c>
      <c r="E495" s="59">
        <v>11</v>
      </c>
      <c r="F495" s="59">
        <v>134296384</v>
      </c>
      <c r="G495" s="79">
        <v>6.0294977906199996E-14</v>
      </c>
      <c r="H495" s="59"/>
    </row>
    <row r="496" spans="2:8" x14ac:dyDescent="0.2">
      <c r="B496" s="59">
        <v>156</v>
      </c>
      <c r="C496" s="59" t="s">
        <v>7712</v>
      </c>
      <c r="D496" s="59" t="s">
        <v>7713</v>
      </c>
      <c r="E496" s="59">
        <v>11</v>
      </c>
      <c r="F496" s="59">
        <v>134501177</v>
      </c>
      <c r="G496" s="79">
        <v>3.6013212309200001E-8</v>
      </c>
      <c r="H496" s="59"/>
    </row>
    <row r="497" spans="2:8" x14ac:dyDescent="0.2">
      <c r="B497" s="59">
        <v>156</v>
      </c>
      <c r="C497" s="59" t="s">
        <v>7714</v>
      </c>
      <c r="D497" s="59" t="s">
        <v>7715</v>
      </c>
      <c r="E497" s="59">
        <v>11</v>
      </c>
      <c r="F497" s="59">
        <v>134527421</v>
      </c>
      <c r="G497" s="79">
        <v>1.7198732114400001E-9</v>
      </c>
      <c r="H497" s="59"/>
    </row>
    <row r="498" spans="2:8" x14ac:dyDescent="0.2">
      <c r="B498" s="59">
        <v>157</v>
      </c>
      <c r="C498" s="59" t="s">
        <v>7716</v>
      </c>
      <c r="D498" s="59" t="s">
        <v>7717</v>
      </c>
      <c r="E498" s="59">
        <v>12</v>
      </c>
      <c r="F498" s="59">
        <v>2297996</v>
      </c>
      <c r="G498" s="79">
        <v>1.9004452177400001E-27</v>
      </c>
      <c r="H498" s="59"/>
    </row>
    <row r="499" spans="2:8" x14ac:dyDescent="0.2">
      <c r="B499" s="59">
        <v>157</v>
      </c>
      <c r="C499" s="59" t="s">
        <v>7718</v>
      </c>
      <c r="D499" s="59" t="s">
        <v>7719</v>
      </c>
      <c r="E499" s="59">
        <v>12</v>
      </c>
      <c r="F499" s="59">
        <v>2307175</v>
      </c>
      <c r="G499" s="79">
        <v>4.6141443818199998E-21</v>
      </c>
      <c r="H499" s="59"/>
    </row>
    <row r="500" spans="2:8" x14ac:dyDescent="0.2">
      <c r="B500" s="59">
        <v>157</v>
      </c>
      <c r="C500" s="59" t="s">
        <v>7720</v>
      </c>
      <c r="D500" s="59" t="s">
        <v>7721</v>
      </c>
      <c r="E500" s="59">
        <v>12</v>
      </c>
      <c r="F500" s="59">
        <v>2350401</v>
      </c>
      <c r="G500" s="79">
        <v>3.2265100214599998E-21</v>
      </c>
      <c r="H500" s="59"/>
    </row>
    <row r="501" spans="2:8" x14ac:dyDescent="0.2">
      <c r="B501" s="59">
        <v>157</v>
      </c>
      <c r="C501" s="59" t="s">
        <v>7722</v>
      </c>
      <c r="D501" s="59" t="s">
        <v>7723</v>
      </c>
      <c r="E501" s="59">
        <v>12</v>
      </c>
      <c r="F501" s="59">
        <v>2408194</v>
      </c>
      <c r="G501" s="79">
        <v>2.7474617159400002E-32</v>
      </c>
      <c r="H501" s="59"/>
    </row>
    <row r="502" spans="2:8" x14ac:dyDescent="0.2">
      <c r="B502" s="59">
        <v>157</v>
      </c>
      <c r="C502" s="59" t="s">
        <v>7724</v>
      </c>
      <c r="D502" s="59" t="s">
        <v>7725</v>
      </c>
      <c r="E502" s="59">
        <v>12</v>
      </c>
      <c r="F502" s="59">
        <v>2413803</v>
      </c>
      <c r="G502" s="79">
        <v>1.98241975268E-28</v>
      </c>
      <c r="H502" s="59"/>
    </row>
    <row r="503" spans="2:8" x14ac:dyDescent="0.2">
      <c r="B503" s="59">
        <v>157</v>
      </c>
      <c r="C503" s="59" t="s">
        <v>7726</v>
      </c>
      <c r="D503" s="59" t="s">
        <v>7727</v>
      </c>
      <c r="E503" s="59">
        <v>12</v>
      </c>
      <c r="F503" s="59">
        <v>2419896</v>
      </c>
      <c r="G503" s="79">
        <v>7.6009710029200004E-23</v>
      </c>
      <c r="H503" s="59"/>
    </row>
    <row r="504" spans="2:8" x14ac:dyDescent="0.2">
      <c r="B504" s="59">
        <v>157</v>
      </c>
      <c r="C504" s="59" t="s">
        <v>7728</v>
      </c>
      <c r="D504" s="59" t="s">
        <v>7729</v>
      </c>
      <c r="E504" s="59">
        <v>12</v>
      </c>
      <c r="F504" s="59">
        <v>2423620</v>
      </c>
      <c r="G504" s="79">
        <v>6.3555523884700001E-9</v>
      </c>
      <c r="H504" s="59"/>
    </row>
    <row r="505" spans="2:8" x14ac:dyDescent="0.2">
      <c r="B505" s="59">
        <v>157</v>
      </c>
      <c r="C505" s="59" t="s">
        <v>7730</v>
      </c>
      <c r="D505" s="59" t="s">
        <v>7731</v>
      </c>
      <c r="E505" s="59">
        <v>12</v>
      </c>
      <c r="F505" s="59">
        <v>2440464</v>
      </c>
      <c r="G505" s="79">
        <v>6.8326203196699997E-9</v>
      </c>
      <c r="H505" s="59"/>
    </row>
    <row r="506" spans="2:8" x14ac:dyDescent="0.2">
      <c r="B506" s="59">
        <v>157</v>
      </c>
      <c r="C506" s="59" t="s">
        <v>7732</v>
      </c>
      <c r="D506" s="59" t="s">
        <v>7733</v>
      </c>
      <c r="E506" s="59">
        <v>12</v>
      </c>
      <c r="F506" s="59">
        <v>2499849</v>
      </c>
      <c r="G506" s="79">
        <v>2.92939375419E-10</v>
      </c>
      <c r="H506" s="59"/>
    </row>
    <row r="507" spans="2:8" x14ac:dyDescent="0.2">
      <c r="B507" s="59">
        <v>158</v>
      </c>
      <c r="C507" s="59" t="s">
        <v>7734</v>
      </c>
      <c r="D507" s="59" t="s">
        <v>7735</v>
      </c>
      <c r="E507" s="59">
        <v>12</v>
      </c>
      <c r="F507" s="59">
        <v>29921443</v>
      </c>
      <c r="G507" s="79">
        <v>2.2261957453300001E-11</v>
      </c>
      <c r="H507" s="59"/>
    </row>
    <row r="508" spans="2:8" x14ac:dyDescent="0.2">
      <c r="B508" s="59">
        <v>159</v>
      </c>
      <c r="C508" s="59" t="s">
        <v>7736</v>
      </c>
      <c r="D508" s="59" t="s">
        <v>7737</v>
      </c>
      <c r="E508" s="59">
        <v>12</v>
      </c>
      <c r="F508" s="59">
        <v>39518293</v>
      </c>
      <c r="G508" s="79">
        <v>1.8824167951900001E-8</v>
      </c>
      <c r="H508" s="59"/>
    </row>
    <row r="509" spans="2:8" x14ac:dyDescent="0.2">
      <c r="B509" s="59">
        <v>160</v>
      </c>
      <c r="C509" s="59" t="s">
        <v>7738</v>
      </c>
      <c r="D509" s="59" t="s">
        <v>7739</v>
      </c>
      <c r="E509" s="59">
        <v>12</v>
      </c>
      <c r="F509" s="59">
        <v>57331741</v>
      </c>
      <c r="G509" s="79">
        <v>1.58979545972E-8</v>
      </c>
      <c r="H509" s="59"/>
    </row>
    <row r="510" spans="2:8" x14ac:dyDescent="0.2">
      <c r="B510" s="59">
        <v>160</v>
      </c>
      <c r="C510" s="59" t="s">
        <v>7740</v>
      </c>
      <c r="D510" s="59" t="s">
        <v>7741</v>
      </c>
      <c r="E510" s="59">
        <v>12</v>
      </c>
      <c r="F510" s="59">
        <v>57487729</v>
      </c>
      <c r="G510" s="79">
        <v>2.0354151234499999E-8</v>
      </c>
      <c r="H510" s="59"/>
    </row>
    <row r="511" spans="2:8" x14ac:dyDescent="0.2">
      <c r="B511" s="59">
        <v>160</v>
      </c>
      <c r="C511" s="59" t="s">
        <v>7742</v>
      </c>
      <c r="D511" s="59" t="s">
        <v>7743</v>
      </c>
      <c r="E511" s="59">
        <v>12</v>
      </c>
      <c r="F511" s="59">
        <v>57487814</v>
      </c>
      <c r="G511" s="79">
        <v>4.5005181276399997E-14</v>
      </c>
      <c r="H511" s="59"/>
    </row>
    <row r="512" spans="2:8" x14ac:dyDescent="0.2">
      <c r="B512" s="59">
        <v>161</v>
      </c>
      <c r="C512" s="59" t="s">
        <v>7744</v>
      </c>
      <c r="D512" s="59" t="s">
        <v>7745</v>
      </c>
      <c r="E512" s="59">
        <v>12</v>
      </c>
      <c r="F512" s="59">
        <v>95195293</v>
      </c>
      <c r="G512" s="79">
        <v>1.8636504778100001E-10</v>
      </c>
      <c r="H512" s="59"/>
    </row>
    <row r="513" spans="2:8" x14ac:dyDescent="0.2">
      <c r="B513" s="59">
        <v>162</v>
      </c>
      <c r="C513" s="59" t="s">
        <v>7746</v>
      </c>
      <c r="D513" s="59" t="s">
        <v>7747</v>
      </c>
      <c r="E513" s="59">
        <v>12</v>
      </c>
      <c r="F513" s="59">
        <v>97538337</v>
      </c>
      <c r="G513" s="79">
        <v>4.1698420079300001E-8</v>
      </c>
      <c r="H513" s="59"/>
    </row>
    <row r="514" spans="2:8" x14ac:dyDescent="0.2">
      <c r="B514" s="59">
        <v>163</v>
      </c>
      <c r="C514" s="59" t="s">
        <v>7748</v>
      </c>
      <c r="D514" s="59" t="s">
        <v>7749</v>
      </c>
      <c r="E514" s="59">
        <v>12</v>
      </c>
      <c r="F514" s="59">
        <v>99462369</v>
      </c>
      <c r="G514" s="79">
        <v>5.6507664860899998E-9</v>
      </c>
      <c r="H514" s="59"/>
    </row>
    <row r="515" spans="2:8" x14ac:dyDescent="0.2">
      <c r="B515" s="59">
        <v>164</v>
      </c>
      <c r="C515" s="59" t="s">
        <v>7750</v>
      </c>
      <c r="D515" s="59" t="s">
        <v>7751</v>
      </c>
      <c r="E515" s="59">
        <v>12</v>
      </c>
      <c r="F515" s="59">
        <v>110902563</v>
      </c>
      <c r="G515" s="79">
        <v>2.0686554849399999E-8</v>
      </c>
      <c r="H515" s="59"/>
    </row>
    <row r="516" spans="2:8" x14ac:dyDescent="0.2">
      <c r="B516" s="59">
        <v>165</v>
      </c>
      <c r="C516" s="59" t="s">
        <v>7752</v>
      </c>
      <c r="D516" s="59" t="s">
        <v>7753</v>
      </c>
      <c r="E516" s="59">
        <v>12</v>
      </c>
      <c r="F516" s="59">
        <v>121380544</v>
      </c>
      <c r="G516" s="79">
        <v>5.23355815989E-10</v>
      </c>
      <c r="H516" s="59"/>
    </row>
    <row r="517" spans="2:8" x14ac:dyDescent="0.2">
      <c r="B517" s="59">
        <v>165</v>
      </c>
      <c r="C517" s="59" t="s">
        <v>7754</v>
      </c>
      <c r="D517" s="59" t="s">
        <v>7755</v>
      </c>
      <c r="E517" s="59">
        <v>12</v>
      </c>
      <c r="F517" s="59">
        <v>121639657</v>
      </c>
      <c r="G517" s="79">
        <v>6.4892320655400004E-9</v>
      </c>
      <c r="H517" s="59"/>
    </row>
    <row r="518" spans="2:8" x14ac:dyDescent="0.2">
      <c r="B518" s="59">
        <v>166</v>
      </c>
      <c r="C518" s="59" t="s">
        <v>7756</v>
      </c>
      <c r="D518" s="59" t="s">
        <v>7757</v>
      </c>
      <c r="E518" s="59">
        <v>12</v>
      </c>
      <c r="F518" s="59">
        <v>123682081</v>
      </c>
      <c r="G518" s="79">
        <v>1.6689129110700001E-21</v>
      </c>
      <c r="H518" s="59"/>
    </row>
    <row r="519" spans="2:8" x14ac:dyDescent="0.2">
      <c r="B519" s="59">
        <v>166</v>
      </c>
      <c r="C519" s="59" t="s">
        <v>7758</v>
      </c>
      <c r="D519" s="59" t="s">
        <v>7759</v>
      </c>
      <c r="E519" s="59">
        <v>12</v>
      </c>
      <c r="F519" s="59">
        <v>123736084</v>
      </c>
      <c r="G519" s="79">
        <v>4.4242721883800002E-8</v>
      </c>
      <c r="H519" s="59"/>
    </row>
    <row r="520" spans="2:8" x14ac:dyDescent="0.2">
      <c r="B520" s="59">
        <v>166</v>
      </c>
      <c r="C520" s="59" t="s">
        <v>7760</v>
      </c>
      <c r="D520" s="59" t="s">
        <v>7761</v>
      </c>
      <c r="E520" s="59">
        <v>12</v>
      </c>
      <c r="F520" s="59">
        <v>123883853</v>
      </c>
      <c r="G520" s="79">
        <v>8.0417227404799998E-14</v>
      </c>
      <c r="H520" s="59"/>
    </row>
    <row r="521" spans="2:8" x14ac:dyDescent="0.2">
      <c r="B521" s="59">
        <v>167</v>
      </c>
      <c r="C521" s="59" t="s">
        <v>7762</v>
      </c>
      <c r="D521" s="59" t="s">
        <v>7763</v>
      </c>
      <c r="E521" s="59">
        <v>12</v>
      </c>
      <c r="F521" s="59">
        <v>124437215</v>
      </c>
      <c r="G521" s="79">
        <v>9.37349349746E-10</v>
      </c>
      <c r="H521" s="59"/>
    </row>
    <row r="522" spans="2:8" x14ac:dyDescent="0.2">
      <c r="B522" s="59">
        <v>168</v>
      </c>
      <c r="C522" s="59" t="s">
        <v>7764</v>
      </c>
      <c r="D522" s="59" t="s">
        <v>7765</v>
      </c>
      <c r="E522" s="59">
        <v>12</v>
      </c>
      <c r="F522" s="59">
        <v>124809027</v>
      </c>
      <c r="G522" s="79">
        <v>1.71487635885E-8</v>
      </c>
      <c r="H522" s="59"/>
    </row>
    <row r="523" spans="2:8" x14ac:dyDescent="0.2">
      <c r="B523" s="59">
        <v>169</v>
      </c>
      <c r="C523" s="59" t="s">
        <v>7766</v>
      </c>
      <c r="D523" s="59" t="s">
        <v>7767</v>
      </c>
      <c r="E523" s="59">
        <v>13</v>
      </c>
      <c r="F523" s="59">
        <v>50179454</v>
      </c>
      <c r="G523" s="79">
        <v>2.35807693911E-8</v>
      </c>
      <c r="H523" s="59"/>
    </row>
    <row r="524" spans="2:8" x14ac:dyDescent="0.2">
      <c r="B524" s="59">
        <v>170</v>
      </c>
      <c r="C524" s="59" t="s">
        <v>7768</v>
      </c>
      <c r="D524" s="59" t="s">
        <v>7769</v>
      </c>
      <c r="E524" s="59">
        <v>13</v>
      </c>
      <c r="F524" s="59">
        <v>54451624</v>
      </c>
      <c r="G524" s="79">
        <v>8.2504080722500001E-9</v>
      </c>
      <c r="H524" s="59"/>
    </row>
    <row r="525" spans="2:8" x14ac:dyDescent="0.2">
      <c r="B525" s="59">
        <v>171</v>
      </c>
      <c r="C525" s="59" t="s">
        <v>7770</v>
      </c>
      <c r="D525" s="59" t="s">
        <v>7771</v>
      </c>
      <c r="E525" s="59">
        <v>13</v>
      </c>
      <c r="F525" s="59">
        <v>55951851</v>
      </c>
      <c r="G525" s="79">
        <v>1.6583401637999998E-8</v>
      </c>
      <c r="H525" s="59"/>
    </row>
    <row r="526" spans="2:8" x14ac:dyDescent="0.2">
      <c r="B526" s="59">
        <v>172</v>
      </c>
      <c r="C526" s="59" t="s">
        <v>7772</v>
      </c>
      <c r="D526" s="59" t="s">
        <v>7773</v>
      </c>
      <c r="E526" s="59">
        <v>13</v>
      </c>
      <c r="F526" s="59">
        <v>79872968</v>
      </c>
      <c r="G526" s="79">
        <v>1.10012665524E-11</v>
      </c>
      <c r="H526" s="59"/>
    </row>
    <row r="527" spans="2:8" x14ac:dyDescent="0.2">
      <c r="B527" s="59">
        <v>172</v>
      </c>
      <c r="C527" s="59" t="s">
        <v>7774</v>
      </c>
      <c r="D527" s="59" t="s">
        <v>7775</v>
      </c>
      <c r="E527" s="59">
        <v>13</v>
      </c>
      <c r="F527" s="59">
        <v>80061074</v>
      </c>
      <c r="G527" s="79">
        <v>8.2633530894199994E-15</v>
      </c>
      <c r="H527" s="59"/>
    </row>
    <row r="528" spans="2:8" x14ac:dyDescent="0.2">
      <c r="B528" s="59">
        <v>172</v>
      </c>
      <c r="C528" s="59" t="s">
        <v>7776</v>
      </c>
      <c r="D528" s="59" t="s">
        <v>7777</v>
      </c>
      <c r="E528" s="59">
        <v>13</v>
      </c>
      <c r="F528" s="59">
        <v>80190848</v>
      </c>
      <c r="G528" s="79">
        <v>1.21361480042E-10</v>
      </c>
      <c r="H528" s="59"/>
    </row>
    <row r="529" spans="2:8" x14ac:dyDescent="0.2">
      <c r="B529" s="59">
        <v>173</v>
      </c>
      <c r="C529" s="59" t="s">
        <v>7778</v>
      </c>
      <c r="D529" s="59" t="s">
        <v>7779</v>
      </c>
      <c r="E529" s="59">
        <v>13</v>
      </c>
      <c r="F529" s="59">
        <v>96542080</v>
      </c>
      <c r="G529" s="79">
        <v>4.6515532284900002E-9</v>
      </c>
      <c r="H529" s="59"/>
    </row>
    <row r="530" spans="2:8" x14ac:dyDescent="0.2">
      <c r="B530" s="59">
        <v>173</v>
      </c>
      <c r="C530" s="59" t="s">
        <v>7780</v>
      </c>
      <c r="D530" s="59" t="s">
        <v>7781</v>
      </c>
      <c r="E530" s="59">
        <v>13</v>
      </c>
      <c r="F530" s="59">
        <v>96896959</v>
      </c>
      <c r="G530" s="79">
        <v>3.3188948568699998E-10</v>
      </c>
      <c r="H530" s="59"/>
    </row>
    <row r="531" spans="2:8" x14ac:dyDescent="0.2">
      <c r="B531" s="59">
        <v>173</v>
      </c>
      <c r="C531" s="59" t="s">
        <v>7782</v>
      </c>
      <c r="D531" s="59" t="s">
        <v>7783</v>
      </c>
      <c r="E531" s="59">
        <v>13</v>
      </c>
      <c r="F531" s="59">
        <v>96966314</v>
      </c>
      <c r="G531" s="79">
        <v>5.2882764076599997E-9</v>
      </c>
      <c r="H531" s="59"/>
    </row>
    <row r="532" spans="2:8" x14ac:dyDescent="0.2">
      <c r="B532" s="59">
        <v>173</v>
      </c>
      <c r="C532" s="59" t="s">
        <v>7784</v>
      </c>
      <c r="D532" s="59" t="s">
        <v>7785</v>
      </c>
      <c r="E532" s="59">
        <v>13</v>
      </c>
      <c r="F532" s="59">
        <v>97009954</v>
      </c>
      <c r="G532" s="79">
        <v>1.0205006793599999E-8</v>
      </c>
      <c r="H532" s="59"/>
    </row>
    <row r="533" spans="2:8" x14ac:dyDescent="0.2">
      <c r="B533" s="59">
        <v>173</v>
      </c>
      <c r="C533" s="59" t="s">
        <v>7786</v>
      </c>
      <c r="D533" s="59" t="s">
        <v>7787</v>
      </c>
      <c r="E533" s="59">
        <v>13</v>
      </c>
      <c r="F533" s="59">
        <v>97190006</v>
      </c>
      <c r="G533" s="79">
        <v>3.9405382950799999E-8</v>
      </c>
      <c r="H533" s="59"/>
    </row>
    <row r="534" spans="2:8" x14ac:dyDescent="0.2">
      <c r="B534" s="59">
        <v>174</v>
      </c>
      <c r="C534" s="59" t="s">
        <v>7788</v>
      </c>
      <c r="D534" s="59" t="s">
        <v>7789</v>
      </c>
      <c r="E534" s="59">
        <v>14</v>
      </c>
      <c r="F534" s="59">
        <v>30208630</v>
      </c>
      <c r="G534" s="79">
        <v>6.9023183015499999E-10</v>
      </c>
      <c r="H534" s="59"/>
    </row>
    <row r="535" spans="2:8" x14ac:dyDescent="0.2">
      <c r="B535" s="59">
        <v>175</v>
      </c>
      <c r="C535" s="59" t="s">
        <v>7790</v>
      </c>
      <c r="D535" s="59" t="s">
        <v>7791</v>
      </c>
      <c r="E535" s="59">
        <v>14</v>
      </c>
      <c r="F535" s="59">
        <v>62487438</v>
      </c>
      <c r="G535" s="79">
        <v>1.0706681626100001E-8</v>
      </c>
      <c r="H535" s="59"/>
    </row>
    <row r="536" spans="2:8" x14ac:dyDescent="0.2">
      <c r="B536" s="59">
        <v>176</v>
      </c>
      <c r="C536" s="59" t="s">
        <v>7792</v>
      </c>
      <c r="D536" s="59" t="s">
        <v>7793</v>
      </c>
      <c r="E536" s="59">
        <v>14</v>
      </c>
      <c r="F536" s="59">
        <v>72425819</v>
      </c>
      <c r="G536" s="79">
        <v>1.11462665691E-10</v>
      </c>
      <c r="H536" s="59"/>
    </row>
    <row r="537" spans="2:8" x14ac:dyDescent="0.2">
      <c r="B537" s="59">
        <v>176</v>
      </c>
      <c r="C537" s="59" t="s">
        <v>7794</v>
      </c>
      <c r="D537" s="59" t="s">
        <v>7795</v>
      </c>
      <c r="E537" s="59">
        <v>14</v>
      </c>
      <c r="F537" s="59">
        <v>72434002</v>
      </c>
      <c r="G537" s="79">
        <v>1.9455466207900001E-11</v>
      </c>
      <c r="H537" s="59"/>
    </row>
    <row r="538" spans="2:8" x14ac:dyDescent="0.2">
      <c r="B538" s="59">
        <v>176</v>
      </c>
      <c r="C538" s="59" t="s">
        <v>7796</v>
      </c>
      <c r="D538" s="59" t="s">
        <v>7797</v>
      </c>
      <c r="E538" s="59">
        <v>14</v>
      </c>
      <c r="F538" s="59">
        <v>72442612</v>
      </c>
      <c r="G538" s="79">
        <v>7.6336957755900004E-14</v>
      </c>
      <c r="H538" s="59"/>
    </row>
    <row r="539" spans="2:8" x14ac:dyDescent="0.2">
      <c r="B539" s="59">
        <v>176</v>
      </c>
      <c r="C539" s="59" t="s">
        <v>7798</v>
      </c>
      <c r="D539" s="59" t="s">
        <v>7799</v>
      </c>
      <c r="E539" s="59">
        <v>14</v>
      </c>
      <c r="F539" s="59">
        <v>72457218</v>
      </c>
      <c r="G539" s="79">
        <v>1.20083498745E-8</v>
      </c>
      <c r="H539" s="59"/>
    </row>
    <row r="540" spans="2:8" x14ac:dyDescent="0.2">
      <c r="B540" s="59">
        <v>177</v>
      </c>
      <c r="C540" s="59" t="s">
        <v>7800</v>
      </c>
      <c r="D540" s="59" t="s">
        <v>7801</v>
      </c>
      <c r="E540" s="59">
        <v>14</v>
      </c>
      <c r="F540" s="59">
        <v>99670791</v>
      </c>
      <c r="G540" s="79">
        <v>3.2071064928899998E-10</v>
      </c>
      <c r="H540" s="59"/>
    </row>
    <row r="541" spans="2:8" x14ac:dyDescent="0.2">
      <c r="B541" s="59">
        <v>177</v>
      </c>
      <c r="C541" s="59" t="s">
        <v>7802</v>
      </c>
      <c r="D541" s="59" t="s">
        <v>7803</v>
      </c>
      <c r="E541" s="59">
        <v>14</v>
      </c>
      <c r="F541" s="59">
        <v>99707933</v>
      </c>
      <c r="G541" s="79">
        <v>5.2648334792599999E-11</v>
      </c>
      <c r="H541" s="59"/>
    </row>
    <row r="542" spans="2:8" x14ac:dyDescent="0.2">
      <c r="B542" s="59">
        <v>177</v>
      </c>
      <c r="C542" s="59" t="s">
        <v>7804</v>
      </c>
      <c r="D542" s="59" t="s">
        <v>7805</v>
      </c>
      <c r="E542" s="59">
        <v>14</v>
      </c>
      <c r="F542" s="59">
        <v>99711394</v>
      </c>
      <c r="G542" s="79">
        <v>2.2930490905799999E-8</v>
      </c>
      <c r="H542" s="59"/>
    </row>
    <row r="543" spans="2:8" x14ac:dyDescent="0.2">
      <c r="B543" s="59">
        <v>177</v>
      </c>
      <c r="C543" s="59" t="s">
        <v>7806</v>
      </c>
      <c r="D543" s="59" t="s">
        <v>7807</v>
      </c>
      <c r="E543" s="59">
        <v>14</v>
      </c>
      <c r="F543" s="59">
        <v>99719680</v>
      </c>
      <c r="G543" s="79">
        <v>1.74345043221E-9</v>
      </c>
      <c r="H543" s="59"/>
    </row>
    <row r="544" spans="2:8" x14ac:dyDescent="0.2">
      <c r="B544" s="59">
        <v>177</v>
      </c>
      <c r="C544" s="59" t="s">
        <v>7808</v>
      </c>
      <c r="D544" s="59" t="s">
        <v>7809</v>
      </c>
      <c r="E544" s="59">
        <v>14</v>
      </c>
      <c r="F544" s="59">
        <v>99722290</v>
      </c>
      <c r="G544" s="79">
        <v>1.6278599819300001E-11</v>
      </c>
      <c r="H544" s="59"/>
    </row>
    <row r="545" spans="2:8" x14ac:dyDescent="0.2">
      <c r="B545" s="59">
        <v>177</v>
      </c>
      <c r="C545" s="59" t="s">
        <v>7810</v>
      </c>
      <c r="D545" s="59" t="s">
        <v>7811</v>
      </c>
      <c r="E545" s="59">
        <v>14</v>
      </c>
      <c r="F545" s="59">
        <v>99733954</v>
      </c>
      <c r="G545" s="79">
        <v>6.9512971173199999E-10</v>
      </c>
      <c r="H545" s="59"/>
    </row>
    <row r="546" spans="2:8" x14ac:dyDescent="0.2">
      <c r="B546" s="59">
        <v>178</v>
      </c>
      <c r="C546" s="59" t="s">
        <v>7812</v>
      </c>
      <c r="D546" s="59" t="s">
        <v>7813</v>
      </c>
      <c r="E546" s="59">
        <v>14</v>
      </c>
      <c r="F546" s="59">
        <v>103811181</v>
      </c>
      <c r="G546" s="79">
        <v>1.2646035349900001E-8</v>
      </c>
      <c r="H546" s="59"/>
    </row>
    <row r="547" spans="2:8" x14ac:dyDescent="0.2">
      <c r="B547" s="59">
        <v>178</v>
      </c>
      <c r="C547" s="59" t="s">
        <v>7814</v>
      </c>
      <c r="D547" s="59" t="s">
        <v>7815</v>
      </c>
      <c r="E547" s="59">
        <v>14</v>
      </c>
      <c r="F547" s="59">
        <v>104017793</v>
      </c>
      <c r="G547" s="79">
        <v>1.9117449504299999E-10</v>
      </c>
      <c r="H547" s="59"/>
    </row>
    <row r="548" spans="2:8" x14ac:dyDescent="0.2">
      <c r="B548" s="59">
        <v>178</v>
      </c>
      <c r="C548" s="59" t="s">
        <v>7816</v>
      </c>
      <c r="D548" s="59" t="s">
        <v>7817</v>
      </c>
      <c r="E548" s="59">
        <v>14</v>
      </c>
      <c r="F548" s="59">
        <v>104270000</v>
      </c>
      <c r="G548" s="79">
        <v>3.2760112207000001E-9</v>
      </c>
      <c r="H548" s="59"/>
    </row>
    <row r="549" spans="2:8" x14ac:dyDescent="0.2">
      <c r="B549" s="59">
        <v>178</v>
      </c>
      <c r="C549" s="59" t="s">
        <v>7818</v>
      </c>
      <c r="D549" s="59" t="s">
        <v>7819</v>
      </c>
      <c r="E549" s="59">
        <v>14</v>
      </c>
      <c r="F549" s="59">
        <v>104295414</v>
      </c>
      <c r="G549" s="79">
        <v>1.33137350744E-10</v>
      </c>
      <c r="H549" s="59"/>
    </row>
    <row r="550" spans="2:8" x14ac:dyDescent="0.2">
      <c r="B550" s="59">
        <v>178</v>
      </c>
      <c r="C550" s="59" t="s">
        <v>7820</v>
      </c>
      <c r="D550" s="59" t="s">
        <v>7821</v>
      </c>
      <c r="E550" s="59">
        <v>14</v>
      </c>
      <c r="F550" s="59">
        <v>104322983</v>
      </c>
      <c r="G550" s="79">
        <v>5.2870072800500004E-12</v>
      </c>
      <c r="H550" s="59"/>
    </row>
    <row r="551" spans="2:8" x14ac:dyDescent="0.2">
      <c r="B551" s="59">
        <v>178</v>
      </c>
      <c r="C551" s="59" t="s">
        <v>7822</v>
      </c>
      <c r="D551" s="59" t="s">
        <v>7823</v>
      </c>
      <c r="E551" s="59">
        <v>14</v>
      </c>
      <c r="F551" s="59">
        <v>104324183</v>
      </c>
      <c r="G551" s="79">
        <v>7.2069039913199994E-20</v>
      </c>
      <c r="H551" s="59"/>
    </row>
    <row r="552" spans="2:8" x14ac:dyDescent="0.2">
      <c r="B552" s="59">
        <v>178</v>
      </c>
      <c r="C552" s="59" t="s">
        <v>7824</v>
      </c>
      <c r="D552" s="59" t="s">
        <v>7825</v>
      </c>
      <c r="E552" s="59">
        <v>14</v>
      </c>
      <c r="F552" s="59">
        <v>104330432</v>
      </c>
      <c r="G552" s="79">
        <v>2.27289921048E-9</v>
      </c>
      <c r="H552" s="59"/>
    </row>
    <row r="553" spans="2:8" x14ac:dyDescent="0.2">
      <c r="B553" s="59">
        <v>178</v>
      </c>
      <c r="C553" s="59" t="s">
        <v>7826</v>
      </c>
      <c r="D553" s="59" t="s">
        <v>7827</v>
      </c>
      <c r="E553" s="59">
        <v>14</v>
      </c>
      <c r="F553" s="59">
        <v>104354225</v>
      </c>
      <c r="G553" s="79">
        <v>1.5377083303900001E-11</v>
      </c>
      <c r="H553" s="59"/>
    </row>
    <row r="554" spans="2:8" x14ac:dyDescent="0.2">
      <c r="B554" s="59">
        <v>179</v>
      </c>
      <c r="C554" s="59" t="s">
        <v>7828</v>
      </c>
      <c r="D554" s="59" t="s">
        <v>7829</v>
      </c>
      <c r="E554" s="59">
        <v>15</v>
      </c>
      <c r="F554" s="59">
        <v>56815840</v>
      </c>
      <c r="G554" s="79">
        <v>3.7895819114700001E-9</v>
      </c>
      <c r="H554" s="59"/>
    </row>
    <row r="555" spans="2:8" x14ac:dyDescent="0.2">
      <c r="B555" s="59">
        <v>180</v>
      </c>
      <c r="C555" s="59" t="s">
        <v>7830</v>
      </c>
      <c r="D555" s="59" t="s">
        <v>7831</v>
      </c>
      <c r="E555" s="59">
        <v>15</v>
      </c>
      <c r="F555" s="59">
        <v>58945671</v>
      </c>
      <c r="G555" s="79">
        <v>5.76529230238E-9</v>
      </c>
      <c r="H555" s="59"/>
    </row>
    <row r="556" spans="2:8" x14ac:dyDescent="0.2">
      <c r="B556" s="59">
        <v>180</v>
      </c>
      <c r="C556" s="59" t="s">
        <v>7832</v>
      </c>
      <c r="D556" s="59" t="s">
        <v>7833</v>
      </c>
      <c r="E556" s="59">
        <v>15</v>
      </c>
      <c r="F556" s="59">
        <v>59141706</v>
      </c>
      <c r="G556" s="79">
        <v>5.3923975869299999E-10</v>
      </c>
      <c r="H556" s="59"/>
    </row>
    <row r="557" spans="2:8" x14ac:dyDescent="0.2">
      <c r="B557" s="59">
        <v>180</v>
      </c>
      <c r="C557" s="59" t="s">
        <v>7834</v>
      </c>
      <c r="D557" s="59" t="s">
        <v>7835</v>
      </c>
      <c r="E557" s="59">
        <v>15</v>
      </c>
      <c r="F557" s="59">
        <v>59160069</v>
      </c>
      <c r="G557" s="79">
        <v>2.4623456566799999E-8</v>
      </c>
      <c r="H557" s="59"/>
    </row>
    <row r="558" spans="2:8" x14ac:dyDescent="0.2">
      <c r="B558" s="59">
        <v>181</v>
      </c>
      <c r="C558" s="59" t="s">
        <v>7836</v>
      </c>
      <c r="D558" s="59" t="s">
        <v>7837</v>
      </c>
      <c r="E558" s="59">
        <v>15</v>
      </c>
      <c r="F558" s="59">
        <v>61862802</v>
      </c>
      <c r="G558" s="79">
        <v>2.12329207417E-11</v>
      </c>
      <c r="H558" s="59"/>
    </row>
    <row r="559" spans="2:8" x14ac:dyDescent="0.2">
      <c r="B559" s="59">
        <v>181</v>
      </c>
      <c r="C559" s="59" t="s">
        <v>7838</v>
      </c>
      <c r="D559" s="59" t="s">
        <v>7839</v>
      </c>
      <c r="E559" s="59">
        <v>15</v>
      </c>
      <c r="F559" s="59">
        <v>61863856</v>
      </c>
      <c r="G559" s="79">
        <v>2.0933141202900001E-8</v>
      </c>
      <c r="H559" s="59"/>
    </row>
    <row r="560" spans="2:8" x14ac:dyDescent="0.2">
      <c r="B560" s="59">
        <v>182</v>
      </c>
      <c r="C560" s="59" t="s">
        <v>7840</v>
      </c>
      <c r="D560" s="59" t="s">
        <v>7841</v>
      </c>
      <c r="E560" s="59">
        <v>15</v>
      </c>
      <c r="F560" s="59">
        <v>67628221</v>
      </c>
      <c r="G560" s="79">
        <v>3.2947429704600001E-8</v>
      </c>
      <c r="H560" s="59"/>
    </row>
    <row r="561" spans="2:8" x14ac:dyDescent="0.2">
      <c r="B561" s="59">
        <v>183</v>
      </c>
      <c r="C561" s="59" t="s">
        <v>7842</v>
      </c>
      <c r="D561" s="59" t="s">
        <v>7843</v>
      </c>
      <c r="E561" s="59">
        <v>15</v>
      </c>
      <c r="F561" s="59">
        <v>78796732</v>
      </c>
      <c r="G561" s="79">
        <v>1.00719623174E-10</v>
      </c>
      <c r="H561" s="59"/>
    </row>
    <row r="562" spans="2:8" x14ac:dyDescent="0.2">
      <c r="B562" s="59">
        <v>183</v>
      </c>
      <c r="C562" s="59" t="s">
        <v>7844</v>
      </c>
      <c r="D562" s="59" t="s">
        <v>7845</v>
      </c>
      <c r="E562" s="59">
        <v>15</v>
      </c>
      <c r="F562" s="59">
        <v>78907736</v>
      </c>
      <c r="G562" s="79">
        <v>2.22354525467E-10</v>
      </c>
      <c r="H562" s="59"/>
    </row>
    <row r="563" spans="2:8" x14ac:dyDescent="0.2">
      <c r="B563" s="59">
        <v>183</v>
      </c>
      <c r="C563" s="59" t="s">
        <v>7846</v>
      </c>
      <c r="D563" s="59" t="s">
        <v>7847</v>
      </c>
      <c r="E563" s="59">
        <v>15</v>
      </c>
      <c r="F563" s="59">
        <v>78934551</v>
      </c>
      <c r="G563" s="79">
        <v>5.39092170267E-9</v>
      </c>
      <c r="H563" s="59"/>
    </row>
    <row r="564" spans="2:8" x14ac:dyDescent="0.2">
      <c r="B564" s="59">
        <v>183</v>
      </c>
      <c r="C564" s="59" t="s">
        <v>7848</v>
      </c>
      <c r="D564" s="59" t="s">
        <v>7849</v>
      </c>
      <c r="E564" s="59">
        <v>15</v>
      </c>
      <c r="F564" s="59">
        <v>78987225</v>
      </c>
      <c r="G564" s="79">
        <v>4.4264671081899998E-9</v>
      </c>
      <c r="H564" s="59"/>
    </row>
    <row r="565" spans="2:8" x14ac:dyDescent="0.2">
      <c r="B565" s="59">
        <v>184</v>
      </c>
      <c r="C565" s="59" t="s">
        <v>7850</v>
      </c>
      <c r="D565" s="59" t="s">
        <v>7851</v>
      </c>
      <c r="E565" s="59">
        <v>15</v>
      </c>
      <c r="F565" s="59">
        <v>82532274</v>
      </c>
      <c r="G565" s="79">
        <v>1.7125971260899999E-10</v>
      </c>
      <c r="H565" s="59"/>
    </row>
    <row r="566" spans="2:8" x14ac:dyDescent="0.2">
      <c r="B566" s="59">
        <v>184</v>
      </c>
      <c r="C566" s="59" t="s">
        <v>7852</v>
      </c>
      <c r="D566" s="59" t="s">
        <v>7853</v>
      </c>
      <c r="E566" s="59">
        <v>15</v>
      </c>
      <c r="F566" s="59">
        <v>83318202</v>
      </c>
      <c r="G566" s="79">
        <v>1.5526224340800001E-10</v>
      </c>
      <c r="H566" s="59"/>
    </row>
    <row r="567" spans="2:8" x14ac:dyDescent="0.2">
      <c r="B567" s="59">
        <v>184</v>
      </c>
      <c r="C567" s="59" t="s">
        <v>7854</v>
      </c>
      <c r="D567" s="59" t="s">
        <v>7855</v>
      </c>
      <c r="E567" s="59">
        <v>15</v>
      </c>
      <c r="F567" s="59">
        <v>83371566</v>
      </c>
      <c r="G567" s="79">
        <v>4.88642897861E-8</v>
      </c>
      <c r="H567" s="59"/>
    </row>
    <row r="568" spans="2:8" x14ac:dyDescent="0.2">
      <c r="B568" s="59">
        <v>184</v>
      </c>
      <c r="C568" s="59" t="s">
        <v>7856</v>
      </c>
      <c r="D568" s="59" t="s">
        <v>7857</v>
      </c>
      <c r="E568" s="59">
        <v>15</v>
      </c>
      <c r="F568" s="59">
        <v>83531774</v>
      </c>
      <c r="G568" s="79">
        <v>1.6431450284399999E-11</v>
      </c>
      <c r="H568" s="59"/>
    </row>
    <row r="569" spans="2:8" x14ac:dyDescent="0.2">
      <c r="B569" s="59">
        <v>185</v>
      </c>
      <c r="C569" s="59" t="s">
        <v>7858</v>
      </c>
      <c r="D569" s="59" t="s">
        <v>7859</v>
      </c>
      <c r="E569" s="59">
        <v>15</v>
      </c>
      <c r="F569" s="59">
        <v>84691014</v>
      </c>
      <c r="G569" s="79">
        <v>3.3286482606100003E-8</v>
      </c>
      <c r="H569" s="59"/>
    </row>
    <row r="570" spans="2:8" x14ac:dyDescent="0.2">
      <c r="B570" s="59">
        <v>185</v>
      </c>
      <c r="C570" s="59" t="s">
        <v>7860</v>
      </c>
      <c r="D570" s="59" t="s">
        <v>7861</v>
      </c>
      <c r="E570" s="59">
        <v>15</v>
      </c>
      <c r="F570" s="59">
        <v>85137694</v>
      </c>
      <c r="G570" s="79">
        <v>1.57028524683E-16</v>
      </c>
      <c r="H570" s="59"/>
    </row>
    <row r="571" spans="2:8" x14ac:dyDescent="0.2">
      <c r="B571" s="59">
        <v>185</v>
      </c>
      <c r="C571" s="59" t="s">
        <v>7862</v>
      </c>
      <c r="D571" s="59" t="s">
        <v>7863</v>
      </c>
      <c r="E571" s="59">
        <v>15</v>
      </c>
      <c r="F571" s="59">
        <v>85344268</v>
      </c>
      <c r="G571" s="79">
        <v>5.2692703902699996E-10</v>
      </c>
      <c r="H571" s="59"/>
    </row>
    <row r="572" spans="2:8" x14ac:dyDescent="0.2">
      <c r="B572" s="59">
        <v>185</v>
      </c>
      <c r="C572" s="59" t="s">
        <v>7864</v>
      </c>
      <c r="D572" s="59" t="s">
        <v>7865</v>
      </c>
      <c r="E572" s="59">
        <v>15</v>
      </c>
      <c r="F572" s="59">
        <v>85361644</v>
      </c>
      <c r="G572" s="79">
        <v>2.1037045104399998E-9</v>
      </c>
      <c r="H572" s="59"/>
    </row>
    <row r="573" spans="2:8" x14ac:dyDescent="0.2">
      <c r="B573" s="59">
        <v>185</v>
      </c>
      <c r="C573" s="59" t="s">
        <v>7866</v>
      </c>
      <c r="D573" s="59" t="s">
        <v>7867</v>
      </c>
      <c r="E573" s="59">
        <v>15</v>
      </c>
      <c r="F573" s="59">
        <v>85389631</v>
      </c>
      <c r="G573" s="79">
        <v>5.9118292819100001E-12</v>
      </c>
      <c r="H573" s="59"/>
    </row>
    <row r="574" spans="2:8" x14ac:dyDescent="0.2">
      <c r="B574" s="59">
        <v>186</v>
      </c>
      <c r="C574" s="59" t="s">
        <v>7868</v>
      </c>
      <c r="D574" s="59" t="s">
        <v>7869</v>
      </c>
      <c r="E574" s="59">
        <v>15</v>
      </c>
      <c r="F574" s="59">
        <v>91406188</v>
      </c>
      <c r="G574" s="79">
        <v>1.03441482529E-10</v>
      </c>
      <c r="H574" s="59"/>
    </row>
    <row r="575" spans="2:8" x14ac:dyDescent="0.2">
      <c r="B575" s="59">
        <v>186</v>
      </c>
      <c r="C575" s="59" t="s">
        <v>7870</v>
      </c>
      <c r="D575" s="59" t="s">
        <v>7871</v>
      </c>
      <c r="E575" s="59">
        <v>15</v>
      </c>
      <c r="F575" s="59">
        <v>91424574</v>
      </c>
      <c r="G575" s="79">
        <v>1.7368054605700001E-21</v>
      </c>
      <c r="H575" s="59"/>
    </row>
    <row r="576" spans="2:8" x14ac:dyDescent="0.2">
      <c r="B576" s="59">
        <v>186</v>
      </c>
      <c r="C576" s="59" t="s">
        <v>7872</v>
      </c>
      <c r="D576" s="59" t="s">
        <v>7873</v>
      </c>
      <c r="E576" s="59">
        <v>15</v>
      </c>
      <c r="F576" s="59">
        <v>91425232</v>
      </c>
      <c r="G576" s="79">
        <v>1.60489055173E-13</v>
      </c>
      <c r="H576" s="59"/>
    </row>
    <row r="577" spans="2:8" x14ac:dyDescent="0.2">
      <c r="B577" s="59">
        <v>186</v>
      </c>
      <c r="C577" s="59" t="s">
        <v>7874</v>
      </c>
      <c r="D577" s="59" t="s">
        <v>7875</v>
      </c>
      <c r="E577" s="59">
        <v>15</v>
      </c>
      <c r="F577" s="59">
        <v>91426560</v>
      </c>
      <c r="G577" s="79">
        <v>3.3080841503099999E-26</v>
      </c>
      <c r="H577" s="59"/>
    </row>
    <row r="578" spans="2:8" x14ac:dyDescent="0.2">
      <c r="B578" s="59">
        <v>186</v>
      </c>
      <c r="C578" s="59" t="s">
        <v>7876</v>
      </c>
      <c r="D578" s="59" t="s">
        <v>7877</v>
      </c>
      <c r="E578" s="59">
        <v>15</v>
      </c>
      <c r="F578" s="59">
        <v>91431524</v>
      </c>
      <c r="G578" s="79">
        <v>1.1305155117900001E-8</v>
      </c>
      <c r="H578" s="59"/>
    </row>
    <row r="579" spans="2:8" x14ac:dyDescent="0.2">
      <c r="B579" s="59">
        <v>187</v>
      </c>
      <c r="C579" s="59" t="s">
        <v>7878</v>
      </c>
      <c r="D579" s="59" t="s">
        <v>7879</v>
      </c>
      <c r="E579" s="59">
        <v>16</v>
      </c>
      <c r="F579" s="59">
        <v>6564548</v>
      </c>
      <c r="G579" s="79">
        <v>2.56887551686E-8</v>
      </c>
      <c r="H579" s="59"/>
    </row>
    <row r="580" spans="2:8" x14ac:dyDescent="0.2">
      <c r="B580" s="59">
        <v>188</v>
      </c>
      <c r="C580" s="59" t="s">
        <v>7880</v>
      </c>
      <c r="D580" s="59" t="s">
        <v>7881</v>
      </c>
      <c r="E580" s="59">
        <v>16</v>
      </c>
      <c r="F580" s="59">
        <v>7351469</v>
      </c>
      <c r="G580" s="79">
        <v>1.8500667108000001E-8</v>
      </c>
      <c r="H580" s="59"/>
    </row>
    <row r="581" spans="2:8" x14ac:dyDescent="0.2">
      <c r="B581" s="59">
        <v>188</v>
      </c>
      <c r="C581" s="59" t="s">
        <v>7882</v>
      </c>
      <c r="D581" s="59" t="s">
        <v>7883</v>
      </c>
      <c r="E581" s="59">
        <v>16</v>
      </c>
      <c r="F581" s="59">
        <v>7374700</v>
      </c>
      <c r="G581" s="79">
        <v>3.87992395951E-8</v>
      </c>
      <c r="H581" s="59"/>
    </row>
    <row r="582" spans="2:8" x14ac:dyDescent="0.2">
      <c r="B582" s="59">
        <v>189</v>
      </c>
      <c r="C582" s="59" t="s">
        <v>7884</v>
      </c>
      <c r="D582" s="59" t="s">
        <v>7885</v>
      </c>
      <c r="E582" s="59">
        <v>16</v>
      </c>
      <c r="F582" s="59">
        <v>7750859</v>
      </c>
      <c r="G582" s="79">
        <v>2.5616049639900001E-9</v>
      </c>
      <c r="H582" s="59"/>
    </row>
    <row r="583" spans="2:8" x14ac:dyDescent="0.2">
      <c r="B583" s="59">
        <v>190</v>
      </c>
      <c r="C583" s="59" t="s">
        <v>7886</v>
      </c>
      <c r="D583" s="59" t="s">
        <v>7887</v>
      </c>
      <c r="E583" s="59">
        <v>16</v>
      </c>
      <c r="F583" s="59">
        <v>9230816</v>
      </c>
      <c r="G583" s="79">
        <v>3.3623174218599998E-8</v>
      </c>
      <c r="H583" s="59"/>
    </row>
    <row r="584" spans="2:8" x14ac:dyDescent="0.2">
      <c r="B584" s="59">
        <v>191</v>
      </c>
      <c r="C584" s="59" t="s">
        <v>7888</v>
      </c>
      <c r="D584" s="59" t="s">
        <v>7889</v>
      </c>
      <c r="E584" s="59">
        <v>16</v>
      </c>
      <c r="F584" s="59">
        <v>9876122</v>
      </c>
      <c r="G584" s="79">
        <v>1.8320969229700001E-10</v>
      </c>
      <c r="H584" s="59"/>
    </row>
    <row r="585" spans="2:8" x14ac:dyDescent="0.2">
      <c r="B585" s="59">
        <v>191</v>
      </c>
      <c r="C585" s="59" t="s">
        <v>7890</v>
      </c>
      <c r="D585" s="59" t="s">
        <v>7891</v>
      </c>
      <c r="E585" s="59">
        <v>16</v>
      </c>
      <c r="F585" s="59">
        <v>9936852</v>
      </c>
      <c r="G585" s="79">
        <v>2.4719252248099999E-13</v>
      </c>
      <c r="H585" s="59"/>
    </row>
    <row r="586" spans="2:8" x14ac:dyDescent="0.2">
      <c r="B586" s="59">
        <v>191</v>
      </c>
      <c r="C586" s="59" t="s">
        <v>7892</v>
      </c>
      <c r="D586" s="59" t="s">
        <v>7893</v>
      </c>
      <c r="E586" s="59">
        <v>16</v>
      </c>
      <c r="F586" s="59">
        <v>9966784</v>
      </c>
      <c r="G586" s="79">
        <v>2.3002166944200001E-8</v>
      </c>
      <c r="H586" s="59"/>
    </row>
    <row r="587" spans="2:8" x14ac:dyDescent="0.2">
      <c r="B587" s="59">
        <v>192</v>
      </c>
      <c r="C587" s="59" t="s">
        <v>7894</v>
      </c>
      <c r="D587" s="59" t="s">
        <v>7895</v>
      </c>
      <c r="E587" s="59">
        <v>16</v>
      </c>
      <c r="F587" s="59">
        <v>13733750</v>
      </c>
      <c r="G587" s="79">
        <v>2.7104852245399999E-8</v>
      </c>
      <c r="H587" s="59"/>
    </row>
    <row r="588" spans="2:8" x14ac:dyDescent="0.2">
      <c r="B588" s="59">
        <v>192</v>
      </c>
      <c r="C588" s="59" t="s">
        <v>7896</v>
      </c>
      <c r="D588" s="59" t="s">
        <v>7897</v>
      </c>
      <c r="E588" s="59">
        <v>16</v>
      </c>
      <c r="F588" s="59">
        <v>13748916</v>
      </c>
      <c r="G588" s="79">
        <v>1.3983552037899999E-13</v>
      </c>
      <c r="H588" s="59"/>
    </row>
    <row r="589" spans="2:8" x14ac:dyDescent="0.2">
      <c r="B589" s="59">
        <v>193</v>
      </c>
      <c r="C589" s="59" t="s">
        <v>7898</v>
      </c>
      <c r="D589" s="59" t="s">
        <v>7899</v>
      </c>
      <c r="E589" s="59">
        <v>16</v>
      </c>
      <c r="F589" s="59">
        <v>29928115</v>
      </c>
      <c r="G589" s="79">
        <v>1.4230668153700001E-9</v>
      </c>
      <c r="H589" s="59"/>
    </row>
    <row r="590" spans="2:8" x14ac:dyDescent="0.2">
      <c r="B590" s="59">
        <v>193</v>
      </c>
      <c r="C590" s="59" t="s">
        <v>7900</v>
      </c>
      <c r="D590" s="59" t="s">
        <v>7901</v>
      </c>
      <c r="E590" s="59">
        <v>16</v>
      </c>
      <c r="F590" s="59">
        <v>29934050</v>
      </c>
      <c r="G590" s="79">
        <v>1.40306579447E-14</v>
      </c>
      <c r="H590" s="59"/>
    </row>
    <row r="591" spans="2:8" x14ac:dyDescent="0.2">
      <c r="B591" s="59">
        <v>193</v>
      </c>
      <c r="C591" s="59" t="s">
        <v>7902</v>
      </c>
      <c r="D591" s="59" t="s">
        <v>7903</v>
      </c>
      <c r="E591" s="59">
        <v>16</v>
      </c>
      <c r="F591" s="59">
        <v>30017895</v>
      </c>
      <c r="G591" s="79">
        <v>2.3231119870100001E-16</v>
      </c>
      <c r="H591" s="59"/>
    </row>
    <row r="592" spans="2:8" x14ac:dyDescent="0.2">
      <c r="B592" s="59">
        <v>193</v>
      </c>
      <c r="C592" s="59" t="s">
        <v>7904</v>
      </c>
      <c r="D592" s="59" t="s">
        <v>7905</v>
      </c>
      <c r="E592" s="59">
        <v>16</v>
      </c>
      <c r="F592" s="59">
        <v>30034127</v>
      </c>
      <c r="G592" s="79">
        <v>6.6162029013599996E-10</v>
      </c>
      <c r="H592" s="59"/>
    </row>
    <row r="593" spans="2:8" x14ac:dyDescent="0.2">
      <c r="B593" s="59">
        <v>193</v>
      </c>
      <c r="C593" s="59" t="s">
        <v>7906</v>
      </c>
      <c r="D593" s="59" t="s">
        <v>7907</v>
      </c>
      <c r="E593" s="59">
        <v>16</v>
      </c>
      <c r="F593" s="59">
        <v>30059593</v>
      </c>
      <c r="G593" s="79">
        <v>1.5514348086500001E-8</v>
      </c>
      <c r="H593" s="59"/>
    </row>
    <row r="594" spans="2:8" x14ac:dyDescent="0.2">
      <c r="B594" s="59">
        <v>193</v>
      </c>
      <c r="C594" s="59" t="s">
        <v>7908</v>
      </c>
      <c r="D594" s="59" t="s">
        <v>7909</v>
      </c>
      <c r="E594" s="59">
        <v>16</v>
      </c>
      <c r="F594" s="59">
        <v>30142021</v>
      </c>
      <c r="G594" s="79">
        <v>4.7164945330299996E-12</v>
      </c>
      <c r="H594" s="59"/>
    </row>
    <row r="595" spans="2:8" x14ac:dyDescent="0.2">
      <c r="B595" s="59">
        <v>193</v>
      </c>
      <c r="C595" s="59" t="s">
        <v>7910</v>
      </c>
      <c r="D595" s="59" t="s">
        <v>7911</v>
      </c>
      <c r="E595" s="59">
        <v>16</v>
      </c>
      <c r="F595" s="59">
        <v>30163833</v>
      </c>
      <c r="G595" s="79">
        <v>2.1322415114100001E-8</v>
      </c>
      <c r="H595" s="59"/>
    </row>
    <row r="596" spans="2:8" x14ac:dyDescent="0.2">
      <c r="B596" s="59">
        <v>194</v>
      </c>
      <c r="C596" s="59" t="s">
        <v>7912</v>
      </c>
      <c r="D596" s="59" t="s">
        <v>7913</v>
      </c>
      <c r="E596" s="59">
        <v>16</v>
      </c>
      <c r="F596" s="59">
        <v>58659808</v>
      </c>
      <c r="G596" s="79">
        <v>3.9779829884400001E-9</v>
      </c>
      <c r="H596" s="59"/>
    </row>
    <row r="597" spans="2:8" x14ac:dyDescent="0.2">
      <c r="B597" s="59">
        <v>195</v>
      </c>
      <c r="C597" s="59" t="s">
        <v>7914</v>
      </c>
      <c r="D597" s="59" t="s">
        <v>7915</v>
      </c>
      <c r="E597" s="59">
        <v>16</v>
      </c>
      <c r="F597" s="59">
        <v>69227779</v>
      </c>
      <c r="G597" s="79">
        <v>1.5751389932599999E-8</v>
      </c>
      <c r="H597" s="59"/>
    </row>
    <row r="598" spans="2:8" x14ac:dyDescent="0.2">
      <c r="B598" s="59">
        <v>196</v>
      </c>
      <c r="C598" s="59" t="s">
        <v>7916</v>
      </c>
      <c r="D598" s="59" t="s">
        <v>7917</v>
      </c>
      <c r="E598" s="59">
        <v>16</v>
      </c>
      <c r="F598" s="59">
        <v>82648514</v>
      </c>
      <c r="G598" s="79">
        <v>9.08108065622E-9</v>
      </c>
      <c r="H598" s="59"/>
    </row>
    <row r="599" spans="2:8" x14ac:dyDescent="0.2">
      <c r="B599" s="59">
        <v>197</v>
      </c>
      <c r="C599" s="59" t="s">
        <v>7918</v>
      </c>
      <c r="D599" s="59" t="s">
        <v>7919</v>
      </c>
      <c r="E599" s="59">
        <v>16</v>
      </c>
      <c r="F599" s="59">
        <v>89393562</v>
      </c>
      <c r="G599" s="79">
        <v>2.52914779667E-8</v>
      </c>
      <c r="H599" s="59"/>
    </row>
    <row r="600" spans="2:8" x14ac:dyDescent="0.2">
      <c r="B600" s="59">
        <v>197</v>
      </c>
      <c r="C600" s="59" t="s">
        <v>7920</v>
      </c>
      <c r="D600" s="59" t="s">
        <v>7921</v>
      </c>
      <c r="E600" s="59">
        <v>16</v>
      </c>
      <c r="F600" s="59">
        <v>89608702</v>
      </c>
      <c r="G600" s="79">
        <v>3.9254484142799999E-11</v>
      </c>
      <c r="H600" s="59"/>
    </row>
    <row r="601" spans="2:8" x14ac:dyDescent="0.2">
      <c r="B601" s="59">
        <v>197</v>
      </c>
      <c r="C601" s="59" t="s">
        <v>7922</v>
      </c>
      <c r="D601" s="59" t="s">
        <v>7923</v>
      </c>
      <c r="E601" s="59">
        <v>16</v>
      </c>
      <c r="F601" s="59">
        <v>89656163</v>
      </c>
      <c r="G601" s="79">
        <v>9.9404197025600009E-10</v>
      </c>
      <c r="H601" s="59"/>
    </row>
    <row r="602" spans="2:8" x14ac:dyDescent="0.2">
      <c r="B602" s="59">
        <v>197</v>
      </c>
      <c r="C602" s="59" t="s">
        <v>7924</v>
      </c>
      <c r="D602" s="59" t="s">
        <v>7925</v>
      </c>
      <c r="E602" s="59">
        <v>16</v>
      </c>
      <c r="F602" s="59">
        <v>89675068</v>
      </c>
      <c r="G602" s="79">
        <v>4.2414701001200001E-8</v>
      </c>
      <c r="H602" s="59"/>
    </row>
    <row r="603" spans="2:8" x14ac:dyDescent="0.2">
      <c r="B603" s="59">
        <v>197</v>
      </c>
      <c r="C603" s="59" t="s">
        <v>7926</v>
      </c>
      <c r="D603" s="59" t="s">
        <v>7927</v>
      </c>
      <c r="E603" s="59">
        <v>16</v>
      </c>
      <c r="F603" s="59">
        <v>89866160</v>
      </c>
      <c r="G603" s="79">
        <v>1.0758241467399999E-9</v>
      </c>
      <c r="H603" s="59"/>
    </row>
    <row r="604" spans="2:8" x14ac:dyDescent="0.2">
      <c r="B604" s="59">
        <v>197</v>
      </c>
      <c r="C604" s="59" t="s">
        <v>7928</v>
      </c>
      <c r="D604" s="59" t="s">
        <v>7929</v>
      </c>
      <c r="E604" s="59">
        <v>16</v>
      </c>
      <c r="F604" s="59">
        <v>89873413</v>
      </c>
      <c r="G604" s="79">
        <v>9.8688331220100001E-11</v>
      </c>
      <c r="H604" s="59"/>
    </row>
    <row r="605" spans="2:8" x14ac:dyDescent="0.2">
      <c r="B605" s="59">
        <v>198</v>
      </c>
      <c r="C605" s="59" t="s">
        <v>7930</v>
      </c>
      <c r="D605" s="59" t="s">
        <v>7931</v>
      </c>
      <c r="E605" s="59">
        <v>17</v>
      </c>
      <c r="F605" s="59">
        <v>19153417</v>
      </c>
      <c r="G605" s="79">
        <v>4.8730302103299998E-11</v>
      </c>
      <c r="H605" s="59"/>
    </row>
    <row r="606" spans="2:8" x14ac:dyDescent="0.2">
      <c r="B606" s="59">
        <v>199</v>
      </c>
      <c r="C606" s="59" t="s">
        <v>7932</v>
      </c>
      <c r="D606" s="59" t="s">
        <v>7933</v>
      </c>
      <c r="E606" s="59">
        <v>17</v>
      </c>
      <c r="F606" s="59">
        <v>28867035</v>
      </c>
      <c r="G606" s="79">
        <v>4.49128843531E-8</v>
      </c>
      <c r="H606" s="59"/>
    </row>
    <row r="607" spans="2:8" x14ac:dyDescent="0.2">
      <c r="B607" s="59">
        <v>200</v>
      </c>
      <c r="C607" s="59" t="s">
        <v>7934</v>
      </c>
      <c r="D607" s="59" t="s">
        <v>7935</v>
      </c>
      <c r="E607" s="59">
        <v>17</v>
      </c>
      <c r="F607" s="59">
        <v>34862220</v>
      </c>
      <c r="G607" s="79">
        <v>8.0322938372899999E-9</v>
      </c>
      <c r="H607" s="59"/>
    </row>
    <row r="608" spans="2:8" x14ac:dyDescent="0.2">
      <c r="B608" s="59">
        <v>201</v>
      </c>
      <c r="C608" s="59" t="s">
        <v>7936</v>
      </c>
      <c r="D608" s="59" t="s">
        <v>7937</v>
      </c>
      <c r="E608" s="59">
        <v>17</v>
      </c>
      <c r="F608" s="59">
        <v>55728224</v>
      </c>
      <c r="G608" s="79">
        <v>4.4384677574899998E-8</v>
      </c>
      <c r="H608" s="59"/>
    </row>
    <row r="609" spans="2:8" x14ac:dyDescent="0.2">
      <c r="B609" s="59">
        <v>202</v>
      </c>
      <c r="C609" s="59" t="s">
        <v>7938</v>
      </c>
      <c r="D609" s="59" t="s">
        <v>7939</v>
      </c>
      <c r="E609" s="59">
        <v>17</v>
      </c>
      <c r="F609" s="59">
        <v>78448640</v>
      </c>
      <c r="G609" s="79">
        <v>3.0515681791699998E-8</v>
      </c>
      <c r="H609" s="59"/>
    </row>
    <row r="610" spans="2:8" x14ac:dyDescent="0.2">
      <c r="B610" s="59">
        <v>202</v>
      </c>
      <c r="C610" s="59" t="s">
        <v>7940</v>
      </c>
      <c r="D610" s="59" t="s">
        <v>7941</v>
      </c>
      <c r="E610" s="59">
        <v>17</v>
      </c>
      <c r="F610" s="59">
        <v>78484082</v>
      </c>
      <c r="G610" s="79">
        <v>5.0986550802800005E-10</v>
      </c>
      <c r="H610" s="59"/>
    </row>
    <row r="611" spans="2:8" x14ac:dyDescent="0.2">
      <c r="B611" s="59">
        <v>202</v>
      </c>
      <c r="C611" s="59" t="s">
        <v>7942</v>
      </c>
      <c r="D611" s="59" t="s">
        <v>7943</v>
      </c>
      <c r="E611" s="59">
        <v>17</v>
      </c>
      <c r="F611" s="59">
        <v>78518327</v>
      </c>
      <c r="G611" s="79">
        <v>5.8330297099099997E-9</v>
      </c>
      <c r="H611" s="59"/>
    </row>
    <row r="612" spans="2:8" x14ac:dyDescent="0.2">
      <c r="B612" s="59">
        <v>202</v>
      </c>
      <c r="C612" s="59" t="s">
        <v>7944</v>
      </c>
      <c r="D612" s="59" t="s">
        <v>7945</v>
      </c>
      <c r="E612" s="59">
        <v>17</v>
      </c>
      <c r="F612" s="59">
        <v>78568447</v>
      </c>
      <c r="G612" s="79">
        <v>4.77830290703E-9</v>
      </c>
      <c r="H612" s="59"/>
    </row>
    <row r="613" spans="2:8" x14ac:dyDescent="0.2">
      <c r="B613" s="59">
        <v>202</v>
      </c>
      <c r="C613" s="59" t="s">
        <v>7946</v>
      </c>
      <c r="D613" s="59" t="s">
        <v>7947</v>
      </c>
      <c r="E613" s="59">
        <v>17</v>
      </c>
      <c r="F613" s="59">
        <v>78615899</v>
      </c>
      <c r="G613" s="79">
        <v>6.4156315943499999E-10</v>
      </c>
      <c r="H613" s="59"/>
    </row>
    <row r="614" spans="2:8" x14ac:dyDescent="0.2">
      <c r="B614" s="59">
        <v>202</v>
      </c>
      <c r="C614" s="59" t="s">
        <v>7948</v>
      </c>
      <c r="D614" s="59" t="s">
        <v>7949</v>
      </c>
      <c r="E614" s="59">
        <v>17</v>
      </c>
      <c r="F614" s="59">
        <v>78619009</v>
      </c>
      <c r="G614" s="79">
        <v>1.13041119166E-8</v>
      </c>
      <c r="H614" s="59"/>
    </row>
    <row r="615" spans="2:8" x14ac:dyDescent="0.2">
      <c r="B615" s="59">
        <v>203</v>
      </c>
      <c r="C615" s="59" t="s">
        <v>7950</v>
      </c>
      <c r="D615" s="59" t="s">
        <v>7951</v>
      </c>
      <c r="E615" s="59">
        <v>18</v>
      </c>
      <c r="F615" s="59">
        <v>4580413</v>
      </c>
      <c r="G615" s="79">
        <v>4.9594525478599998E-8</v>
      </c>
      <c r="H615" s="59"/>
    </row>
    <row r="616" spans="2:8" x14ac:dyDescent="0.2">
      <c r="B616" s="59">
        <v>204</v>
      </c>
      <c r="C616" s="59" t="s">
        <v>7952</v>
      </c>
      <c r="D616" s="59" t="s">
        <v>7953</v>
      </c>
      <c r="E616" s="59">
        <v>18</v>
      </c>
      <c r="F616" s="59">
        <v>27500959</v>
      </c>
      <c r="G616" s="79">
        <v>2.1523025673600001E-10</v>
      </c>
      <c r="H616" s="59"/>
    </row>
    <row r="617" spans="2:8" x14ac:dyDescent="0.2">
      <c r="B617" s="59">
        <v>205</v>
      </c>
      <c r="C617" s="59" t="s">
        <v>7954</v>
      </c>
      <c r="D617" s="59" t="s">
        <v>7955</v>
      </c>
      <c r="E617" s="59">
        <v>18</v>
      </c>
      <c r="F617" s="59">
        <v>52586545</v>
      </c>
      <c r="G617" s="79">
        <v>3.8791864086399998E-8</v>
      </c>
      <c r="H617" s="59"/>
    </row>
    <row r="618" spans="2:8" x14ac:dyDescent="0.2">
      <c r="B618" s="59">
        <v>205</v>
      </c>
      <c r="C618" s="59" t="s">
        <v>7956</v>
      </c>
      <c r="D618" s="59" t="s">
        <v>7957</v>
      </c>
      <c r="E618" s="59">
        <v>18</v>
      </c>
      <c r="F618" s="59">
        <v>52746706</v>
      </c>
      <c r="G618" s="79">
        <v>1.19560003574E-10</v>
      </c>
      <c r="H618" s="59"/>
    </row>
    <row r="619" spans="2:8" x14ac:dyDescent="0.2">
      <c r="B619" s="59">
        <v>205</v>
      </c>
      <c r="C619" s="59" t="s">
        <v>7958</v>
      </c>
      <c r="D619" s="59" t="s">
        <v>7959</v>
      </c>
      <c r="E619" s="59">
        <v>18</v>
      </c>
      <c r="F619" s="59">
        <v>52752017</v>
      </c>
      <c r="G619" s="79">
        <v>4.7011058922599995E-10</v>
      </c>
      <c r="H619" s="59"/>
    </row>
    <row r="620" spans="2:8" x14ac:dyDescent="0.2">
      <c r="B620" s="59">
        <v>205</v>
      </c>
      <c r="C620" s="59" t="s">
        <v>7960</v>
      </c>
      <c r="D620" s="59" t="s">
        <v>7961</v>
      </c>
      <c r="E620" s="59">
        <v>18</v>
      </c>
      <c r="F620" s="59">
        <v>52765283</v>
      </c>
      <c r="G620" s="79">
        <v>2.6145786686699998E-9</v>
      </c>
      <c r="H620" s="59"/>
    </row>
    <row r="621" spans="2:8" x14ac:dyDescent="0.2">
      <c r="B621" s="59">
        <v>205</v>
      </c>
      <c r="C621" s="59" t="s">
        <v>7962</v>
      </c>
      <c r="D621" s="59" t="s">
        <v>7963</v>
      </c>
      <c r="E621" s="59">
        <v>18</v>
      </c>
      <c r="F621" s="59">
        <v>53063719</v>
      </c>
      <c r="G621" s="79">
        <v>8.5943237478799995E-9</v>
      </c>
      <c r="H621" s="59"/>
    </row>
    <row r="622" spans="2:8" x14ac:dyDescent="0.2">
      <c r="B622" s="59">
        <v>205</v>
      </c>
      <c r="C622" s="59" t="s">
        <v>7964</v>
      </c>
      <c r="D622" s="59" t="s">
        <v>7965</v>
      </c>
      <c r="E622" s="59">
        <v>18</v>
      </c>
      <c r="F622" s="59">
        <v>53200117</v>
      </c>
      <c r="G622" s="79">
        <v>1.02264021574E-11</v>
      </c>
      <c r="H622" s="59"/>
    </row>
    <row r="623" spans="2:8" x14ac:dyDescent="0.2">
      <c r="B623" s="59">
        <v>205</v>
      </c>
      <c r="C623" s="59" t="s">
        <v>7966</v>
      </c>
      <c r="D623" s="59" t="s">
        <v>7967</v>
      </c>
      <c r="E623" s="59">
        <v>18</v>
      </c>
      <c r="F623" s="59">
        <v>53454774</v>
      </c>
      <c r="G623" s="79">
        <v>8.6370406857599995E-10</v>
      </c>
      <c r="H623" s="59"/>
    </row>
    <row r="624" spans="2:8" x14ac:dyDescent="0.2">
      <c r="B624" s="59">
        <v>206</v>
      </c>
      <c r="C624" s="59" t="s">
        <v>7968</v>
      </c>
      <c r="D624" s="59" t="s">
        <v>7969</v>
      </c>
      <c r="E624" s="59">
        <v>18</v>
      </c>
      <c r="F624" s="59">
        <v>53775254</v>
      </c>
      <c r="G624" s="79">
        <v>9.5091692961599998E-12</v>
      </c>
      <c r="H624" s="59"/>
    </row>
    <row r="625" spans="2:8" x14ac:dyDescent="0.2">
      <c r="B625" s="59">
        <v>207</v>
      </c>
      <c r="C625" s="59" t="s">
        <v>7970</v>
      </c>
      <c r="D625" s="59" t="s">
        <v>7971</v>
      </c>
      <c r="E625" s="59">
        <v>19</v>
      </c>
      <c r="F625" s="59">
        <v>2738352</v>
      </c>
      <c r="G625" s="79">
        <v>1.37431100509E-9</v>
      </c>
      <c r="H625" s="59"/>
    </row>
    <row r="626" spans="2:8" x14ac:dyDescent="0.2">
      <c r="B626" s="59">
        <v>208</v>
      </c>
      <c r="C626" s="59" t="s">
        <v>7972</v>
      </c>
      <c r="D626" s="59" t="s">
        <v>7973</v>
      </c>
      <c r="E626" s="59">
        <v>19</v>
      </c>
      <c r="F626" s="59">
        <v>19358332</v>
      </c>
      <c r="G626" s="79">
        <v>3.0286944176900002E-9</v>
      </c>
      <c r="H626" s="59"/>
    </row>
    <row r="627" spans="2:8" x14ac:dyDescent="0.2">
      <c r="B627" s="59">
        <v>209</v>
      </c>
      <c r="C627" s="59" t="s">
        <v>7974</v>
      </c>
      <c r="D627" s="59" t="s">
        <v>7975</v>
      </c>
      <c r="E627" s="59">
        <v>19</v>
      </c>
      <c r="F627" s="59">
        <v>33107938</v>
      </c>
      <c r="G627" s="79">
        <v>2.6055381017900001E-9</v>
      </c>
      <c r="H627" s="59"/>
    </row>
    <row r="628" spans="2:8" x14ac:dyDescent="0.2">
      <c r="B628" s="59">
        <v>210</v>
      </c>
      <c r="C628" s="59" t="s">
        <v>7976</v>
      </c>
      <c r="D628" s="59" t="s">
        <v>7977</v>
      </c>
      <c r="E628" s="59">
        <v>19</v>
      </c>
      <c r="F628" s="59">
        <v>36568276</v>
      </c>
      <c r="G628" s="79">
        <v>1.8906284681500001E-10</v>
      </c>
      <c r="H628" s="59"/>
    </row>
    <row r="629" spans="2:8" x14ac:dyDescent="0.2">
      <c r="B629" s="59">
        <v>211</v>
      </c>
      <c r="C629" s="59" t="s">
        <v>7978</v>
      </c>
      <c r="D629" s="59" t="s">
        <v>7979</v>
      </c>
      <c r="E629" s="59">
        <v>19</v>
      </c>
      <c r="F629" s="59">
        <v>49206603</v>
      </c>
      <c r="G629" s="79">
        <v>2.2688302082600001E-8</v>
      </c>
      <c r="H629" s="59"/>
    </row>
    <row r="630" spans="2:8" x14ac:dyDescent="0.2">
      <c r="B630" s="59">
        <v>212</v>
      </c>
      <c r="C630" s="59" t="s">
        <v>7980</v>
      </c>
      <c r="D630" s="59" t="s">
        <v>7981</v>
      </c>
      <c r="E630" s="59">
        <v>19</v>
      </c>
      <c r="F630" s="59">
        <v>50098423</v>
      </c>
      <c r="G630" s="79">
        <v>3.4445635067899999E-10</v>
      </c>
      <c r="H630" s="59"/>
    </row>
    <row r="631" spans="2:8" x14ac:dyDescent="0.2">
      <c r="B631" s="59">
        <v>212</v>
      </c>
      <c r="C631" s="59" t="s">
        <v>7982</v>
      </c>
      <c r="D631" s="59" t="s">
        <v>7983</v>
      </c>
      <c r="E631" s="59">
        <v>19</v>
      </c>
      <c r="F631" s="59">
        <v>50105239</v>
      </c>
      <c r="G631" s="79">
        <v>5.0267588284299997E-12</v>
      </c>
      <c r="H631" s="59"/>
    </row>
    <row r="632" spans="2:8" x14ac:dyDescent="0.2">
      <c r="B632" s="59">
        <v>212</v>
      </c>
      <c r="C632" s="59" t="s">
        <v>7984</v>
      </c>
      <c r="D632" s="59" t="s">
        <v>7985</v>
      </c>
      <c r="E632" s="59">
        <v>19</v>
      </c>
      <c r="F632" s="59">
        <v>50138023</v>
      </c>
      <c r="G632" s="79">
        <v>4.8747369647499996E-9</v>
      </c>
      <c r="H632" s="59"/>
    </row>
    <row r="633" spans="2:8" x14ac:dyDescent="0.2">
      <c r="B633" s="59">
        <v>212</v>
      </c>
      <c r="C633" s="59" t="s">
        <v>7986</v>
      </c>
      <c r="D633" s="59" t="s">
        <v>7987</v>
      </c>
      <c r="E633" s="59">
        <v>19</v>
      </c>
      <c r="F633" s="59">
        <v>50138143</v>
      </c>
      <c r="G633" s="79">
        <v>2.17403459668E-8</v>
      </c>
      <c r="H633" s="59"/>
    </row>
    <row r="634" spans="2:8" x14ac:dyDescent="0.2">
      <c r="B634" s="59">
        <v>212</v>
      </c>
      <c r="C634" s="59" t="s">
        <v>7988</v>
      </c>
      <c r="D634" s="59" t="s">
        <v>7989</v>
      </c>
      <c r="E634" s="59">
        <v>19</v>
      </c>
      <c r="F634" s="59">
        <v>50148052</v>
      </c>
      <c r="G634" s="79">
        <v>2.6856691784399999E-14</v>
      </c>
      <c r="H634" s="59"/>
    </row>
    <row r="635" spans="2:8" x14ac:dyDescent="0.2">
      <c r="B635" s="59">
        <v>213</v>
      </c>
      <c r="C635" s="59" t="s">
        <v>7990</v>
      </c>
      <c r="D635" s="59" t="s">
        <v>7991</v>
      </c>
      <c r="E635" s="59">
        <v>19</v>
      </c>
      <c r="F635" s="59">
        <v>51034243</v>
      </c>
      <c r="G635" s="79">
        <v>1.9402373408900001E-9</v>
      </c>
      <c r="H635" s="59"/>
    </row>
    <row r="636" spans="2:8" x14ac:dyDescent="0.2">
      <c r="B636" s="59">
        <v>214</v>
      </c>
      <c r="C636" s="59" t="s">
        <v>7992</v>
      </c>
      <c r="D636" s="59" t="s">
        <v>7993</v>
      </c>
      <c r="E636" s="59">
        <v>20</v>
      </c>
      <c r="F636" s="59">
        <v>37277271</v>
      </c>
      <c r="G636" s="79">
        <v>1.8963270996099998E-8</v>
      </c>
      <c r="H636" s="59"/>
    </row>
    <row r="637" spans="2:8" x14ac:dyDescent="0.2">
      <c r="B637" s="59">
        <v>214</v>
      </c>
      <c r="C637" s="59" t="s">
        <v>7994</v>
      </c>
      <c r="D637" s="59" t="s">
        <v>7995</v>
      </c>
      <c r="E637" s="59">
        <v>20</v>
      </c>
      <c r="F637" s="59">
        <v>37361944</v>
      </c>
      <c r="G637" s="79">
        <v>5.2166418137999997E-15</v>
      </c>
      <c r="H637" s="59"/>
    </row>
    <row r="638" spans="2:8" x14ac:dyDescent="0.2">
      <c r="B638" s="59">
        <v>214</v>
      </c>
      <c r="C638" s="59" t="s">
        <v>7996</v>
      </c>
      <c r="D638" s="59" t="s">
        <v>7997</v>
      </c>
      <c r="E638" s="59">
        <v>20</v>
      </c>
      <c r="F638" s="59">
        <v>37364981</v>
      </c>
      <c r="G638" s="79">
        <v>2.3740885281000001E-16</v>
      </c>
      <c r="H638" s="59"/>
    </row>
    <row r="639" spans="2:8" x14ac:dyDescent="0.2">
      <c r="B639" s="59">
        <v>214</v>
      </c>
      <c r="C639" s="59" t="s">
        <v>7998</v>
      </c>
      <c r="D639" s="59" t="s">
        <v>7999</v>
      </c>
      <c r="E639" s="59">
        <v>20</v>
      </c>
      <c r="F639" s="59">
        <v>37366078</v>
      </c>
      <c r="G639" s="79">
        <v>3.7843154491000002E-10</v>
      </c>
      <c r="H639" s="59"/>
    </row>
    <row r="640" spans="2:8" x14ac:dyDescent="0.2">
      <c r="B640" s="59">
        <v>214</v>
      </c>
      <c r="C640" s="59" t="s">
        <v>8000</v>
      </c>
      <c r="D640" s="59" t="s">
        <v>8001</v>
      </c>
      <c r="E640" s="59">
        <v>20</v>
      </c>
      <c r="F640" s="59">
        <v>37377139</v>
      </c>
      <c r="G640" s="79">
        <v>2.0990737946399999E-13</v>
      </c>
      <c r="H640" s="59"/>
    </row>
    <row r="641" spans="2:8" x14ac:dyDescent="0.2">
      <c r="B641" s="59">
        <v>214</v>
      </c>
      <c r="C641" s="59" t="s">
        <v>8002</v>
      </c>
      <c r="D641" s="59" t="s">
        <v>8003</v>
      </c>
      <c r="E641" s="59">
        <v>20</v>
      </c>
      <c r="F641" s="59">
        <v>37399407</v>
      </c>
      <c r="G641" s="79">
        <v>2.1330292084099999E-8</v>
      </c>
      <c r="H641" s="59"/>
    </row>
    <row r="642" spans="2:8" x14ac:dyDescent="0.2">
      <c r="B642" s="59">
        <v>214</v>
      </c>
      <c r="C642" s="59" t="s">
        <v>8004</v>
      </c>
      <c r="D642" s="59" t="s">
        <v>8005</v>
      </c>
      <c r="E642" s="59">
        <v>20</v>
      </c>
      <c r="F642" s="59">
        <v>37420050</v>
      </c>
      <c r="G642" s="79">
        <v>1.3280999421699999E-13</v>
      </c>
      <c r="H642" s="59"/>
    </row>
    <row r="643" spans="2:8" x14ac:dyDescent="0.2">
      <c r="B643" s="59">
        <v>214</v>
      </c>
      <c r="C643" s="59" t="s">
        <v>8006</v>
      </c>
      <c r="D643" s="59" t="s">
        <v>8007</v>
      </c>
      <c r="E643" s="59">
        <v>20</v>
      </c>
      <c r="F643" s="59">
        <v>37453194</v>
      </c>
      <c r="G643" s="79">
        <v>2.45494468896E-12</v>
      </c>
      <c r="H643" s="59"/>
    </row>
    <row r="644" spans="2:8" x14ac:dyDescent="0.2">
      <c r="B644" s="59">
        <v>215</v>
      </c>
      <c r="C644" s="59" t="s">
        <v>8008</v>
      </c>
      <c r="D644" s="59" t="s">
        <v>8009</v>
      </c>
      <c r="E644" s="59">
        <v>20</v>
      </c>
      <c r="F644" s="59">
        <v>41866638</v>
      </c>
      <c r="G644" s="79">
        <v>3.4211661778399998E-9</v>
      </c>
      <c r="H644" s="59"/>
    </row>
    <row r="645" spans="2:8" x14ac:dyDescent="0.2">
      <c r="B645" s="59">
        <v>216</v>
      </c>
      <c r="C645" s="59" t="s">
        <v>8010</v>
      </c>
      <c r="D645" s="59" t="s">
        <v>8011</v>
      </c>
      <c r="E645" s="59">
        <v>20</v>
      </c>
      <c r="F645" s="59">
        <v>43631436</v>
      </c>
      <c r="G645" s="79">
        <v>2.0071183205699999E-8</v>
      </c>
      <c r="H645" s="59"/>
    </row>
    <row r="646" spans="2:8" x14ac:dyDescent="0.2">
      <c r="B646" s="59">
        <v>216</v>
      </c>
      <c r="C646" s="59" t="s">
        <v>8012</v>
      </c>
      <c r="D646" s="59" t="s">
        <v>8013</v>
      </c>
      <c r="E646" s="59">
        <v>20</v>
      </c>
      <c r="F646" s="59">
        <v>43660532</v>
      </c>
      <c r="G646" s="79">
        <v>4.54607657511E-9</v>
      </c>
      <c r="H646" s="59"/>
    </row>
    <row r="647" spans="2:8" x14ac:dyDescent="0.2">
      <c r="B647" s="59">
        <v>216</v>
      </c>
      <c r="C647" s="59" t="s">
        <v>8014</v>
      </c>
      <c r="D647" s="59" t="s">
        <v>8015</v>
      </c>
      <c r="E647" s="59">
        <v>20</v>
      </c>
      <c r="F647" s="59">
        <v>43682551</v>
      </c>
      <c r="G647" s="79">
        <v>3.8971997452900002E-13</v>
      </c>
      <c r="H647" s="59"/>
    </row>
    <row r="648" spans="2:8" x14ac:dyDescent="0.2">
      <c r="B648" s="59">
        <v>216</v>
      </c>
      <c r="C648" s="59" t="s">
        <v>8016</v>
      </c>
      <c r="D648" s="59" t="s">
        <v>8017</v>
      </c>
      <c r="E648" s="59">
        <v>20</v>
      </c>
      <c r="F648" s="59">
        <v>43723627</v>
      </c>
      <c r="G648" s="79">
        <v>1.47738614723E-11</v>
      </c>
      <c r="H648" s="59"/>
    </row>
    <row r="649" spans="2:8" x14ac:dyDescent="0.2">
      <c r="B649" s="59">
        <v>216</v>
      </c>
      <c r="C649" s="59" t="s">
        <v>8018</v>
      </c>
      <c r="D649" s="59" t="s">
        <v>8019</v>
      </c>
      <c r="E649" s="59">
        <v>20</v>
      </c>
      <c r="F649" s="59">
        <v>43766067</v>
      </c>
      <c r="G649" s="79">
        <v>3.7815314030999999E-9</v>
      </c>
      <c r="H649" s="59"/>
    </row>
    <row r="650" spans="2:8" x14ac:dyDescent="0.2">
      <c r="B650" s="59">
        <v>216</v>
      </c>
      <c r="C650" s="59" t="s">
        <v>8020</v>
      </c>
      <c r="D650" s="59" t="s">
        <v>8021</v>
      </c>
      <c r="E650" s="59">
        <v>20</v>
      </c>
      <c r="F650" s="59">
        <v>43766927</v>
      </c>
      <c r="G650" s="79">
        <v>6.5825908540399996E-12</v>
      </c>
      <c r="H650" s="59"/>
    </row>
    <row r="651" spans="2:8" x14ac:dyDescent="0.2">
      <c r="B651" s="59">
        <v>216</v>
      </c>
      <c r="C651" s="59" t="s">
        <v>8022</v>
      </c>
      <c r="D651" s="59" t="s">
        <v>8023</v>
      </c>
      <c r="E651" s="59">
        <v>20</v>
      </c>
      <c r="F651" s="59">
        <v>43931096</v>
      </c>
      <c r="G651" s="79">
        <v>1.56819458764E-8</v>
      </c>
      <c r="H651" s="59"/>
    </row>
    <row r="652" spans="2:8" x14ac:dyDescent="0.2">
      <c r="B652" s="59">
        <v>217</v>
      </c>
      <c r="C652" s="59" t="s">
        <v>8024</v>
      </c>
      <c r="D652" s="59" t="s">
        <v>8025</v>
      </c>
      <c r="E652" s="59">
        <v>20</v>
      </c>
      <c r="F652" s="59">
        <v>44742064</v>
      </c>
      <c r="G652" s="79">
        <v>4.9975068337999997E-9</v>
      </c>
      <c r="H652" s="59"/>
    </row>
    <row r="653" spans="2:8" x14ac:dyDescent="0.2">
      <c r="B653" s="59">
        <v>218</v>
      </c>
      <c r="C653" s="59" t="s">
        <v>8026</v>
      </c>
      <c r="D653" s="59" t="s">
        <v>8027</v>
      </c>
      <c r="E653" s="59">
        <v>20</v>
      </c>
      <c r="F653" s="59">
        <v>48090779</v>
      </c>
      <c r="G653" s="79">
        <v>3.5413180997599999E-12</v>
      </c>
      <c r="H653" s="59"/>
    </row>
    <row r="654" spans="2:8" x14ac:dyDescent="0.2">
      <c r="B654" s="59">
        <v>218</v>
      </c>
      <c r="C654" s="59" t="s">
        <v>8028</v>
      </c>
      <c r="D654" s="59" t="s">
        <v>8029</v>
      </c>
      <c r="E654" s="59">
        <v>20</v>
      </c>
      <c r="F654" s="59">
        <v>48093441</v>
      </c>
      <c r="G654" s="79">
        <v>1.8862976387299999E-8</v>
      </c>
      <c r="H654" s="59"/>
    </row>
    <row r="655" spans="2:8" x14ac:dyDescent="0.2">
      <c r="B655" s="59">
        <v>218</v>
      </c>
      <c r="C655" s="59" t="s">
        <v>8030</v>
      </c>
      <c r="D655" s="59" t="s">
        <v>8031</v>
      </c>
      <c r="E655" s="59">
        <v>20</v>
      </c>
      <c r="F655" s="59">
        <v>48129169</v>
      </c>
      <c r="G655" s="79">
        <v>2.94576509401E-10</v>
      </c>
      <c r="H655" s="59"/>
    </row>
    <row r="656" spans="2:8" x14ac:dyDescent="0.2">
      <c r="B656" s="59">
        <v>219</v>
      </c>
      <c r="C656" s="59" t="s">
        <v>8032</v>
      </c>
      <c r="D656" s="59" t="s">
        <v>8033</v>
      </c>
      <c r="E656" s="59">
        <v>21</v>
      </c>
      <c r="F656" s="59">
        <v>39525549</v>
      </c>
      <c r="G656" s="79">
        <v>3.67779931673E-8</v>
      </c>
      <c r="H656" s="59"/>
    </row>
    <row r="657" spans="2:8" x14ac:dyDescent="0.2">
      <c r="B657" s="59">
        <v>220</v>
      </c>
      <c r="C657" s="59" t="s">
        <v>8034</v>
      </c>
      <c r="D657" s="59" t="s">
        <v>8035</v>
      </c>
      <c r="E657" s="59">
        <v>22</v>
      </c>
      <c r="F657" s="59">
        <v>20134350</v>
      </c>
      <c r="G657" s="79">
        <v>2.77119675973E-8</v>
      </c>
      <c r="H657" s="59"/>
    </row>
    <row r="658" spans="2:8" x14ac:dyDescent="0.2">
      <c r="B658" s="59">
        <v>221</v>
      </c>
      <c r="C658" s="59" t="s">
        <v>8036</v>
      </c>
      <c r="D658" s="59" t="s">
        <v>8037</v>
      </c>
      <c r="E658" s="59">
        <v>22</v>
      </c>
      <c r="F658" s="59">
        <v>40051166</v>
      </c>
      <c r="G658" s="79">
        <v>5.3160679327700003E-9</v>
      </c>
      <c r="H658" s="59"/>
    </row>
    <row r="659" spans="2:8" x14ac:dyDescent="0.2">
      <c r="B659" s="59">
        <v>221</v>
      </c>
      <c r="C659" s="59" t="s">
        <v>8038</v>
      </c>
      <c r="D659" s="59" t="s">
        <v>8039</v>
      </c>
      <c r="E659" s="59">
        <v>22</v>
      </c>
      <c r="F659" s="59">
        <v>40067640</v>
      </c>
      <c r="G659" s="79">
        <v>7.5565131748899992E-9</v>
      </c>
      <c r="H659" s="59"/>
    </row>
    <row r="660" spans="2:8" x14ac:dyDescent="0.2">
      <c r="B660" s="59">
        <v>222</v>
      </c>
      <c r="C660" s="59" t="s">
        <v>8040</v>
      </c>
      <c r="D660" s="59" t="s">
        <v>8041</v>
      </c>
      <c r="E660" s="59">
        <v>22</v>
      </c>
      <c r="F660" s="59">
        <v>41117441</v>
      </c>
      <c r="G660" s="79">
        <v>3.9729405901300002E-9</v>
      </c>
      <c r="H660" s="59"/>
    </row>
    <row r="661" spans="2:8" x14ac:dyDescent="0.2">
      <c r="B661" s="59">
        <v>222</v>
      </c>
      <c r="C661" s="59" t="s">
        <v>8042</v>
      </c>
      <c r="D661" s="59" t="s">
        <v>8043</v>
      </c>
      <c r="E661" s="59">
        <v>22</v>
      </c>
      <c r="F661" s="59">
        <v>41161049</v>
      </c>
      <c r="G661" s="79">
        <v>5.6608982394499999E-10</v>
      </c>
      <c r="H661" s="59"/>
    </row>
    <row r="662" spans="2:8" x14ac:dyDescent="0.2">
      <c r="B662" s="59">
        <v>222</v>
      </c>
      <c r="C662" s="59" t="s">
        <v>8044</v>
      </c>
      <c r="D662" s="59" t="s">
        <v>8045</v>
      </c>
      <c r="E662" s="59">
        <v>22</v>
      </c>
      <c r="F662" s="59">
        <v>41404511</v>
      </c>
      <c r="G662" s="79">
        <v>1.33719735019E-9</v>
      </c>
      <c r="H662" s="59"/>
    </row>
    <row r="663" spans="2:8" x14ac:dyDescent="0.2">
      <c r="B663" s="59">
        <v>222</v>
      </c>
      <c r="C663" s="59" t="s">
        <v>8046</v>
      </c>
      <c r="D663" s="59" t="s">
        <v>8047</v>
      </c>
      <c r="E663" s="59">
        <v>22</v>
      </c>
      <c r="F663" s="59">
        <v>41587556</v>
      </c>
      <c r="G663" s="79">
        <v>1.04080479095E-9</v>
      </c>
      <c r="H663" s="59"/>
    </row>
    <row r="664" spans="2:8" x14ac:dyDescent="0.2">
      <c r="B664" s="59">
        <v>223</v>
      </c>
      <c r="C664" s="59" t="s">
        <v>8048</v>
      </c>
      <c r="D664" s="59" t="s">
        <v>8049</v>
      </c>
      <c r="E664" s="59">
        <v>22</v>
      </c>
      <c r="F664" s="59">
        <v>42475568</v>
      </c>
      <c r="G664" s="79">
        <v>9.846884124250001E-10</v>
      </c>
      <c r="H664" s="59"/>
    </row>
    <row r="665" spans="2:8" x14ac:dyDescent="0.2">
      <c r="B665" s="59">
        <v>224</v>
      </c>
      <c r="C665" s="59" t="s">
        <v>8050</v>
      </c>
      <c r="D665" s="59" t="s">
        <v>8051</v>
      </c>
      <c r="E665" s="59">
        <v>22</v>
      </c>
      <c r="F665" s="59">
        <v>51109735</v>
      </c>
      <c r="G665" s="79">
        <v>1.4103916562499999E-9</v>
      </c>
      <c r="H665" s="5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26</vt:i4>
      </vt:variant>
    </vt:vector>
  </HeadingPairs>
  <TitlesOfParts>
    <vt:vector size="26" baseType="lpstr">
      <vt:lpstr>Table of Contents</vt:lpstr>
      <vt:lpstr>Table S1. Baseline phenotypes</vt:lpstr>
      <vt:lpstr>Table S2. Baseline var descript</vt:lpstr>
      <vt:lpstr>Table S3. Follow-up phenotypes</vt:lpstr>
      <vt:lpstr>Table S4. Follow-up var descrip</vt:lpstr>
      <vt:lpstr>Table S5. Imaging phenotypes</vt:lpstr>
      <vt:lpstr>Table S6. Contributing GWAS</vt:lpstr>
      <vt:lpstr>Table S7. Factor 1 Indep Loci</vt:lpstr>
      <vt:lpstr>Table S8. Factor 2 Indep Loci</vt:lpstr>
      <vt:lpstr>Table S9. Factor 3 Indep Loci</vt:lpstr>
      <vt:lpstr>Table S10. Factor 4 Indep Loci</vt:lpstr>
      <vt:lpstr>Table S11. Baseline Results</vt:lpstr>
      <vt:lpstr>Table S12. Follow-up Results</vt:lpstr>
      <vt:lpstr>Table S13. CI comparisons</vt:lpstr>
      <vt:lpstr>Table S14. Global Results</vt:lpstr>
      <vt:lpstr>Table S15. Cortical Volume</vt:lpstr>
      <vt:lpstr>Table S16. Surface Area</vt:lpstr>
      <vt:lpstr>Table S17. Thickness</vt:lpstr>
      <vt:lpstr>Table S18. Subcortical Volume</vt:lpstr>
      <vt:lpstr>Table S19. RS-FC</vt:lpstr>
      <vt:lpstr>Table S20. DTI FA</vt:lpstr>
      <vt:lpstr>Table S21. DTI MD</vt:lpstr>
      <vt:lpstr>Table S22. Brain to Pheno</vt:lpstr>
      <vt:lpstr>Table S23. Mediation Results</vt:lpstr>
      <vt:lpstr>Table S24. CFA Comparisons</vt:lpstr>
      <vt:lpstr>Table S25. CFA Model Loadings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2022-08-11T21:27:32Z</dcterms:created>
  <dcterms:modified xsi:type="dcterms:W3CDTF">2023-02-11T00:18:26Z</dcterms:modified>
</cp:coreProperties>
</file>